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G:\SO Files and Folders\SO Migration Stats\Migration Stats 2026\Version for Website - SAVE AS EXISTING NAME\"/>
    </mc:Choice>
  </mc:AlternateContent>
  <xr:revisionPtr revIDLastSave="0" documentId="8_{2D1E5D13-CF74-462E-886A-AF1EB838BCA3}" xr6:coauthVersionLast="47" xr6:coauthVersionMax="47" xr10:uidLastSave="{00000000-0000-0000-0000-000000000000}"/>
  <bookViews>
    <workbookView xWindow="-120" yWindow="-120" windowWidth="29040" windowHeight="15720" tabRatio="594" xr2:uid="{00000000-000D-0000-FFFF-FFFF00000000}"/>
  </bookViews>
  <sheets>
    <sheet name="Graphs" sheetId="15" r:id="rId1"/>
    <sheet name="Load" sheetId="4" r:id="rId2"/>
    <sheet name="Customers" sheetId="2" r:id="rId3"/>
    <sheet name="Sheet1" sheetId="14" state="hidden" r:id="rId4"/>
    <sheet name="Class Definitions" sheetId="9" r:id="rId5"/>
  </sheets>
  <definedNames>
    <definedName name="BHD_ALL_LD_PCT">Load!$L$28:$L$136</definedName>
    <definedName name="BHD_LG_LD_PCT">Load!$H$28:$H$136</definedName>
    <definedName name="BHD_MD_LD_PCT">Load!$E$28:$E$136</definedName>
    <definedName name="BHD_SM_LD_PCT">Load!$B$28:$B$136</definedName>
    <definedName name="CMP_ALL_LD_PCT">Load!$X$28:$X$136</definedName>
    <definedName name="CMP_LG_LD_PCT">Load!$T$28:$T$136</definedName>
    <definedName name="CMP_MD_LD_PCT">Load!$Q$28:$Q$136</definedName>
    <definedName name="CMP_SM_LD_PCT">Load!$N$28:$N$136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PD_ALL_LD_PCT">Load!$AJ$28:$AJ$136</definedName>
    <definedName name="MPD_LG_LD_PCT">Load!$AF$28:$AF$136</definedName>
    <definedName name="MPD_MD_LD_PCT">Load!$AC$28:$AC$136</definedName>
    <definedName name="MPD_SM_LD_PCT">Load!$Z$28:Y$136</definedName>
    <definedName name="_xlnm.Print_Titles" localSheetId="2">Customers!$A:$A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5" i="2" l="1"/>
  <c r="AR5" i="2"/>
  <c r="AL5" i="2" s="1"/>
  <c r="AS5" i="2"/>
  <c r="AM5" i="2" s="1"/>
  <c r="AT5" i="2"/>
  <c r="AN5" i="2" s="1"/>
  <c r="AP6" i="2"/>
  <c r="AR6" i="2"/>
  <c r="AS6" i="2"/>
  <c r="AM6" i="2" s="1"/>
  <c r="AT6" i="2"/>
  <c r="AN6" i="2" s="1"/>
  <c r="AP7" i="2"/>
  <c r="AR7" i="2"/>
  <c r="AL7" i="2" s="1"/>
  <c r="AS7" i="2"/>
  <c r="AM7" i="2" s="1"/>
  <c r="AT7" i="2"/>
  <c r="AN7" i="2" s="1"/>
  <c r="AM8" i="2"/>
  <c r="AN8" i="2"/>
  <c r="AP8" i="2"/>
  <c r="AR8" i="2"/>
  <c r="AQ8" i="2" s="1"/>
  <c r="AS8" i="2"/>
  <c r="AT8" i="2"/>
  <c r="AN9" i="2"/>
  <c r="AP9" i="2"/>
  <c r="AR9" i="2"/>
  <c r="AL9" i="2" s="1"/>
  <c r="AS9" i="2"/>
  <c r="AM9" i="2" s="1"/>
  <c r="AT9" i="2"/>
  <c r="AP10" i="2"/>
  <c r="AR10" i="2"/>
  <c r="AL10" i="2" s="1"/>
  <c r="AS10" i="2"/>
  <c r="AM10" i="2" s="1"/>
  <c r="AT10" i="2"/>
  <c r="AN10" i="2" s="1"/>
  <c r="AQ5" i="2" l="1"/>
  <c r="AO5" i="2" s="1"/>
  <c r="AQ6" i="2"/>
  <c r="AO10" i="2"/>
  <c r="AO6" i="2"/>
  <c r="AO8" i="2"/>
  <c r="AQ9" i="2"/>
  <c r="AO9" i="2" s="1"/>
  <c r="AL8" i="2"/>
  <c r="AQ10" i="2"/>
  <c r="AQ7" i="2"/>
  <c r="AO7" i="2" s="1"/>
  <c r="AL6" i="2"/>
  <c r="AL6" i="4" l="1"/>
  <c r="AN6" i="4"/>
  <c r="AU6" i="4" s="1"/>
  <c r="AO6" i="4"/>
  <c r="AP6" i="4"/>
  <c r="AQ6" i="4"/>
  <c r="AL7" i="4"/>
  <c r="AN7" i="4"/>
  <c r="AS7" i="4" s="1"/>
  <c r="AO7" i="4"/>
  <c r="AP7" i="4"/>
  <c r="AQ7" i="4"/>
  <c r="AL8" i="4"/>
  <c r="AN8" i="4"/>
  <c r="AO8" i="4"/>
  <c r="AP8" i="4"/>
  <c r="AQ8" i="4"/>
  <c r="AS8" i="4"/>
  <c r="AT8" i="4"/>
  <c r="AU8" i="4"/>
  <c r="AL9" i="4"/>
  <c r="AM9" i="4" s="1"/>
  <c r="AN9" i="4"/>
  <c r="AU9" i="4" s="1"/>
  <c r="AO9" i="4"/>
  <c r="AP9" i="4"/>
  <c r="AQ9" i="4"/>
  <c r="AS9" i="4"/>
  <c r="AT9" i="4"/>
  <c r="AS6" i="4" l="1"/>
  <c r="AT6" i="4"/>
  <c r="AM6" i="4"/>
  <c r="AM7" i="4"/>
  <c r="AM8" i="4"/>
  <c r="AU7" i="4"/>
  <c r="AT7" i="4"/>
  <c r="AL10" i="4" l="1"/>
  <c r="AM10" i="4" s="1"/>
  <c r="AN10" i="4"/>
  <c r="AS10" i="4" s="1"/>
  <c r="AO10" i="4"/>
  <c r="AP10" i="4"/>
  <c r="AQ10" i="4"/>
  <c r="AT10" i="4" l="1"/>
  <c r="AU10" i="4"/>
  <c r="AP11" i="2"/>
  <c r="AR11" i="2"/>
  <c r="AL11" i="2" s="1"/>
  <c r="AS11" i="2"/>
  <c r="AM11" i="2" s="1"/>
  <c r="AT11" i="2"/>
  <c r="AN11" i="2" s="1"/>
  <c r="AP12" i="2"/>
  <c r="AR12" i="2"/>
  <c r="AL12" i="2" s="1"/>
  <c r="AS12" i="2"/>
  <c r="AM12" i="2" s="1"/>
  <c r="AT12" i="2"/>
  <c r="AN12" i="2" s="1"/>
  <c r="AL13" i="2"/>
  <c r="AP13" i="2"/>
  <c r="AR13" i="2"/>
  <c r="AS13" i="2"/>
  <c r="AM13" i="2" s="1"/>
  <c r="AT13" i="2"/>
  <c r="AN13" i="2" s="1"/>
  <c r="AQ12" i="2" l="1"/>
  <c r="AO12" i="2" s="1"/>
  <c r="AQ13" i="2"/>
  <c r="AO13" i="2" s="1"/>
  <c r="AQ11" i="2"/>
  <c r="AO11" i="2" s="1"/>
  <c r="AL11" i="4" l="1"/>
  <c r="AN11" i="4"/>
  <c r="AT11" i="4" s="1"/>
  <c r="AO11" i="4"/>
  <c r="AP11" i="4"/>
  <c r="AQ11" i="4"/>
  <c r="AM11" i="4" l="1"/>
  <c r="AS11" i="4"/>
  <c r="AU11" i="4"/>
  <c r="AL12" i="4"/>
  <c r="AN12" i="4"/>
  <c r="AT12" i="4" s="1"/>
  <c r="AO12" i="4"/>
  <c r="AP12" i="4"/>
  <c r="AQ12" i="4"/>
  <c r="AL13" i="4"/>
  <c r="AN13" i="4"/>
  <c r="AS13" i="4" s="1"/>
  <c r="AO13" i="4"/>
  <c r="AP13" i="4"/>
  <c r="AQ13" i="4"/>
  <c r="AP14" i="2"/>
  <c r="AR14" i="2"/>
  <c r="AL14" i="2" s="1"/>
  <c r="AS14" i="2"/>
  <c r="AM14" i="2" s="1"/>
  <c r="AT14" i="2"/>
  <c r="AN14" i="2" s="1"/>
  <c r="AP15" i="2"/>
  <c r="AR15" i="2"/>
  <c r="AL15" i="2" s="1"/>
  <c r="AS15" i="2"/>
  <c r="AM15" i="2" s="1"/>
  <c r="AT15" i="2"/>
  <c r="AN15" i="2" s="1"/>
  <c r="AP16" i="2"/>
  <c r="AR16" i="2"/>
  <c r="AL16" i="2" s="1"/>
  <c r="AS16" i="2"/>
  <c r="AM16" i="2" s="1"/>
  <c r="AT16" i="2"/>
  <c r="AM12" i="4" l="1"/>
  <c r="AU12" i="4"/>
  <c r="AS12" i="4"/>
  <c r="AQ16" i="2"/>
  <c r="AO16" i="2" s="1"/>
  <c r="AU13" i="4"/>
  <c r="AT13" i="4"/>
  <c r="AM13" i="4"/>
  <c r="AQ15" i="2"/>
  <c r="AO15" i="2" s="1"/>
  <c r="AQ14" i="2"/>
  <c r="AO14" i="2" s="1"/>
  <c r="AN16" i="2"/>
  <c r="AL14" i="4" l="1"/>
  <c r="AN14" i="4"/>
  <c r="AT14" i="4" s="1"/>
  <c r="AO14" i="4"/>
  <c r="AP14" i="4"/>
  <c r="AQ14" i="4"/>
  <c r="AL15" i="4"/>
  <c r="AN15" i="4"/>
  <c r="AU15" i="4" s="1"/>
  <c r="AO15" i="4"/>
  <c r="AP15" i="4"/>
  <c r="AQ15" i="4"/>
  <c r="AL16" i="4"/>
  <c r="AN16" i="4"/>
  <c r="AT16" i="4" s="1"/>
  <c r="AO16" i="4"/>
  <c r="AP16" i="4"/>
  <c r="AQ16" i="4"/>
  <c r="AL17" i="4"/>
  <c r="AN17" i="4"/>
  <c r="AS17" i="4" s="1"/>
  <c r="AO17" i="4"/>
  <c r="AP17" i="4"/>
  <c r="AQ17" i="4"/>
  <c r="AL18" i="4"/>
  <c r="AN18" i="4"/>
  <c r="AS18" i="4" s="1"/>
  <c r="AO18" i="4"/>
  <c r="AP18" i="4"/>
  <c r="AQ18" i="4"/>
  <c r="AM15" i="4" l="1"/>
  <c r="AM17" i="4"/>
  <c r="AM18" i="4"/>
  <c r="AM14" i="4"/>
  <c r="AS14" i="4"/>
  <c r="AU14" i="4"/>
  <c r="AT15" i="4"/>
  <c r="AS16" i="4"/>
  <c r="AS15" i="4"/>
  <c r="AU18" i="4"/>
  <c r="AT18" i="4"/>
  <c r="AU17" i="4"/>
  <c r="AM16" i="4"/>
  <c r="AT17" i="4"/>
  <c r="AU16" i="4"/>
  <c r="AP17" i="2" l="1"/>
  <c r="AR17" i="2"/>
  <c r="AL17" i="2" s="1"/>
  <c r="AS17" i="2"/>
  <c r="AM17" i="2" s="1"/>
  <c r="AT17" i="2"/>
  <c r="AN17" i="2" s="1"/>
  <c r="AP18" i="2"/>
  <c r="AR18" i="2"/>
  <c r="AL18" i="2" s="1"/>
  <c r="AS18" i="2"/>
  <c r="AM18" i="2" s="1"/>
  <c r="AT18" i="2"/>
  <c r="AN18" i="2" s="1"/>
  <c r="AQ18" i="2" l="1"/>
  <c r="AO18" i="2" s="1"/>
  <c r="AQ17" i="2"/>
  <c r="AO17" i="2" s="1"/>
  <c r="AL19" i="4" l="1"/>
  <c r="AN19" i="4"/>
  <c r="AT19" i="4" s="1"/>
  <c r="AO19" i="4"/>
  <c r="AP19" i="4"/>
  <c r="AQ19" i="4"/>
  <c r="AS19" i="4" l="1"/>
  <c r="AU19" i="4"/>
  <c r="AM19" i="4"/>
  <c r="AL20" i="4" l="1"/>
  <c r="AN20" i="4"/>
  <c r="AU20" i="4" s="1"/>
  <c r="AO20" i="4"/>
  <c r="AP20" i="4"/>
  <c r="AQ20" i="4"/>
  <c r="AP19" i="2"/>
  <c r="AR19" i="2"/>
  <c r="AL19" i="2" s="1"/>
  <c r="AS19" i="2"/>
  <c r="AM19" i="2" s="1"/>
  <c r="AT19" i="2"/>
  <c r="AN19" i="2" s="1"/>
  <c r="AP20" i="2"/>
  <c r="AR20" i="2"/>
  <c r="AL20" i="2" s="1"/>
  <c r="AS20" i="2"/>
  <c r="AM20" i="2" s="1"/>
  <c r="AT20" i="2"/>
  <c r="AN20" i="2" s="1"/>
  <c r="AL21" i="4"/>
  <c r="AN21" i="4"/>
  <c r="AT21" i="4" s="1"/>
  <c r="AO21" i="4"/>
  <c r="AP21" i="4"/>
  <c r="AQ21" i="4"/>
  <c r="AT20" i="4" l="1"/>
  <c r="AM21" i="4"/>
  <c r="AU21" i="4"/>
  <c r="AS21" i="4"/>
  <c r="AS20" i="4"/>
  <c r="AM20" i="4"/>
  <c r="AQ19" i="2"/>
  <c r="AO19" i="2" s="1"/>
  <c r="AQ20" i="2"/>
  <c r="AO20" i="2" s="1"/>
  <c r="AP21" i="2"/>
  <c r="AR21" i="2"/>
  <c r="AL21" i="2" s="1"/>
  <c r="AS21" i="2"/>
  <c r="AM21" i="2" s="1"/>
  <c r="AT21" i="2"/>
  <c r="AN21" i="2" s="1"/>
  <c r="AL22" i="4"/>
  <c r="AN22" i="4"/>
  <c r="AS22" i="4" s="1"/>
  <c r="AO22" i="4"/>
  <c r="AP22" i="4"/>
  <c r="AQ22" i="4"/>
  <c r="AT22" i="2"/>
  <c r="AN22" i="2" s="1"/>
  <c r="AT23" i="2"/>
  <c r="AN23" i="2" s="1"/>
  <c r="AP22" i="2"/>
  <c r="AR22" i="2"/>
  <c r="AL22" i="2" s="1"/>
  <c r="AS22" i="2"/>
  <c r="AM22" i="2" s="1"/>
  <c r="AL23" i="4"/>
  <c r="AN23" i="4"/>
  <c r="AS23" i="4" s="1"/>
  <c r="AO23" i="4"/>
  <c r="AP23" i="4"/>
  <c r="AQ23" i="4"/>
  <c r="AP23" i="2"/>
  <c r="AR23" i="2"/>
  <c r="AL23" i="2" s="1"/>
  <c r="AS23" i="2"/>
  <c r="AM23" i="2" s="1"/>
  <c r="AL24" i="4"/>
  <c r="AN24" i="4"/>
  <c r="AU24" i="4" s="1"/>
  <c r="AO24" i="4"/>
  <c r="AP24" i="4"/>
  <c r="AQ24" i="4"/>
  <c r="AP24" i="2"/>
  <c r="AR24" i="2"/>
  <c r="AL24" i="2" s="1"/>
  <c r="AS24" i="2"/>
  <c r="AM24" i="2" s="1"/>
  <c r="AT24" i="2"/>
  <c r="AN24" i="2" s="1"/>
  <c r="AP25" i="2"/>
  <c r="AR25" i="2"/>
  <c r="AL25" i="2" s="1"/>
  <c r="AS25" i="2"/>
  <c r="AM25" i="2" s="1"/>
  <c r="AT25" i="2"/>
  <c r="AN25" i="2" s="1"/>
  <c r="AL25" i="4"/>
  <c r="AN25" i="4"/>
  <c r="AT25" i="4" s="1"/>
  <c r="AO25" i="4"/>
  <c r="AP25" i="4"/>
  <c r="AQ25" i="4"/>
  <c r="AL26" i="4"/>
  <c r="AN26" i="4"/>
  <c r="AU26" i="4" s="1"/>
  <c r="AO26" i="4"/>
  <c r="AP26" i="4"/>
  <c r="AQ26" i="4"/>
  <c r="AM22" i="4" l="1"/>
  <c r="AQ23" i="2"/>
  <c r="AO23" i="2" s="1"/>
  <c r="AU22" i="4"/>
  <c r="AT22" i="4"/>
  <c r="AQ21" i="2"/>
  <c r="AO21" i="2" s="1"/>
  <c r="AM23" i="4"/>
  <c r="AU23" i="4"/>
  <c r="AT23" i="4"/>
  <c r="AM24" i="4"/>
  <c r="AQ22" i="2"/>
  <c r="AO22" i="2" s="1"/>
  <c r="AT26" i="4"/>
  <c r="AS24" i="4"/>
  <c r="AT24" i="4"/>
  <c r="AQ25" i="2"/>
  <c r="AO25" i="2" s="1"/>
  <c r="AM26" i="4"/>
  <c r="AS25" i="4"/>
  <c r="AS26" i="4"/>
  <c r="AM25" i="4"/>
  <c r="AU25" i="4"/>
  <c r="AQ24" i="2"/>
  <c r="AO24" i="2" s="1"/>
  <c r="AP26" i="2" l="1"/>
  <c r="AR26" i="2"/>
  <c r="AL26" i="2" s="1"/>
  <c r="AS26" i="2"/>
  <c r="AM26" i="2" s="1"/>
  <c r="AT26" i="2"/>
  <c r="AN26" i="2" s="1"/>
  <c r="AL27" i="4"/>
  <c r="AN27" i="4"/>
  <c r="AU27" i="4" s="1"/>
  <c r="AO27" i="4"/>
  <c r="AP27" i="4"/>
  <c r="AQ27" i="4"/>
  <c r="AM27" i="4" l="1"/>
  <c r="AT27" i="4"/>
  <c r="AS27" i="4"/>
  <c r="AQ26" i="2"/>
  <c r="AO26" i="2" s="1"/>
  <c r="AP27" i="2"/>
  <c r="AR27" i="2"/>
  <c r="AL27" i="2" s="1"/>
  <c r="AS27" i="2"/>
  <c r="AT27" i="2"/>
  <c r="AN27" i="2" s="1"/>
  <c r="AL28" i="4"/>
  <c r="AN28" i="4"/>
  <c r="AO28" i="4"/>
  <c r="AP28" i="4"/>
  <c r="AQ28" i="4"/>
  <c r="AQ27" i="2" l="1"/>
  <c r="AO27" i="2" s="1"/>
  <c r="AM27" i="2"/>
  <c r="AM28" i="4"/>
  <c r="AU28" i="4"/>
  <c r="AT28" i="4"/>
  <c r="AS28" i="4"/>
  <c r="AL29" i="4"/>
  <c r="AN29" i="4"/>
  <c r="AS29" i="4" s="1"/>
  <c r="AO29" i="4"/>
  <c r="AP29" i="4"/>
  <c r="AQ29" i="4"/>
  <c r="AL30" i="4"/>
  <c r="AN30" i="4"/>
  <c r="AS30" i="4" s="1"/>
  <c r="AO30" i="4"/>
  <c r="AP30" i="4"/>
  <c r="AQ30" i="4"/>
  <c r="AL31" i="4"/>
  <c r="AN31" i="4"/>
  <c r="AS31" i="4" s="1"/>
  <c r="AO31" i="4"/>
  <c r="AP31" i="4"/>
  <c r="AQ31" i="4"/>
  <c r="AL32" i="4"/>
  <c r="AN32" i="4"/>
  <c r="AT32" i="4" s="1"/>
  <c r="AO32" i="4"/>
  <c r="AP32" i="4"/>
  <c r="AQ32" i="4"/>
  <c r="AP28" i="2"/>
  <c r="AR28" i="2"/>
  <c r="AL28" i="2" s="1"/>
  <c r="AS28" i="2"/>
  <c r="AM28" i="2" s="1"/>
  <c r="AT28" i="2"/>
  <c r="AN28" i="2" s="1"/>
  <c r="AP29" i="2"/>
  <c r="AR29" i="2"/>
  <c r="AL29" i="2" s="1"/>
  <c r="AS29" i="2"/>
  <c r="AM29" i="2" s="1"/>
  <c r="AT29" i="2"/>
  <c r="AN29" i="2" s="1"/>
  <c r="AP30" i="2"/>
  <c r="AR30" i="2"/>
  <c r="AL30" i="2" s="1"/>
  <c r="AS30" i="2"/>
  <c r="AM30" i="2" s="1"/>
  <c r="AT30" i="2"/>
  <c r="AN30" i="2" s="1"/>
  <c r="AP31" i="2"/>
  <c r="AR31" i="2"/>
  <c r="AS31" i="2"/>
  <c r="AM31" i="2" s="1"/>
  <c r="AT31" i="2"/>
  <c r="AN31" i="2" s="1"/>
  <c r="AS32" i="4" l="1"/>
  <c r="AQ31" i="2"/>
  <c r="AO31" i="2" s="1"/>
  <c r="AQ29" i="2"/>
  <c r="AO29" i="2" s="1"/>
  <c r="AL31" i="2"/>
  <c r="AQ30" i="2"/>
  <c r="AO30" i="2" s="1"/>
  <c r="AU31" i="4"/>
  <c r="AT31" i="4"/>
  <c r="AM29" i="4"/>
  <c r="AU29" i="4"/>
  <c r="AT29" i="4"/>
  <c r="AM32" i="4"/>
  <c r="AU32" i="4"/>
  <c r="AM31" i="4"/>
  <c r="AM30" i="4"/>
  <c r="AU30" i="4"/>
  <c r="AT30" i="4"/>
  <c r="AQ28" i="2"/>
  <c r="AO28" i="2" s="1"/>
  <c r="AP32" i="2" l="1"/>
  <c r="AR32" i="2"/>
  <c r="AL32" i="2" s="1"/>
  <c r="AS32" i="2"/>
  <c r="AM32" i="2" s="1"/>
  <c r="AT32" i="2"/>
  <c r="AN32" i="2" s="1"/>
  <c r="AP33" i="2"/>
  <c r="AR33" i="2"/>
  <c r="AS33" i="2"/>
  <c r="AM33" i="2" s="1"/>
  <c r="AT33" i="2"/>
  <c r="AN33" i="2" s="1"/>
  <c r="AP34" i="2"/>
  <c r="AR34" i="2"/>
  <c r="AL34" i="2" s="1"/>
  <c r="AS34" i="2"/>
  <c r="AM34" i="2" s="1"/>
  <c r="AT34" i="2"/>
  <c r="AN34" i="2" s="1"/>
  <c r="AQ33" i="2" l="1"/>
  <c r="AO33" i="2" s="1"/>
  <c r="AQ34" i="2"/>
  <c r="AO34" i="2" s="1"/>
  <c r="AQ32" i="2"/>
  <c r="AO32" i="2" s="1"/>
  <c r="AL33" i="2"/>
  <c r="AL33" i="4" l="1"/>
  <c r="AN33" i="4"/>
  <c r="AO33" i="4"/>
  <c r="AP33" i="4"/>
  <c r="AQ33" i="4"/>
  <c r="AL34" i="4"/>
  <c r="AN34" i="4"/>
  <c r="AO34" i="4"/>
  <c r="AP34" i="4"/>
  <c r="AQ34" i="4"/>
  <c r="AL35" i="4"/>
  <c r="AN35" i="4"/>
  <c r="AO35" i="4"/>
  <c r="AP35" i="4"/>
  <c r="AQ35" i="4"/>
  <c r="U6" i="14"/>
  <c r="V6" i="14"/>
  <c r="W6" i="14"/>
  <c r="Y6" i="14"/>
  <c r="Z6" i="14"/>
  <c r="AA6" i="14"/>
  <c r="AC6" i="14"/>
  <c r="AD6" i="14"/>
  <c r="AE6" i="14"/>
  <c r="U7" i="14"/>
  <c r="V7" i="14"/>
  <c r="W7" i="14"/>
  <c r="Y7" i="14"/>
  <c r="Z7" i="14"/>
  <c r="AA7" i="14"/>
  <c r="AC7" i="14"/>
  <c r="AD7" i="14"/>
  <c r="AE7" i="14"/>
  <c r="U8" i="14"/>
  <c r="V8" i="14"/>
  <c r="W8" i="14"/>
  <c r="Y8" i="14"/>
  <c r="Z8" i="14"/>
  <c r="AA8" i="14"/>
  <c r="AC8" i="14"/>
  <c r="AD8" i="14"/>
  <c r="AE8" i="14"/>
  <c r="L27" i="14" s="1"/>
  <c r="U9" i="14"/>
  <c r="V9" i="14"/>
  <c r="W9" i="14"/>
  <c r="Y9" i="14"/>
  <c r="Z9" i="14"/>
  <c r="AA9" i="14"/>
  <c r="AC9" i="14"/>
  <c r="AD9" i="14"/>
  <c r="AE9" i="14"/>
  <c r="U10" i="14"/>
  <c r="V10" i="14"/>
  <c r="W10" i="14"/>
  <c r="Y10" i="14"/>
  <c r="Z10" i="14"/>
  <c r="AA10" i="14"/>
  <c r="AC10" i="14"/>
  <c r="AD10" i="14"/>
  <c r="AF10" i="14" s="1"/>
  <c r="AE10" i="14"/>
  <c r="U11" i="14"/>
  <c r="V11" i="14"/>
  <c r="W11" i="14"/>
  <c r="Y11" i="14"/>
  <c r="Z11" i="14"/>
  <c r="AA11" i="14"/>
  <c r="AC11" i="14"/>
  <c r="AD11" i="14"/>
  <c r="AE11" i="14"/>
  <c r="U12" i="14"/>
  <c r="V12" i="14"/>
  <c r="W12" i="14"/>
  <c r="Y12" i="14"/>
  <c r="Z12" i="14"/>
  <c r="AA12" i="14"/>
  <c r="AC12" i="14"/>
  <c r="AD12" i="14"/>
  <c r="AE12" i="14"/>
  <c r="U13" i="14"/>
  <c r="V13" i="14"/>
  <c r="W13" i="14"/>
  <c r="Y13" i="14"/>
  <c r="AB13" i="14" s="1"/>
  <c r="Z13" i="14"/>
  <c r="AA13" i="14"/>
  <c r="AC13" i="14"/>
  <c r="AD13" i="14"/>
  <c r="AE13" i="14"/>
  <c r="U14" i="14"/>
  <c r="V14" i="14"/>
  <c r="W14" i="14"/>
  <c r="Y14" i="14"/>
  <c r="Z14" i="14"/>
  <c r="AA14" i="14"/>
  <c r="H33" i="14" s="1"/>
  <c r="AC14" i="14"/>
  <c r="AD14" i="14"/>
  <c r="AE14" i="14"/>
  <c r="U15" i="14"/>
  <c r="V15" i="14"/>
  <c r="W15" i="14"/>
  <c r="Y15" i="14"/>
  <c r="Z15" i="14"/>
  <c r="AA15" i="14"/>
  <c r="AC15" i="14"/>
  <c r="AD15" i="14"/>
  <c r="AE15" i="14"/>
  <c r="U16" i="14"/>
  <c r="V16" i="14"/>
  <c r="W16" i="14"/>
  <c r="Y16" i="14"/>
  <c r="Z16" i="14"/>
  <c r="AA16" i="14"/>
  <c r="AC16" i="14"/>
  <c r="AD16" i="14"/>
  <c r="AE16" i="14"/>
  <c r="AE5" i="14"/>
  <c r="AD5" i="14"/>
  <c r="AC5" i="14"/>
  <c r="AA5" i="14"/>
  <c r="Z5" i="14"/>
  <c r="Y5" i="14"/>
  <c r="W5" i="14"/>
  <c r="V5" i="14"/>
  <c r="U5" i="14"/>
  <c r="X5" i="14" s="1"/>
  <c r="B6" i="14"/>
  <c r="C6" i="14"/>
  <c r="D6" i="14"/>
  <c r="F6" i="14"/>
  <c r="G6" i="14"/>
  <c r="I6" i="14" s="1"/>
  <c r="H6" i="14"/>
  <c r="J6" i="14"/>
  <c r="K6" i="14"/>
  <c r="L6" i="14"/>
  <c r="B7" i="14"/>
  <c r="C7" i="14"/>
  <c r="D7" i="14"/>
  <c r="F7" i="14"/>
  <c r="G7" i="14"/>
  <c r="H7" i="14"/>
  <c r="J7" i="14"/>
  <c r="K7" i="14"/>
  <c r="L7" i="14"/>
  <c r="B8" i="14"/>
  <c r="C8" i="14"/>
  <c r="D8" i="14"/>
  <c r="F8" i="14"/>
  <c r="G8" i="14"/>
  <c r="H8" i="14"/>
  <c r="J8" i="14"/>
  <c r="K8" i="14"/>
  <c r="L8" i="14"/>
  <c r="B9" i="14"/>
  <c r="C9" i="14"/>
  <c r="D9" i="14"/>
  <c r="F9" i="14"/>
  <c r="G9" i="14"/>
  <c r="H9" i="14"/>
  <c r="J9" i="14"/>
  <c r="K9" i="14"/>
  <c r="L9" i="14"/>
  <c r="B10" i="14"/>
  <c r="C10" i="14"/>
  <c r="D10" i="14"/>
  <c r="F10" i="14"/>
  <c r="G10" i="14"/>
  <c r="H10" i="14"/>
  <c r="J10" i="14"/>
  <c r="J29" i="14" s="1"/>
  <c r="K10" i="14"/>
  <c r="L10" i="14"/>
  <c r="B11" i="14"/>
  <c r="C11" i="14"/>
  <c r="D11" i="14"/>
  <c r="F11" i="14"/>
  <c r="G11" i="14"/>
  <c r="H11" i="14"/>
  <c r="J11" i="14"/>
  <c r="K11" i="14"/>
  <c r="L11" i="14"/>
  <c r="B12" i="14"/>
  <c r="C12" i="14"/>
  <c r="D12" i="14"/>
  <c r="E12" i="14" s="1"/>
  <c r="F12" i="14"/>
  <c r="G12" i="14"/>
  <c r="H12" i="14"/>
  <c r="J12" i="14"/>
  <c r="K12" i="14"/>
  <c r="L12" i="14"/>
  <c r="B13" i="14"/>
  <c r="C13" i="14"/>
  <c r="D13" i="14"/>
  <c r="F13" i="14"/>
  <c r="G13" i="14"/>
  <c r="H13" i="14"/>
  <c r="J13" i="14"/>
  <c r="K13" i="14"/>
  <c r="M13" i="14" s="1"/>
  <c r="L13" i="14"/>
  <c r="B14" i="14"/>
  <c r="C14" i="14"/>
  <c r="D14" i="14"/>
  <c r="F14" i="14"/>
  <c r="G14" i="14"/>
  <c r="H14" i="14"/>
  <c r="J14" i="14"/>
  <c r="K14" i="14"/>
  <c r="L14" i="14"/>
  <c r="M14" i="14" s="1"/>
  <c r="B15" i="14"/>
  <c r="C15" i="14"/>
  <c r="D15" i="14"/>
  <c r="F15" i="14"/>
  <c r="I15" i="14" s="1"/>
  <c r="G15" i="14"/>
  <c r="H15" i="14"/>
  <c r="J15" i="14"/>
  <c r="K15" i="14"/>
  <c r="L15" i="14"/>
  <c r="B16" i="14"/>
  <c r="C16" i="14"/>
  <c r="D16" i="14"/>
  <c r="F16" i="14"/>
  <c r="G16" i="14"/>
  <c r="I16" i="14" s="1"/>
  <c r="H16" i="14"/>
  <c r="J16" i="14"/>
  <c r="K16" i="14"/>
  <c r="L16" i="14"/>
  <c r="L35" i="14" s="1"/>
  <c r="L5" i="14"/>
  <c r="K5" i="14"/>
  <c r="M5" i="14" s="1"/>
  <c r="J5" i="14"/>
  <c r="H5" i="14"/>
  <c r="G5" i="14"/>
  <c r="F5" i="14"/>
  <c r="D5" i="14"/>
  <c r="C5" i="14"/>
  <c r="B5" i="14"/>
  <c r="AP35" i="2"/>
  <c r="AR35" i="2"/>
  <c r="AL35" i="2" s="1"/>
  <c r="AS35" i="2"/>
  <c r="AM35" i="2" s="1"/>
  <c r="AT35" i="2"/>
  <c r="AN35" i="2" s="1"/>
  <c r="AL36" i="4"/>
  <c r="AN36" i="4"/>
  <c r="AU36" i="4" s="1"/>
  <c r="AO36" i="4"/>
  <c r="AP36" i="4"/>
  <c r="AQ36" i="4"/>
  <c r="AP36" i="2"/>
  <c r="AR36" i="2"/>
  <c r="AL36" i="2" s="1"/>
  <c r="AS36" i="2"/>
  <c r="AM36" i="2" s="1"/>
  <c r="AT36" i="2"/>
  <c r="AN36" i="2" s="1"/>
  <c r="AL37" i="4"/>
  <c r="AN37" i="4"/>
  <c r="AO37" i="4"/>
  <c r="AP37" i="4"/>
  <c r="AQ37" i="4"/>
  <c r="AL38" i="4"/>
  <c r="AN38" i="4"/>
  <c r="AT38" i="4" s="1"/>
  <c r="AO38" i="4"/>
  <c r="AP38" i="4"/>
  <c r="AQ38" i="4"/>
  <c r="AP37" i="2"/>
  <c r="AR37" i="2"/>
  <c r="AS37" i="2"/>
  <c r="AM37" i="2" s="1"/>
  <c r="AT37" i="2"/>
  <c r="AN37" i="2" s="1"/>
  <c r="AP38" i="2"/>
  <c r="AR38" i="2"/>
  <c r="AL38" i="2" s="1"/>
  <c r="AS38" i="2"/>
  <c r="AM38" i="2" s="1"/>
  <c r="AT38" i="2"/>
  <c r="AP39" i="2"/>
  <c r="AR39" i="2"/>
  <c r="AL39" i="2" s="1"/>
  <c r="AS39" i="2"/>
  <c r="AM39" i="2" s="1"/>
  <c r="AT39" i="2"/>
  <c r="AN39" i="2" s="1"/>
  <c r="AL39" i="4"/>
  <c r="AN39" i="4"/>
  <c r="AT39" i="4" s="1"/>
  <c r="AO39" i="4"/>
  <c r="AP39" i="4"/>
  <c r="AQ39" i="4"/>
  <c r="AL40" i="4"/>
  <c r="AN40" i="4"/>
  <c r="AS40" i="4" s="1"/>
  <c r="AO40" i="4"/>
  <c r="AP40" i="4"/>
  <c r="AQ40" i="4"/>
  <c r="AP40" i="2"/>
  <c r="AR40" i="2"/>
  <c r="AL40" i="2" s="1"/>
  <c r="AS40" i="2"/>
  <c r="AM40" i="2" s="1"/>
  <c r="AT40" i="2"/>
  <c r="AN40" i="2" s="1"/>
  <c r="AL41" i="4"/>
  <c r="AN41" i="4"/>
  <c r="AS41" i="4" s="1"/>
  <c r="AO41" i="4"/>
  <c r="AP41" i="4"/>
  <c r="AQ41" i="4"/>
  <c r="AN42" i="4"/>
  <c r="AP41" i="2"/>
  <c r="AR41" i="2"/>
  <c r="AL41" i="2" s="1"/>
  <c r="AS41" i="2"/>
  <c r="AM41" i="2" s="1"/>
  <c r="AT41" i="2"/>
  <c r="AN41" i="2" s="1"/>
  <c r="AL42" i="4"/>
  <c r="AO42" i="4"/>
  <c r="AP42" i="4"/>
  <c r="AQ42" i="4"/>
  <c r="AR42" i="2"/>
  <c r="AL42" i="2" s="1"/>
  <c r="AL43" i="4"/>
  <c r="AN43" i="4"/>
  <c r="AO43" i="4"/>
  <c r="AP43" i="4"/>
  <c r="AQ43" i="4"/>
  <c r="AL44" i="4"/>
  <c r="AN44" i="4"/>
  <c r="AU44" i="4" s="1"/>
  <c r="AO44" i="4"/>
  <c r="AP44" i="4"/>
  <c r="AQ44" i="4"/>
  <c r="AL45" i="4"/>
  <c r="AN45" i="4"/>
  <c r="AS45" i="4" s="1"/>
  <c r="AO45" i="4"/>
  <c r="AP45" i="4"/>
  <c r="AQ45" i="4"/>
  <c r="AL46" i="4"/>
  <c r="AN46" i="4"/>
  <c r="AU46" i="4" s="1"/>
  <c r="AO46" i="4"/>
  <c r="AP46" i="4"/>
  <c r="AQ46" i="4"/>
  <c r="AL47" i="4"/>
  <c r="AN47" i="4"/>
  <c r="AS47" i="4" s="1"/>
  <c r="AO47" i="4"/>
  <c r="AP47" i="4"/>
  <c r="AQ47" i="4"/>
  <c r="AL48" i="4"/>
  <c r="AN48" i="4"/>
  <c r="AS48" i="4" s="1"/>
  <c r="AO48" i="4"/>
  <c r="AP48" i="4"/>
  <c r="AQ48" i="4"/>
  <c r="AL49" i="4"/>
  <c r="AN49" i="4"/>
  <c r="AS49" i="4" s="1"/>
  <c r="AO49" i="4"/>
  <c r="AP49" i="4"/>
  <c r="AQ49" i="4"/>
  <c r="AL50" i="4"/>
  <c r="AN50" i="4"/>
  <c r="AO50" i="4"/>
  <c r="AP50" i="4"/>
  <c r="AQ50" i="4"/>
  <c r="AL51" i="4"/>
  <c r="AN51" i="4"/>
  <c r="AO51" i="4"/>
  <c r="AP51" i="4"/>
  <c r="AQ51" i="4"/>
  <c r="AL52" i="4"/>
  <c r="AN52" i="4"/>
  <c r="AU52" i="4" s="1"/>
  <c r="AO52" i="4"/>
  <c r="AP52" i="4"/>
  <c r="AQ52" i="4"/>
  <c r="AL53" i="4"/>
  <c r="AN53" i="4"/>
  <c r="AO53" i="4"/>
  <c r="AP53" i="4"/>
  <c r="AQ53" i="4"/>
  <c r="AL54" i="4"/>
  <c r="AN54" i="4"/>
  <c r="AT54" i="4" s="1"/>
  <c r="AO54" i="4"/>
  <c r="AP54" i="4"/>
  <c r="AQ54" i="4"/>
  <c r="AL55" i="4"/>
  <c r="AN55" i="4"/>
  <c r="AT55" i="4" s="1"/>
  <c r="AO55" i="4"/>
  <c r="AP55" i="4"/>
  <c r="AQ55" i="4"/>
  <c r="AL56" i="4"/>
  <c r="AN56" i="4"/>
  <c r="AS56" i="4" s="1"/>
  <c r="AO56" i="4"/>
  <c r="AP56" i="4"/>
  <c r="AQ56" i="4"/>
  <c r="AL57" i="4"/>
  <c r="AN57" i="4"/>
  <c r="AO57" i="4"/>
  <c r="AP57" i="4"/>
  <c r="AQ57" i="4"/>
  <c r="AL58" i="4"/>
  <c r="AN58" i="4"/>
  <c r="AO58" i="4"/>
  <c r="AP58" i="4"/>
  <c r="AQ58" i="4"/>
  <c r="AL59" i="4"/>
  <c r="AN59" i="4"/>
  <c r="AO59" i="4"/>
  <c r="AP59" i="4"/>
  <c r="AQ59" i="4"/>
  <c r="AL60" i="4"/>
  <c r="AN60" i="4"/>
  <c r="AO60" i="4"/>
  <c r="AP60" i="4"/>
  <c r="AQ60" i="4"/>
  <c r="AL61" i="4"/>
  <c r="AN61" i="4"/>
  <c r="AO61" i="4"/>
  <c r="AP61" i="4"/>
  <c r="AQ61" i="4"/>
  <c r="AL62" i="4"/>
  <c r="AN62" i="4"/>
  <c r="AO62" i="4"/>
  <c r="AP62" i="4"/>
  <c r="AQ62" i="4"/>
  <c r="AL63" i="4"/>
  <c r="AN63" i="4"/>
  <c r="AO63" i="4"/>
  <c r="AP63" i="4"/>
  <c r="AQ63" i="4"/>
  <c r="AL64" i="4"/>
  <c r="AN64" i="4"/>
  <c r="AO64" i="4"/>
  <c r="AP64" i="4"/>
  <c r="AQ64" i="4"/>
  <c r="AL65" i="4"/>
  <c r="AN65" i="4"/>
  <c r="AO65" i="4"/>
  <c r="AP65" i="4"/>
  <c r="AQ65" i="4"/>
  <c r="AL66" i="4"/>
  <c r="AN66" i="4"/>
  <c r="AO66" i="4"/>
  <c r="AP66" i="4"/>
  <c r="AQ66" i="4"/>
  <c r="AL67" i="4"/>
  <c r="AN67" i="4"/>
  <c r="AO67" i="4"/>
  <c r="AP67" i="4"/>
  <c r="AQ67" i="4"/>
  <c r="AL68" i="4"/>
  <c r="AN68" i="4"/>
  <c r="AO68" i="4"/>
  <c r="AP68" i="4"/>
  <c r="AQ68" i="4"/>
  <c r="AL69" i="4"/>
  <c r="AN69" i="4"/>
  <c r="AO69" i="4"/>
  <c r="AP69" i="4"/>
  <c r="AQ69" i="4"/>
  <c r="AL70" i="4"/>
  <c r="AN70" i="4"/>
  <c r="AO70" i="4"/>
  <c r="AP70" i="4"/>
  <c r="AQ70" i="4"/>
  <c r="AL71" i="4"/>
  <c r="AN71" i="4"/>
  <c r="AO71" i="4"/>
  <c r="AP71" i="4"/>
  <c r="AQ71" i="4"/>
  <c r="AL72" i="4"/>
  <c r="AN72" i="4"/>
  <c r="AO72" i="4"/>
  <c r="AP72" i="4"/>
  <c r="AQ72" i="4"/>
  <c r="AL73" i="4"/>
  <c r="AN73" i="4"/>
  <c r="AO73" i="4"/>
  <c r="AP73" i="4"/>
  <c r="AQ73" i="4"/>
  <c r="AL74" i="4"/>
  <c r="AN74" i="4"/>
  <c r="AO74" i="4"/>
  <c r="AP74" i="4"/>
  <c r="AQ74" i="4"/>
  <c r="AL75" i="4"/>
  <c r="AN75" i="4"/>
  <c r="AO75" i="4"/>
  <c r="AP75" i="4"/>
  <c r="AQ75" i="4"/>
  <c r="AL76" i="4"/>
  <c r="AN76" i="4"/>
  <c r="AO76" i="4"/>
  <c r="AP76" i="4"/>
  <c r="AQ76" i="4"/>
  <c r="AL77" i="4"/>
  <c r="AN77" i="4"/>
  <c r="AO77" i="4"/>
  <c r="AP77" i="4"/>
  <c r="AQ77" i="4"/>
  <c r="AL78" i="4"/>
  <c r="AN78" i="4"/>
  <c r="AO78" i="4"/>
  <c r="AP78" i="4"/>
  <c r="AQ78" i="4"/>
  <c r="AL79" i="4"/>
  <c r="AN79" i="4"/>
  <c r="AO79" i="4"/>
  <c r="AP79" i="4"/>
  <c r="AQ79" i="4"/>
  <c r="AL80" i="4"/>
  <c r="AN80" i="4"/>
  <c r="AO80" i="4"/>
  <c r="AP80" i="4"/>
  <c r="AQ80" i="4"/>
  <c r="AL81" i="4"/>
  <c r="AN81" i="4"/>
  <c r="AO81" i="4"/>
  <c r="AP81" i="4"/>
  <c r="AQ81" i="4"/>
  <c r="AL82" i="4"/>
  <c r="AN82" i="4"/>
  <c r="AO82" i="4"/>
  <c r="AP82" i="4"/>
  <c r="AQ82" i="4"/>
  <c r="AL83" i="4"/>
  <c r="AN83" i="4"/>
  <c r="AO83" i="4"/>
  <c r="AP83" i="4"/>
  <c r="AQ83" i="4"/>
  <c r="AL84" i="4"/>
  <c r="AN84" i="4"/>
  <c r="AO84" i="4"/>
  <c r="AP84" i="4"/>
  <c r="AQ84" i="4"/>
  <c r="AL85" i="4"/>
  <c r="AN85" i="4"/>
  <c r="AO85" i="4"/>
  <c r="AP85" i="4"/>
  <c r="AQ85" i="4"/>
  <c r="AL86" i="4"/>
  <c r="AN86" i="4"/>
  <c r="AO86" i="4"/>
  <c r="AP86" i="4"/>
  <c r="AQ86" i="4"/>
  <c r="AL87" i="4"/>
  <c r="AN87" i="4"/>
  <c r="AO87" i="4"/>
  <c r="AP87" i="4"/>
  <c r="AQ87" i="4"/>
  <c r="AL88" i="4"/>
  <c r="AN88" i="4"/>
  <c r="AO88" i="4"/>
  <c r="AP88" i="4"/>
  <c r="AQ88" i="4"/>
  <c r="AL89" i="4"/>
  <c r="AN89" i="4"/>
  <c r="AO89" i="4"/>
  <c r="AP89" i="4"/>
  <c r="AQ89" i="4"/>
  <c r="AL90" i="4"/>
  <c r="AN90" i="4"/>
  <c r="AO90" i="4"/>
  <c r="AP90" i="4"/>
  <c r="AQ90" i="4"/>
  <c r="AL91" i="4"/>
  <c r="AN91" i="4"/>
  <c r="AO91" i="4"/>
  <c r="AP91" i="4"/>
  <c r="AQ91" i="4"/>
  <c r="AL92" i="4"/>
  <c r="AN92" i="4"/>
  <c r="AO92" i="4"/>
  <c r="AP92" i="4"/>
  <c r="AQ92" i="4"/>
  <c r="AL93" i="4"/>
  <c r="AN93" i="4"/>
  <c r="AO93" i="4"/>
  <c r="AP93" i="4"/>
  <c r="AQ93" i="4"/>
  <c r="AL94" i="4"/>
  <c r="AN94" i="4"/>
  <c r="AO94" i="4"/>
  <c r="AP94" i="4"/>
  <c r="AQ94" i="4"/>
  <c r="AL95" i="4"/>
  <c r="AN95" i="4"/>
  <c r="AO95" i="4"/>
  <c r="AP95" i="4"/>
  <c r="AQ95" i="4"/>
  <c r="AL96" i="4"/>
  <c r="AN96" i="4"/>
  <c r="AO96" i="4"/>
  <c r="AP96" i="4"/>
  <c r="AQ96" i="4"/>
  <c r="AL97" i="4"/>
  <c r="AN97" i="4"/>
  <c r="AO97" i="4"/>
  <c r="AP97" i="4"/>
  <c r="AQ97" i="4"/>
  <c r="AL98" i="4"/>
  <c r="AN98" i="4"/>
  <c r="AO98" i="4"/>
  <c r="AP98" i="4"/>
  <c r="AQ98" i="4"/>
  <c r="AL99" i="4"/>
  <c r="AN99" i="4"/>
  <c r="AO99" i="4"/>
  <c r="AP99" i="4"/>
  <c r="AQ99" i="4"/>
  <c r="AL100" i="4"/>
  <c r="AN100" i="4"/>
  <c r="AO100" i="4"/>
  <c r="AP100" i="4"/>
  <c r="AQ100" i="4"/>
  <c r="AL101" i="4"/>
  <c r="AN101" i="4"/>
  <c r="AO101" i="4"/>
  <c r="AP101" i="4"/>
  <c r="AQ101" i="4"/>
  <c r="AL102" i="4"/>
  <c r="AN102" i="4"/>
  <c r="AO102" i="4"/>
  <c r="AP102" i="4"/>
  <c r="AQ102" i="4"/>
  <c r="AL103" i="4"/>
  <c r="AN103" i="4"/>
  <c r="AO103" i="4"/>
  <c r="AP103" i="4"/>
  <c r="AQ103" i="4"/>
  <c r="AL104" i="4"/>
  <c r="AN104" i="4"/>
  <c r="AO104" i="4"/>
  <c r="AP104" i="4"/>
  <c r="AQ104" i="4"/>
  <c r="AL105" i="4"/>
  <c r="AN105" i="4"/>
  <c r="AO105" i="4"/>
  <c r="AP105" i="4"/>
  <c r="AQ105" i="4"/>
  <c r="AL106" i="4"/>
  <c r="AN106" i="4"/>
  <c r="AO106" i="4"/>
  <c r="AP106" i="4"/>
  <c r="AQ106" i="4"/>
  <c r="AL107" i="4"/>
  <c r="AM107" i="4" s="1"/>
  <c r="AN107" i="4"/>
  <c r="AO107" i="4"/>
  <c r="AP107" i="4"/>
  <c r="AQ107" i="4"/>
  <c r="AL108" i="4"/>
  <c r="AN108" i="4"/>
  <c r="AO108" i="4"/>
  <c r="AP108" i="4"/>
  <c r="AQ108" i="4"/>
  <c r="AL109" i="4"/>
  <c r="AN109" i="4"/>
  <c r="AO109" i="4"/>
  <c r="AP109" i="4"/>
  <c r="AQ109" i="4"/>
  <c r="AL110" i="4"/>
  <c r="AN110" i="4"/>
  <c r="AO110" i="4"/>
  <c r="AP110" i="4"/>
  <c r="AQ110" i="4"/>
  <c r="AL111" i="4"/>
  <c r="AN111" i="4"/>
  <c r="AO111" i="4"/>
  <c r="AP111" i="4"/>
  <c r="AQ111" i="4"/>
  <c r="AL112" i="4"/>
  <c r="AM112" i="4" s="1"/>
  <c r="AN112" i="4"/>
  <c r="AO112" i="4"/>
  <c r="AP112" i="4"/>
  <c r="AQ112" i="4"/>
  <c r="AL113" i="4"/>
  <c r="AN113" i="4"/>
  <c r="AO113" i="4"/>
  <c r="AP113" i="4"/>
  <c r="AQ113" i="4"/>
  <c r="AL114" i="4"/>
  <c r="AN114" i="4"/>
  <c r="AO114" i="4"/>
  <c r="AP114" i="4"/>
  <c r="AQ114" i="4"/>
  <c r="AL115" i="4"/>
  <c r="AN115" i="4"/>
  <c r="AO115" i="4"/>
  <c r="AP115" i="4"/>
  <c r="AQ115" i="4"/>
  <c r="AA120" i="4"/>
  <c r="AB120" i="4"/>
  <c r="AD120" i="4"/>
  <c r="AE120" i="4"/>
  <c r="AG120" i="4"/>
  <c r="AH120" i="4"/>
  <c r="B121" i="4"/>
  <c r="E121" i="4"/>
  <c r="H121" i="4"/>
  <c r="K121" i="4"/>
  <c r="M121" i="4"/>
  <c r="AA121" i="4"/>
  <c r="AB121" i="4"/>
  <c r="AD121" i="4"/>
  <c r="AC121" i="4" s="1"/>
  <c r="AG121" i="4"/>
  <c r="AH121" i="4"/>
  <c r="B122" i="4"/>
  <c r="E122" i="4"/>
  <c r="H122" i="4"/>
  <c r="K122" i="4"/>
  <c r="M122" i="4"/>
  <c r="AA122" i="4"/>
  <c r="AB122" i="4"/>
  <c r="AD122" i="4"/>
  <c r="AE122" i="4"/>
  <c r="AG122" i="4"/>
  <c r="AH122" i="4"/>
  <c r="B123" i="4"/>
  <c r="E123" i="4"/>
  <c r="H123" i="4"/>
  <c r="K123" i="4"/>
  <c r="M123" i="4"/>
  <c r="AA123" i="4"/>
  <c r="AB123" i="4"/>
  <c r="AD123" i="4"/>
  <c r="AE123" i="4"/>
  <c r="AG123" i="4"/>
  <c r="AH123" i="4"/>
  <c r="B124" i="4"/>
  <c r="E124" i="4"/>
  <c r="H124" i="4"/>
  <c r="K124" i="4"/>
  <c r="M124" i="4"/>
  <c r="AB124" i="4"/>
  <c r="Z124" i="4" s="1"/>
  <c r="AD124" i="4"/>
  <c r="AE124" i="4"/>
  <c r="AG124" i="4"/>
  <c r="AH124" i="4"/>
  <c r="B125" i="4"/>
  <c r="E125" i="4"/>
  <c r="H125" i="4"/>
  <c r="K125" i="4"/>
  <c r="M125" i="4"/>
  <c r="AA125" i="4"/>
  <c r="AB125" i="4"/>
  <c r="AD125" i="4"/>
  <c r="AE125" i="4"/>
  <c r="AG125" i="4"/>
  <c r="AH125" i="4"/>
  <c r="C126" i="4"/>
  <c r="K126" i="4" s="1"/>
  <c r="E126" i="4"/>
  <c r="H126" i="4"/>
  <c r="M126" i="4"/>
  <c r="AA126" i="4"/>
  <c r="AB126" i="4"/>
  <c r="AD126" i="4"/>
  <c r="AE126" i="4"/>
  <c r="AG126" i="4"/>
  <c r="AH126" i="4"/>
  <c r="B127" i="4"/>
  <c r="E127" i="4"/>
  <c r="H127" i="4"/>
  <c r="K127" i="4"/>
  <c r="M127" i="4"/>
  <c r="O127" i="4"/>
  <c r="P127" i="4"/>
  <c r="AA127" i="4"/>
  <c r="AB127" i="4"/>
  <c r="AD127" i="4"/>
  <c r="AE127" i="4"/>
  <c r="AG127" i="4"/>
  <c r="AH127" i="4"/>
  <c r="K128" i="4"/>
  <c r="M128" i="4"/>
  <c r="N128" i="4"/>
  <c r="Q128" i="4"/>
  <c r="T128" i="4"/>
  <c r="W128" i="4"/>
  <c r="Y128" i="4"/>
  <c r="AO128" i="4"/>
  <c r="AP128" i="4"/>
  <c r="AQ128" i="4"/>
  <c r="B129" i="4"/>
  <c r="E129" i="4"/>
  <c r="H129" i="4"/>
  <c r="K129" i="4"/>
  <c r="M129" i="4"/>
  <c r="N129" i="4"/>
  <c r="Q129" i="4"/>
  <c r="T129" i="4"/>
  <c r="W129" i="4"/>
  <c r="Y129" i="4"/>
  <c r="Z129" i="4"/>
  <c r="AC129" i="4"/>
  <c r="AF129" i="4"/>
  <c r="AI129" i="4"/>
  <c r="AK129" i="4"/>
  <c r="AO129" i="4"/>
  <c r="AP129" i="4"/>
  <c r="AQ129" i="4"/>
  <c r="B130" i="4"/>
  <c r="E130" i="4"/>
  <c r="H130" i="4"/>
  <c r="K130" i="4"/>
  <c r="M130" i="4"/>
  <c r="N130" i="4"/>
  <c r="Q130" i="4"/>
  <c r="T130" i="4"/>
  <c r="W130" i="4"/>
  <c r="Y130" i="4"/>
  <c r="Z130" i="4"/>
  <c r="AC130" i="4"/>
  <c r="AF130" i="4"/>
  <c r="AI130" i="4"/>
  <c r="AK130" i="4"/>
  <c r="AO130" i="4"/>
  <c r="AP130" i="4"/>
  <c r="AQ130" i="4"/>
  <c r="B131" i="4"/>
  <c r="E131" i="4"/>
  <c r="H131" i="4"/>
  <c r="K131" i="4"/>
  <c r="M131" i="4"/>
  <c r="N131" i="4"/>
  <c r="Q131" i="4"/>
  <c r="T131" i="4"/>
  <c r="W131" i="4"/>
  <c r="Y131" i="4"/>
  <c r="Z131" i="4"/>
  <c r="AC131" i="4"/>
  <c r="AF131" i="4"/>
  <c r="AI131" i="4"/>
  <c r="AK131" i="4"/>
  <c r="AO131" i="4"/>
  <c r="AP131" i="4"/>
  <c r="AQ131" i="4"/>
  <c r="B132" i="4"/>
  <c r="E132" i="4"/>
  <c r="H132" i="4"/>
  <c r="K132" i="4"/>
  <c r="M132" i="4"/>
  <c r="N132" i="4"/>
  <c r="Q132" i="4"/>
  <c r="T132" i="4"/>
  <c r="W132" i="4"/>
  <c r="Y132" i="4"/>
  <c r="Z132" i="4"/>
  <c r="AC132" i="4"/>
  <c r="AF132" i="4"/>
  <c r="AI132" i="4"/>
  <c r="AK132" i="4"/>
  <c r="AO132" i="4"/>
  <c r="AP132" i="4"/>
  <c r="AQ132" i="4"/>
  <c r="B133" i="4"/>
  <c r="E133" i="4"/>
  <c r="H133" i="4"/>
  <c r="K133" i="4"/>
  <c r="M133" i="4"/>
  <c r="N133" i="4"/>
  <c r="Q133" i="4"/>
  <c r="T133" i="4"/>
  <c r="W133" i="4"/>
  <c r="Y133" i="4"/>
  <c r="Z133" i="4"/>
  <c r="AC133" i="4"/>
  <c r="AF133" i="4"/>
  <c r="AI133" i="4"/>
  <c r="AK133" i="4"/>
  <c r="AO133" i="4"/>
  <c r="AP133" i="4"/>
  <c r="AQ133" i="4"/>
  <c r="B134" i="4"/>
  <c r="E134" i="4"/>
  <c r="H134" i="4"/>
  <c r="K134" i="4"/>
  <c r="M134" i="4"/>
  <c r="N134" i="4"/>
  <c r="Q134" i="4"/>
  <c r="T134" i="4"/>
  <c r="W134" i="4"/>
  <c r="Y134" i="4"/>
  <c r="Z134" i="4"/>
  <c r="AC134" i="4"/>
  <c r="AF134" i="4"/>
  <c r="AI134" i="4"/>
  <c r="AK134" i="4"/>
  <c r="AO134" i="4"/>
  <c r="AP134" i="4"/>
  <c r="AQ134" i="4"/>
  <c r="B135" i="4"/>
  <c r="E135" i="4"/>
  <c r="H135" i="4"/>
  <c r="K135" i="4"/>
  <c r="M135" i="4"/>
  <c r="N135" i="4"/>
  <c r="Q135" i="4"/>
  <c r="T135" i="4"/>
  <c r="W135" i="4"/>
  <c r="Y135" i="4"/>
  <c r="Z135" i="4"/>
  <c r="AC135" i="4"/>
  <c r="AF135" i="4"/>
  <c r="AI135" i="4"/>
  <c r="AK135" i="4"/>
  <c r="AO135" i="4"/>
  <c r="AP135" i="4"/>
  <c r="AQ135" i="4"/>
  <c r="B136" i="4"/>
  <c r="E136" i="4"/>
  <c r="H136" i="4"/>
  <c r="K136" i="4"/>
  <c r="M136" i="4"/>
  <c r="N136" i="4"/>
  <c r="Q136" i="4"/>
  <c r="T136" i="4"/>
  <c r="W136" i="4"/>
  <c r="Y136" i="4"/>
  <c r="Z136" i="4"/>
  <c r="AC136" i="4"/>
  <c r="AF136" i="4"/>
  <c r="AI136" i="4"/>
  <c r="AK136" i="4"/>
  <c r="AO136" i="4"/>
  <c r="AP136" i="4"/>
  <c r="AQ136" i="4"/>
  <c r="B137" i="4"/>
  <c r="E137" i="4"/>
  <c r="H137" i="4"/>
  <c r="K137" i="4"/>
  <c r="M137" i="4"/>
  <c r="N137" i="4"/>
  <c r="Q137" i="4"/>
  <c r="T137" i="4"/>
  <c r="W137" i="4"/>
  <c r="Y137" i="4"/>
  <c r="Z137" i="4"/>
  <c r="AC137" i="4"/>
  <c r="AF137" i="4"/>
  <c r="AI137" i="4"/>
  <c r="AK137" i="4"/>
  <c r="AO137" i="4"/>
  <c r="AP137" i="4"/>
  <c r="AQ137" i="4"/>
  <c r="B138" i="4"/>
  <c r="E138" i="4"/>
  <c r="H138" i="4"/>
  <c r="K138" i="4"/>
  <c r="M138" i="4"/>
  <c r="N138" i="4"/>
  <c r="Q138" i="4"/>
  <c r="T138" i="4"/>
  <c r="W138" i="4"/>
  <c r="Y138" i="4"/>
  <c r="Z138" i="4"/>
  <c r="AC138" i="4"/>
  <c r="AF138" i="4"/>
  <c r="AI138" i="4"/>
  <c r="AK138" i="4"/>
  <c r="AO138" i="4"/>
  <c r="AP138" i="4"/>
  <c r="AQ138" i="4"/>
  <c r="B139" i="4"/>
  <c r="E139" i="4"/>
  <c r="H139" i="4"/>
  <c r="K139" i="4"/>
  <c r="M139" i="4"/>
  <c r="N139" i="4"/>
  <c r="Q139" i="4"/>
  <c r="T139" i="4"/>
  <c r="W139" i="4"/>
  <c r="Y139" i="4"/>
  <c r="Z139" i="4"/>
  <c r="AC139" i="4"/>
  <c r="AF139" i="4"/>
  <c r="AI139" i="4"/>
  <c r="AK139" i="4"/>
  <c r="AO139" i="4"/>
  <c r="AP139" i="4"/>
  <c r="AQ139" i="4"/>
  <c r="B140" i="4"/>
  <c r="E140" i="4"/>
  <c r="H140" i="4"/>
  <c r="K140" i="4"/>
  <c r="M140" i="4"/>
  <c r="N140" i="4"/>
  <c r="Q140" i="4"/>
  <c r="T140" i="4"/>
  <c r="W140" i="4"/>
  <c r="Y140" i="4"/>
  <c r="Z140" i="4"/>
  <c r="AC140" i="4"/>
  <c r="AF140" i="4"/>
  <c r="AI140" i="4"/>
  <c r="AK140" i="4"/>
  <c r="AO140" i="4"/>
  <c r="AP140" i="4"/>
  <c r="AQ140" i="4"/>
  <c r="B141" i="4"/>
  <c r="E141" i="4"/>
  <c r="H141" i="4"/>
  <c r="K141" i="4"/>
  <c r="M141" i="4"/>
  <c r="N141" i="4"/>
  <c r="Q141" i="4"/>
  <c r="T141" i="4"/>
  <c r="W141" i="4"/>
  <c r="Y141" i="4"/>
  <c r="Z141" i="4"/>
  <c r="AC141" i="4"/>
  <c r="AF141" i="4"/>
  <c r="AI141" i="4"/>
  <c r="AK141" i="4"/>
  <c r="AO141" i="4"/>
  <c r="AP141" i="4"/>
  <c r="AQ141" i="4"/>
  <c r="B142" i="4"/>
  <c r="E142" i="4"/>
  <c r="H142" i="4"/>
  <c r="K142" i="4"/>
  <c r="M142" i="4"/>
  <c r="N142" i="4"/>
  <c r="Q142" i="4"/>
  <c r="T142" i="4"/>
  <c r="W142" i="4"/>
  <c r="Y142" i="4"/>
  <c r="Z142" i="4"/>
  <c r="AC142" i="4"/>
  <c r="AF142" i="4"/>
  <c r="AI142" i="4"/>
  <c r="AK142" i="4"/>
  <c r="AO142" i="4"/>
  <c r="AP142" i="4"/>
  <c r="AQ142" i="4"/>
  <c r="B143" i="4"/>
  <c r="E143" i="4"/>
  <c r="H143" i="4"/>
  <c r="K143" i="4"/>
  <c r="M143" i="4"/>
  <c r="N143" i="4"/>
  <c r="Q143" i="4"/>
  <c r="T143" i="4"/>
  <c r="W143" i="4"/>
  <c r="Y143" i="4"/>
  <c r="Z143" i="4"/>
  <c r="AC143" i="4"/>
  <c r="AF143" i="4"/>
  <c r="AI143" i="4"/>
  <c r="AK143" i="4"/>
  <c r="AO143" i="4"/>
  <c r="AP143" i="4"/>
  <c r="AQ143" i="4"/>
  <c r="B144" i="4"/>
  <c r="E144" i="4"/>
  <c r="H144" i="4"/>
  <c r="K144" i="4"/>
  <c r="M144" i="4"/>
  <c r="N144" i="4"/>
  <c r="Q144" i="4"/>
  <c r="T144" i="4"/>
  <c r="W144" i="4"/>
  <c r="Y144" i="4"/>
  <c r="Z144" i="4"/>
  <c r="AC144" i="4"/>
  <c r="AF144" i="4"/>
  <c r="AI144" i="4"/>
  <c r="AK144" i="4"/>
  <c r="AO144" i="4"/>
  <c r="AP144" i="4"/>
  <c r="AQ144" i="4"/>
  <c r="B145" i="4"/>
  <c r="E145" i="4"/>
  <c r="H145" i="4"/>
  <c r="K145" i="4"/>
  <c r="M145" i="4"/>
  <c r="N145" i="4"/>
  <c r="Q145" i="4"/>
  <c r="T145" i="4"/>
  <c r="W145" i="4"/>
  <c r="Y145" i="4"/>
  <c r="Z145" i="4"/>
  <c r="AC145" i="4"/>
  <c r="AF145" i="4"/>
  <c r="AI145" i="4"/>
  <c r="AK145" i="4"/>
  <c r="AO145" i="4"/>
  <c r="AP145" i="4"/>
  <c r="AQ145" i="4"/>
  <c r="B146" i="4"/>
  <c r="E146" i="4"/>
  <c r="H146" i="4"/>
  <c r="K146" i="4"/>
  <c r="M146" i="4"/>
  <c r="N146" i="4"/>
  <c r="Q146" i="4"/>
  <c r="T146" i="4"/>
  <c r="W146" i="4"/>
  <c r="Y146" i="4"/>
  <c r="Z146" i="4"/>
  <c r="AC146" i="4"/>
  <c r="AF146" i="4"/>
  <c r="AI146" i="4"/>
  <c r="AK146" i="4"/>
  <c r="AO146" i="4"/>
  <c r="AP146" i="4"/>
  <c r="AQ146" i="4"/>
  <c r="B147" i="4"/>
  <c r="E147" i="4"/>
  <c r="H147" i="4"/>
  <c r="K147" i="4"/>
  <c r="M147" i="4"/>
  <c r="N147" i="4"/>
  <c r="Q147" i="4"/>
  <c r="T147" i="4"/>
  <c r="W147" i="4"/>
  <c r="Y147" i="4"/>
  <c r="Z147" i="4"/>
  <c r="AC147" i="4"/>
  <c r="AF147" i="4"/>
  <c r="AI147" i="4"/>
  <c r="AK147" i="4"/>
  <c r="AO147" i="4"/>
  <c r="AP147" i="4"/>
  <c r="AQ147" i="4"/>
  <c r="B148" i="4"/>
  <c r="E148" i="4"/>
  <c r="H148" i="4"/>
  <c r="K148" i="4"/>
  <c r="M148" i="4"/>
  <c r="N148" i="4"/>
  <c r="Q148" i="4"/>
  <c r="T148" i="4"/>
  <c r="W148" i="4"/>
  <c r="Y148" i="4"/>
  <c r="Z148" i="4"/>
  <c r="AC148" i="4"/>
  <c r="AF148" i="4"/>
  <c r="AI148" i="4"/>
  <c r="AK148" i="4"/>
  <c r="AO148" i="4"/>
  <c r="AP148" i="4"/>
  <c r="AQ148" i="4"/>
  <c r="B149" i="4"/>
  <c r="E149" i="4"/>
  <c r="H149" i="4"/>
  <c r="K149" i="4"/>
  <c r="M149" i="4"/>
  <c r="N149" i="4"/>
  <c r="Q149" i="4"/>
  <c r="T149" i="4"/>
  <c r="W149" i="4"/>
  <c r="Y149" i="4"/>
  <c r="Z149" i="4"/>
  <c r="AC149" i="4"/>
  <c r="AF149" i="4"/>
  <c r="AI149" i="4"/>
  <c r="AK149" i="4"/>
  <c r="AO149" i="4"/>
  <c r="AP149" i="4"/>
  <c r="AQ149" i="4"/>
  <c r="B150" i="4"/>
  <c r="E150" i="4"/>
  <c r="H150" i="4"/>
  <c r="K150" i="4"/>
  <c r="M150" i="4"/>
  <c r="N150" i="4"/>
  <c r="Q150" i="4"/>
  <c r="T150" i="4"/>
  <c r="W150" i="4"/>
  <c r="Y150" i="4"/>
  <c r="Z150" i="4"/>
  <c r="AC150" i="4"/>
  <c r="AF150" i="4"/>
  <c r="AI150" i="4"/>
  <c r="AK150" i="4"/>
  <c r="AO150" i="4"/>
  <c r="AP150" i="4"/>
  <c r="AQ150" i="4"/>
  <c r="B151" i="4"/>
  <c r="E151" i="4"/>
  <c r="H151" i="4"/>
  <c r="K151" i="4"/>
  <c r="M151" i="4"/>
  <c r="N151" i="4"/>
  <c r="Q151" i="4"/>
  <c r="T151" i="4"/>
  <c r="W151" i="4"/>
  <c r="Y151" i="4"/>
  <c r="Z151" i="4"/>
  <c r="AC151" i="4"/>
  <c r="AF151" i="4"/>
  <c r="AI151" i="4"/>
  <c r="AK151" i="4"/>
  <c r="AO151" i="4"/>
  <c r="AP151" i="4"/>
  <c r="AQ151" i="4"/>
  <c r="B152" i="4"/>
  <c r="E152" i="4"/>
  <c r="H152" i="4"/>
  <c r="K152" i="4"/>
  <c r="M152" i="4"/>
  <c r="N152" i="4"/>
  <c r="Q152" i="4"/>
  <c r="T152" i="4"/>
  <c r="W152" i="4"/>
  <c r="Y152" i="4"/>
  <c r="Z152" i="4"/>
  <c r="AC152" i="4"/>
  <c r="AF152" i="4"/>
  <c r="AI152" i="4"/>
  <c r="AK152" i="4"/>
  <c r="AO152" i="4"/>
  <c r="AP152" i="4"/>
  <c r="AQ152" i="4"/>
  <c r="B153" i="4"/>
  <c r="E153" i="4"/>
  <c r="H153" i="4"/>
  <c r="K153" i="4"/>
  <c r="M153" i="4"/>
  <c r="N153" i="4"/>
  <c r="Q153" i="4"/>
  <c r="T153" i="4"/>
  <c r="W153" i="4"/>
  <c r="Y153" i="4"/>
  <c r="Z153" i="4"/>
  <c r="AC153" i="4"/>
  <c r="AF153" i="4"/>
  <c r="AI153" i="4"/>
  <c r="AK153" i="4"/>
  <c r="AO153" i="4"/>
  <c r="AP153" i="4"/>
  <c r="AQ153" i="4"/>
  <c r="B154" i="4"/>
  <c r="E154" i="4"/>
  <c r="H154" i="4"/>
  <c r="K154" i="4"/>
  <c r="M154" i="4"/>
  <c r="N154" i="4"/>
  <c r="Q154" i="4"/>
  <c r="T154" i="4"/>
  <c r="W154" i="4"/>
  <c r="Y154" i="4"/>
  <c r="Z154" i="4"/>
  <c r="AC154" i="4"/>
  <c r="AF154" i="4"/>
  <c r="AI154" i="4"/>
  <c r="AK154" i="4"/>
  <c r="AO154" i="4"/>
  <c r="AP154" i="4"/>
  <c r="AQ154" i="4"/>
  <c r="B155" i="4"/>
  <c r="E155" i="4"/>
  <c r="H155" i="4"/>
  <c r="K155" i="4"/>
  <c r="M155" i="4"/>
  <c r="N155" i="4"/>
  <c r="Q155" i="4"/>
  <c r="T155" i="4"/>
  <c r="W155" i="4"/>
  <c r="Y155" i="4"/>
  <c r="Z155" i="4"/>
  <c r="AC155" i="4"/>
  <c r="AF155" i="4"/>
  <c r="AI155" i="4"/>
  <c r="AK155" i="4"/>
  <c r="AO155" i="4"/>
  <c r="AP155" i="4"/>
  <c r="AQ155" i="4"/>
  <c r="B156" i="4"/>
  <c r="E156" i="4"/>
  <c r="H156" i="4"/>
  <c r="K156" i="4"/>
  <c r="M156" i="4"/>
  <c r="N156" i="4"/>
  <c r="Q156" i="4"/>
  <c r="T156" i="4"/>
  <c r="W156" i="4"/>
  <c r="Y156" i="4"/>
  <c r="Z156" i="4"/>
  <c r="AC156" i="4"/>
  <c r="AF156" i="4"/>
  <c r="AI156" i="4"/>
  <c r="AK156" i="4"/>
  <c r="AO156" i="4"/>
  <c r="AP156" i="4"/>
  <c r="AQ156" i="4"/>
  <c r="B157" i="4"/>
  <c r="E157" i="4"/>
  <c r="H157" i="4"/>
  <c r="K157" i="4"/>
  <c r="M157" i="4"/>
  <c r="N157" i="4"/>
  <c r="Q157" i="4"/>
  <c r="T157" i="4"/>
  <c r="W157" i="4"/>
  <c r="Y157" i="4"/>
  <c r="Z157" i="4"/>
  <c r="AC157" i="4"/>
  <c r="AF157" i="4"/>
  <c r="AI157" i="4"/>
  <c r="AK157" i="4"/>
  <c r="AO157" i="4"/>
  <c r="AP157" i="4"/>
  <c r="AQ157" i="4"/>
  <c r="B158" i="4"/>
  <c r="E158" i="4"/>
  <c r="H158" i="4"/>
  <c r="K158" i="4"/>
  <c r="M158" i="4"/>
  <c r="N158" i="4"/>
  <c r="Q158" i="4"/>
  <c r="T158" i="4"/>
  <c r="W158" i="4"/>
  <c r="Y158" i="4"/>
  <c r="Z158" i="4"/>
  <c r="AC158" i="4"/>
  <c r="AF158" i="4"/>
  <c r="AI158" i="4"/>
  <c r="AK158" i="4"/>
  <c r="AO158" i="4"/>
  <c r="AP158" i="4"/>
  <c r="AQ158" i="4"/>
  <c r="B159" i="4"/>
  <c r="E159" i="4"/>
  <c r="H159" i="4"/>
  <c r="K159" i="4"/>
  <c r="M159" i="4"/>
  <c r="N159" i="4"/>
  <c r="Q159" i="4"/>
  <c r="T159" i="4"/>
  <c r="W159" i="4"/>
  <c r="Y159" i="4"/>
  <c r="Z159" i="4"/>
  <c r="AC159" i="4"/>
  <c r="AF159" i="4"/>
  <c r="AI159" i="4"/>
  <c r="AK159" i="4"/>
  <c r="AO159" i="4"/>
  <c r="AP159" i="4"/>
  <c r="AQ159" i="4"/>
  <c r="B160" i="4"/>
  <c r="E160" i="4"/>
  <c r="H160" i="4"/>
  <c r="K160" i="4"/>
  <c r="M160" i="4"/>
  <c r="N160" i="4"/>
  <c r="Q160" i="4"/>
  <c r="T160" i="4"/>
  <c r="W160" i="4"/>
  <c r="Y160" i="4"/>
  <c r="Z160" i="4"/>
  <c r="AC160" i="4"/>
  <c r="AF160" i="4"/>
  <c r="AI160" i="4"/>
  <c r="AK160" i="4"/>
  <c r="AO160" i="4"/>
  <c r="AP160" i="4"/>
  <c r="AQ160" i="4"/>
  <c r="B161" i="4"/>
  <c r="E161" i="4"/>
  <c r="H161" i="4"/>
  <c r="K161" i="4"/>
  <c r="M161" i="4"/>
  <c r="N161" i="4"/>
  <c r="Q161" i="4"/>
  <c r="T161" i="4"/>
  <c r="W161" i="4"/>
  <c r="Y161" i="4"/>
  <c r="Z161" i="4"/>
  <c r="AC161" i="4"/>
  <c r="AF161" i="4"/>
  <c r="AI161" i="4"/>
  <c r="AK161" i="4"/>
  <c r="AO161" i="4"/>
  <c r="AP161" i="4"/>
  <c r="AQ161" i="4"/>
  <c r="B162" i="4"/>
  <c r="E162" i="4"/>
  <c r="H162" i="4"/>
  <c r="K162" i="4"/>
  <c r="M162" i="4"/>
  <c r="N162" i="4"/>
  <c r="Q162" i="4"/>
  <c r="T162" i="4"/>
  <c r="W162" i="4"/>
  <c r="Y162" i="4"/>
  <c r="Z162" i="4"/>
  <c r="AC162" i="4"/>
  <c r="AF162" i="4"/>
  <c r="AI162" i="4"/>
  <c r="AK162" i="4"/>
  <c r="AO162" i="4"/>
  <c r="AP162" i="4"/>
  <c r="AQ162" i="4"/>
  <c r="B163" i="4"/>
  <c r="E163" i="4"/>
  <c r="H163" i="4"/>
  <c r="K163" i="4"/>
  <c r="M163" i="4"/>
  <c r="N163" i="4"/>
  <c r="Q163" i="4"/>
  <c r="T163" i="4"/>
  <c r="W163" i="4"/>
  <c r="Y163" i="4"/>
  <c r="Z163" i="4"/>
  <c r="AC163" i="4"/>
  <c r="AF163" i="4"/>
  <c r="AI163" i="4"/>
  <c r="AK163" i="4"/>
  <c r="AO163" i="4"/>
  <c r="AP163" i="4"/>
  <c r="AQ163" i="4"/>
  <c r="B164" i="4"/>
  <c r="E164" i="4"/>
  <c r="H164" i="4"/>
  <c r="K164" i="4"/>
  <c r="M164" i="4"/>
  <c r="N164" i="4"/>
  <c r="Q164" i="4"/>
  <c r="T164" i="4"/>
  <c r="W164" i="4"/>
  <c r="Y164" i="4"/>
  <c r="Z164" i="4"/>
  <c r="AC164" i="4"/>
  <c r="AF164" i="4"/>
  <c r="AI164" i="4"/>
  <c r="AK164" i="4"/>
  <c r="AO164" i="4"/>
  <c r="AP164" i="4"/>
  <c r="AQ164" i="4"/>
  <c r="B165" i="4"/>
  <c r="E165" i="4"/>
  <c r="H165" i="4"/>
  <c r="K165" i="4"/>
  <c r="M165" i="4"/>
  <c r="N165" i="4"/>
  <c r="Q165" i="4"/>
  <c r="T165" i="4"/>
  <c r="W165" i="4"/>
  <c r="Y165" i="4"/>
  <c r="Z165" i="4"/>
  <c r="AC165" i="4"/>
  <c r="AF165" i="4"/>
  <c r="AI165" i="4"/>
  <c r="AK165" i="4"/>
  <c r="AO165" i="4"/>
  <c r="AP165" i="4"/>
  <c r="AQ165" i="4"/>
  <c r="B166" i="4"/>
  <c r="E166" i="4"/>
  <c r="H166" i="4"/>
  <c r="K166" i="4"/>
  <c r="M166" i="4"/>
  <c r="N166" i="4"/>
  <c r="Q166" i="4"/>
  <c r="T166" i="4"/>
  <c r="W166" i="4"/>
  <c r="Y166" i="4"/>
  <c r="Z166" i="4"/>
  <c r="AC166" i="4"/>
  <c r="AF166" i="4"/>
  <c r="AI166" i="4"/>
  <c r="AK166" i="4"/>
  <c r="AO166" i="4"/>
  <c r="AP166" i="4"/>
  <c r="AQ166" i="4"/>
  <c r="B167" i="4"/>
  <c r="E167" i="4"/>
  <c r="H167" i="4"/>
  <c r="K167" i="4"/>
  <c r="M167" i="4"/>
  <c r="N167" i="4"/>
  <c r="Q167" i="4"/>
  <c r="T167" i="4"/>
  <c r="W167" i="4"/>
  <c r="Y167" i="4"/>
  <c r="Z167" i="4"/>
  <c r="AC167" i="4"/>
  <c r="AF167" i="4"/>
  <c r="AI167" i="4"/>
  <c r="AK167" i="4"/>
  <c r="AO167" i="4"/>
  <c r="AP167" i="4"/>
  <c r="AQ167" i="4"/>
  <c r="B168" i="4"/>
  <c r="E168" i="4"/>
  <c r="H168" i="4"/>
  <c r="K168" i="4"/>
  <c r="M168" i="4"/>
  <c r="N168" i="4"/>
  <c r="Q168" i="4"/>
  <c r="T168" i="4"/>
  <c r="W168" i="4"/>
  <c r="Y168" i="4"/>
  <c r="Z168" i="4"/>
  <c r="AC168" i="4"/>
  <c r="AF168" i="4"/>
  <c r="AI168" i="4"/>
  <c r="AK168" i="4"/>
  <c r="AO168" i="4"/>
  <c r="AP168" i="4"/>
  <c r="AQ168" i="4"/>
  <c r="B169" i="4"/>
  <c r="E169" i="4"/>
  <c r="H169" i="4"/>
  <c r="K169" i="4"/>
  <c r="M169" i="4"/>
  <c r="N169" i="4"/>
  <c r="Q169" i="4"/>
  <c r="T169" i="4"/>
  <c r="W169" i="4"/>
  <c r="Y169" i="4"/>
  <c r="Z169" i="4"/>
  <c r="AC169" i="4"/>
  <c r="AF169" i="4"/>
  <c r="AI169" i="4"/>
  <c r="AK169" i="4"/>
  <c r="AO169" i="4"/>
  <c r="AP169" i="4"/>
  <c r="AQ169" i="4"/>
  <c r="B170" i="4"/>
  <c r="E170" i="4"/>
  <c r="H170" i="4"/>
  <c r="K170" i="4"/>
  <c r="M170" i="4"/>
  <c r="N170" i="4"/>
  <c r="Q170" i="4"/>
  <c r="T170" i="4"/>
  <c r="W170" i="4"/>
  <c r="Y170" i="4"/>
  <c r="Z170" i="4"/>
  <c r="AC170" i="4"/>
  <c r="AF170" i="4"/>
  <c r="AI170" i="4"/>
  <c r="AK170" i="4"/>
  <c r="AO170" i="4"/>
  <c r="AP170" i="4"/>
  <c r="AQ170" i="4"/>
  <c r="B171" i="4"/>
  <c r="E171" i="4"/>
  <c r="H171" i="4"/>
  <c r="K171" i="4"/>
  <c r="M171" i="4"/>
  <c r="N171" i="4"/>
  <c r="Q171" i="4"/>
  <c r="T171" i="4"/>
  <c r="W171" i="4"/>
  <c r="Y171" i="4"/>
  <c r="Z171" i="4"/>
  <c r="AC171" i="4"/>
  <c r="AF171" i="4"/>
  <c r="AI171" i="4"/>
  <c r="AK171" i="4"/>
  <c r="AO171" i="4"/>
  <c r="AP171" i="4"/>
  <c r="AQ171" i="4"/>
  <c r="B172" i="4"/>
  <c r="E172" i="4"/>
  <c r="H172" i="4"/>
  <c r="K172" i="4"/>
  <c r="M172" i="4"/>
  <c r="N172" i="4"/>
  <c r="Q172" i="4"/>
  <c r="T172" i="4"/>
  <c r="W172" i="4"/>
  <c r="Y172" i="4"/>
  <c r="Z172" i="4"/>
  <c r="AC172" i="4"/>
  <c r="AF172" i="4"/>
  <c r="AI172" i="4"/>
  <c r="AK172" i="4"/>
  <c r="AO172" i="4"/>
  <c r="AP172" i="4"/>
  <c r="AQ172" i="4"/>
  <c r="B173" i="4"/>
  <c r="E173" i="4"/>
  <c r="H173" i="4"/>
  <c r="K173" i="4"/>
  <c r="M173" i="4"/>
  <c r="N173" i="4"/>
  <c r="Q173" i="4"/>
  <c r="T173" i="4"/>
  <c r="W173" i="4"/>
  <c r="Y173" i="4"/>
  <c r="Z173" i="4"/>
  <c r="AC173" i="4"/>
  <c r="AF173" i="4"/>
  <c r="AI173" i="4"/>
  <c r="AK173" i="4"/>
  <c r="AO173" i="4"/>
  <c r="AP173" i="4"/>
  <c r="AQ173" i="4"/>
  <c r="B174" i="4"/>
  <c r="E174" i="4"/>
  <c r="H174" i="4"/>
  <c r="K174" i="4"/>
  <c r="M174" i="4"/>
  <c r="N174" i="4"/>
  <c r="Q174" i="4"/>
  <c r="T174" i="4"/>
  <c r="W174" i="4"/>
  <c r="Y174" i="4"/>
  <c r="Z174" i="4"/>
  <c r="AC174" i="4"/>
  <c r="AF174" i="4"/>
  <c r="AI174" i="4"/>
  <c r="AK174" i="4"/>
  <c r="AO174" i="4"/>
  <c r="AP174" i="4"/>
  <c r="AQ174" i="4"/>
  <c r="B175" i="4"/>
  <c r="E175" i="4"/>
  <c r="H175" i="4"/>
  <c r="K175" i="4"/>
  <c r="M175" i="4"/>
  <c r="N175" i="4"/>
  <c r="Q175" i="4"/>
  <c r="T175" i="4"/>
  <c r="W175" i="4"/>
  <c r="Y175" i="4"/>
  <c r="Z175" i="4"/>
  <c r="AC175" i="4"/>
  <c r="AF175" i="4"/>
  <c r="AI175" i="4"/>
  <c r="AK175" i="4"/>
  <c r="AO175" i="4"/>
  <c r="AP175" i="4"/>
  <c r="AQ175" i="4"/>
  <c r="B176" i="4"/>
  <c r="E176" i="4"/>
  <c r="H176" i="4"/>
  <c r="K176" i="4"/>
  <c r="M176" i="4"/>
  <c r="N176" i="4"/>
  <c r="Q176" i="4"/>
  <c r="T176" i="4"/>
  <c r="W176" i="4"/>
  <c r="Y176" i="4"/>
  <c r="Z176" i="4"/>
  <c r="AC176" i="4"/>
  <c r="AF176" i="4"/>
  <c r="AI176" i="4"/>
  <c r="AK176" i="4"/>
  <c r="AO176" i="4"/>
  <c r="AP176" i="4"/>
  <c r="AQ176" i="4"/>
  <c r="B177" i="4"/>
  <c r="E177" i="4"/>
  <c r="H177" i="4"/>
  <c r="K177" i="4"/>
  <c r="M177" i="4"/>
  <c r="N177" i="4"/>
  <c r="Q177" i="4"/>
  <c r="T177" i="4"/>
  <c r="W177" i="4"/>
  <c r="Y177" i="4"/>
  <c r="Z177" i="4"/>
  <c r="AC177" i="4"/>
  <c r="AF177" i="4"/>
  <c r="AI177" i="4"/>
  <c r="AK177" i="4"/>
  <c r="AO177" i="4"/>
  <c r="AP177" i="4"/>
  <c r="AQ177" i="4"/>
  <c r="B178" i="4"/>
  <c r="E178" i="4"/>
  <c r="H178" i="4"/>
  <c r="K178" i="4"/>
  <c r="M178" i="4"/>
  <c r="N178" i="4"/>
  <c r="Q178" i="4"/>
  <c r="T178" i="4"/>
  <c r="W178" i="4"/>
  <c r="Y178" i="4"/>
  <c r="Z178" i="4"/>
  <c r="AC178" i="4"/>
  <c r="AF178" i="4"/>
  <c r="AI178" i="4"/>
  <c r="AK178" i="4"/>
  <c r="AO178" i="4"/>
  <c r="AP178" i="4"/>
  <c r="AQ178" i="4"/>
  <c r="B179" i="4"/>
  <c r="E179" i="4"/>
  <c r="H179" i="4"/>
  <c r="K179" i="4"/>
  <c r="M179" i="4"/>
  <c r="N179" i="4"/>
  <c r="Q179" i="4"/>
  <c r="T179" i="4"/>
  <c r="W179" i="4"/>
  <c r="Y179" i="4"/>
  <c r="Z179" i="4"/>
  <c r="AC179" i="4"/>
  <c r="AF179" i="4"/>
  <c r="AI179" i="4"/>
  <c r="AK179" i="4"/>
  <c r="AO179" i="4"/>
  <c r="AP179" i="4"/>
  <c r="AQ179" i="4"/>
  <c r="B180" i="4"/>
  <c r="E180" i="4"/>
  <c r="H180" i="4"/>
  <c r="K180" i="4"/>
  <c r="M180" i="4"/>
  <c r="N180" i="4"/>
  <c r="Q180" i="4"/>
  <c r="T180" i="4"/>
  <c r="W180" i="4"/>
  <c r="Y180" i="4"/>
  <c r="Z180" i="4"/>
  <c r="AC180" i="4"/>
  <c r="AF180" i="4"/>
  <c r="AI180" i="4"/>
  <c r="AK180" i="4"/>
  <c r="AO180" i="4"/>
  <c r="AP180" i="4"/>
  <c r="AQ180" i="4"/>
  <c r="B181" i="4"/>
  <c r="E181" i="4"/>
  <c r="H181" i="4"/>
  <c r="K181" i="4"/>
  <c r="M181" i="4"/>
  <c r="N181" i="4"/>
  <c r="Q181" i="4"/>
  <c r="T181" i="4"/>
  <c r="W181" i="4"/>
  <c r="Y181" i="4"/>
  <c r="Z181" i="4"/>
  <c r="AC181" i="4"/>
  <c r="AF181" i="4"/>
  <c r="AI181" i="4"/>
  <c r="AK181" i="4"/>
  <c r="AO181" i="4"/>
  <c r="AP181" i="4"/>
  <c r="AQ181" i="4"/>
  <c r="B182" i="4"/>
  <c r="E182" i="4"/>
  <c r="H182" i="4"/>
  <c r="K182" i="4"/>
  <c r="M182" i="4"/>
  <c r="N182" i="4"/>
  <c r="Q182" i="4"/>
  <c r="T182" i="4"/>
  <c r="W182" i="4"/>
  <c r="Y182" i="4"/>
  <c r="Z182" i="4"/>
  <c r="AC182" i="4"/>
  <c r="AF182" i="4"/>
  <c r="AI182" i="4"/>
  <c r="AK182" i="4"/>
  <c r="AO182" i="4"/>
  <c r="AP182" i="4"/>
  <c r="AQ182" i="4"/>
  <c r="B183" i="4"/>
  <c r="E183" i="4"/>
  <c r="H183" i="4"/>
  <c r="K183" i="4"/>
  <c r="M183" i="4"/>
  <c r="N183" i="4"/>
  <c r="Q183" i="4"/>
  <c r="T183" i="4"/>
  <c r="W183" i="4"/>
  <c r="Y183" i="4"/>
  <c r="Z183" i="4"/>
  <c r="AC183" i="4"/>
  <c r="AF183" i="4"/>
  <c r="AI183" i="4"/>
  <c r="AK183" i="4"/>
  <c r="AO183" i="4"/>
  <c r="AP183" i="4"/>
  <c r="AQ183" i="4"/>
  <c r="B184" i="4"/>
  <c r="E184" i="4"/>
  <c r="H184" i="4"/>
  <c r="K184" i="4"/>
  <c r="M184" i="4"/>
  <c r="N184" i="4"/>
  <c r="Q184" i="4"/>
  <c r="T184" i="4"/>
  <c r="W184" i="4"/>
  <c r="Y184" i="4"/>
  <c r="Z184" i="4"/>
  <c r="AC184" i="4"/>
  <c r="AF184" i="4"/>
  <c r="AI184" i="4"/>
  <c r="AK184" i="4"/>
  <c r="AO184" i="4"/>
  <c r="AP184" i="4"/>
  <c r="AQ184" i="4"/>
  <c r="B185" i="4"/>
  <c r="E185" i="4"/>
  <c r="H185" i="4"/>
  <c r="K185" i="4"/>
  <c r="M185" i="4"/>
  <c r="N185" i="4"/>
  <c r="Q185" i="4"/>
  <c r="T185" i="4"/>
  <c r="W185" i="4"/>
  <c r="Y185" i="4"/>
  <c r="Z185" i="4"/>
  <c r="AC185" i="4"/>
  <c r="AF185" i="4"/>
  <c r="AI185" i="4"/>
  <c r="AK185" i="4"/>
  <c r="AO185" i="4"/>
  <c r="AP185" i="4"/>
  <c r="AQ185" i="4"/>
  <c r="B186" i="4"/>
  <c r="E186" i="4"/>
  <c r="H186" i="4"/>
  <c r="K186" i="4"/>
  <c r="M186" i="4"/>
  <c r="N186" i="4"/>
  <c r="Q186" i="4"/>
  <c r="T186" i="4"/>
  <c r="W186" i="4"/>
  <c r="Y186" i="4"/>
  <c r="Z186" i="4"/>
  <c r="AC186" i="4"/>
  <c r="AF186" i="4"/>
  <c r="AI186" i="4"/>
  <c r="AK186" i="4"/>
  <c r="AO186" i="4"/>
  <c r="AP186" i="4"/>
  <c r="AQ186" i="4"/>
  <c r="B187" i="4"/>
  <c r="E187" i="4"/>
  <c r="H187" i="4"/>
  <c r="K187" i="4"/>
  <c r="M187" i="4"/>
  <c r="N187" i="4"/>
  <c r="Q187" i="4"/>
  <c r="T187" i="4"/>
  <c r="W187" i="4"/>
  <c r="Y187" i="4"/>
  <c r="Z187" i="4"/>
  <c r="AC187" i="4"/>
  <c r="AF187" i="4"/>
  <c r="AI187" i="4"/>
  <c r="AK187" i="4"/>
  <c r="AO187" i="4"/>
  <c r="AP187" i="4"/>
  <c r="AQ187" i="4"/>
  <c r="B188" i="4"/>
  <c r="E188" i="4"/>
  <c r="H188" i="4"/>
  <c r="K188" i="4"/>
  <c r="M188" i="4"/>
  <c r="N188" i="4"/>
  <c r="Q188" i="4"/>
  <c r="T188" i="4"/>
  <c r="W188" i="4"/>
  <c r="Y188" i="4"/>
  <c r="Z188" i="4"/>
  <c r="AC188" i="4"/>
  <c r="AF188" i="4"/>
  <c r="AI188" i="4"/>
  <c r="AK188" i="4"/>
  <c r="AO188" i="4"/>
  <c r="AP188" i="4"/>
  <c r="AQ188" i="4"/>
  <c r="B189" i="4"/>
  <c r="E189" i="4"/>
  <c r="H189" i="4"/>
  <c r="K189" i="4"/>
  <c r="M189" i="4"/>
  <c r="N189" i="4"/>
  <c r="Q189" i="4"/>
  <c r="T189" i="4"/>
  <c r="W189" i="4"/>
  <c r="Y189" i="4"/>
  <c r="Z189" i="4"/>
  <c r="AC189" i="4"/>
  <c r="AF189" i="4"/>
  <c r="AI189" i="4"/>
  <c r="AK189" i="4"/>
  <c r="AO189" i="4"/>
  <c r="AP189" i="4"/>
  <c r="AQ189" i="4"/>
  <c r="B190" i="4"/>
  <c r="E190" i="4"/>
  <c r="H190" i="4"/>
  <c r="K190" i="4"/>
  <c r="M190" i="4"/>
  <c r="N190" i="4"/>
  <c r="Q190" i="4"/>
  <c r="T190" i="4"/>
  <c r="W190" i="4"/>
  <c r="Y190" i="4"/>
  <c r="Z190" i="4"/>
  <c r="AC190" i="4"/>
  <c r="AF190" i="4"/>
  <c r="AI190" i="4"/>
  <c r="AK190" i="4"/>
  <c r="AO190" i="4"/>
  <c r="AP190" i="4"/>
  <c r="AQ190" i="4"/>
  <c r="B191" i="4"/>
  <c r="E191" i="4"/>
  <c r="H191" i="4"/>
  <c r="K191" i="4"/>
  <c r="M191" i="4"/>
  <c r="N191" i="4"/>
  <c r="Q191" i="4"/>
  <c r="T191" i="4"/>
  <c r="W191" i="4"/>
  <c r="Y191" i="4"/>
  <c r="Z191" i="4"/>
  <c r="AC191" i="4"/>
  <c r="AF191" i="4"/>
  <c r="AI191" i="4"/>
  <c r="AK191" i="4"/>
  <c r="AO191" i="4"/>
  <c r="AP191" i="4"/>
  <c r="AQ191" i="4"/>
  <c r="B192" i="4"/>
  <c r="E192" i="4"/>
  <c r="H192" i="4"/>
  <c r="K192" i="4"/>
  <c r="M192" i="4"/>
  <c r="N192" i="4"/>
  <c r="Q192" i="4"/>
  <c r="T192" i="4"/>
  <c r="W192" i="4"/>
  <c r="Y192" i="4"/>
  <c r="Z192" i="4"/>
  <c r="AC192" i="4"/>
  <c r="AF192" i="4"/>
  <c r="AI192" i="4"/>
  <c r="AK192" i="4"/>
  <c r="AO192" i="4"/>
  <c r="AP192" i="4"/>
  <c r="AQ192" i="4"/>
  <c r="B193" i="4"/>
  <c r="E193" i="4"/>
  <c r="H193" i="4"/>
  <c r="K193" i="4"/>
  <c r="M193" i="4"/>
  <c r="N193" i="4"/>
  <c r="Q193" i="4"/>
  <c r="T193" i="4"/>
  <c r="W193" i="4"/>
  <c r="Y193" i="4"/>
  <c r="Z193" i="4"/>
  <c r="AC193" i="4"/>
  <c r="AF193" i="4"/>
  <c r="AI193" i="4"/>
  <c r="AK193" i="4"/>
  <c r="AO193" i="4"/>
  <c r="AP193" i="4"/>
  <c r="AQ193" i="4"/>
  <c r="C194" i="4"/>
  <c r="D194" i="4"/>
  <c r="F194" i="4"/>
  <c r="G194" i="4"/>
  <c r="I194" i="4"/>
  <c r="J194" i="4"/>
  <c r="N194" i="4"/>
  <c r="Q194" i="4"/>
  <c r="T194" i="4"/>
  <c r="W194" i="4"/>
  <c r="Y194" i="4"/>
  <c r="AA194" i="4"/>
  <c r="AB194" i="4"/>
  <c r="AD194" i="4"/>
  <c r="AE194" i="4"/>
  <c r="AG194" i="4"/>
  <c r="AH194" i="4"/>
  <c r="C195" i="4"/>
  <c r="D195" i="4"/>
  <c r="F195" i="4"/>
  <c r="G195" i="4"/>
  <c r="I195" i="4"/>
  <c r="J195" i="4"/>
  <c r="O195" i="4"/>
  <c r="P195" i="4"/>
  <c r="R195" i="4"/>
  <c r="S195" i="4"/>
  <c r="U195" i="4"/>
  <c r="V195" i="4"/>
  <c r="AB195" i="4"/>
  <c r="Z195" i="4" s="1"/>
  <c r="AE195" i="4"/>
  <c r="AC195" i="4" s="1"/>
  <c r="AF195" i="4"/>
  <c r="AI195" i="4"/>
  <c r="B196" i="4"/>
  <c r="E196" i="4"/>
  <c r="H196" i="4"/>
  <c r="K196" i="4"/>
  <c r="M196" i="4"/>
  <c r="N196" i="4"/>
  <c r="Q196" i="4"/>
  <c r="T196" i="4"/>
  <c r="W196" i="4"/>
  <c r="Y196" i="4"/>
  <c r="Z196" i="4"/>
  <c r="AC196" i="4"/>
  <c r="AF196" i="4"/>
  <c r="AI196" i="4"/>
  <c r="AK196" i="4"/>
  <c r="AO196" i="4"/>
  <c r="AP196" i="4"/>
  <c r="AQ196" i="4"/>
  <c r="C197" i="4"/>
  <c r="D197" i="4"/>
  <c r="F197" i="4"/>
  <c r="G197" i="4"/>
  <c r="I197" i="4"/>
  <c r="J197" i="4"/>
  <c r="N197" i="4"/>
  <c r="Q197" i="4"/>
  <c r="T197" i="4"/>
  <c r="W197" i="4"/>
  <c r="Y197" i="4"/>
  <c r="AA197" i="4"/>
  <c r="AB197" i="4"/>
  <c r="AD197" i="4"/>
  <c r="AE197" i="4"/>
  <c r="AH197" i="4"/>
  <c r="B198" i="4"/>
  <c r="E198" i="4"/>
  <c r="H198" i="4"/>
  <c r="K198" i="4"/>
  <c r="M198" i="4"/>
  <c r="N198" i="4"/>
  <c r="Q198" i="4"/>
  <c r="T198" i="4"/>
  <c r="W198" i="4"/>
  <c r="Y198" i="4"/>
  <c r="Z198" i="4"/>
  <c r="AC198" i="4"/>
  <c r="AF198" i="4"/>
  <c r="AI198" i="4"/>
  <c r="AK198" i="4"/>
  <c r="AO198" i="4"/>
  <c r="AP198" i="4"/>
  <c r="AQ198" i="4"/>
  <c r="B199" i="4"/>
  <c r="E199" i="4"/>
  <c r="H199" i="4"/>
  <c r="K199" i="4"/>
  <c r="M199" i="4"/>
  <c r="N199" i="4"/>
  <c r="Q199" i="4"/>
  <c r="T199" i="4"/>
  <c r="W199" i="4"/>
  <c r="Y199" i="4"/>
  <c r="AB199" i="4"/>
  <c r="AD199" i="4"/>
  <c r="AE199" i="4"/>
  <c r="AG199" i="4"/>
  <c r="AH199" i="4"/>
  <c r="C200" i="4"/>
  <c r="D200" i="4"/>
  <c r="F200" i="4"/>
  <c r="G200" i="4"/>
  <c r="I200" i="4"/>
  <c r="J200" i="4"/>
  <c r="N200" i="4"/>
  <c r="Q200" i="4"/>
  <c r="T200" i="4"/>
  <c r="W200" i="4"/>
  <c r="Y200" i="4"/>
  <c r="AA200" i="4"/>
  <c r="AB200" i="4"/>
  <c r="AD200" i="4"/>
  <c r="AE200" i="4"/>
  <c r="AG200" i="4"/>
  <c r="AH200" i="4"/>
  <c r="B201" i="4"/>
  <c r="E201" i="4"/>
  <c r="H201" i="4"/>
  <c r="K201" i="4"/>
  <c r="M201" i="4"/>
  <c r="N201" i="4"/>
  <c r="Q201" i="4"/>
  <c r="T201" i="4"/>
  <c r="W201" i="4"/>
  <c r="Y201" i="4"/>
  <c r="Z201" i="4"/>
  <c r="AC201" i="4"/>
  <c r="AF201" i="4"/>
  <c r="AI201" i="4"/>
  <c r="AK201" i="4"/>
  <c r="AO201" i="4"/>
  <c r="AP201" i="4"/>
  <c r="AQ201" i="4"/>
  <c r="B202" i="4"/>
  <c r="E202" i="4"/>
  <c r="H202" i="4"/>
  <c r="K202" i="4"/>
  <c r="M202" i="4"/>
  <c r="N202" i="4"/>
  <c r="Q202" i="4"/>
  <c r="T202" i="4"/>
  <c r="W202" i="4"/>
  <c r="Y202" i="4"/>
  <c r="Z202" i="4"/>
  <c r="AC202" i="4"/>
  <c r="AF202" i="4"/>
  <c r="AI202" i="4"/>
  <c r="AK202" i="4"/>
  <c r="AO202" i="4"/>
  <c r="AP202" i="4"/>
  <c r="AQ202" i="4"/>
  <c r="B203" i="4"/>
  <c r="E203" i="4"/>
  <c r="H203" i="4"/>
  <c r="K203" i="4"/>
  <c r="M203" i="4"/>
  <c r="N203" i="4"/>
  <c r="Q203" i="4"/>
  <c r="T203" i="4"/>
  <c r="W203" i="4"/>
  <c r="Y203" i="4"/>
  <c r="Z203" i="4"/>
  <c r="AC203" i="4"/>
  <c r="AF203" i="4"/>
  <c r="AI203" i="4"/>
  <c r="AK203" i="4"/>
  <c r="AO203" i="4"/>
  <c r="AP203" i="4"/>
  <c r="AQ203" i="4"/>
  <c r="B204" i="4"/>
  <c r="E204" i="4"/>
  <c r="H204" i="4"/>
  <c r="K204" i="4"/>
  <c r="M204" i="4"/>
  <c r="N204" i="4"/>
  <c r="Q204" i="4"/>
  <c r="T204" i="4"/>
  <c r="W204" i="4"/>
  <c r="Y204" i="4"/>
  <c r="Z204" i="4"/>
  <c r="AC204" i="4"/>
  <c r="AF204" i="4"/>
  <c r="AI204" i="4"/>
  <c r="AK204" i="4"/>
  <c r="AO204" i="4"/>
  <c r="AP204" i="4"/>
  <c r="AQ204" i="4"/>
  <c r="B205" i="4"/>
  <c r="E205" i="4"/>
  <c r="H205" i="4"/>
  <c r="K205" i="4"/>
  <c r="M205" i="4"/>
  <c r="N205" i="4"/>
  <c r="Q205" i="4"/>
  <c r="T205" i="4"/>
  <c r="W205" i="4"/>
  <c r="Y205" i="4"/>
  <c r="Z205" i="4"/>
  <c r="AC205" i="4"/>
  <c r="AF205" i="4"/>
  <c r="AI205" i="4"/>
  <c r="AK205" i="4"/>
  <c r="AO205" i="4"/>
  <c r="AP205" i="4"/>
  <c r="AQ205" i="4"/>
  <c r="B206" i="4"/>
  <c r="E206" i="4"/>
  <c r="H206" i="4"/>
  <c r="K206" i="4"/>
  <c r="M206" i="4"/>
  <c r="N206" i="4"/>
  <c r="Q206" i="4"/>
  <c r="T206" i="4"/>
  <c r="W206" i="4"/>
  <c r="Y206" i="4"/>
  <c r="Z206" i="4"/>
  <c r="AC206" i="4"/>
  <c r="AF206" i="4"/>
  <c r="AI206" i="4"/>
  <c r="AK206" i="4"/>
  <c r="AO206" i="4"/>
  <c r="AP206" i="4"/>
  <c r="AQ206" i="4"/>
  <c r="D207" i="4"/>
  <c r="B207" i="4" s="1"/>
  <c r="G207" i="4"/>
  <c r="I207" i="4"/>
  <c r="K207" i="4" s="1"/>
  <c r="J207" i="4"/>
  <c r="N207" i="4"/>
  <c r="Q207" i="4"/>
  <c r="T207" i="4"/>
  <c r="W207" i="4"/>
  <c r="Y207" i="4"/>
  <c r="AB207" i="4"/>
  <c r="AK207" i="4" s="1"/>
  <c r="AC207" i="4"/>
  <c r="AF207" i="4"/>
  <c r="AI207" i="4"/>
  <c r="B208" i="4"/>
  <c r="E208" i="4"/>
  <c r="H208" i="4"/>
  <c r="K208" i="4"/>
  <c r="M208" i="4"/>
  <c r="N208" i="4"/>
  <c r="Q208" i="4"/>
  <c r="T208" i="4"/>
  <c r="W208" i="4"/>
  <c r="Y208" i="4"/>
  <c r="AA208" i="4"/>
  <c r="Z208" i="4" s="1"/>
  <c r="AC208" i="4"/>
  <c r="AF208" i="4"/>
  <c r="AK208" i="4"/>
  <c r="AP208" i="4"/>
  <c r="AQ208" i="4"/>
  <c r="B209" i="4"/>
  <c r="E209" i="4"/>
  <c r="H209" i="4"/>
  <c r="K209" i="4"/>
  <c r="M209" i="4"/>
  <c r="N209" i="4"/>
  <c r="Q209" i="4"/>
  <c r="T209" i="4"/>
  <c r="W209" i="4"/>
  <c r="Y209" i="4"/>
  <c r="Z209" i="4"/>
  <c r="AC209" i="4"/>
  <c r="AG209" i="4"/>
  <c r="AQ209" i="4" s="1"/>
  <c r="AK209" i="4"/>
  <c r="AO209" i="4"/>
  <c r="AP209" i="4"/>
  <c r="B210" i="4"/>
  <c r="E210" i="4"/>
  <c r="H210" i="4"/>
  <c r="K210" i="4"/>
  <c r="M210" i="4"/>
  <c r="N210" i="4"/>
  <c r="Q210" i="4"/>
  <c r="T210" i="4"/>
  <c r="W210" i="4"/>
  <c r="Y210" i="4"/>
  <c r="Z210" i="4"/>
  <c r="AC210" i="4"/>
  <c r="AF210" i="4"/>
  <c r="AI210" i="4"/>
  <c r="AK210" i="4"/>
  <c r="AO210" i="4"/>
  <c r="AP210" i="4"/>
  <c r="AQ210" i="4"/>
  <c r="B211" i="4"/>
  <c r="E211" i="4"/>
  <c r="H211" i="4"/>
  <c r="K211" i="4"/>
  <c r="M211" i="4"/>
  <c r="N211" i="4"/>
  <c r="Q211" i="4"/>
  <c r="T211" i="4"/>
  <c r="W211" i="4"/>
  <c r="Y211" i="4"/>
  <c r="AB211" i="4"/>
  <c r="AO211" i="4" s="1"/>
  <c r="AC211" i="4"/>
  <c r="AF211" i="4"/>
  <c r="AI211" i="4"/>
  <c r="AP211" i="4"/>
  <c r="AQ211" i="4"/>
  <c r="B212" i="4"/>
  <c r="E212" i="4"/>
  <c r="H212" i="4"/>
  <c r="K212" i="4"/>
  <c r="M212" i="4"/>
  <c r="N212" i="4"/>
  <c r="Q212" i="4"/>
  <c r="T212" i="4"/>
  <c r="W212" i="4"/>
  <c r="Y212" i="4"/>
  <c r="Z212" i="4"/>
  <c r="AC212" i="4"/>
  <c r="AG212" i="4"/>
  <c r="AK212" i="4"/>
  <c r="AO212" i="4"/>
  <c r="AP212" i="4"/>
  <c r="B213" i="4"/>
  <c r="E213" i="4"/>
  <c r="H213" i="4"/>
  <c r="K213" i="4"/>
  <c r="M213" i="4"/>
  <c r="N213" i="4"/>
  <c r="Q213" i="4"/>
  <c r="T213" i="4"/>
  <c r="W213" i="4"/>
  <c r="Y213" i="4"/>
  <c r="Z213" i="4"/>
  <c r="AC213" i="4"/>
  <c r="AF213" i="4"/>
  <c r="AI213" i="4"/>
  <c r="AK213" i="4"/>
  <c r="AO213" i="4"/>
  <c r="AP213" i="4"/>
  <c r="AQ213" i="4"/>
  <c r="B214" i="4"/>
  <c r="E214" i="4"/>
  <c r="H214" i="4"/>
  <c r="K214" i="4"/>
  <c r="M214" i="4"/>
  <c r="N214" i="4"/>
  <c r="Q214" i="4"/>
  <c r="T214" i="4"/>
  <c r="W214" i="4"/>
  <c r="Y214" i="4"/>
  <c r="Z214" i="4"/>
  <c r="AC214" i="4"/>
  <c r="AF214" i="4"/>
  <c r="AI214" i="4"/>
  <c r="AK214" i="4"/>
  <c r="AO214" i="4"/>
  <c r="AP214" i="4"/>
  <c r="AQ214" i="4"/>
  <c r="B215" i="4"/>
  <c r="E215" i="4"/>
  <c r="H215" i="4"/>
  <c r="K215" i="4"/>
  <c r="M215" i="4"/>
  <c r="N215" i="4"/>
  <c r="Q215" i="4"/>
  <c r="T215" i="4"/>
  <c r="W215" i="4"/>
  <c r="Y215" i="4"/>
  <c r="Z215" i="4"/>
  <c r="AC215" i="4"/>
  <c r="AF215" i="4"/>
  <c r="AI215" i="4"/>
  <c r="AK215" i="4"/>
  <c r="AO215" i="4"/>
  <c r="AP215" i="4"/>
  <c r="AQ215" i="4"/>
  <c r="B216" i="4"/>
  <c r="E216" i="4"/>
  <c r="H216" i="4"/>
  <c r="K216" i="4"/>
  <c r="M216" i="4"/>
  <c r="N216" i="4"/>
  <c r="Q216" i="4"/>
  <c r="T216" i="4"/>
  <c r="W216" i="4"/>
  <c r="Y216" i="4"/>
  <c r="Z216" i="4"/>
  <c r="AC216" i="4"/>
  <c r="AF216" i="4"/>
  <c r="AI216" i="4"/>
  <c r="AK216" i="4"/>
  <c r="AO216" i="4"/>
  <c r="AP216" i="4"/>
  <c r="AQ216" i="4"/>
  <c r="B217" i="4"/>
  <c r="E217" i="4"/>
  <c r="H217" i="4"/>
  <c r="K217" i="4"/>
  <c r="M217" i="4"/>
  <c r="N217" i="4"/>
  <c r="Q217" i="4"/>
  <c r="T217" i="4"/>
  <c r="W217" i="4"/>
  <c r="Y217" i="4"/>
  <c r="AA217" i="4"/>
  <c r="AB217" i="4"/>
  <c r="AD217" i="4"/>
  <c r="AE217" i="4"/>
  <c r="AG217" i="4"/>
  <c r="AH217" i="4"/>
  <c r="C218" i="4"/>
  <c r="K218" i="4" s="1"/>
  <c r="D218" i="4"/>
  <c r="M218" i="4" s="1"/>
  <c r="E218" i="4"/>
  <c r="H218" i="4"/>
  <c r="N218" i="4"/>
  <c r="Q218" i="4"/>
  <c r="T218" i="4"/>
  <c r="W218" i="4"/>
  <c r="Y218" i="4"/>
  <c r="AA218" i="4"/>
  <c r="AB218" i="4"/>
  <c r="AD218" i="4"/>
  <c r="AE218" i="4"/>
  <c r="AG218" i="4"/>
  <c r="AH218" i="4"/>
  <c r="B219" i="4"/>
  <c r="E219" i="4"/>
  <c r="H219" i="4"/>
  <c r="K219" i="4"/>
  <c r="M219" i="4"/>
  <c r="N219" i="4"/>
  <c r="Q219" i="4"/>
  <c r="T219" i="4"/>
  <c r="W219" i="4"/>
  <c r="Y219" i="4"/>
  <c r="Z219" i="4"/>
  <c r="AC219" i="4"/>
  <c r="AF219" i="4"/>
  <c r="AI219" i="4"/>
  <c r="AK219" i="4"/>
  <c r="AO219" i="4"/>
  <c r="AP219" i="4"/>
  <c r="AQ219" i="4"/>
  <c r="B220" i="4"/>
  <c r="E220" i="4"/>
  <c r="H220" i="4"/>
  <c r="K220" i="4"/>
  <c r="M220" i="4"/>
  <c r="N220" i="4"/>
  <c r="Q220" i="4"/>
  <c r="T220" i="4"/>
  <c r="W220" i="4"/>
  <c r="Y220" i="4"/>
  <c r="Z220" i="4"/>
  <c r="AC220" i="4"/>
  <c r="AF220" i="4"/>
  <c r="AI220" i="4"/>
  <c r="AK220" i="4"/>
  <c r="AO220" i="4"/>
  <c r="AP220" i="4"/>
  <c r="AQ220" i="4"/>
  <c r="B221" i="4"/>
  <c r="E221" i="4"/>
  <c r="H221" i="4"/>
  <c r="L221" i="4"/>
  <c r="N221" i="4"/>
  <c r="Q221" i="4"/>
  <c r="T221" i="4"/>
  <c r="W221" i="4"/>
  <c r="Y221" i="4"/>
  <c r="Z221" i="4"/>
  <c r="AC221" i="4"/>
  <c r="AF221" i="4"/>
  <c r="AI221" i="4"/>
  <c r="AK221" i="4"/>
  <c r="AO221" i="4"/>
  <c r="AP221" i="4"/>
  <c r="AQ221" i="4"/>
  <c r="B222" i="4"/>
  <c r="E222" i="4"/>
  <c r="H222" i="4"/>
  <c r="K222" i="4"/>
  <c r="M222" i="4"/>
  <c r="N222" i="4"/>
  <c r="Q222" i="4"/>
  <c r="T222" i="4"/>
  <c r="W222" i="4"/>
  <c r="Y222" i="4"/>
  <c r="Z222" i="4"/>
  <c r="AC222" i="4"/>
  <c r="AF222" i="4"/>
  <c r="AI222" i="4"/>
  <c r="AK222" i="4"/>
  <c r="AO222" i="4"/>
  <c r="AP222" i="4"/>
  <c r="AQ222" i="4"/>
  <c r="B223" i="4"/>
  <c r="E223" i="4"/>
  <c r="H223" i="4"/>
  <c r="K223" i="4"/>
  <c r="M223" i="4"/>
  <c r="N223" i="4"/>
  <c r="Q223" i="4"/>
  <c r="T223" i="4"/>
  <c r="W223" i="4"/>
  <c r="Y223" i="4"/>
  <c r="Z223" i="4"/>
  <c r="AC223" i="4"/>
  <c r="AF223" i="4"/>
  <c r="AI223" i="4"/>
  <c r="AK223" i="4"/>
  <c r="AO223" i="4"/>
  <c r="AP223" i="4"/>
  <c r="AQ223" i="4"/>
  <c r="B224" i="4"/>
  <c r="E224" i="4"/>
  <c r="H224" i="4"/>
  <c r="K224" i="4"/>
  <c r="M224" i="4"/>
  <c r="N224" i="4"/>
  <c r="Q224" i="4"/>
  <c r="T224" i="4"/>
  <c r="W224" i="4"/>
  <c r="Y224" i="4"/>
  <c r="Z224" i="4"/>
  <c r="AC224" i="4"/>
  <c r="AF224" i="4"/>
  <c r="AI224" i="4"/>
  <c r="AK224" i="4"/>
  <c r="AO224" i="4"/>
  <c r="AP224" i="4"/>
  <c r="AQ224" i="4"/>
  <c r="B225" i="4"/>
  <c r="E225" i="4"/>
  <c r="H225" i="4"/>
  <c r="K225" i="4"/>
  <c r="M225" i="4"/>
  <c r="N225" i="4"/>
  <c r="Q225" i="4"/>
  <c r="T225" i="4"/>
  <c r="W225" i="4"/>
  <c r="Y225" i="4"/>
  <c r="Z225" i="4"/>
  <c r="AC225" i="4"/>
  <c r="AF225" i="4"/>
  <c r="AI225" i="4"/>
  <c r="AK225" i="4"/>
  <c r="AO225" i="4"/>
  <c r="AP225" i="4"/>
  <c r="AQ225" i="4"/>
  <c r="B226" i="4"/>
  <c r="E226" i="4"/>
  <c r="H226" i="4"/>
  <c r="K226" i="4"/>
  <c r="M226" i="4"/>
  <c r="N226" i="4"/>
  <c r="Q226" i="4"/>
  <c r="T226" i="4"/>
  <c r="W226" i="4"/>
  <c r="Y226" i="4"/>
  <c r="Z226" i="4"/>
  <c r="AC226" i="4"/>
  <c r="AF226" i="4"/>
  <c r="AI226" i="4"/>
  <c r="AK226" i="4"/>
  <c r="AO226" i="4"/>
  <c r="AP226" i="4"/>
  <c r="AQ226" i="4"/>
  <c r="B227" i="4"/>
  <c r="E227" i="4"/>
  <c r="H227" i="4"/>
  <c r="K227" i="4"/>
  <c r="M227" i="4"/>
  <c r="N227" i="4"/>
  <c r="Q227" i="4"/>
  <c r="T227" i="4"/>
  <c r="W227" i="4"/>
  <c r="Y227" i="4"/>
  <c r="Z227" i="4"/>
  <c r="AC227" i="4"/>
  <c r="AF227" i="4"/>
  <c r="AI227" i="4"/>
  <c r="AK227" i="4"/>
  <c r="AO227" i="4"/>
  <c r="AP227" i="4"/>
  <c r="AQ227" i="4"/>
  <c r="B228" i="4"/>
  <c r="E228" i="4"/>
  <c r="H228" i="4"/>
  <c r="K228" i="4"/>
  <c r="M228" i="4"/>
  <c r="N228" i="4"/>
  <c r="Q228" i="4"/>
  <c r="T228" i="4"/>
  <c r="W228" i="4"/>
  <c r="Y228" i="4"/>
  <c r="Z228" i="4"/>
  <c r="AC228" i="4"/>
  <c r="AF228" i="4"/>
  <c r="AI228" i="4"/>
  <c r="AK228" i="4"/>
  <c r="AO228" i="4"/>
  <c r="AP228" i="4"/>
  <c r="AQ228" i="4"/>
  <c r="B229" i="4"/>
  <c r="E229" i="4"/>
  <c r="H229" i="4"/>
  <c r="K229" i="4"/>
  <c r="M229" i="4"/>
  <c r="N229" i="4"/>
  <c r="Q229" i="4"/>
  <c r="T229" i="4"/>
  <c r="W229" i="4"/>
  <c r="Y229" i="4"/>
  <c r="Z229" i="4"/>
  <c r="AC229" i="4"/>
  <c r="AF229" i="4"/>
  <c r="AI229" i="4"/>
  <c r="AK229" i="4"/>
  <c r="AO229" i="4"/>
  <c r="AP229" i="4"/>
  <c r="AQ229" i="4"/>
  <c r="B230" i="4"/>
  <c r="E230" i="4"/>
  <c r="H230" i="4"/>
  <c r="K230" i="4"/>
  <c r="M230" i="4"/>
  <c r="N230" i="4"/>
  <c r="Q230" i="4"/>
  <c r="T230" i="4"/>
  <c r="W230" i="4"/>
  <c r="Y230" i="4"/>
  <c r="Z230" i="4"/>
  <c r="AC230" i="4"/>
  <c r="AF230" i="4"/>
  <c r="AI230" i="4"/>
  <c r="AK230" i="4"/>
  <c r="AO230" i="4"/>
  <c r="AP230" i="4"/>
  <c r="AQ230" i="4"/>
  <c r="B231" i="4"/>
  <c r="E231" i="4"/>
  <c r="H231" i="4"/>
  <c r="K231" i="4"/>
  <c r="M231" i="4"/>
  <c r="N231" i="4"/>
  <c r="Q231" i="4"/>
  <c r="T231" i="4"/>
  <c r="W231" i="4"/>
  <c r="Y231" i="4"/>
  <c r="Z231" i="4"/>
  <c r="AC231" i="4"/>
  <c r="AF231" i="4"/>
  <c r="AI231" i="4"/>
  <c r="AK231" i="4"/>
  <c r="AO231" i="4"/>
  <c r="AP231" i="4"/>
  <c r="AQ231" i="4"/>
  <c r="B232" i="4"/>
  <c r="E232" i="4"/>
  <c r="H232" i="4"/>
  <c r="K232" i="4"/>
  <c r="M232" i="4"/>
  <c r="N232" i="4"/>
  <c r="Q232" i="4"/>
  <c r="T232" i="4"/>
  <c r="W232" i="4"/>
  <c r="Y232" i="4"/>
  <c r="Z232" i="4"/>
  <c r="AC232" i="4"/>
  <c r="AF232" i="4"/>
  <c r="AI232" i="4"/>
  <c r="AK232" i="4"/>
  <c r="AO232" i="4"/>
  <c r="AP232" i="4"/>
  <c r="AQ232" i="4"/>
  <c r="B233" i="4"/>
  <c r="E233" i="4"/>
  <c r="H233" i="4"/>
  <c r="K233" i="4"/>
  <c r="M233" i="4"/>
  <c r="N233" i="4"/>
  <c r="Q233" i="4"/>
  <c r="T233" i="4"/>
  <c r="W233" i="4"/>
  <c r="Y233" i="4"/>
  <c r="Z233" i="4"/>
  <c r="AC233" i="4"/>
  <c r="AF233" i="4"/>
  <c r="AI233" i="4"/>
  <c r="AK233" i="4"/>
  <c r="AO233" i="4"/>
  <c r="AP233" i="4"/>
  <c r="AQ233" i="4"/>
  <c r="N234" i="4"/>
  <c r="Q234" i="4"/>
  <c r="T234" i="4"/>
  <c r="W234" i="4"/>
  <c r="Y234" i="4"/>
  <c r="AA234" i="4"/>
  <c r="AB234" i="4"/>
  <c r="AD234" i="4"/>
  <c r="AE234" i="4"/>
  <c r="AG234" i="4"/>
  <c r="AH234" i="4"/>
  <c r="B235" i="4"/>
  <c r="E235" i="4"/>
  <c r="H235" i="4"/>
  <c r="K235" i="4"/>
  <c r="M235" i="4"/>
  <c r="X235" i="4"/>
  <c r="AO235" i="4"/>
  <c r="AP235" i="4"/>
  <c r="AQ235" i="4"/>
  <c r="X236" i="4"/>
  <c r="AO236" i="4"/>
  <c r="AP236" i="4"/>
  <c r="AQ236" i="4"/>
  <c r="X237" i="4"/>
  <c r="AO237" i="4"/>
  <c r="AP237" i="4"/>
  <c r="AQ237" i="4"/>
  <c r="AO238" i="4"/>
  <c r="AP238" i="4"/>
  <c r="AQ238" i="4"/>
  <c r="AO239" i="4"/>
  <c r="AP239" i="4"/>
  <c r="AQ239" i="4"/>
  <c r="AO240" i="4"/>
  <c r="AP240" i="4"/>
  <c r="AQ240" i="4"/>
  <c r="AO241" i="4"/>
  <c r="AP241" i="4"/>
  <c r="AQ241" i="4"/>
  <c r="AO242" i="4"/>
  <c r="AP242" i="4"/>
  <c r="AQ242" i="4"/>
  <c r="AO243" i="4"/>
  <c r="AP243" i="4"/>
  <c r="AQ243" i="4"/>
  <c r="AO244" i="4"/>
  <c r="AP244" i="4"/>
  <c r="AQ244" i="4"/>
  <c r="AO245" i="4"/>
  <c r="AP245" i="4"/>
  <c r="AQ245" i="4"/>
  <c r="AO246" i="4"/>
  <c r="AP246" i="4"/>
  <c r="AQ246" i="4"/>
  <c r="AO247" i="4"/>
  <c r="AP247" i="4"/>
  <c r="AQ247" i="4"/>
  <c r="AO248" i="4"/>
  <c r="AP248" i="4"/>
  <c r="AQ248" i="4"/>
  <c r="AO249" i="4"/>
  <c r="AP249" i="4"/>
  <c r="AQ249" i="4"/>
  <c r="AO250" i="4"/>
  <c r="AP250" i="4"/>
  <c r="AQ250" i="4"/>
  <c r="W251" i="4"/>
  <c r="Y251" i="4"/>
  <c r="Z251" i="4"/>
  <c r="AC251" i="4"/>
  <c r="AF251" i="4"/>
  <c r="AI251" i="4"/>
  <c r="AK251" i="4"/>
  <c r="AI252" i="4"/>
  <c r="AK252" i="4"/>
  <c r="AI253" i="4"/>
  <c r="AK253" i="4"/>
  <c r="AI254" i="4"/>
  <c r="AK254" i="4"/>
  <c r="AI255" i="4"/>
  <c r="AK255" i="4"/>
  <c r="AI256" i="4"/>
  <c r="AK256" i="4"/>
  <c r="AI257" i="4"/>
  <c r="AK257" i="4"/>
  <c r="AI258" i="4"/>
  <c r="AK258" i="4"/>
  <c r="AI259" i="4"/>
  <c r="AK259" i="4"/>
  <c r="AI260" i="4"/>
  <c r="AK260" i="4"/>
  <c r="AI261" i="4"/>
  <c r="AK261" i="4"/>
  <c r="AI262" i="4"/>
  <c r="AK262" i="4"/>
  <c r="AI263" i="4"/>
  <c r="AK263" i="4"/>
  <c r="AP42" i="2"/>
  <c r="AS42" i="2"/>
  <c r="AM42" i="2" s="1"/>
  <c r="AT42" i="2"/>
  <c r="AN42" i="2" s="1"/>
  <c r="AP43" i="2"/>
  <c r="AR43" i="2"/>
  <c r="AL43" i="2" s="1"/>
  <c r="AS43" i="2"/>
  <c r="AM43" i="2" s="1"/>
  <c r="AT43" i="2"/>
  <c r="AN43" i="2" s="1"/>
  <c r="AP44" i="2"/>
  <c r="AR44" i="2"/>
  <c r="AL44" i="2" s="1"/>
  <c r="AS44" i="2"/>
  <c r="AM44" i="2" s="1"/>
  <c r="AT44" i="2"/>
  <c r="AP45" i="2"/>
  <c r="AR45" i="2"/>
  <c r="AS45" i="2"/>
  <c r="AM45" i="2" s="1"/>
  <c r="AT45" i="2"/>
  <c r="AN45" i="2" s="1"/>
  <c r="AP46" i="2"/>
  <c r="AR46" i="2"/>
  <c r="AL46" i="2" s="1"/>
  <c r="AS46" i="2"/>
  <c r="AM46" i="2" s="1"/>
  <c r="AT46" i="2"/>
  <c r="AP47" i="2"/>
  <c r="AR47" i="2"/>
  <c r="AL47" i="2" s="1"/>
  <c r="AS47" i="2"/>
  <c r="AM47" i="2" s="1"/>
  <c r="AT47" i="2"/>
  <c r="AN47" i="2" s="1"/>
  <c r="AP48" i="2"/>
  <c r="AR48" i="2"/>
  <c r="AL48" i="2" s="1"/>
  <c r="AS48" i="2"/>
  <c r="AM48" i="2" s="1"/>
  <c r="AT48" i="2"/>
  <c r="AN48" i="2" s="1"/>
  <c r="AP49" i="2"/>
  <c r="AR49" i="2"/>
  <c r="AL49" i="2" s="1"/>
  <c r="AS49" i="2"/>
  <c r="AM49" i="2" s="1"/>
  <c r="AT49" i="2"/>
  <c r="AN49" i="2" s="1"/>
  <c r="AP50" i="2"/>
  <c r="AR50" i="2"/>
  <c r="AL50" i="2" s="1"/>
  <c r="AS50" i="2"/>
  <c r="AM50" i="2" s="1"/>
  <c r="AT50" i="2"/>
  <c r="AN50" i="2" s="1"/>
  <c r="AP51" i="2"/>
  <c r="AR51" i="2"/>
  <c r="AL51" i="2" s="1"/>
  <c r="AS51" i="2"/>
  <c r="AM51" i="2" s="1"/>
  <c r="AT51" i="2"/>
  <c r="AN51" i="2" s="1"/>
  <c r="AP52" i="2"/>
  <c r="AR52" i="2"/>
  <c r="AL52" i="2" s="1"/>
  <c r="AS52" i="2"/>
  <c r="AM52" i="2" s="1"/>
  <c r="AT52" i="2"/>
  <c r="AP53" i="2"/>
  <c r="AR53" i="2"/>
  <c r="AS53" i="2"/>
  <c r="AT53" i="2"/>
  <c r="AN53" i="2" s="1"/>
  <c r="AP54" i="2"/>
  <c r="AR54" i="2"/>
  <c r="AL54" i="2" s="1"/>
  <c r="AS54" i="2"/>
  <c r="AM54" i="2" s="1"/>
  <c r="AT54" i="2"/>
  <c r="AN54" i="2" s="1"/>
  <c r="AP55" i="2"/>
  <c r="AR55" i="2"/>
  <c r="AL55" i="2" s="1"/>
  <c r="AS55" i="2"/>
  <c r="AM55" i="2" s="1"/>
  <c r="AT55" i="2"/>
  <c r="AN55" i="2" s="1"/>
  <c r="AP56" i="2"/>
  <c r="AR56" i="2"/>
  <c r="AS56" i="2"/>
  <c r="AM56" i="2" s="1"/>
  <c r="AT56" i="2"/>
  <c r="AN56" i="2" s="1"/>
  <c r="AP57" i="2"/>
  <c r="AR57" i="2"/>
  <c r="AL57" i="2" s="1"/>
  <c r="AS57" i="2"/>
  <c r="AM57" i="2" s="1"/>
  <c r="AT57" i="2"/>
  <c r="AN57" i="2" s="1"/>
  <c r="AP58" i="2"/>
  <c r="AR58" i="2"/>
  <c r="AS58" i="2"/>
  <c r="AM58" i="2" s="1"/>
  <c r="AT58" i="2"/>
  <c r="AN58" i="2" s="1"/>
  <c r="AP59" i="2"/>
  <c r="AR59" i="2"/>
  <c r="AL59" i="2" s="1"/>
  <c r="AS59" i="2"/>
  <c r="AM59" i="2" s="1"/>
  <c r="AT59" i="2"/>
  <c r="AN59" i="2" s="1"/>
  <c r="AP60" i="2"/>
  <c r="AR60" i="2"/>
  <c r="AL60" i="2" s="1"/>
  <c r="AS60" i="2"/>
  <c r="AM60" i="2" s="1"/>
  <c r="AT60" i="2"/>
  <c r="AN60" i="2" s="1"/>
  <c r="AP61" i="2"/>
  <c r="AR61" i="2"/>
  <c r="AL61" i="2" s="1"/>
  <c r="AS61" i="2"/>
  <c r="AM61" i="2" s="1"/>
  <c r="AT61" i="2"/>
  <c r="AN61" i="2" s="1"/>
  <c r="AP62" i="2"/>
  <c r="AR62" i="2"/>
  <c r="AL62" i="2" s="1"/>
  <c r="AS62" i="2"/>
  <c r="AM62" i="2" s="1"/>
  <c r="AT62" i="2"/>
  <c r="AN62" i="2" s="1"/>
  <c r="AP63" i="2"/>
  <c r="AR63" i="2"/>
  <c r="AL63" i="2" s="1"/>
  <c r="AS63" i="2"/>
  <c r="AM63" i="2" s="1"/>
  <c r="AT63" i="2"/>
  <c r="AN63" i="2" s="1"/>
  <c r="AP64" i="2"/>
  <c r="AR64" i="2"/>
  <c r="AL64" i="2" s="1"/>
  <c r="AS64" i="2"/>
  <c r="AM64" i="2" s="1"/>
  <c r="AT64" i="2"/>
  <c r="AN64" i="2" s="1"/>
  <c r="AP65" i="2"/>
  <c r="AR65" i="2"/>
  <c r="AL65" i="2" s="1"/>
  <c r="AS65" i="2"/>
  <c r="AM65" i="2" s="1"/>
  <c r="AT65" i="2"/>
  <c r="AN65" i="2" s="1"/>
  <c r="AP66" i="2"/>
  <c r="AR66" i="2"/>
  <c r="AL66" i="2" s="1"/>
  <c r="AS66" i="2"/>
  <c r="AM66" i="2" s="1"/>
  <c r="AT66" i="2"/>
  <c r="AN66" i="2" s="1"/>
  <c r="AP67" i="2"/>
  <c r="AR67" i="2"/>
  <c r="AL67" i="2" s="1"/>
  <c r="AS67" i="2"/>
  <c r="AM67" i="2" s="1"/>
  <c r="AT67" i="2"/>
  <c r="AN67" i="2" s="1"/>
  <c r="AP68" i="2"/>
  <c r="AR68" i="2"/>
  <c r="AL68" i="2" s="1"/>
  <c r="AS68" i="2"/>
  <c r="AM68" i="2" s="1"/>
  <c r="AT68" i="2"/>
  <c r="AN68" i="2" s="1"/>
  <c r="AP69" i="2"/>
  <c r="AR69" i="2"/>
  <c r="AL69" i="2" s="1"/>
  <c r="AS69" i="2"/>
  <c r="AM69" i="2" s="1"/>
  <c r="AT69" i="2"/>
  <c r="AN69" i="2" s="1"/>
  <c r="AP70" i="2"/>
  <c r="AR70" i="2"/>
  <c r="AL70" i="2" s="1"/>
  <c r="AS70" i="2"/>
  <c r="AM70" i="2" s="1"/>
  <c r="AT70" i="2"/>
  <c r="AN70" i="2" s="1"/>
  <c r="AP71" i="2"/>
  <c r="AR71" i="2"/>
  <c r="AL71" i="2" s="1"/>
  <c r="AS71" i="2"/>
  <c r="AM71" i="2" s="1"/>
  <c r="AT71" i="2"/>
  <c r="AP72" i="2"/>
  <c r="AR72" i="2"/>
  <c r="AL72" i="2" s="1"/>
  <c r="AS72" i="2"/>
  <c r="AM72" i="2" s="1"/>
  <c r="AT72" i="2"/>
  <c r="AN72" i="2" s="1"/>
  <c r="AP73" i="2"/>
  <c r="AR73" i="2"/>
  <c r="AL73" i="2" s="1"/>
  <c r="AS73" i="2"/>
  <c r="AM73" i="2" s="1"/>
  <c r="AT73" i="2"/>
  <c r="AN73" i="2" s="1"/>
  <c r="AP74" i="2"/>
  <c r="AR74" i="2"/>
  <c r="AL74" i="2" s="1"/>
  <c r="AS74" i="2"/>
  <c r="AM74" i="2" s="1"/>
  <c r="AT74" i="2"/>
  <c r="AN74" i="2" s="1"/>
  <c r="AP75" i="2"/>
  <c r="AR75" i="2"/>
  <c r="AL75" i="2" s="1"/>
  <c r="AS75" i="2"/>
  <c r="AM75" i="2" s="1"/>
  <c r="AT75" i="2"/>
  <c r="AN75" i="2" s="1"/>
  <c r="AP76" i="2"/>
  <c r="AR76" i="2"/>
  <c r="AL76" i="2" s="1"/>
  <c r="AS76" i="2"/>
  <c r="AM76" i="2" s="1"/>
  <c r="AT76" i="2"/>
  <c r="AN76" i="2" s="1"/>
  <c r="AP77" i="2"/>
  <c r="AR77" i="2"/>
  <c r="AL77" i="2" s="1"/>
  <c r="AS77" i="2"/>
  <c r="AM77" i="2" s="1"/>
  <c r="AT77" i="2"/>
  <c r="AP78" i="2"/>
  <c r="AR78" i="2"/>
  <c r="AL78" i="2" s="1"/>
  <c r="AS78" i="2"/>
  <c r="AM78" i="2" s="1"/>
  <c r="AT78" i="2"/>
  <c r="AN78" i="2" s="1"/>
  <c r="AP79" i="2"/>
  <c r="AR79" i="2"/>
  <c r="AL79" i="2" s="1"/>
  <c r="AS79" i="2"/>
  <c r="AM79" i="2" s="1"/>
  <c r="AT79" i="2"/>
  <c r="AN79" i="2" s="1"/>
  <c r="AP80" i="2"/>
  <c r="AR80" i="2"/>
  <c r="AL80" i="2" s="1"/>
  <c r="AS80" i="2"/>
  <c r="AT80" i="2"/>
  <c r="AN80" i="2" s="1"/>
  <c r="AP81" i="2"/>
  <c r="AR81" i="2"/>
  <c r="AL81" i="2" s="1"/>
  <c r="AS81" i="2"/>
  <c r="AM81" i="2" s="1"/>
  <c r="AT81" i="2"/>
  <c r="AN81" i="2" s="1"/>
  <c r="AP82" i="2"/>
  <c r="AR82" i="2"/>
  <c r="AL82" i="2" s="1"/>
  <c r="AS82" i="2"/>
  <c r="AM82" i="2" s="1"/>
  <c r="AT82" i="2"/>
  <c r="AN82" i="2" s="1"/>
  <c r="AP83" i="2"/>
  <c r="AR83" i="2"/>
  <c r="AL83" i="2" s="1"/>
  <c r="AS83" i="2"/>
  <c r="AT83" i="2"/>
  <c r="AN83" i="2" s="1"/>
  <c r="AP84" i="2"/>
  <c r="AR84" i="2"/>
  <c r="AL84" i="2" s="1"/>
  <c r="AS84" i="2"/>
  <c r="AM84" i="2" s="1"/>
  <c r="AT84" i="2"/>
  <c r="AN84" i="2" s="1"/>
  <c r="AP85" i="2"/>
  <c r="AR85" i="2"/>
  <c r="AL85" i="2" s="1"/>
  <c r="AS85" i="2"/>
  <c r="AM85" i="2" s="1"/>
  <c r="AT85" i="2"/>
  <c r="AN85" i="2" s="1"/>
  <c r="AP86" i="2"/>
  <c r="AR86" i="2"/>
  <c r="AL86" i="2" s="1"/>
  <c r="AS86" i="2"/>
  <c r="AM86" i="2" s="1"/>
  <c r="AT86" i="2"/>
  <c r="AN86" i="2" s="1"/>
  <c r="AP87" i="2"/>
  <c r="AR87" i="2"/>
  <c r="AL87" i="2" s="1"/>
  <c r="AS87" i="2"/>
  <c r="AM87" i="2" s="1"/>
  <c r="AT87" i="2"/>
  <c r="AN87" i="2" s="1"/>
  <c r="AP88" i="2"/>
  <c r="AR88" i="2"/>
  <c r="AL88" i="2" s="1"/>
  <c r="AS88" i="2"/>
  <c r="AT88" i="2"/>
  <c r="AN88" i="2" s="1"/>
  <c r="AP89" i="2"/>
  <c r="AR89" i="2"/>
  <c r="AL89" i="2" s="1"/>
  <c r="AS89" i="2"/>
  <c r="AM89" i="2" s="1"/>
  <c r="AT89" i="2"/>
  <c r="AN89" i="2" s="1"/>
  <c r="AP90" i="2"/>
  <c r="AR90" i="2"/>
  <c r="AS90" i="2"/>
  <c r="AM90" i="2" s="1"/>
  <c r="AT90" i="2"/>
  <c r="AN90" i="2" s="1"/>
  <c r="AP91" i="2"/>
  <c r="AR91" i="2"/>
  <c r="AS91" i="2"/>
  <c r="AM91" i="2" s="1"/>
  <c r="AT91" i="2"/>
  <c r="AN91" i="2" s="1"/>
  <c r="AP92" i="2"/>
  <c r="AR92" i="2"/>
  <c r="AL92" i="2" s="1"/>
  <c r="AS92" i="2"/>
  <c r="AM92" i="2" s="1"/>
  <c r="AT92" i="2"/>
  <c r="AN92" i="2" s="1"/>
  <c r="AP93" i="2"/>
  <c r="AR93" i="2"/>
  <c r="AL93" i="2" s="1"/>
  <c r="AS93" i="2"/>
  <c r="AM93" i="2" s="1"/>
  <c r="AT93" i="2"/>
  <c r="AN93" i="2" s="1"/>
  <c r="AP94" i="2"/>
  <c r="AR94" i="2"/>
  <c r="AL94" i="2" s="1"/>
  <c r="AS94" i="2"/>
  <c r="AM94" i="2" s="1"/>
  <c r="AT94" i="2"/>
  <c r="AN94" i="2" s="1"/>
  <c r="AP95" i="2"/>
  <c r="AR95" i="2"/>
  <c r="AL95" i="2" s="1"/>
  <c r="AS95" i="2"/>
  <c r="AM95" i="2" s="1"/>
  <c r="AT95" i="2"/>
  <c r="AP96" i="2"/>
  <c r="AR96" i="2"/>
  <c r="AL96" i="2" s="1"/>
  <c r="AS96" i="2"/>
  <c r="AM96" i="2" s="1"/>
  <c r="AT96" i="2"/>
  <c r="AN96" i="2" s="1"/>
  <c r="AP97" i="2"/>
  <c r="AR97" i="2"/>
  <c r="AL97" i="2" s="1"/>
  <c r="AS97" i="2"/>
  <c r="AM97" i="2" s="1"/>
  <c r="AT97" i="2"/>
  <c r="AN97" i="2" s="1"/>
  <c r="AP98" i="2"/>
  <c r="AR98" i="2"/>
  <c r="AL98" i="2" s="1"/>
  <c r="AS98" i="2"/>
  <c r="AM98" i="2" s="1"/>
  <c r="AT98" i="2"/>
  <c r="AN98" i="2" s="1"/>
  <c r="AP99" i="2"/>
  <c r="AR99" i="2"/>
  <c r="AL99" i="2" s="1"/>
  <c r="AS99" i="2"/>
  <c r="AM99" i="2" s="1"/>
  <c r="AT99" i="2"/>
  <c r="AN99" i="2" s="1"/>
  <c r="AP100" i="2"/>
  <c r="AR100" i="2"/>
  <c r="AL100" i="2" s="1"/>
  <c r="AS100" i="2"/>
  <c r="AM100" i="2" s="1"/>
  <c r="AT100" i="2"/>
  <c r="AN100" i="2" s="1"/>
  <c r="AP101" i="2"/>
  <c r="AR101" i="2"/>
  <c r="AL101" i="2" s="1"/>
  <c r="AS101" i="2"/>
  <c r="AM101" i="2" s="1"/>
  <c r="AT101" i="2"/>
  <c r="AN101" i="2" s="1"/>
  <c r="AP102" i="2"/>
  <c r="AR102" i="2"/>
  <c r="AL102" i="2" s="1"/>
  <c r="AS102" i="2"/>
  <c r="AM102" i="2" s="1"/>
  <c r="AT102" i="2"/>
  <c r="AP103" i="2"/>
  <c r="AR103" i="2"/>
  <c r="AS103" i="2"/>
  <c r="AM103" i="2" s="1"/>
  <c r="AT103" i="2"/>
  <c r="AN103" i="2" s="1"/>
  <c r="AP104" i="2"/>
  <c r="AR104" i="2"/>
  <c r="AL104" i="2" s="1"/>
  <c r="AS104" i="2"/>
  <c r="AM104" i="2" s="1"/>
  <c r="AT104" i="2"/>
  <c r="AN104" i="2" s="1"/>
  <c r="AP105" i="2"/>
  <c r="AR105" i="2"/>
  <c r="AL105" i="2" s="1"/>
  <c r="AS105" i="2"/>
  <c r="AM105" i="2" s="1"/>
  <c r="AT105" i="2"/>
  <c r="AN105" i="2" s="1"/>
  <c r="AP106" i="2"/>
  <c r="AR106" i="2"/>
  <c r="AL106" i="2" s="1"/>
  <c r="AS106" i="2"/>
  <c r="AM106" i="2" s="1"/>
  <c r="AT106" i="2"/>
  <c r="AP107" i="2"/>
  <c r="AR107" i="2"/>
  <c r="AL107" i="2" s="1"/>
  <c r="AS107" i="2"/>
  <c r="AM107" i="2" s="1"/>
  <c r="AT107" i="2"/>
  <c r="AN107" i="2" s="1"/>
  <c r="AP108" i="2"/>
  <c r="AR108" i="2"/>
  <c r="AL108" i="2" s="1"/>
  <c r="AS108" i="2"/>
  <c r="AM108" i="2" s="1"/>
  <c r="AT108" i="2"/>
  <c r="AN108" i="2" s="1"/>
  <c r="AP109" i="2"/>
  <c r="AR109" i="2"/>
  <c r="AL109" i="2" s="1"/>
  <c r="AS109" i="2"/>
  <c r="AM109" i="2" s="1"/>
  <c r="AT109" i="2"/>
  <c r="AN109" i="2" s="1"/>
  <c r="AP110" i="2"/>
  <c r="AR110" i="2"/>
  <c r="AS110" i="2"/>
  <c r="AM110" i="2" s="1"/>
  <c r="AT110" i="2"/>
  <c r="AN110" i="2" s="1"/>
  <c r="AP111" i="2"/>
  <c r="AR111" i="2"/>
  <c r="AL111" i="2" s="1"/>
  <c r="AS111" i="2"/>
  <c r="AM111" i="2" s="1"/>
  <c r="AT111" i="2"/>
  <c r="AN111" i="2" s="1"/>
  <c r="AP112" i="2"/>
  <c r="AR112" i="2"/>
  <c r="AL112" i="2" s="1"/>
  <c r="AS112" i="2"/>
  <c r="AM112" i="2" s="1"/>
  <c r="AT112" i="2"/>
  <c r="AN112" i="2" s="1"/>
  <c r="AP113" i="2"/>
  <c r="AR113" i="2"/>
  <c r="AL113" i="2" s="1"/>
  <c r="AS113" i="2"/>
  <c r="AM113" i="2" s="1"/>
  <c r="AT113" i="2"/>
  <c r="AN113" i="2" s="1"/>
  <c r="AP114" i="2"/>
  <c r="AR114" i="2"/>
  <c r="AL114" i="2" s="1"/>
  <c r="AS114" i="2"/>
  <c r="AM114" i="2" s="1"/>
  <c r="AT114" i="2"/>
  <c r="AS115" i="2"/>
  <c r="AT115" i="2"/>
  <c r="O117" i="2"/>
  <c r="C118" i="2"/>
  <c r="F118" i="2"/>
  <c r="I118" i="2"/>
  <c r="K118" i="2"/>
  <c r="M118" i="2"/>
  <c r="C119" i="2"/>
  <c r="F119" i="2"/>
  <c r="I119" i="2"/>
  <c r="K119" i="2"/>
  <c r="M119" i="2"/>
  <c r="W119" i="2"/>
  <c r="R119" i="2"/>
  <c r="U119" i="2"/>
  <c r="AA119" i="2"/>
  <c r="AD119" i="2"/>
  <c r="AG119" i="2"/>
  <c r="AI119" i="2"/>
  <c r="AK119" i="2"/>
  <c r="AS119" i="2"/>
  <c r="AM119" i="2" s="1"/>
  <c r="AT119" i="2"/>
  <c r="AN119" i="2" s="1"/>
  <c r="C120" i="2"/>
  <c r="F120" i="2"/>
  <c r="I120" i="2"/>
  <c r="K120" i="2"/>
  <c r="M120" i="2"/>
  <c r="N120" i="2"/>
  <c r="AP120" i="2" s="1"/>
  <c r="P120" i="2"/>
  <c r="AR120" i="2" s="1"/>
  <c r="R120" i="2"/>
  <c r="U120" i="2"/>
  <c r="AA120" i="2"/>
  <c r="AD120" i="2"/>
  <c r="AG120" i="2"/>
  <c r="AI120" i="2"/>
  <c r="AK120" i="2"/>
  <c r="AS120" i="2"/>
  <c r="AM120" i="2" s="1"/>
  <c r="AT120" i="2"/>
  <c r="AN120" i="2" s="1"/>
  <c r="C121" i="2"/>
  <c r="F121" i="2"/>
  <c r="I121" i="2"/>
  <c r="K121" i="2"/>
  <c r="M121" i="2"/>
  <c r="N121" i="2"/>
  <c r="P121" i="2"/>
  <c r="Y121" i="2" s="1"/>
  <c r="R121" i="2"/>
  <c r="U121" i="2"/>
  <c r="AA121" i="2"/>
  <c r="AD121" i="2"/>
  <c r="AG121" i="2"/>
  <c r="AI121" i="2"/>
  <c r="AK121" i="2"/>
  <c r="AS121" i="2"/>
  <c r="AM121" i="2" s="1"/>
  <c r="AT121" i="2"/>
  <c r="AN121" i="2" s="1"/>
  <c r="C122" i="2"/>
  <c r="F122" i="2"/>
  <c r="I122" i="2"/>
  <c r="K122" i="2"/>
  <c r="M122" i="2"/>
  <c r="N122" i="2"/>
  <c r="P122" i="2"/>
  <c r="AR122" i="2" s="1"/>
  <c r="R122" i="2"/>
  <c r="U122" i="2"/>
  <c r="AA122" i="2"/>
  <c r="AD122" i="2"/>
  <c r="AG122" i="2"/>
  <c r="AI122" i="2"/>
  <c r="AK122" i="2"/>
  <c r="AS122" i="2"/>
  <c r="AT122" i="2"/>
  <c r="AN122" i="2" s="1"/>
  <c r="C123" i="2"/>
  <c r="F123" i="2"/>
  <c r="I123" i="2"/>
  <c r="K123" i="2"/>
  <c r="M123" i="2"/>
  <c r="N123" i="2"/>
  <c r="AP123" i="2" s="1"/>
  <c r="P123" i="2"/>
  <c r="Y123" i="2" s="1"/>
  <c r="R123" i="2"/>
  <c r="U123" i="2"/>
  <c r="AA123" i="2"/>
  <c r="AD123" i="2"/>
  <c r="AG123" i="2"/>
  <c r="AI123" i="2"/>
  <c r="AK123" i="2"/>
  <c r="AS123" i="2"/>
  <c r="AM123" i="2" s="1"/>
  <c r="AT123" i="2"/>
  <c r="AN123" i="2" s="1"/>
  <c r="C124" i="2"/>
  <c r="F124" i="2"/>
  <c r="I124" i="2"/>
  <c r="K124" i="2"/>
  <c r="M124" i="2"/>
  <c r="N124" i="2"/>
  <c r="W124" i="2" s="1"/>
  <c r="P124" i="2"/>
  <c r="Y124" i="2" s="1"/>
  <c r="R124" i="2"/>
  <c r="U124" i="2"/>
  <c r="AA124" i="2"/>
  <c r="AD124" i="2"/>
  <c r="AG124" i="2"/>
  <c r="AI124" i="2"/>
  <c r="AK124" i="2"/>
  <c r="AS124" i="2"/>
  <c r="AM124" i="2" s="1"/>
  <c r="AT124" i="2"/>
  <c r="AN124" i="2" s="1"/>
  <c r="C125" i="2"/>
  <c r="F125" i="2"/>
  <c r="I125" i="2"/>
  <c r="K125" i="2"/>
  <c r="M125" i="2"/>
  <c r="N125" i="2"/>
  <c r="W125" i="2" s="1"/>
  <c r="P125" i="2"/>
  <c r="AR125" i="2" s="1"/>
  <c r="R125" i="2"/>
  <c r="U125" i="2"/>
  <c r="AA125" i="2"/>
  <c r="AD125" i="2"/>
  <c r="AG125" i="2"/>
  <c r="AI125" i="2"/>
  <c r="AK125" i="2"/>
  <c r="AS125" i="2"/>
  <c r="AM125" i="2" s="1"/>
  <c r="AT125" i="2"/>
  <c r="AN125" i="2" s="1"/>
  <c r="C126" i="2"/>
  <c r="F126" i="2"/>
  <c r="I126" i="2"/>
  <c r="K126" i="2"/>
  <c r="M126" i="2"/>
  <c r="N126" i="2"/>
  <c r="AP126" i="2" s="1"/>
  <c r="P126" i="2"/>
  <c r="R126" i="2"/>
  <c r="U126" i="2"/>
  <c r="AA126" i="2"/>
  <c r="AD126" i="2"/>
  <c r="AG126" i="2"/>
  <c r="AI126" i="2"/>
  <c r="AK126" i="2"/>
  <c r="AS126" i="2"/>
  <c r="AM126" i="2" s="1"/>
  <c r="AT126" i="2"/>
  <c r="AN126" i="2" s="1"/>
  <c r="C127" i="2"/>
  <c r="F127" i="2"/>
  <c r="I127" i="2"/>
  <c r="K127" i="2"/>
  <c r="M127" i="2"/>
  <c r="O127" i="2"/>
  <c r="R127" i="2"/>
  <c r="U127" i="2"/>
  <c r="W127" i="2"/>
  <c r="Y127" i="2"/>
  <c r="AA127" i="2"/>
  <c r="AD127" i="2"/>
  <c r="AG127" i="2"/>
  <c r="AI127" i="2"/>
  <c r="AK127" i="2"/>
  <c r="AP127" i="2"/>
  <c r="AR127" i="2"/>
  <c r="AL127" i="2" s="1"/>
  <c r="AS127" i="2"/>
  <c r="AM127" i="2" s="1"/>
  <c r="AT127" i="2"/>
  <c r="AN127" i="2" s="1"/>
  <c r="C128" i="2"/>
  <c r="F128" i="2"/>
  <c r="I128" i="2"/>
  <c r="K128" i="2"/>
  <c r="M128" i="2"/>
  <c r="O128" i="2"/>
  <c r="R128" i="2"/>
  <c r="U128" i="2"/>
  <c r="W128" i="2"/>
  <c r="Y128" i="2"/>
  <c r="AA128" i="2"/>
  <c r="AD128" i="2"/>
  <c r="AG128" i="2"/>
  <c r="AI128" i="2"/>
  <c r="AK128" i="2"/>
  <c r="AP128" i="2"/>
  <c r="AR128" i="2"/>
  <c r="AS128" i="2"/>
  <c r="AM128" i="2" s="1"/>
  <c r="AT128" i="2"/>
  <c r="AN128" i="2" s="1"/>
  <c r="C129" i="2"/>
  <c r="F129" i="2"/>
  <c r="I129" i="2"/>
  <c r="K129" i="2"/>
  <c r="M129" i="2"/>
  <c r="O129" i="2"/>
  <c r="R129" i="2"/>
  <c r="U129" i="2"/>
  <c r="W129" i="2"/>
  <c r="Y129" i="2"/>
  <c r="AA129" i="2"/>
  <c r="AD129" i="2"/>
  <c r="AG129" i="2"/>
  <c r="AI129" i="2"/>
  <c r="AK129" i="2"/>
  <c r="AP129" i="2"/>
  <c r="AR129" i="2"/>
  <c r="AL129" i="2" s="1"/>
  <c r="AS129" i="2"/>
  <c r="AT129" i="2"/>
  <c r="AN129" i="2" s="1"/>
  <c r="C130" i="2"/>
  <c r="F130" i="2"/>
  <c r="I130" i="2"/>
  <c r="K130" i="2"/>
  <c r="M130" i="2"/>
  <c r="O130" i="2"/>
  <c r="R130" i="2"/>
  <c r="U130" i="2"/>
  <c r="W130" i="2"/>
  <c r="Y130" i="2"/>
  <c r="AA130" i="2"/>
  <c r="AD130" i="2"/>
  <c r="AG130" i="2"/>
  <c r="AI130" i="2"/>
  <c r="AK130" i="2"/>
  <c r="AP130" i="2"/>
  <c r="AR130" i="2"/>
  <c r="AL130" i="2" s="1"/>
  <c r="AS130" i="2"/>
  <c r="AM130" i="2" s="1"/>
  <c r="AT130" i="2"/>
  <c r="AN130" i="2" s="1"/>
  <c r="C131" i="2"/>
  <c r="F131" i="2"/>
  <c r="I131" i="2"/>
  <c r="K131" i="2"/>
  <c r="M131" i="2"/>
  <c r="O131" i="2"/>
  <c r="R131" i="2"/>
  <c r="U131" i="2"/>
  <c r="W131" i="2"/>
  <c r="Y131" i="2"/>
  <c r="AA131" i="2"/>
  <c r="AD131" i="2"/>
  <c r="AG131" i="2"/>
  <c r="AI131" i="2"/>
  <c r="AK131" i="2"/>
  <c r="AP131" i="2"/>
  <c r="AR131" i="2"/>
  <c r="AL131" i="2" s="1"/>
  <c r="AS131" i="2"/>
  <c r="AM131" i="2" s="1"/>
  <c r="AT131" i="2"/>
  <c r="AN131" i="2" s="1"/>
  <c r="C132" i="2"/>
  <c r="F132" i="2"/>
  <c r="I132" i="2"/>
  <c r="K132" i="2"/>
  <c r="M132" i="2"/>
  <c r="O132" i="2"/>
  <c r="R132" i="2"/>
  <c r="U132" i="2"/>
  <c r="W132" i="2"/>
  <c r="X132" i="2" s="1"/>
  <c r="Y132" i="2"/>
  <c r="AA132" i="2"/>
  <c r="AD132" i="2"/>
  <c r="AG132" i="2"/>
  <c r="AI132" i="2"/>
  <c r="AK132" i="2"/>
  <c r="AP132" i="2"/>
  <c r="AR132" i="2"/>
  <c r="AL132" i="2" s="1"/>
  <c r="AS132" i="2"/>
  <c r="AM132" i="2" s="1"/>
  <c r="AT132" i="2"/>
  <c r="AN132" i="2" s="1"/>
  <c r="C133" i="2"/>
  <c r="F133" i="2"/>
  <c r="I133" i="2"/>
  <c r="K133" i="2"/>
  <c r="M133" i="2"/>
  <c r="O133" i="2"/>
  <c r="R133" i="2"/>
  <c r="U133" i="2"/>
  <c r="W133" i="2"/>
  <c r="Y133" i="2"/>
  <c r="AA133" i="2"/>
  <c r="AD133" i="2"/>
  <c r="AG133" i="2"/>
  <c r="AI133" i="2"/>
  <c r="AK133" i="2"/>
  <c r="AP133" i="2"/>
  <c r="AR133" i="2"/>
  <c r="AL133" i="2" s="1"/>
  <c r="AS133" i="2"/>
  <c r="AM133" i="2" s="1"/>
  <c r="AT133" i="2"/>
  <c r="AN133" i="2" s="1"/>
  <c r="C134" i="2"/>
  <c r="F134" i="2"/>
  <c r="I134" i="2"/>
  <c r="K134" i="2"/>
  <c r="M134" i="2"/>
  <c r="O134" i="2"/>
  <c r="R134" i="2"/>
  <c r="U134" i="2"/>
  <c r="W134" i="2"/>
  <c r="Y134" i="2"/>
  <c r="AA134" i="2"/>
  <c r="AD134" i="2"/>
  <c r="AG134" i="2"/>
  <c r="AI134" i="2"/>
  <c r="AK134" i="2"/>
  <c r="AP134" i="2"/>
  <c r="AR134" i="2"/>
  <c r="AS134" i="2"/>
  <c r="AM134" i="2" s="1"/>
  <c r="AT134" i="2"/>
  <c r="AN134" i="2" s="1"/>
  <c r="C135" i="2"/>
  <c r="F135" i="2"/>
  <c r="I135" i="2"/>
  <c r="K135" i="2"/>
  <c r="M135" i="2"/>
  <c r="O135" i="2"/>
  <c r="R135" i="2"/>
  <c r="U135" i="2"/>
  <c r="W135" i="2"/>
  <c r="Y135" i="2"/>
  <c r="AA135" i="2"/>
  <c r="AD135" i="2"/>
  <c r="AG135" i="2"/>
  <c r="AI135" i="2"/>
  <c r="AK135" i="2"/>
  <c r="AP135" i="2"/>
  <c r="AR135" i="2"/>
  <c r="AL135" i="2" s="1"/>
  <c r="AS135" i="2"/>
  <c r="AM135" i="2" s="1"/>
  <c r="AT135" i="2"/>
  <c r="AN135" i="2" s="1"/>
  <c r="C136" i="2"/>
  <c r="F136" i="2"/>
  <c r="I136" i="2"/>
  <c r="K136" i="2"/>
  <c r="M136" i="2"/>
  <c r="O136" i="2"/>
  <c r="R136" i="2"/>
  <c r="U136" i="2"/>
  <c r="W136" i="2"/>
  <c r="Y136" i="2"/>
  <c r="AA136" i="2"/>
  <c r="AD136" i="2"/>
  <c r="AG136" i="2"/>
  <c r="AI136" i="2"/>
  <c r="AK136" i="2"/>
  <c r="AP136" i="2"/>
  <c r="AR136" i="2"/>
  <c r="AL136" i="2" s="1"/>
  <c r="AS136" i="2"/>
  <c r="AM136" i="2" s="1"/>
  <c r="AT136" i="2"/>
  <c r="AN136" i="2" s="1"/>
  <c r="C137" i="2"/>
  <c r="F137" i="2"/>
  <c r="I137" i="2"/>
  <c r="K137" i="2"/>
  <c r="M137" i="2"/>
  <c r="O137" i="2"/>
  <c r="R137" i="2"/>
  <c r="U137" i="2"/>
  <c r="W137" i="2"/>
  <c r="Y137" i="2"/>
  <c r="AA137" i="2"/>
  <c r="AD137" i="2"/>
  <c r="AG137" i="2"/>
  <c r="AI137" i="2"/>
  <c r="AK137" i="2"/>
  <c r="AP137" i="2"/>
  <c r="AR137" i="2"/>
  <c r="AL137" i="2" s="1"/>
  <c r="AS137" i="2"/>
  <c r="AM137" i="2" s="1"/>
  <c r="AT137" i="2"/>
  <c r="AN137" i="2" s="1"/>
  <c r="C138" i="2"/>
  <c r="F138" i="2"/>
  <c r="I138" i="2"/>
  <c r="K138" i="2"/>
  <c r="M138" i="2"/>
  <c r="O138" i="2"/>
  <c r="R138" i="2"/>
  <c r="U138" i="2"/>
  <c r="W138" i="2"/>
  <c r="Y138" i="2"/>
  <c r="AA138" i="2"/>
  <c r="AD138" i="2"/>
  <c r="AG138" i="2"/>
  <c r="AI138" i="2"/>
  <c r="AK138" i="2"/>
  <c r="AP138" i="2"/>
  <c r="AR138" i="2"/>
  <c r="AL138" i="2" s="1"/>
  <c r="AS138" i="2"/>
  <c r="AM138" i="2" s="1"/>
  <c r="AT138" i="2"/>
  <c r="AN138" i="2" s="1"/>
  <c r="C139" i="2"/>
  <c r="F139" i="2"/>
  <c r="I139" i="2"/>
  <c r="K139" i="2"/>
  <c r="M139" i="2"/>
  <c r="O139" i="2"/>
  <c r="R139" i="2"/>
  <c r="U139" i="2"/>
  <c r="W139" i="2"/>
  <c r="Y139" i="2"/>
  <c r="AA139" i="2"/>
  <c r="AD139" i="2"/>
  <c r="AG139" i="2"/>
  <c r="AI139" i="2"/>
  <c r="AK139" i="2"/>
  <c r="AP139" i="2"/>
  <c r="AR139" i="2"/>
  <c r="AL139" i="2" s="1"/>
  <c r="AS139" i="2"/>
  <c r="AM139" i="2" s="1"/>
  <c r="AT139" i="2"/>
  <c r="AN139" i="2" s="1"/>
  <c r="C140" i="2"/>
  <c r="F140" i="2"/>
  <c r="I140" i="2"/>
  <c r="K140" i="2"/>
  <c r="M140" i="2"/>
  <c r="O140" i="2"/>
  <c r="R140" i="2"/>
  <c r="U140" i="2"/>
  <c r="W140" i="2"/>
  <c r="Y140" i="2"/>
  <c r="AA140" i="2"/>
  <c r="AD140" i="2"/>
  <c r="AG140" i="2"/>
  <c r="AI140" i="2"/>
  <c r="AK140" i="2"/>
  <c r="AP140" i="2"/>
  <c r="AR140" i="2"/>
  <c r="AL140" i="2" s="1"/>
  <c r="AS140" i="2"/>
  <c r="AM140" i="2" s="1"/>
  <c r="AT140" i="2"/>
  <c r="AN140" i="2" s="1"/>
  <c r="C141" i="2"/>
  <c r="F141" i="2"/>
  <c r="I141" i="2"/>
  <c r="K141" i="2"/>
  <c r="M141" i="2"/>
  <c r="O141" i="2"/>
  <c r="R141" i="2"/>
  <c r="U141" i="2"/>
  <c r="W141" i="2"/>
  <c r="Y141" i="2"/>
  <c r="AA141" i="2"/>
  <c r="AD141" i="2"/>
  <c r="AG141" i="2"/>
  <c r="AI141" i="2"/>
  <c r="AK141" i="2"/>
  <c r="AP141" i="2"/>
  <c r="AR141" i="2"/>
  <c r="AL141" i="2" s="1"/>
  <c r="AS141" i="2"/>
  <c r="AM141" i="2" s="1"/>
  <c r="AT141" i="2"/>
  <c r="AN141" i="2" s="1"/>
  <c r="C142" i="2"/>
  <c r="F142" i="2"/>
  <c r="I142" i="2"/>
  <c r="K142" i="2"/>
  <c r="M142" i="2"/>
  <c r="O142" i="2"/>
  <c r="R142" i="2"/>
  <c r="U142" i="2"/>
  <c r="W142" i="2"/>
  <c r="Y142" i="2"/>
  <c r="AA142" i="2"/>
  <c r="AD142" i="2"/>
  <c r="AG142" i="2"/>
  <c r="AI142" i="2"/>
  <c r="AK142" i="2"/>
  <c r="AP142" i="2"/>
  <c r="AR142" i="2"/>
  <c r="AL142" i="2" s="1"/>
  <c r="AS142" i="2"/>
  <c r="AM142" i="2" s="1"/>
  <c r="AT142" i="2"/>
  <c r="AN142" i="2" s="1"/>
  <c r="C143" i="2"/>
  <c r="F143" i="2"/>
  <c r="I143" i="2"/>
  <c r="K143" i="2"/>
  <c r="M143" i="2"/>
  <c r="O143" i="2"/>
  <c r="R143" i="2"/>
  <c r="U143" i="2"/>
  <c r="W143" i="2"/>
  <c r="Y143" i="2"/>
  <c r="AA143" i="2"/>
  <c r="AD143" i="2"/>
  <c r="AG143" i="2"/>
  <c r="AI143" i="2"/>
  <c r="AK143" i="2"/>
  <c r="AP143" i="2"/>
  <c r="AR143" i="2"/>
  <c r="AL143" i="2" s="1"/>
  <c r="AS143" i="2"/>
  <c r="AM143" i="2" s="1"/>
  <c r="AT143" i="2"/>
  <c r="AN143" i="2" s="1"/>
  <c r="C144" i="2"/>
  <c r="F144" i="2"/>
  <c r="I144" i="2"/>
  <c r="K144" i="2"/>
  <c r="M144" i="2"/>
  <c r="O144" i="2"/>
  <c r="R144" i="2"/>
  <c r="U144" i="2"/>
  <c r="W144" i="2"/>
  <c r="Y144" i="2"/>
  <c r="AA144" i="2"/>
  <c r="AD144" i="2"/>
  <c r="AG144" i="2"/>
  <c r="AI144" i="2"/>
  <c r="AK144" i="2"/>
  <c r="AP144" i="2"/>
  <c r="AR144" i="2"/>
  <c r="AL144" i="2" s="1"/>
  <c r="AS144" i="2"/>
  <c r="AM144" i="2" s="1"/>
  <c r="AT144" i="2"/>
  <c r="AN144" i="2" s="1"/>
  <c r="C145" i="2"/>
  <c r="F145" i="2"/>
  <c r="I145" i="2"/>
  <c r="K145" i="2"/>
  <c r="M145" i="2"/>
  <c r="O145" i="2"/>
  <c r="R145" i="2"/>
  <c r="U145" i="2"/>
  <c r="W145" i="2"/>
  <c r="Y145" i="2"/>
  <c r="AA145" i="2"/>
  <c r="AD145" i="2"/>
  <c r="AG145" i="2"/>
  <c r="AI145" i="2"/>
  <c r="AK145" i="2"/>
  <c r="AP145" i="2"/>
  <c r="AR145" i="2"/>
  <c r="AL145" i="2" s="1"/>
  <c r="AS145" i="2"/>
  <c r="AM145" i="2" s="1"/>
  <c r="AT145" i="2"/>
  <c r="AN145" i="2" s="1"/>
  <c r="C146" i="2"/>
  <c r="F146" i="2"/>
  <c r="I146" i="2"/>
  <c r="K146" i="2"/>
  <c r="M146" i="2"/>
  <c r="O146" i="2"/>
  <c r="R146" i="2"/>
  <c r="U146" i="2"/>
  <c r="W146" i="2"/>
  <c r="Y146" i="2"/>
  <c r="AA146" i="2"/>
  <c r="AD146" i="2"/>
  <c r="AG146" i="2"/>
  <c r="AI146" i="2"/>
  <c r="AK146" i="2"/>
  <c r="AP146" i="2"/>
  <c r="AR146" i="2"/>
  <c r="AS146" i="2"/>
  <c r="AM146" i="2" s="1"/>
  <c r="AT146" i="2"/>
  <c r="AN146" i="2" s="1"/>
  <c r="C147" i="2"/>
  <c r="F147" i="2"/>
  <c r="I147" i="2"/>
  <c r="K147" i="2"/>
  <c r="M147" i="2"/>
  <c r="O147" i="2"/>
  <c r="R147" i="2"/>
  <c r="U147" i="2"/>
  <c r="W147" i="2"/>
  <c r="Y147" i="2"/>
  <c r="AA147" i="2"/>
  <c r="AD147" i="2"/>
  <c r="AG147" i="2"/>
  <c r="AI147" i="2"/>
  <c r="AK147" i="2"/>
  <c r="AP147" i="2"/>
  <c r="AR147" i="2"/>
  <c r="AL147" i="2" s="1"/>
  <c r="AS147" i="2"/>
  <c r="AM147" i="2" s="1"/>
  <c r="AT147" i="2"/>
  <c r="AN147" i="2" s="1"/>
  <c r="C148" i="2"/>
  <c r="F148" i="2"/>
  <c r="I148" i="2"/>
  <c r="K148" i="2"/>
  <c r="M148" i="2"/>
  <c r="O148" i="2"/>
  <c r="R148" i="2"/>
  <c r="U148" i="2"/>
  <c r="W148" i="2"/>
  <c r="Y148" i="2"/>
  <c r="AA148" i="2"/>
  <c r="AD148" i="2"/>
  <c r="AG148" i="2"/>
  <c r="AI148" i="2"/>
  <c r="AK148" i="2"/>
  <c r="AP148" i="2"/>
  <c r="AR148" i="2"/>
  <c r="AL148" i="2" s="1"/>
  <c r="AS148" i="2"/>
  <c r="AT148" i="2"/>
  <c r="AN148" i="2" s="1"/>
  <c r="C149" i="2"/>
  <c r="F149" i="2"/>
  <c r="I149" i="2"/>
  <c r="K149" i="2"/>
  <c r="M149" i="2"/>
  <c r="O149" i="2"/>
  <c r="R149" i="2"/>
  <c r="U149" i="2"/>
  <c r="W149" i="2"/>
  <c r="Y149" i="2"/>
  <c r="AA149" i="2"/>
  <c r="AD149" i="2"/>
  <c r="AG149" i="2"/>
  <c r="AI149" i="2"/>
  <c r="AK149" i="2"/>
  <c r="AP149" i="2"/>
  <c r="AR149" i="2"/>
  <c r="AL149" i="2" s="1"/>
  <c r="AS149" i="2"/>
  <c r="AM149" i="2" s="1"/>
  <c r="AT149" i="2"/>
  <c r="AN149" i="2" s="1"/>
  <c r="C150" i="2"/>
  <c r="F150" i="2"/>
  <c r="I150" i="2"/>
  <c r="K150" i="2"/>
  <c r="M150" i="2"/>
  <c r="O150" i="2"/>
  <c r="R150" i="2"/>
  <c r="U150" i="2"/>
  <c r="W150" i="2"/>
  <c r="Y150" i="2"/>
  <c r="AA150" i="2"/>
  <c r="AD150" i="2"/>
  <c r="AG150" i="2"/>
  <c r="AI150" i="2"/>
  <c r="AK150" i="2"/>
  <c r="AP150" i="2"/>
  <c r="AR150" i="2"/>
  <c r="AL150" i="2" s="1"/>
  <c r="AS150" i="2"/>
  <c r="AM150" i="2" s="1"/>
  <c r="AT150" i="2"/>
  <c r="AN150" i="2" s="1"/>
  <c r="C151" i="2"/>
  <c r="F151" i="2"/>
  <c r="I151" i="2"/>
  <c r="K151" i="2"/>
  <c r="M151" i="2"/>
  <c r="O151" i="2"/>
  <c r="R151" i="2"/>
  <c r="U151" i="2"/>
  <c r="W151" i="2"/>
  <c r="Y151" i="2"/>
  <c r="AA151" i="2"/>
  <c r="AD151" i="2"/>
  <c r="AG151" i="2"/>
  <c r="AI151" i="2"/>
  <c r="AK151" i="2"/>
  <c r="AP151" i="2"/>
  <c r="AR151" i="2"/>
  <c r="AS151" i="2"/>
  <c r="AM151" i="2" s="1"/>
  <c r="AT151" i="2"/>
  <c r="AN151" i="2" s="1"/>
  <c r="C152" i="2"/>
  <c r="F152" i="2"/>
  <c r="I152" i="2"/>
  <c r="K152" i="2"/>
  <c r="M152" i="2"/>
  <c r="O152" i="2"/>
  <c r="R152" i="2"/>
  <c r="U152" i="2"/>
  <c r="W152" i="2"/>
  <c r="Y152" i="2"/>
  <c r="AA152" i="2"/>
  <c r="AD152" i="2"/>
  <c r="AG152" i="2"/>
  <c r="AI152" i="2"/>
  <c r="AK152" i="2"/>
  <c r="AP152" i="2"/>
  <c r="AR152" i="2"/>
  <c r="AL152" i="2" s="1"/>
  <c r="AS152" i="2"/>
  <c r="AM152" i="2" s="1"/>
  <c r="AT152" i="2"/>
  <c r="AN152" i="2" s="1"/>
  <c r="C153" i="2"/>
  <c r="F153" i="2"/>
  <c r="I153" i="2"/>
  <c r="K153" i="2"/>
  <c r="M153" i="2"/>
  <c r="O153" i="2"/>
  <c r="R153" i="2"/>
  <c r="U153" i="2"/>
  <c r="W153" i="2"/>
  <c r="Y153" i="2"/>
  <c r="AA153" i="2"/>
  <c r="AD153" i="2"/>
  <c r="AG153" i="2"/>
  <c r="AI153" i="2"/>
  <c r="AK153" i="2"/>
  <c r="AP153" i="2"/>
  <c r="AR153" i="2"/>
  <c r="AL153" i="2" s="1"/>
  <c r="AS153" i="2"/>
  <c r="AM153" i="2" s="1"/>
  <c r="AT153" i="2"/>
  <c r="AN153" i="2" s="1"/>
  <c r="C154" i="2"/>
  <c r="F154" i="2"/>
  <c r="I154" i="2"/>
  <c r="K154" i="2"/>
  <c r="M154" i="2"/>
  <c r="O154" i="2"/>
  <c r="R154" i="2"/>
  <c r="U154" i="2"/>
  <c r="W154" i="2"/>
  <c r="Y154" i="2"/>
  <c r="AA154" i="2"/>
  <c r="AD154" i="2"/>
  <c r="AG154" i="2"/>
  <c r="AI154" i="2"/>
  <c r="AK154" i="2"/>
  <c r="AP154" i="2"/>
  <c r="AR154" i="2"/>
  <c r="AS154" i="2"/>
  <c r="AM154" i="2" s="1"/>
  <c r="AT154" i="2"/>
  <c r="AN154" i="2" s="1"/>
  <c r="C155" i="2"/>
  <c r="F155" i="2"/>
  <c r="I155" i="2"/>
  <c r="K155" i="2"/>
  <c r="M155" i="2"/>
  <c r="O155" i="2"/>
  <c r="R155" i="2"/>
  <c r="U155" i="2"/>
  <c r="W155" i="2"/>
  <c r="Y155" i="2"/>
  <c r="AA155" i="2"/>
  <c r="AD155" i="2"/>
  <c r="AG155" i="2"/>
  <c r="AI155" i="2"/>
  <c r="AK155" i="2"/>
  <c r="AJ155" i="2" s="1"/>
  <c r="AP155" i="2"/>
  <c r="AR155" i="2"/>
  <c r="AL155" i="2" s="1"/>
  <c r="AS155" i="2"/>
  <c r="AM155" i="2" s="1"/>
  <c r="AT155" i="2"/>
  <c r="AN155" i="2" s="1"/>
  <c r="C156" i="2"/>
  <c r="F156" i="2"/>
  <c r="I156" i="2"/>
  <c r="K156" i="2"/>
  <c r="M156" i="2"/>
  <c r="O156" i="2"/>
  <c r="R156" i="2"/>
  <c r="U156" i="2"/>
  <c r="W156" i="2"/>
  <c r="Y156" i="2"/>
  <c r="AA156" i="2"/>
  <c r="AD156" i="2"/>
  <c r="AG156" i="2"/>
  <c r="AI156" i="2"/>
  <c r="AK156" i="2"/>
  <c r="AP156" i="2"/>
  <c r="AR156" i="2"/>
  <c r="AL156" i="2" s="1"/>
  <c r="AS156" i="2"/>
  <c r="AM156" i="2" s="1"/>
  <c r="AT156" i="2"/>
  <c r="AN156" i="2" s="1"/>
  <c r="C157" i="2"/>
  <c r="F157" i="2"/>
  <c r="I157" i="2"/>
  <c r="K157" i="2"/>
  <c r="M157" i="2"/>
  <c r="O157" i="2"/>
  <c r="R157" i="2"/>
  <c r="U157" i="2"/>
  <c r="W157" i="2"/>
  <c r="Y157" i="2"/>
  <c r="AA157" i="2"/>
  <c r="AD157" i="2"/>
  <c r="AG157" i="2"/>
  <c r="AI157" i="2"/>
  <c r="AK157" i="2"/>
  <c r="AP157" i="2"/>
  <c r="AR157" i="2"/>
  <c r="AL157" i="2" s="1"/>
  <c r="AS157" i="2"/>
  <c r="AM157" i="2" s="1"/>
  <c r="AT157" i="2"/>
  <c r="AN157" i="2" s="1"/>
  <c r="C158" i="2"/>
  <c r="F158" i="2"/>
  <c r="I158" i="2"/>
  <c r="K158" i="2"/>
  <c r="M158" i="2"/>
  <c r="O158" i="2"/>
  <c r="R158" i="2"/>
  <c r="U158" i="2"/>
  <c r="W158" i="2"/>
  <c r="Y158" i="2"/>
  <c r="AA158" i="2"/>
  <c r="AD158" i="2"/>
  <c r="AG158" i="2"/>
  <c r="AI158" i="2"/>
  <c r="AK158" i="2"/>
  <c r="AP158" i="2"/>
  <c r="AR158" i="2"/>
  <c r="AL158" i="2" s="1"/>
  <c r="AS158" i="2"/>
  <c r="AM158" i="2" s="1"/>
  <c r="AT158" i="2"/>
  <c r="AN158" i="2" s="1"/>
  <c r="C159" i="2"/>
  <c r="F159" i="2"/>
  <c r="I159" i="2"/>
  <c r="K159" i="2"/>
  <c r="M159" i="2"/>
  <c r="O159" i="2"/>
  <c r="R159" i="2"/>
  <c r="U159" i="2"/>
  <c r="W159" i="2"/>
  <c r="Y159" i="2"/>
  <c r="AA159" i="2"/>
  <c r="AD159" i="2"/>
  <c r="AG159" i="2"/>
  <c r="AI159" i="2"/>
  <c r="AK159" i="2"/>
  <c r="AP159" i="2"/>
  <c r="AR159" i="2"/>
  <c r="AL159" i="2" s="1"/>
  <c r="AS159" i="2"/>
  <c r="AM159" i="2" s="1"/>
  <c r="AT159" i="2"/>
  <c r="AN159" i="2" s="1"/>
  <c r="C160" i="2"/>
  <c r="F160" i="2"/>
  <c r="I160" i="2"/>
  <c r="K160" i="2"/>
  <c r="M160" i="2"/>
  <c r="O160" i="2"/>
  <c r="R160" i="2"/>
  <c r="U160" i="2"/>
  <c r="W160" i="2"/>
  <c r="Y160" i="2"/>
  <c r="AA160" i="2"/>
  <c r="AD160" i="2"/>
  <c r="AG160" i="2"/>
  <c r="AI160" i="2"/>
  <c r="AK160" i="2"/>
  <c r="AP160" i="2"/>
  <c r="AR160" i="2"/>
  <c r="AL160" i="2" s="1"/>
  <c r="AS160" i="2"/>
  <c r="AM160" i="2" s="1"/>
  <c r="AT160" i="2"/>
  <c r="AN160" i="2" s="1"/>
  <c r="C161" i="2"/>
  <c r="F161" i="2"/>
  <c r="I161" i="2"/>
  <c r="K161" i="2"/>
  <c r="M161" i="2"/>
  <c r="O161" i="2"/>
  <c r="R161" i="2"/>
  <c r="U161" i="2"/>
  <c r="W161" i="2"/>
  <c r="Y161" i="2"/>
  <c r="AA161" i="2"/>
  <c r="AD161" i="2"/>
  <c r="AG161" i="2"/>
  <c r="AI161" i="2"/>
  <c r="AK161" i="2"/>
  <c r="AP161" i="2"/>
  <c r="AR161" i="2"/>
  <c r="AL161" i="2" s="1"/>
  <c r="AS161" i="2"/>
  <c r="AT161" i="2"/>
  <c r="AN161" i="2" s="1"/>
  <c r="C162" i="2"/>
  <c r="F162" i="2"/>
  <c r="I162" i="2"/>
  <c r="K162" i="2"/>
  <c r="M162" i="2"/>
  <c r="O162" i="2"/>
  <c r="R162" i="2"/>
  <c r="U162" i="2"/>
  <c r="W162" i="2"/>
  <c r="Y162" i="2"/>
  <c r="AA162" i="2"/>
  <c r="AD162" i="2"/>
  <c r="AG162" i="2"/>
  <c r="AI162" i="2"/>
  <c r="AK162" i="2"/>
  <c r="AP162" i="2"/>
  <c r="AR162" i="2"/>
  <c r="AL162" i="2" s="1"/>
  <c r="AS162" i="2"/>
  <c r="AM162" i="2" s="1"/>
  <c r="AT162" i="2"/>
  <c r="AN162" i="2" s="1"/>
  <c r="C163" i="2"/>
  <c r="F163" i="2"/>
  <c r="I163" i="2"/>
  <c r="K163" i="2"/>
  <c r="M163" i="2"/>
  <c r="O163" i="2"/>
  <c r="R163" i="2"/>
  <c r="U163" i="2"/>
  <c r="W163" i="2"/>
  <c r="Y163" i="2"/>
  <c r="AA163" i="2"/>
  <c r="AD163" i="2"/>
  <c r="AG163" i="2"/>
  <c r="AI163" i="2"/>
  <c r="AK163" i="2"/>
  <c r="AP163" i="2"/>
  <c r="AR163" i="2"/>
  <c r="AL163" i="2" s="1"/>
  <c r="AS163" i="2"/>
  <c r="AM163" i="2" s="1"/>
  <c r="AT163" i="2"/>
  <c r="AN163" i="2" s="1"/>
  <c r="C164" i="2"/>
  <c r="F164" i="2"/>
  <c r="I164" i="2"/>
  <c r="K164" i="2"/>
  <c r="M164" i="2"/>
  <c r="O164" i="2"/>
  <c r="R164" i="2"/>
  <c r="U164" i="2"/>
  <c r="W164" i="2"/>
  <c r="Y164" i="2"/>
  <c r="AA164" i="2"/>
  <c r="AD164" i="2"/>
  <c r="AG164" i="2"/>
  <c r="AI164" i="2"/>
  <c r="AK164" i="2"/>
  <c r="AP164" i="2"/>
  <c r="AR164" i="2"/>
  <c r="AL164" i="2" s="1"/>
  <c r="AS164" i="2"/>
  <c r="AM164" i="2" s="1"/>
  <c r="AT164" i="2"/>
  <c r="AN164" i="2" s="1"/>
  <c r="C165" i="2"/>
  <c r="F165" i="2"/>
  <c r="I165" i="2"/>
  <c r="K165" i="2"/>
  <c r="M165" i="2"/>
  <c r="O165" i="2"/>
  <c r="R165" i="2"/>
  <c r="U165" i="2"/>
  <c r="W165" i="2"/>
  <c r="Y165" i="2"/>
  <c r="AA165" i="2"/>
  <c r="AD165" i="2"/>
  <c r="AG165" i="2"/>
  <c r="AI165" i="2"/>
  <c r="AK165" i="2"/>
  <c r="AP165" i="2"/>
  <c r="AR165" i="2"/>
  <c r="AL165" i="2" s="1"/>
  <c r="AS165" i="2"/>
  <c r="AM165" i="2" s="1"/>
  <c r="AT165" i="2"/>
  <c r="AN165" i="2" s="1"/>
  <c r="C166" i="2"/>
  <c r="F166" i="2"/>
  <c r="I166" i="2"/>
  <c r="K166" i="2"/>
  <c r="M166" i="2"/>
  <c r="O166" i="2"/>
  <c r="R166" i="2"/>
  <c r="U166" i="2"/>
  <c r="W166" i="2"/>
  <c r="Y166" i="2"/>
  <c r="AA166" i="2"/>
  <c r="AD166" i="2"/>
  <c r="AG166" i="2"/>
  <c r="AI166" i="2"/>
  <c r="AK166" i="2"/>
  <c r="AP166" i="2"/>
  <c r="AR166" i="2"/>
  <c r="AL166" i="2" s="1"/>
  <c r="AS166" i="2"/>
  <c r="AM166" i="2" s="1"/>
  <c r="AT166" i="2"/>
  <c r="AN166" i="2" s="1"/>
  <c r="C167" i="2"/>
  <c r="F167" i="2"/>
  <c r="I167" i="2"/>
  <c r="K167" i="2"/>
  <c r="M167" i="2"/>
  <c r="O167" i="2"/>
  <c r="R167" i="2"/>
  <c r="U167" i="2"/>
  <c r="W167" i="2"/>
  <c r="Y167" i="2"/>
  <c r="AA167" i="2"/>
  <c r="AD167" i="2"/>
  <c r="AG167" i="2"/>
  <c r="AI167" i="2"/>
  <c r="AK167" i="2"/>
  <c r="AP167" i="2"/>
  <c r="AR167" i="2"/>
  <c r="AL167" i="2" s="1"/>
  <c r="AS167" i="2"/>
  <c r="AM167" i="2" s="1"/>
  <c r="AT167" i="2"/>
  <c r="AN167" i="2" s="1"/>
  <c r="C168" i="2"/>
  <c r="F168" i="2"/>
  <c r="I168" i="2"/>
  <c r="K168" i="2"/>
  <c r="M168" i="2"/>
  <c r="O168" i="2"/>
  <c r="R168" i="2"/>
  <c r="U168" i="2"/>
  <c r="W168" i="2"/>
  <c r="Y168" i="2"/>
  <c r="AA168" i="2"/>
  <c r="AD168" i="2"/>
  <c r="AG168" i="2"/>
  <c r="AI168" i="2"/>
  <c r="AK168" i="2"/>
  <c r="AP168" i="2"/>
  <c r="AR168" i="2"/>
  <c r="AL168" i="2" s="1"/>
  <c r="AS168" i="2"/>
  <c r="AM168" i="2" s="1"/>
  <c r="AT168" i="2"/>
  <c r="AN168" i="2" s="1"/>
  <c r="C169" i="2"/>
  <c r="F169" i="2"/>
  <c r="I169" i="2"/>
  <c r="K169" i="2"/>
  <c r="M169" i="2"/>
  <c r="O169" i="2"/>
  <c r="R169" i="2"/>
  <c r="U169" i="2"/>
  <c r="W169" i="2"/>
  <c r="Y169" i="2"/>
  <c r="AA169" i="2"/>
  <c r="AD169" i="2"/>
  <c r="AG169" i="2"/>
  <c r="AI169" i="2"/>
  <c r="AK169" i="2"/>
  <c r="AP169" i="2"/>
  <c r="AR169" i="2"/>
  <c r="AL169" i="2" s="1"/>
  <c r="AS169" i="2"/>
  <c r="AT169" i="2"/>
  <c r="AN169" i="2" s="1"/>
  <c r="C170" i="2"/>
  <c r="F170" i="2"/>
  <c r="I170" i="2"/>
  <c r="K170" i="2"/>
  <c r="M170" i="2"/>
  <c r="O170" i="2"/>
  <c r="R170" i="2"/>
  <c r="U170" i="2"/>
  <c r="W170" i="2"/>
  <c r="Y170" i="2"/>
  <c r="X170" i="2" s="1"/>
  <c r="AA170" i="2"/>
  <c r="AD170" i="2"/>
  <c r="AG170" i="2"/>
  <c r="AI170" i="2"/>
  <c r="AK170" i="2"/>
  <c r="AP170" i="2"/>
  <c r="AR170" i="2"/>
  <c r="AL170" i="2" s="1"/>
  <c r="AS170" i="2"/>
  <c r="AM170" i="2" s="1"/>
  <c r="AT170" i="2"/>
  <c r="AN170" i="2" s="1"/>
  <c r="C171" i="2"/>
  <c r="F171" i="2"/>
  <c r="I171" i="2"/>
  <c r="K171" i="2"/>
  <c r="M171" i="2"/>
  <c r="O171" i="2"/>
  <c r="R171" i="2"/>
  <c r="U171" i="2"/>
  <c r="W171" i="2"/>
  <c r="Y171" i="2"/>
  <c r="AA171" i="2"/>
  <c r="AD171" i="2"/>
  <c r="AG171" i="2"/>
  <c r="AI171" i="2"/>
  <c r="AK171" i="2"/>
  <c r="AP171" i="2"/>
  <c r="AR171" i="2"/>
  <c r="AL171" i="2" s="1"/>
  <c r="AS171" i="2"/>
  <c r="AM171" i="2" s="1"/>
  <c r="AT171" i="2"/>
  <c r="AN171" i="2" s="1"/>
  <c r="C172" i="2"/>
  <c r="F172" i="2"/>
  <c r="I172" i="2"/>
  <c r="K172" i="2"/>
  <c r="M172" i="2"/>
  <c r="O172" i="2"/>
  <c r="R172" i="2"/>
  <c r="U172" i="2"/>
  <c r="W172" i="2"/>
  <c r="Y172" i="2"/>
  <c r="AA172" i="2"/>
  <c r="AD172" i="2"/>
  <c r="AG172" i="2"/>
  <c r="AI172" i="2"/>
  <c r="AK172" i="2"/>
  <c r="AP172" i="2"/>
  <c r="AR172" i="2"/>
  <c r="AL172" i="2" s="1"/>
  <c r="AS172" i="2"/>
  <c r="AM172" i="2" s="1"/>
  <c r="AT172" i="2"/>
  <c r="AN172" i="2" s="1"/>
  <c r="C173" i="2"/>
  <c r="F173" i="2"/>
  <c r="I173" i="2"/>
  <c r="K173" i="2"/>
  <c r="M173" i="2"/>
  <c r="O173" i="2"/>
  <c r="R173" i="2"/>
  <c r="U173" i="2"/>
  <c r="W173" i="2"/>
  <c r="Y173" i="2"/>
  <c r="AA173" i="2"/>
  <c r="AD173" i="2"/>
  <c r="AG173" i="2"/>
  <c r="AI173" i="2"/>
  <c r="AK173" i="2"/>
  <c r="AP173" i="2"/>
  <c r="AR173" i="2"/>
  <c r="AL173" i="2" s="1"/>
  <c r="AS173" i="2"/>
  <c r="AM173" i="2" s="1"/>
  <c r="AT173" i="2"/>
  <c r="AN173" i="2" s="1"/>
  <c r="C174" i="2"/>
  <c r="F174" i="2"/>
  <c r="I174" i="2"/>
  <c r="K174" i="2"/>
  <c r="M174" i="2"/>
  <c r="O174" i="2"/>
  <c r="R174" i="2"/>
  <c r="U174" i="2"/>
  <c r="W174" i="2"/>
  <c r="Y174" i="2"/>
  <c r="AA174" i="2"/>
  <c r="AD174" i="2"/>
  <c r="AG174" i="2"/>
  <c r="AI174" i="2"/>
  <c r="AK174" i="2"/>
  <c r="AP174" i="2"/>
  <c r="AR174" i="2"/>
  <c r="AL174" i="2" s="1"/>
  <c r="AS174" i="2"/>
  <c r="AM174" i="2" s="1"/>
  <c r="AT174" i="2"/>
  <c r="AN174" i="2" s="1"/>
  <c r="C175" i="2"/>
  <c r="F175" i="2"/>
  <c r="I175" i="2"/>
  <c r="K175" i="2"/>
  <c r="M175" i="2"/>
  <c r="O175" i="2"/>
  <c r="R175" i="2"/>
  <c r="U175" i="2"/>
  <c r="W175" i="2"/>
  <c r="Y175" i="2"/>
  <c r="AA175" i="2"/>
  <c r="AD175" i="2"/>
  <c r="AG175" i="2"/>
  <c r="AI175" i="2"/>
  <c r="AK175" i="2"/>
  <c r="AP175" i="2"/>
  <c r="AR175" i="2"/>
  <c r="AL175" i="2" s="1"/>
  <c r="AS175" i="2"/>
  <c r="AM175" i="2" s="1"/>
  <c r="AT175" i="2"/>
  <c r="AN175" i="2" s="1"/>
  <c r="C176" i="2"/>
  <c r="F176" i="2"/>
  <c r="I176" i="2"/>
  <c r="K176" i="2"/>
  <c r="M176" i="2"/>
  <c r="O176" i="2"/>
  <c r="R176" i="2"/>
  <c r="U176" i="2"/>
  <c r="W176" i="2"/>
  <c r="Y176" i="2"/>
  <c r="AA176" i="2"/>
  <c r="AD176" i="2"/>
  <c r="AG176" i="2"/>
  <c r="AI176" i="2"/>
  <c r="AK176" i="2"/>
  <c r="AP176" i="2"/>
  <c r="AR176" i="2"/>
  <c r="AS176" i="2"/>
  <c r="AM176" i="2" s="1"/>
  <c r="AT176" i="2"/>
  <c r="AN176" i="2" s="1"/>
  <c r="C177" i="2"/>
  <c r="F177" i="2"/>
  <c r="I177" i="2"/>
  <c r="K177" i="2"/>
  <c r="M177" i="2"/>
  <c r="L177" i="2" s="1"/>
  <c r="O177" i="2"/>
  <c r="R177" i="2"/>
  <c r="U177" i="2"/>
  <c r="W177" i="2"/>
  <c r="Y177" i="2"/>
  <c r="AA177" i="2"/>
  <c r="AD177" i="2"/>
  <c r="AG177" i="2"/>
  <c r="AI177" i="2"/>
  <c r="AK177" i="2"/>
  <c r="AP177" i="2"/>
  <c r="AR177" i="2"/>
  <c r="AL177" i="2" s="1"/>
  <c r="AS177" i="2"/>
  <c r="AM177" i="2" s="1"/>
  <c r="AT177" i="2"/>
  <c r="AN177" i="2" s="1"/>
  <c r="C178" i="2"/>
  <c r="F178" i="2"/>
  <c r="I178" i="2"/>
  <c r="K178" i="2"/>
  <c r="M178" i="2"/>
  <c r="O178" i="2"/>
  <c r="R178" i="2"/>
  <c r="U178" i="2"/>
  <c r="W178" i="2"/>
  <c r="Y178" i="2"/>
  <c r="X178" i="2" s="1"/>
  <c r="AA178" i="2"/>
  <c r="AD178" i="2"/>
  <c r="AG178" i="2"/>
  <c r="AI178" i="2"/>
  <c r="AK178" i="2"/>
  <c r="AP178" i="2"/>
  <c r="AR178" i="2"/>
  <c r="AL178" i="2" s="1"/>
  <c r="AS178" i="2"/>
  <c r="AM178" i="2" s="1"/>
  <c r="AT178" i="2"/>
  <c r="AN178" i="2" s="1"/>
  <c r="C179" i="2"/>
  <c r="F179" i="2"/>
  <c r="I179" i="2"/>
  <c r="K179" i="2"/>
  <c r="M179" i="2"/>
  <c r="O179" i="2"/>
  <c r="R179" i="2"/>
  <c r="U179" i="2"/>
  <c r="W179" i="2"/>
  <c r="Y179" i="2"/>
  <c r="AA179" i="2"/>
  <c r="AD179" i="2"/>
  <c r="AG179" i="2"/>
  <c r="AI179" i="2"/>
  <c r="AK179" i="2"/>
  <c r="AP179" i="2"/>
  <c r="AR179" i="2"/>
  <c r="AL179" i="2" s="1"/>
  <c r="AS179" i="2"/>
  <c r="AM179" i="2" s="1"/>
  <c r="AT179" i="2"/>
  <c r="AN179" i="2" s="1"/>
  <c r="C180" i="2"/>
  <c r="F180" i="2"/>
  <c r="I180" i="2"/>
  <c r="K180" i="2"/>
  <c r="M180" i="2"/>
  <c r="O180" i="2"/>
  <c r="R180" i="2"/>
  <c r="U180" i="2"/>
  <c r="W180" i="2"/>
  <c r="Y180" i="2"/>
  <c r="AA180" i="2"/>
  <c r="AD180" i="2"/>
  <c r="AG180" i="2"/>
  <c r="AI180" i="2"/>
  <c r="AK180" i="2"/>
  <c r="AP180" i="2"/>
  <c r="AR180" i="2"/>
  <c r="AS180" i="2"/>
  <c r="AM180" i="2" s="1"/>
  <c r="AT180" i="2"/>
  <c r="AN180" i="2" s="1"/>
  <c r="C181" i="2"/>
  <c r="F181" i="2"/>
  <c r="I181" i="2"/>
  <c r="K181" i="2"/>
  <c r="M181" i="2"/>
  <c r="O181" i="2"/>
  <c r="R181" i="2"/>
  <c r="U181" i="2"/>
  <c r="W181" i="2"/>
  <c r="Y181" i="2"/>
  <c r="AA181" i="2"/>
  <c r="AD181" i="2"/>
  <c r="AG181" i="2"/>
  <c r="AI181" i="2"/>
  <c r="AK181" i="2"/>
  <c r="AP181" i="2"/>
  <c r="AR181" i="2"/>
  <c r="AL181" i="2" s="1"/>
  <c r="AS181" i="2"/>
  <c r="AM181" i="2" s="1"/>
  <c r="AT181" i="2"/>
  <c r="AN181" i="2" s="1"/>
  <c r="C182" i="2"/>
  <c r="F182" i="2"/>
  <c r="I182" i="2"/>
  <c r="K182" i="2"/>
  <c r="M182" i="2"/>
  <c r="O182" i="2"/>
  <c r="R182" i="2"/>
  <c r="U182" i="2"/>
  <c r="W182" i="2"/>
  <c r="Y182" i="2"/>
  <c r="AA182" i="2"/>
  <c r="AD182" i="2"/>
  <c r="AG182" i="2"/>
  <c r="AI182" i="2"/>
  <c r="AK182" i="2"/>
  <c r="AP182" i="2"/>
  <c r="AR182" i="2"/>
  <c r="AL182" i="2" s="1"/>
  <c r="AS182" i="2"/>
  <c r="AM182" i="2" s="1"/>
  <c r="AT182" i="2"/>
  <c r="AN182" i="2" s="1"/>
  <c r="C183" i="2"/>
  <c r="F183" i="2"/>
  <c r="I183" i="2"/>
  <c r="K183" i="2"/>
  <c r="M183" i="2"/>
  <c r="O183" i="2"/>
  <c r="R183" i="2"/>
  <c r="U183" i="2"/>
  <c r="W183" i="2"/>
  <c r="Y183" i="2"/>
  <c r="AA183" i="2"/>
  <c r="AD183" i="2"/>
  <c r="AG183" i="2"/>
  <c r="AI183" i="2"/>
  <c r="AK183" i="2"/>
  <c r="AP183" i="2"/>
  <c r="AR183" i="2"/>
  <c r="AL183" i="2" s="1"/>
  <c r="AS183" i="2"/>
  <c r="AM183" i="2" s="1"/>
  <c r="AT183" i="2"/>
  <c r="AN183" i="2" s="1"/>
  <c r="C184" i="2"/>
  <c r="F184" i="2"/>
  <c r="I184" i="2"/>
  <c r="K184" i="2"/>
  <c r="M184" i="2"/>
  <c r="O184" i="2"/>
  <c r="R184" i="2"/>
  <c r="U184" i="2"/>
  <c r="W184" i="2"/>
  <c r="Y184" i="2"/>
  <c r="AA184" i="2"/>
  <c r="AD184" i="2"/>
  <c r="AG184" i="2"/>
  <c r="AI184" i="2"/>
  <c r="AK184" i="2"/>
  <c r="AP184" i="2"/>
  <c r="AR184" i="2"/>
  <c r="AL184" i="2" s="1"/>
  <c r="AS184" i="2"/>
  <c r="AM184" i="2" s="1"/>
  <c r="AT184" i="2"/>
  <c r="AN184" i="2" s="1"/>
  <c r="C185" i="2"/>
  <c r="F185" i="2"/>
  <c r="I185" i="2"/>
  <c r="K185" i="2"/>
  <c r="M185" i="2"/>
  <c r="O185" i="2"/>
  <c r="R185" i="2"/>
  <c r="U185" i="2"/>
  <c r="W185" i="2"/>
  <c r="Y185" i="2"/>
  <c r="AA185" i="2"/>
  <c r="AD185" i="2"/>
  <c r="AG185" i="2"/>
  <c r="AI185" i="2"/>
  <c r="AK185" i="2"/>
  <c r="AP185" i="2"/>
  <c r="AR185" i="2"/>
  <c r="AL185" i="2" s="1"/>
  <c r="AS185" i="2"/>
  <c r="AT185" i="2"/>
  <c r="AN185" i="2" s="1"/>
  <c r="C186" i="2"/>
  <c r="F186" i="2"/>
  <c r="I186" i="2"/>
  <c r="K186" i="2"/>
  <c r="M186" i="2"/>
  <c r="O186" i="2"/>
  <c r="R186" i="2"/>
  <c r="U186" i="2"/>
  <c r="W186" i="2"/>
  <c r="Y186" i="2"/>
  <c r="AA186" i="2"/>
  <c r="AD186" i="2"/>
  <c r="AG186" i="2"/>
  <c r="AI186" i="2"/>
  <c r="AK186" i="2"/>
  <c r="AP186" i="2"/>
  <c r="AR186" i="2"/>
  <c r="AL186" i="2" s="1"/>
  <c r="AS186" i="2"/>
  <c r="AT186" i="2"/>
  <c r="AN186" i="2" s="1"/>
  <c r="C187" i="2"/>
  <c r="F187" i="2"/>
  <c r="I187" i="2"/>
  <c r="K187" i="2"/>
  <c r="M187" i="2"/>
  <c r="O187" i="2"/>
  <c r="R187" i="2"/>
  <c r="U187" i="2"/>
  <c r="W187" i="2"/>
  <c r="Y187" i="2"/>
  <c r="AA187" i="2"/>
  <c r="AD187" i="2"/>
  <c r="AG187" i="2"/>
  <c r="AI187" i="2"/>
  <c r="AK187" i="2"/>
  <c r="AP187" i="2"/>
  <c r="AR187" i="2"/>
  <c r="AL187" i="2" s="1"/>
  <c r="AS187" i="2"/>
  <c r="AM187" i="2" s="1"/>
  <c r="AT187" i="2"/>
  <c r="AN187" i="2" s="1"/>
  <c r="C188" i="2"/>
  <c r="F188" i="2"/>
  <c r="I188" i="2"/>
  <c r="K188" i="2"/>
  <c r="M188" i="2"/>
  <c r="O188" i="2"/>
  <c r="R188" i="2"/>
  <c r="U188" i="2"/>
  <c r="W188" i="2"/>
  <c r="Y188" i="2"/>
  <c r="AA188" i="2"/>
  <c r="AD188" i="2"/>
  <c r="AG188" i="2"/>
  <c r="AI188" i="2"/>
  <c r="AK188" i="2"/>
  <c r="AP188" i="2"/>
  <c r="AR188" i="2"/>
  <c r="AL188" i="2" s="1"/>
  <c r="AS188" i="2"/>
  <c r="AM188" i="2" s="1"/>
  <c r="AT188" i="2"/>
  <c r="AN188" i="2" s="1"/>
  <c r="C189" i="2"/>
  <c r="F189" i="2"/>
  <c r="I189" i="2"/>
  <c r="K189" i="2"/>
  <c r="M189" i="2"/>
  <c r="O189" i="2"/>
  <c r="R189" i="2"/>
  <c r="U189" i="2"/>
  <c r="W189" i="2"/>
  <c r="Y189" i="2"/>
  <c r="AA189" i="2"/>
  <c r="AD189" i="2"/>
  <c r="AG189" i="2"/>
  <c r="AI189" i="2"/>
  <c r="AK189" i="2"/>
  <c r="AP189" i="2"/>
  <c r="AR189" i="2"/>
  <c r="AL189" i="2" s="1"/>
  <c r="AS189" i="2"/>
  <c r="AT189" i="2"/>
  <c r="AN189" i="2" s="1"/>
  <c r="C190" i="2"/>
  <c r="F190" i="2"/>
  <c r="I190" i="2"/>
  <c r="K190" i="2"/>
  <c r="M190" i="2"/>
  <c r="O190" i="2"/>
  <c r="R190" i="2"/>
  <c r="U190" i="2"/>
  <c r="W190" i="2"/>
  <c r="Y190" i="2"/>
  <c r="AA190" i="2"/>
  <c r="AD190" i="2"/>
  <c r="AG190" i="2"/>
  <c r="AI190" i="2"/>
  <c r="AK190" i="2"/>
  <c r="AP190" i="2"/>
  <c r="AR190" i="2"/>
  <c r="AL190" i="2" s="1"/>
  <c r="AS190" i="2"/>
  <c r="AM190" i="2" s="1"/>
  <c r="AT190" i="2"/>
  <c r="AN190" i="2" s="1"/>
  <c r="C191" i="2"/>
  <c r="F191" i="2"/>
  <c r="I191" i="2"/>
  <c r="K191" i="2"/>
  <c r="M191" i="2"/>
  <c r="O191" i="2"/>
  <c r="R191" i="2"/>
  <c r="U191" i="2"/>
  <c r="W191" i="2"/>
  <c r="Y191" i="2"/>
  <c r="AA191" i="2"/>
  <c r="AD191" i="2"/>
  <c r="AG191" i="2"/>
  <c r="AI191" i="2"/>
  <c r="AK191" i="2"/>
  <c r="AP191" i="2"/>
  <c r="AR191" i="2"/>
  <c r="AL191" i="2" s="1"/>
  <c r="AS191" i="2"/>
  <c r="AM191" i="2" s="1"/>
  <c r="AT191" i="2"/>
  <c r="AN191" i="2" s="1"/>
  <c r="C192" i="2"/>
  <c r="F192" i="2"/>
  <c r="I192" i="2"/>
  <c r="K192" i="2"/>
  <c r="M192" i="2"/>
  <c r="O192" i="2"/>
  <c r="R192" i="2"/>
  <c r="U192" i="2"/>
  <c r="W192" i="2"/>
  <c r="Y192" i="2"/>
  <c r="AA192" i="2"/>
  <c r="AD192" i="2"/>
  <c r="AG192" i="2"/>
  <c r="AI192" i="2"/>
  <c r="AK192" i="2"/>
  <c r="AP192" i="2"/>
  <c r="AR192" i="2"/>
  <c r="AL192" i="2" s="1"/>
  <c r="AS192" i="2"/>
  <c r="AM192" i="2" s="1"/>
  <c r="AT192" i="2"/>
  <c r="AN192" i="2" s="1"/>
  <c r="C193" i="2"/>
  <c r="F193" i="2"/>
  <c r="I193" i="2"/>
  <c r="K193" i="2"/>
  <c r="M193" i="2"/>
  <c r="O193" i="2"/>
  <c r="R193" i="2"/>
  <c r="U193" i="2"/>
  <c r="W193" i="2"/>
  <c r="Y193" i="2"/>
  <c r="AA193" i="2"/>
  <c r="AD193" i="2"/>
  <c r="AG193" i="2"/>
  <c r="AI193" i="2"/>
  <c r="AK193" i="2"/>
  <c r="AP193" i="2"/>
  <c r="AR193" i="2"/>
  <c r="AS193" i="2"/>
  <c r="AM193" i="2" s="1"/>
  <c r="AT193" i="2"/>
  <c r="AN193" i="2" s="1"/>
  <c r="C194" i="2"/>
  <c r="F194" i="2"/>
  <c r="I194" i="2"/>
  <c r="K194" i="2"/>
  <c r="M194" i="2"/>
  <c r="O194" i="2"/>
  <c r="R194" i="2"/>
  <c r="U194" i="2"/>
  <c r="W194" i="2"/>
  <c r="Y194" i="2"/>
  <c r="AA194" i="2"/>
  <c r="AD194" i="2"/>
  <c r="AG194" i="2"/>
  <c r="AI194" i="2"/>
  <c r="AK194" i="2"/>
  <c r="AP194" i="2"/>
  <c r="AR194" i="2"/>
  <c r="AL194" i="2" s="1"/>
  <c r="AS194" i="2"/>
  <c r="AM194" i="2" s="1"/>
  <c r="AT194" i="2"/>
  <c r="AN194" i="2" s="1"/>
  <c r="C195" i="2"/>
  <c r="F195" i="2"/>
  <c r="I195" i="2"/>
  <c r="K195" i="2"/>
  <c r="M195" i="2"/>
  <c r="O195" i="2"/>
  <c r="R195" i="2"/>
  <c r="U195" i="2"/>
  <c r="W195" i="2"/>
  <c r="Y195" i="2"/>
  <c r="AA195" i="2"/>
  <c r="AD195" i="2"/>
  <c r="AG195" i="2"/>
  <c r="AI195" i="2"/>
  <c r="AK195" i="2"/>
  <c r="AP195" i="2"/>
  <c r="AR195" i="2"/>
  <c r="AL195" i="2" s="1"/>
  <c r="AS195" i="2"/>
  <c r="AM195" i="2" s="1"/>
  <c r="AT195" i="2"/>
  <c r="AN195" i="2" s="1"/>
  <c r="C196" i="2"/>
  <c r="F196" i="2"/>
  <c r="I196" i="2"/>
  <c r="K196" i="2"/>
  <c r="M196" i="2"/>
  <c r="O196" i="2"/>
  <c r="R196" i="2"/>
  <c r="U196" i="2"/>
  <c r="W196" i="2"/>
  <c r="Y196" i="2"/>
  <c r="AA196" i="2"/>
  <c r="AD196" i="2"/>
  <c r="AG196" i="2"/>
  <c r="AI196" i="2"/>
  <c r="AK196" i="2"/>
  <c r="AP196" i="2"/>
  <c r="AR196" i="2"/>
  <c r="AL196" i="2" s="1"/>
  <c r="AS196" i="2"/>
  <c r="AM196" i="2" s="1"/>
  <c r="AT196" i="2"/>
  <c r="AN196" i="2" s="1"/>
  <c r="C197" i="2"/>
  <c r="F197" i="2"/>
  <c r="I197" i="2"/>
  <c r="K197" i="2"/>
  <c r="M197" i="2"/>
  <c r="O197" i="2"/>
  <c r="R197" i="2"/>
  <c r="U197" i="2"/>
  <c r="W197" i="2"/>
  <c r="Y197" i="2"/>
  <c r="AA197" i="2"/>
  <c r="AD197" i="2"/>
  <c r="AG197" i="2"/>
  <c r="AI197" i="2"/>
  <c r="AK197" i="2"/>
  <c r="AP197" i="2"/>
  <c r="AR197" i="2"/>
  <c r="AL197" i="2" s="1"/>
  <c r="AS197" i="2"/>
  <c r="AM197" i="2" s="1"/>
  <c r="AT197" i="2"/>
  <c r="AN197" i="2" s="1"/>
  <c r="C198" i="2"/>
  <c r="F198" i="2"/>
  <c r="I198" i="2"/>
  <c r="K198" i="2"/>
  <c r="M198" i="2"/>
  <c r="O198" i="2"/>
  <c r="R198" i="2"/>
  <c r="U198" i="2"/>
  <c r="W198" i="2"/>
  <c r="Y198" i="2"/>
  <c r="AA198" i="2"/>
  <c r="AD198" i="2"/>
  <c r="AG198" i="2"/>
  <c r="AI198" i="2"/>
  <c r="AK198" i="2"/>
  <c r="AP198" i="2"/>
  <c r="AR198" i="2"/>
  <c r="AL198" i="2" s="1"/>
  <c r="AS198" i="2"/>
  <c r="AT198" i="2"/>
  <c r="AN198" i="2" s="1"/>
  <c r="C199" i="2"/>
  <c r="F199" i="2"/>
  <c r="I199" i="2"/>
  <c r="K199" i="2"/>
  <c r="M199" i="2"/>
  <c r="O199" i="2"/>
  <c r="R199" i="2"/>
  <c r="U199" i="2"/>
  <c r="W199" i="2"/>
  <c r="Y199" i="2"/>
  <c r="AA199" i="2"/>
  <c r="AD199" i="2"/>
  <c r="AG199" i="2"/>
  <c r="AI199" i="2"/>
  <c r="AK199" i="2"/>
  <c r="AP199" i="2"/>
  <c r="AR199" i="2"/>
  <c r="AL199" i="2" s="1"/>
  <c r="AS199" i="2"/>
  <c r="AM199" i="2" s="1"/>
  <c r="AT199" i="2"/>
  <c r="AN199" i="2" s="1"/>
  <c r="C200" i="2"/>
  <c r="F200" i="2"/>
  <c r="I200" i="2"/>
  <c r="K200" i="2"/>
  <c r="M200" i="2"/>
  <c r="O200" i="2"/>
  <c r="R200" i="2"/>
  <c r="U200" i="2"/>
  <c r="W200" i="2"/>
  <c r="Y200" i="2"/>
  <c r="AA200" i="2"/>
  <c r="AD200" i="2"/>
  <c r="AG200" i="2"/>
  <c r="AI200" i="2"/>
  <c r="AK200" i="2"/>
  <c r="AP200" i="2"/>
  <c r="AR200" i="2"/>
  <c r="AL200" i="2" s="1"/>
  <c r="AS200" i="2"/>
  <c r="AM200" i="2" s="1"/>
  <c r="AT200" i="2"/>
  <c r="AN200" i="2" s="1"/>
  <c r="C201" i="2"/>
  <c r="F201" i="2"/>
  <c r="I201" i="2"/>
  <c r="K201" i="2"/>
  <c r="M201" i="2"/>
  <c r="O201" i="2"/>
  <c r="R201" i="2"/>
  <c r="U201" i="2"/>
  <c r="W201" i="2"/>
  <c r="Y201" i="2"/>
  <c r="AA201" i="2"/>
  <c r="AD201" i="2"/>
  <c r="AG201" i="2"/>
  <c r="AI201" i="2"/>
  <c r="AK201" i="2"/>
  <c r="AP201" i="2"/>
  <c r="AR201" i="2"/>
  <c r="AL201" i="2" s="1"/>
  <c r="AS201" i="2"/>
  <c r="AM201" i="2" s="1"/>
  <c r="AT201" i="2"/>
  <c r="AN201" i="2" s="1"/>
  <c r="C202" i="2"/>
  <c r="F202" i="2"/>
  <c r="I202" i="2"/>
  <c r="K202" i="2"/>
  <c r="M202" i="2"/>
  <c r="O202" i="2"/>
  <c r="R202" i="2"/>
  <c r="U202" i="2"/>
  <c r="W202" i="2"/>
  <c r="Y202" i="2"/>
  <c r="AA202" i="2"/>
  <c r="AD202" i="2"/>
  <c r="AG202" i="2"/>
  <c r="AI202" i="2"/>
  <c r="AK202" i="2"/>
  <c r="AP202" i="2"/>
  <c r="AR202" i="2"/>
  <c r="AL202" i="2" s="1"/>
  <c r="AS202" i="2"/>
  <c r="AM202" i="2" s="1"/>
  <c r="AT202" i="2"/>
  <c r="AN202" i="2" s="1"/>
  <c r="C203" i="2"/>
  <c r="F203" i="2"/>
  <c r="I203" i="2"/>
  <c r="K203" i="2"/>
  <c r="M203" i="2"/>
  <c r="O203" i="2"/>
  <c r="R203" i="2"/>
  <c r="U203" i="2"/>
  <c r="W203" i="2"/>
  <c r="Y203" i="2"/>
  <c r="AA203" i="2"/>
  <c r="AD203" i="2"/>
  <c r="AG203" i="2"/>
  <c r="AI203" i="2"/>
  <c r="AK203" i="2"/>
  <c r="AP203" i="2"/>
  <c r="AR203" i="2"/>
  <c r="AL203" i="2" s="1"/>
  <c r="AS203" i="2"/>
  <c r="AM203" i="2" s="1"/>
  <c r="AT203" i="2"/>
  <c r="AN203" i="2" s="1"/>
  <c r="C204" i="2"/>
  <c r="F204" i="2"/>
  <c r="I204" i="2"/>
  <c r="K204" i="2"/>
  <c r="M204" i="2"/>
  <c r="O204" i="2"/>
  <c r="R204" i="2"/>
  <c r="U204" i="2"/>
  <c r="W204" i="2"/>
  <c r="Y204" i="2"/>
  <c r="AA204" i="2"/>
  <c r="AD204" i="2"/>
  <c r="AG204" i="2"/>
  <c r="AI204" i="2"/>
  <c r="AK204" i="2"/>
  <c r="AP204" i="2"/>
  <c r="AR204" i="2"/>
  <c r="AL204" i="2" s="1"/>
  <c r="AS204" i="2"/>
  <c r="AM204" i="2" s="1"/>
  <c r="AT204" i="2"/>
  <c r="C205" i="2"/>
  <c r="F205" i="2"/>
  <c r="I205" i="2"/>
  <c r="K205" i="2"/>
  <c r="M205" i="2"/>
  <c r="O205" i="2"/>
  <c r="R205" i="2"/>
  <c r="U205" i="2"/>
  <c r="W205" i="2"/>
  <c r="Y205" i="2"/>
  <c r="AA205" i="2"/>
  <c r="AD205" i="2"/>
  <c r="AG205" i="2"/>
  <c r="AI205" i="2"/>
  <c r="AK205" i="2"/>
  <c r="AP205" i="2"/>
  <c r="AR205" i="2"/>
  <c r="AL205" i="2" s="1"/>
  <c r="AS205" i="2"/>
  <c r="AM205" i="2" s="1"/>
  <c r="AT205" i="2"/>
  <c r="AN205" i="2" s="1"/>
  <c r="C206" i="2"/>
  <c r="F206" i="2"/>
  <c r="I206" i="2"/>
  <c r="K206" i="2"/>
  <c r="M206" i="2"/>
  <c r="O206" i="2"/>
  <c r="R206" i="2"/>
  <c r="U206" i="2"/>
  <c r="W206" i="2"/>
  <c r="Y206" i="2"/>
  <c r="AA206" i="2"/>
  <c r="AD206" i="2"/>
  <c r="AG206" i="2"/>
  <c r="AI206" i="2"/>
  <c r="AK206" i="2"/>
  <c r="AP206" i="2"/>
  <c r="AR206" i="2"/>
  <c r="AL206" i="2" s="1"/>
  <c r="AS206" i="2"/>
  <c r="AT206" i="2"/>
  <c r="AN206" i="2" s="1"/>
  <c r="C207" i="2"/>
  <c r="F207" i="2"/>
  <c r="I207" i="2"/>
  <c r="K207" i="2"/>
  <c r="M207" i="2"/>
  <c r="O207" i="2"/>
  <c r="R207" i="2"/>
  <c r="U207" i="2"/>
  <c r="W207" i="2"/>
  <c r="Y207" i="2"/>
  <c r="AA207" i="2"/>
  <c r="AD207" i="2"/>
  <c r="AG207" i="2"/>
  <c r="AI207" i="2"/>
  <c r="AK207" i="2"/>
  <c r="AP207" i="2"/>
  <c r="AR207" i="2"/>
  <c r="AL207" i="2" s="1"/>
  <c r="AS207" i="2"/>
  <c r="AM207" i="2" s="1"/>
  <c r="AT207" i="2"/>
  <c r="AN207" i="2" s="1"/>
  <c r="C208" i="2"/>
  <c r="F208" i="2"/>
  <c r="I208" i="2"/>
  <c r="K208" i="2"/>
  <c r="M208" i="2"/>
  <c r="O208" i="2"/>
  <c r="R208" i="2"/>
  <c r="U208" i="2"/>
  <c r="W208" i="2"/>
  <c r="Y208" i="2"/>
  <c r="AA208" i="2"/>
  <c r="AD208" i="2"/>
  <c r="AG208" i="2"/>
  <c r="AI208" i="2"/>
  <c r="AK208" i="2"/>
  <c r="AP208" i="2"/>
  <c r="AR208" i="2"/>
  <c r="AL208" i="2" s="1"/>
  <c r="AS208" i="2"/>
  <c r="AM208" i="2" s="1"/>
  <c r="AT208" i="2"/>
  <c r="AN208" i="2" s="1"/>
  <c r="C209" i="2"/>
  <c r="F209" i="2"/>
  <c r="I209" i="2"/>
  <c r="K209" i="2"/>
  <c r="M209" i="2"/>
  <c r="O209" i="2"/>
  <c r="R209" i="2"/>
  <c r="U209" i="2"/>
  <c r="W209" i="2"/>
  <c r="Y209" i="2"/>
  <c r="AA209" i="2"/>
  <c r="AD209" i="2"/>
  <c r="AG209" i="2"/>
  <c r="AI209" i="2"/>
  <c r="AK209" i="2"/>
  <c r="AP209" i="2"/>
  <c r="AR209" i="2"/>
  <c r="AS209" i="2"/>
  <c r="AM209" i="2" s="1"/>
  <c r="AT209" i="2"/>
  <c r="AN209" i="2" s="1"/>
  <c r="C210" i="2"/>
  <c r="F210" i="2"/>
  <c r="I210" i="2"/>
  <c r="K210" i="2"/>
  <c r="M210" i="2"/>
  <c r="O210" i="2"/>
  <c r="R210" i="2"/>
  <c r="U210" i="2"/>
  <c r="W210" i="2"/>
  <c r="Y210" i="2"/>
  <c r="AA210" i="2"/>
  <c r="AD210" i="2"/>
  <c r="AG210" i="2"/>
  <c r="AI210" i="2"/>
  <c r="AK210" i="2"/>
  <c r="AP210" i="2"/>
  <c r="AR210" i="2"/>
  <c r="AL210" i="2" s="1"/>
  <c r="AS210" i="2"/>
  <c r="AM210" i="2" s="1"/>
  <c r="AT210" i="2"/>
  <c r="AN210" i="2" s="1"/>
  <c r="C211" i="2"/>
  <c r="F211" i="2"/>
  <c r="I211" i="2"/>
  <c r="K211" i="2"/>
  <c r="M211" i="2"/>
  <c r="O211" i="2"/>
  <c r="R211" i="2"/>
  <c r="U211" i="2"/>
  <c r="W211" i="2"/>
  <c r="Y211" i="2"/>
  <c r="AA211" i="2"/>
  <c r="AD211" i="2"/>
  <c r="AG211" i="2"/>
  <c r="AI211" i="2"/>
  <c r="AK211" i="2"/>
  <c r="AP211" i="2"/>
  <c r="AR211" i="2"/>
  <c r="AL211" i="2" s="1"/>
  <c r="AS211" i="2"/>
  <c r="AM211" i="2" s="1"/>
  <c r="AT211" i="2"/>
  <c r="C212" i="2"/>
  <c r="F212" i="2"/>
  <c r="I212" i="2"/>
  <c r="K212" i="2"/>
  <c r="M212" i="2"/>
  <c r="O212" i="2"/>
  <c r="R212" i="2"/>
  <c r="U212" i="2"/>
  <c r="W212" i="2"/>
  <c r="Y212" i="2"/>
  <c r="AA212" i="2"/>
  <c r="AD212" i="2"/>
  <c r="AG212" i="2"/>
  <c r="AI212" i="2"/>
  <c r="AK212" i="2"/>
  <c r="AP212" i="2"/>
  <c r="AR212" i="2"/>
  <c r="AL212" i="2" s="1"/>
  <c r="AS212" i="2"/>
  <c r="AM212" i="2" s="1"/>
  <c r="AT212" i="2"/>
  <c r="AN212" i="2" s="1"/>
  <c r="C213" i="2"/>
  <c r="F213" i="2"/>
  <c r="I213" i="2"/>
  <c r="K213" i="2"/>
  <c r="M213" i="2"/>
  <c r="O213" i="2"/>
  <c r="R213" i="2"/>
  <c r="U213" i="2"/>
  <c r="W213" i="2"/>
  <c r="Y213" i="2"/>
  <c r="AA213" i="2"/>
  <c r="AD213" i="2"/>
  <c r="AG213" i="2"/>
  <c r="AI213" i="2"/>
  <c r="AK213" i="2"/>
  <c r="AP213" i="2"/>
  <c r="AR213" i="2"/>
  <c r="AL213" i="2" s="1"/>
  <c r="AS213" i="2"/>
  <c r="AT213" i="2"/>
  <c r="AN213" i="2" s="1"/>
  <c r="C214" i="2"/>
  <c r="F214" i="2"/>
  <c r="I214" i="2"/>
  <c r="K214" i="2"/>
  <c r="M214" i="2"/>
  <c r="O214" i="2"/>
  <c r="R214" i="2"/>
  <c r="U214" i="2"/>
  <c r="W214" i="2"/>
  <c r="Y214" i="2"/>
  <c r="AA214" i="2"/>
  <c r="AD214" i="2"/>
  <c r="AG214" i="2"/>
  <c r="AI214" i="2"/>
  <c r="AK214" i="2"/>
  <c r="AP214" i="2"/>
  <c r="AR214" i="2"/>
  <c r="AL214" i="2" s="1"/>
  <c r="AS214" i="2"/>
  <c r="AM214" i="2" s="1"/>
  <c r="AT214" i="2"/>
  <c r="AN214" i="2" s="1"/>
  <c r="C215" i="2"/>
  <c r="F215" i="2"/>
  <c r="I215" i="2"/>
  <c r="K215" i="2"/>
  <c r="M215" i="2"/>
  <c r="O215" i="2"/>
  <c r="R215" i="2"/>
  <c r="U215" i="2"/>
  <c r="W215" i="2"/>
  <c r="Y215" i="2"/>
  <c r="AA215" i="2"/>
  <c r="AD215" i="2"/>
  <c r="AG215" i="2"/>
  <c r="AI215" i="2"/>
  <c r="AK215" i="2"/>
  <c r="AP215" i="2"/>
  <c r="AR215" i="2"/>
  <c r="AL215" i="2" s="1"/>
  <c r="AS215" i="2"/>
  <c r="AM215" i="2" s="1"/>
  <c r="AT215" i="2"/>
  <c r="AN215" i="2" s="1"/>
  <c r="C216" i="2"/>
  <c r="F216" i="2"/>
  <c r="I216" i="2"/>
  <c r="K216" i="2"/>
  <c r="M216" i="2"/>
  <c r="O216" i="2"/>
  <c r="R216" i="2"/>
  <c r="U216" i="2"/>
  <c r="W216" i="2"/>
  <c r="Y216" i="2"/>
  <c r="AA216" i="2"/>
  <c r="AD216" i="2"/>
  <c r="AG216" i="2"/>
  <c r="AI216" i="2"/>
  <c r="AK216" i="2"/>
  <c r="AP216" i="2"/>
  <c r="AR216" i="2"/>
  <c r="AL216" i="2" s="1"/>
  <c r="AS216" i="2"/>
  <c r="AM216" i="2" s="1"/>
  <c r="AT216" i="2"/>
  <c r="AN216" i="2" s="1"/>
  <c r="C217" i="2"/>
  <c r="F217" i="2"/>
  <c r="I217" i="2"/>
  <c r="K217" i="2"/>
  <c r="M217" i="2"/>
  <c r="O217" i="2"/>
  <c r="R217" i="2"/>
  <c r="U217" i="2"/>
  <c r="W217" i="2"/>
  <c r="Y217" i="2"/>
  <c r="AA217" i="2"/>
  <c r="AD217" i="2"/>
  <c r="AG217" i="2"/>
  <c r="AI217" i="2"/>
  <c r="AK217" i="2"/>
  <c r="AP217" i="2"/>
  <c r="AR217" i="2"/>
  <c r="AL217" i="2" s="1"/>
  <c r="AS217" i="2"/>
  <c r="AM217" i="2" s="1"/>
  <c r="AT217" i="2"/>
  <c r="AN217" i="2" s="1"/>
  <c r="C218" i="2"/>
  <c r="F218" i="2"/>
  <c r="I218" i="2"/>
  <c r="K218" i="2"/>
  <c r="M218" i="2"/>
  <c r="O218" i="2"/>
  <c r="R218" i="2"/>
  <c r="U218" i="2"/>
  <c r="W218" i="2"/>
  <c r="Y218" i="2"/>
  <c r="AA218" i="2"/>
  <c r="AD218" i="2"/>
  <c r="AG218" i="2"/>
  <c r="AI218" i="2"/>
  <c r="AK218" i="2"/>
  <c r="AP218" i="2"/>
  <c r="AR218" i="2"/>
  <c r="AL218" i="2" s="1"/>
  <c r="AS218" i="2"/>
  <c r="AT218" i="2"/>
  <c r="AN218" i="2" s="1"/>
  <c r="C219" i="2"/>
  <c r="F219" i="2"/>
  <c r="I219" i="2"/>
  <c r="K219" i="2"/>
  <c r="M219" i="2"/>
  <c r="O219" i="2"/>
  <c r="R219" i="2"/>
  <c r="U219" i="2"/>
  <c r="W219" i="2"/>
  <c r="Y219" i="2"/>
  <c r="AA219" i="2"/>
  <c r="AD219" i="2"/>
  <c r="AG219" i="2"/>
  <c r="AI219" i="2"/>
  <c r="AK219" i="2"/>
  <c r="AP219" i="2"/>
  <c r="AR219" i="2"/>
  <c r="AL219" i="2" s="1"/>
  <c r="AS219" i="2"/>
  <c r="AM219" i="2" s="1"/>
  <c r="AT219" i="2"/>
  <c r="AN219" i="2" s="1"/>
  <c r="C220" i="2"/>
  <c r="F220" i="2"/>
  <c r="I220" i="2"/>
  <c r="K220" i="2"/>
  <c r="M220" i="2"/>
  <c r="O220" i="2"/>
  <c r="R220" i="2"/>
  <c r="U220" i="2"/>
  <c r="W220" i="2"/>
  <c r="Y220" i="2"/>
  <c r="AA220" i="2"/>
  <c r="AD220" i="2"/>
  <c r="AG220" i="2"/>
  <c r="AI220" i="2"/>
  <c r="AK220" i="2"/>
  <c r="AP220" i="2"/>
  <c r="AR220" i="2"/>
  <c r="AL220" i="2" s="1"/>
  <c r="AS220" i="2"/>
  <c r="AM220" i="2" s="1"/>
  <c r="AT220" i="2"/>
  <c r="AN220" i="2" s="1"/>
  <c r="C221" i="2"/>
  <c r="F221" i="2"/>
  <c r="I221" i="2"/>
  <c r="K221" i="2"/>
  <c r="M221" i="2"/>
  <c r="O221" i="2"/>
  <c r="R221" i="2"/>
  <c r="U221" i="2"/>
  <c r="W221" i="2"/>
  <c r="Y221" i="2"/>
  <c r="AA221" i="2"/>
  <c r="AD221" i="2"/>
  <c r="AG221" i="2"/>
  <c r="AI221" i="2"/>
  <c r="AK221" i="2"/>
  <c r="AP221" i="2"/>
  <c r="AR221" i="2"/>
  <c r="AL221" i="2" s="1"/>
  <c r="AS221" i="2"/>
  <c r="AM221" i="2" s="1"/>
  <c r="AT221" i="2"/>
  <c r="AN221" i="2" s="1"/>
  <c r="C222" i="2"/>
  <c r="F222" i="2"/>
  <c r="I222" i="2"/>
  <c r="K222" i="2"/>
  <c r="M222" i="2"/>
  <c r="O222" i="2"/>
  <c r="R222" i="2"/>
  <c r="U222" i="2"/>
  <c r="W222" i="2"/>
  <c r="Y222" i="2"/>
  <c r="AA222" i="2"/>
  <c r="AD222" i="2"/>
  <c r="AG222" i="2"/>
  <c r="AI222" i="2"/>
  <c r="AK222" i="2"/>
  <c r="AP222" i="2"/>
  <c r="AR222" i="2"/>
  <c r="AL222" i="2" s="1"/>
  <c r="AS222" i="2"/>
  <c r="AM222" i="2" s="1"/>
  <c r="AT222" i="2"/>
  <c r="AN222" i="2" s="1"/>
  <c r="C223" i="2"/>
  <c r="F223" i="2"/>
  <c r="I223" i="2"/>
  <c r="K223" i="2"/>
  <c r="M223" i="2"/>
  <c r="O223" i="2"/>
  <c r="R223" i="2"/>
  <c r="U223" i="2"/>
  <c r="W223" i="2"/>
  <c r="Y223" i="2"/>
  <c r="AA223" i="2"/>
  <c r="AD223" i="2"/>
  <c r="AG223" i="2"/>
  <c r="AI223" i="2"/>
  <c r="AK223" i="2"/>
  <c r="AP223" i="2"/>
  <c r="AR223" i="2"/>
  <c r="AS223" i="2"/>
  <c r="AM223" i="2" s="1"/>
  <c r="AT223" i="2"/>
  <c r="AN223" i="2" s="1"/>
  <c r="C224" i="2"/>
  <c r="F224" i="2"/>
  <c r="I224" i="2"/>
  <c r="K224" i="2"/>
  <c r="M224" i="2"/>
  <c r="O224" i="2"/>
  <c r="R224" i="2"/>
  <c r="U224" i="2"/>
  <c r="W224" i="2"/>
  <c r="Y224" i="2"/>
  <c r="AA224" i="2"/>
  <c r="AD224" i="2"/>
  <c r="AG224" i="2"/>
  <c r="AI224" i="2"/>
  <c r="AK224" i="2"/>
  <c r="AP224" i="2"/>
  <c r="AR224" i="2"/>
  <c r="AL224" i="2" s="1"/>
  <c r="AS224" i="2"/>
  <c r="AM224" i="2" s="1"/>
  <c r="AT224" i="2"/>
  <c r="AN224" i="2" s="1"/>
  <c r="C225" i="2"/>
  <c r="F225" i="2"/>
  <c r="I225" i="2"/>
  <c r="K225" i="2"/>
  <c r="M225" i="2"/>
  <c r="O225" i="2"/>
  <c r="R225" i="2"/>
  <c r="U225" i="2"/>
  <c r="W225" i="2"/>
  <c r="Y225" i="2"/>
  <c r="AA225" i="2"/>
  <c r="AD225" i="2"/>
  <c r="AG225" i="2"/>
  <c r="AI225" i="2"/>
  <c r="AK225" i="2"/>
  <c r="AP225" i="2"/>
  <c r="AR225" i="2"/>
  <c r="AS225" i="2"/>
  <c r="AM225" i="2" s="1"/>
  <c r="AT225" i="2"/>
  <c r="AN225" i="2" s="1"/>
  <c r="C226" i="2"/>
  <c r="F226" i="2"/>
  <c r="I226" i="2"/>
  <c r="K226" i="2"/>
  <c r="M226" i="2"/>
  <c r="O226" i="2"/>
  <c r="R226" i="2"/>
  <c r="U226" i="2"/>
  <c r="W226" i="2"/>
  <c r="Y226" i="2"/>
  <c r="AA226" i="2"/>
  <c r="AD226" i="2"/>
  <c r="AG226" i="2"/>
  <c r="AI226" i="2"/>
  <c r="AK226" i="2"/>
  <c r="AP226" i="2"/>
  <c r="AR226" i="2"/>
  <c r="AL226" i="2" s="1"/>
  <c r="AS226" i="2"/>
  <c r="AM226" i="2" s="1"/>
  <c r="AT226" i="2"/>
  <c r="AN226" i="2" s="1"/>
  <c r="C227" i="2"/>
  <c r="F227" i="2"/>
  <c r="I227" i="2"/>
  <c r="K227" i="2"/>
  <c r="M227" i="2"/>
  <c r="O227" i="2"/>
  <c r="R227" i="2"/>
  <c r="U227" i="2"/>
  <c r="W227" i="2"/>
  <c r="Y227" i="2"/>
  <c r="AA227" i="2"/>
  <c r="AD227" i="2"/>
  <c r="AG227" i="2"/>
  <c r="AI227" i="2"/>
  <c r="AK227" i="2"/>
  <c r="AP227" i="2"/>
  <c r="AR227" i="2"/>
  <c r="AL227" i="2" s="1"/>
  <c r="AS227" i="2"/>
  <c r="AM227" i="2" s="1"/>
  <c r="AT227" i="2"/>
  <c r="AN227" i="2" s="1"/>
  <c r="C228" i="2"/>
  <c r="F228" i="2"/>
  <c r="I228" i="2"/>
  <c r="K228" i="2"/>
  <c r="M228" i="2"/>
  <c r="O228" i="2"/>
  <c r="R228" i="2"/>
  <c r="U228" i="2"/>
  <c r="W228" i="2"/>
  <c r="Y228" i="2"/>
  <c r="AA228" i="2"/>
  <c r="AD228" i="2"/>
  <c r="AG228" i="2"/>
  <c r="AI228" i="2"/>
  <c r="AK228" i="2"/>
  <c r="AP228" i="2"/>
  <c r="AR228" i="2"/>
  <c r="AL228" i="2" s="1"/>
  <c r="AS228" i="2"/>
  <c r="AM228" i="2" s="1"/>
  <c r="AT228" i="2"/>
  <c r="AN228" i="2" s="1"/>
  <c r="C229" i="2"/>
  <c r="F229" i="2"/>
  <c r="I229" i="2"/>
  <c r="K229" i="2"/>
  <c r="M229" i="2"/>
  <c r="O229" i="2"/>
  <c r="R229" i="2"/>
  <c r="U229" i="2"/>
  <c r="W229" i="2"/>
  <c r="Y229" i="2"/>
  <c r="AA229" i="2"/>
  <c r="AD229" i="2"/>
  <c r="AG229" i="2"/>
  <c r="AI229" i="2"/>
  <c r="AK229" i="2"/>
  <c r="AP229" i="2"/>
  <c r="AR229" i="2"/>
  <c r="AL229" i="2" s="1"/>
  <c r="AS229" i="2"/>
  <c r="AT229" i="2"/>
  <c r="AN229" i="2" s="1"/>
  <c r="C230" i="2"/>
  <c r="F230" i="2"/>
  <c r="I230" i="2"/>
  <c r="K230" i="2"/>
  <c r="M230" i="2"/>
  <c r="O230" i="2"/>
  <c r="R230" i="2"/>
  <c r="U230" i="2"/>
  <c r="W230" i="2"/>
  <c r="Y230" i="2"/>
  <c r="AA230" i="2"/>
  <c r="AD230" i="2"/>
  <c r="AG230" i="2"/>
  <c r="AI230" i="2"/>
  <c r="AK230" i="2"/>
  <c r="AP230" i="2"/>
  <c r="AR230" i="2"/>
  <c r="AL230" i="2" s="1"/>
  <c r="AS230" i="2"/>
  <c r="AM230" i="2" s="1"/>
  <c r="AT230" i="2"/>
  <c r="AN230" i="2" s="1"/>
  <c r="C231" i="2"/>
  <c r="F231" i="2"/>
  <c r="I231" i="2"/>
  <c r="K231" i="2"/>
  <c r="M231" i="2"/>
  <c r="O231" i="2"/>
  <c r="R231" i="2"/>
  <c r="U231" i="2"/>
  <c r="W231" i="2"/>
  <c r="Y231" i="2"/>
  <c r="AA231" i="2"/>
  <c r="AD231" i="2"/>
  <c r="AG231" i="2"/>
  <c r="AI231" i="2"/>
  <c r="AK231" i="2"/>
  <c r="AP231" i="2"/>
  <c r="AR231" i="2"/>
  <c r="AS231" i="2"/>
  <c r="AM231" i="2" s="1"/>
  <c r="AT231" i="2"/>
  <c r="AN231" i="2" s="1"/>
  <c r="C232" i="2"/>
  <c r="F232" i="2"/>
  <c r="I232" i="2"/>
  <c r="K232" i="2"/>
  <c r="M232" i="2"/>
  <c r="O232" i="2"/>
  <c r="R232" i="2"/>
  <c r="U232" i="2"/>
  <c r="W232" i="2"/>
  <c r="Y232" i="2"/>
  <c r="AA232" i="2"/>
  <c r="AD232" i="2"/>
  <c r="AG232" i="2"/>
  <c r="AI232" i="2"/>
  <c r="AK232" i="2"/>
  <c r="AP232" i="2"/>
  <c r="AR232" i="2"/>
  <c r="AS232" i="2"/>
  <c r="AM232" i="2" s="1"/>
  <c r="AT232" i="2"/>
  <c r="AN232" i="2" s="1"/>
  <c r="C233" i="2"/>
  <c r="F233" i="2"/>
  <c r="I233" i="2"/>
  <c r="K233" i="2"/>
  <c r="M233" i="2"/>
  <c r="O233" i="2"/>
  <c r="R233" i="2"/>
  <c r="U233" i="2"/>
  <c r="W233" i="2"/>
  <c r="Y233" i="2"/>
  <c r="AA233" i="2"/>
  <c r="AD233" i="2"/>
  <c r="AG233" i="2"/>
  <c r="AI233" i="2"/>
  <c r="AK233" i="2"/>
  <c r="AP233" i="2"/>
  <c r="AR233" i="2"/>
  <c r="AL233" i="2" s="1"/>
  <c r="AS233" i="2"/>
  <c r="AM233" i="2" s="1"/>
  <c r="AT233" i="2"/>
  <c r="AN233" i="2" s="1"/>
  <c r="C234" i="2"/>
  <c r="F234" i="2"/>
  <c r="I234" i="2"/>
  <c r="K234" i="2"/>
  <c r="M234" i="2"/>
  <c r="O234" i="2"/>
  <c r="R234" i="2"/>
  <c r="U234" i="2"/>
  <c r="W234" i="2"/>
  <c r="Y234" i="2"/>
  <c r="AA234" i="2"/>
  <c r="AD234" i="2"/>
  <c r="AG234" i="2"/>
  <c r="AI234" i="2"/>
  <c r="AK234" i="2"/>
  <c r="AP234" i="2"/>
  <c r="AR234" i="2"/>
  <c r="AS234" i="2"/>
  <c r="AM234" i="2" s="1"/>
  <c r="AT234" i="2"/>
  <c r="AN234" i="2" s="1"/>
  <c r="K235" i="2"/>
  <c r="M235" i="2"/>
  <c r="O235" i="2"/>
  <c r="R235" i="2"/>
  <c r="U235" i="2"/>
  <c r="W235" i="2"/>
  <c r="Y235" i="2"/>
  <c r="AA235" i="2"/>
  <c r="AD235" i="2"/>
  <c r="AG235" i="2"/>
  <c r="AI235" i="2"/>
  <c r="AK235" i="2"/>
  <c r="AP235" i="2"/>
  <c r="AR235" i="2"/>
  <c r="AL235" i="2" s="1"/>
  <c r="AS235" i="2"/>
  <c r="AT235" i="2"/>
  <c r="AN235" i="2" s="1"/>
  <c r="C236" i="2"/>
  <c r="F236" i="2"/>
  <c r="I236" i="2"/>
  <c r="K236" i="2"/>
  <c r="M236" i="2"/>
  <c r="O236" i="2"/>
  <c r="R236" i="2"/>
  <c r="U236" i="2"/>
  <c r="W236" i="2"/>
  <c r="Y236" i="2"/>
  <c r="AA236" i="2"/>
  <c r="AD236" i="2"/>
  <c r="AG236" i="2"/>
  <c r="AI236" i="2"/>
  <c r="AK236" i="2"/>
  <c r="AP236" i="2"/>
  <c r="AR236" i="2"/>
  <c r="AS236" i="2"/>
  <c r="AM236" i="2" s="1"/>
  <c r="AT236" i="2"/>
  <c r="AN236" i="2" s="1"/>
  <c r="C237" i="2"/>
  <c r="F237" i="2"/>
  <c r="I237" i="2"/>
  <c r="K237" i="2"/>
  <c r="M237" i="2"/>
  <c r="O237" i="2"/>
  <c r="R237" i="2"/>
  <c r="U237" i="2"/>
  <c r="W237" i="2"/>
  <c r="Y237" i="2"/>
  <c r="AA237" i="2"/>
  <c r="AD237" i="2"/>
  <c r="AG237" i="2"/>
  <c r="AI237" i="2"/>
  <c r="AK237" i="2"/>
  <c r="AP237" i="2"/>
  <c r="AR237" i="2"/>
  <c r="AL237" i="2" s="1"/>
  <c r="AS237" i="2"/>
  <c r="AM237" i="2" s="1"/>
  <c r="AT237" i="2"/>
  <c r="AN237" i="2" s="1"/>
  <c r="C238" i="2"/>
  <c r="F238" i="2"/>
  <c r="I238" i="2"/>
  <c r="K238" i="2"/>
  <c r="M238" i="2"/>
  <c r="O238" i="2"/>
  <c r="R238" i="2"/>
  <c r="U238" i="2"/>
  <c r="W238" i="2"/>
  <c r="Y238" i="2"/>
  <c r="AI238" i="2"/>
  <c r="AK238" i="2"/>
  <c r="AP238" i="2"/>
  <c r="AR238" i="2"/>
  <c r="AL238" i="2" s="1"/>
  <c r="AS238" i="2"/>
  <c r="AM238" i="2" s="1"/>
  <c r="AT238" i="2"/>
  <c r="AN238" i="2" s="1"/>
  <c r="K239" i="2"/>
  <c r="M239" i="2"/>
  <c r="O239" i="2"/>
  <c r="R239" i="2"/>
  <c r="U239" i="2"/>
  <c r="W239" i="2"/>
  <c r="Y239" i="2"/>
  <c r="AI239" i="2"/>
  <c r="AK239" i="2"/>
  <c r="AP239" i="2"/>
  <c r="AR239" i="2"/>
  <c r="AL239" i="2" s="1"/>
  <c r="AS239" i="2"/>
  <c r="AM239" i="2" s="1"/>
  <c r="AT239" i="2"/>
  <c r="AN239" i="2" s="1"/>
  <c r="K240" i="2"/>
  <c r="M240" i="2"/>
  <c r="O240" i="2"/>
  <c r="R240" i="2"/>
  <c r="U240" i="2"/>
  <c r="W240" i="2"/>
  <c r="Y240" i="2"/>
  <c r="AI240" i="2"/>
  <c r="AK240" i="2"/>
  <c r="AP240" i="2"/>
  <c r="AR240" i="2"/>
  <c r="AS240" i="2"/>
  <c r="AM240" i="2" s="1"/>
  <c r="AT240" i="2"/>
  <c r="AN240" i="2" s="1"/>
  <c r="K241" i="2"/>
  <c r="M241" i="2"/>
  <c r="O241" i="2"/>
  <c r="R241" i="2"/>
  <c r="U241" i="2"/>
  <c r="W241" i="2"/>
  <c r="Y241" i="2"/>
  <c r="AI241" i="2"/>
  <c r="AK241" i="2"/>
  <c r="AP241" i="2"/>
  <c r="AR241" i="2"/>
  <c r="AL241" i="2" s="1"/>
  <c r="AS241" i="2"/>
  <c r="AM241" i="2" s="1"/>
  <c r="AT241" i="2"/>
  <c r="AN241" i="2" s="1"/>
  <c r="K242" i="2"/>
  <c r="M242" i="2"/>
  <c r="O242" i="2"/>
  <c r="R242" i="2"/>
  <c r="U242" i="2"/>
  <c r="W242" i="2"/>
  <c r="Y242" i="2"/>
  <c r="AI242" i="2"/>
  <c r="AK242" i="2"/>
  <c r="AP242" i="2"/>
  <c r="AR242" i="2"/>
  <c r="AL242" i="2" s="1"/>
  <c r="AS242" i="2"/>
  <c r="AT242" i="2"/>
  <c r="AN242" i="2" s="1"/>
  <c r="K243" i="2"/>
  <c r="M243" i="2"/>
  <c r="O243" i="2"/>
  <c r="R243" i="2"/>
  <c r="U243" i="2"/>
  <c r="W243" i="2"/>
  <c r="Y243" i="2"/>
  <c r="AI243" i="2"/>
  <c r="AK243" i="2"/>
  <c r="AP243" i="2"/>
  <c r="AR243" i="2"/>
  <c r="AL243" i="2" s="1"/>
  <c r="AS243" i="2"/>
  <c r="AM243" i="2" s="1"/>
  <c r="AT243" i="2"/>
  <c r="AN243" i="2" s="1"/>
  <c r="K244" i="2"/>
  <c r="M244" i="2"/>
  <c r="O244" i="2"/>
  <c r="R244" i="2"/>
  <c r="U244" i="2"/>
  <c r="W244" i="2"/>
  <c r="Y244" i="2"/>
  <c r="AI244" i="2"/>
  <c r="AK244" i="2"/>
  <c r="AP244" i="2"/>
  <c r="AR244" i="2"/>
  <c r="AS244" i="2"/>
  <c r="AM244" i="2" s="1"/>
  <c r="AT244" i="2"/>
  <c r="AN244" i="2" s="1"/>
  <c r="K245" i="2"/>
  <c r="M245" i="2"/>
  <c r="O245" i="2"/>
  <c r="R245" i="2"/>
  <c r="U245" i="2"/>
  <c r="W245" i="2"/>
  <c r="Y245" i="2"/>
  <c r="AI245" i="2"/>
  <c r="AK245" i="2"/>
  <c r="AP245" i="2"/>
  <c r="AR245" i="2"/>
  <c r="AS245" i="2"/>
  <c r="AM245" i="2" s="1"/>
  <c r="AT245" i="2"/>
  <c r="AN245" i="2" s="1"/>
  <c r="K246" i="2"/>
  <c r="M246" i="2"/>
  <c r="O246" i="2"/>
  <c r="R246" i="2"/>
  <c r="U246" i="2"/>
  <c r="W246" i="2"/>
  <c r="Y246" i="2"/>
  <c r="AI246" i="2"/>
  <c r="AK246" i="2"/>
  <c r="AP246" i="2"/>
  <c r="AR246" i="2"/>
  <c r="AL246" i="2" s="1"/>
  <c r="AS246" i="2"/>
  <c r="AM246" i="2" s="1"/>
  <c r="AT246" i="2"/>
  <c r="AN246" i="2" s="1"/>
  <c r="K247" i="2"/>
  <c r="M247" i="2"/>
  <c r="O247" i="2"/>
  <c r="R247" i="2"/>
  <c r="U247" i="2"/>
  <c r="W247" i="2"/>
  <c r="Y247" i="2"/>
  <c r="AI247" i="2"/>
  <c r="AK247" i="2"/>
  <c r="AP247" i="2"/>
  <c r="AR247" i="2"/>
  <c r="AS247" i="2"/>
  <c r="AM247" i="2" s="1"/>
  <c r="AT247" i="2"/>
  <c r="AN247" i="2" s="1"/>
  <c r="K248" i="2"/>
  <c r="M248" i="2"/>
  <c r="O248" i="2"/>
  <c r="R248" i="2"/>
  <c r="U248" i="2"/>
  <c r="W248" i="2"/>
  <c r="Y248" i="2"/>
  <c r="AI248" i="2"/>
  <c r="AK248" i="2"/>
  <c r="AP248" i="2"/>
  <c r="AR248" i="2"/>
  <c r="AS248" i="2"/>
  <c r="AM248" i="2" s="1"/>
  <c r="AT248" i="2"/>
  <c r="K249" i="2"/>
  <c r="M249" i="2"/>
  <c r="O249" i="2"/>
  <c r="R249" i="2"/>
  <c r="U249" i="2"/>
  <c r="W249" i="2"/>
  <c r="Y249" i="2"/>
  <c r="AI249" i="2"/>
  <c r="AK249" i="2"/>
  <c r="AP249" i="2"/>
  <c r="AR249" i="2"/>
  <c r="AL249" i="2" s="1"/>
  <c r="AS249" i="2"/>
  <c r="AM249" i="2" s="1"/>
  <c r="AT249" i="2"/>
  <c r="AN249" i="2" s="1"/>
  <c r="K250" i="2"/>
  <c r="M250" i="2"/>
  <c r="O250" i="2"/>
  <c r="R250" i="2"/>
  <c r="U250" i="2"/>
  <c r="W250" i="2"/>
  <c r="Y250" i="2"/>
  <c r="AA250" i="2"/>
  <c r="AD250" i="2"/>
  <c r="AG250" i="2"/>
  <c r="AI250" i="2"/>
  <c r="AK250" i="2"/>
  <c r="AP250" i="2"/>
  <c r="AR250" i="2"/>
  <c r="AL250" i="2" s="1"/>
  <c r="AS250" i="2"/>
  <c r="AM250" i="2" s="1"/>
  <c r="AT250" i="2"/>
  <c r="P251" i="2"/>
  <c r="R251" i="2"/>
  <c r="U251" i="2"/>
  <c r="W251" i="2"/>
  <c r="AA251" i="2"/>
  <c r="AD251" i="2"/>
  <c r="AG251" i="2"/>
  <c r="AI251" i="2"/>
  <c r="AK251" i="2"/>
  <c r="P252" i="2"/>
  <c r="O252" i="2" s="1"/>
  <c r="R252" i="2"/>
  <c r="U252" i="2"/>
  <c r="W252" i="2"/>
  <c r="AA252" i="2"/>
  <c r="AD252" i="2"/>
  <c r="AG252" i="2"/>
  <c r="AI252" i="2"/>
  <c r="AK252" i="2"/>
  <c r="P253" i="2"/>
  <c r="R253" i="2"/>
  <c r="U253" i="2"/>
  <c r="W253" i="2"/>
  <c r="AA253" i="2"/>
  <c r="AD253" i="2"/>
  <c r="AG253" i="2"/>
  <c r="AI253" i="2"/>
  <c r="AK253" i="2"/>
  <c r="P254" i="2"/>
  <c r="O254" i="2" s="1"/>
  <c r="R254" i="2"/>
  <c r="U254" i="2"/>
  <c r="W254" i="2"/>
  <c r="AA254" i="2"/>
  <c r="AD254" i="2"/>
  <c r="AG254" i="2"/>
  <c r="AI254" i="2"/>
  <c r="AK254" i="2"/>
  <c r="P255" i="2"/>
  <c r="Y255" i="2" s="1"/>
  <c r="R255" i="2"/>
  <c r="U255" i="2"/>
  <c r="W255" i="2"/>
  <c r="AA255" i="2"/>
  <c r="AD255" i="2"/>
  <c r="AG255" i="2"/>
  <c r="AI255" i="2"/>
  <c r="AK255" i="2"/>
  <c r="P256" i="2"/>
  <c r="Y256" i="2" s="1"/>
  <c r="R256" i="2"/>
  <c r="U256" i="2"/>
  <c r="W256" i="2"/>
  <c r="AA256" i="2"/>
  <c r="AD256" i="2"/>
  <c r="AG256" i="2"/>
  <c r="AI256" i="2"/>
  <c r="AK256" i="2"/>
  <c r="P257" i="2"/>
  <c r="Y257" i="2" s="1"/>
  <c r="R257" i="2"/>
  <c r="U257" i="2"/>
  <c r="W257" i="2"/>
  <c r="AA257" i="2"/>
  <c r="AD257" i="2"/>
  <c r="AG257" i="2"/>
  <c r="AI257" i="2"/>
  <c r="AK257" i="2"/>
  <c r="P258" i="2"/>
  <c r="O258" i="2" s="1"/>
  <c r="R258" i="2"/>
  <c r="U258" i="2"/>
  <c r="W258" i="2"/>
  <c r="AA258" i="2"/>
  <c r="AD258" i="2"/>
  <c r="AG258" i="2"/>
  <c r="AI258" i="2"/>
  <c r="AK258" i="2"/>
  <c r="P259" i="2"/>
  <c r="Y259" i="2" s="1"/>
  <c r="R259" i="2"/>
  <c r="U259" i="2"/>
  <c r="W259" i="2"/>
  <c r="AA259" i="2"/>
  <c r="AD259" i="2"/>
  <c r="AG259" i="2"/>
  <c r="AI259" i="2"/>
  <c r="AK259" i="2"/>
  <c r="P260" i="2"/>
  <c r="O260" i="2" s="1"/>
  <c r="R260" i="2"/>
  <c r="U260" i="2"/>
  <c r="W260" i="2"/>
  <c r="AA260" i="2"/>
  <c r="AD260" i="2"/>
  <c r="AG260" i="2"/>
  <c r="AI260" i="2"/>
  <c r="AK260" i="2"/>
  <c r="P261" i="2"/>
  <c r="Y261" i="2" s="1"/>
  <c r="R261" i="2"/>
  <c r="U261" i="2"/>
  <c r="W261" i="2"/>
  <c r="AA261" i="2"/>
  <c r="AD261" i="2"/>
  <c r="AG261" i="2"/>
  <c r="AI261" i="2"/>
  <c r="AK261" i="2"/>
  <c r="P262" i="2"/>
  <c r="O262" i="2" s="1"/>
  <c r="R262" i="2"/>
  <c r="U262" i="2"/>
  <c r="W262" i="2"/>
  <c r="AA262" i="2"/>
  <c r="AD262" i="2"/>
  <c r="AG262" i="2"/>
  <c r="AI262" i="2"/>
  <c r="AK262" i="2"/>
  <c r="P263" i="2"/>
  <c r="Y263" i="2" s="1"/>
  <c r="R263" i="2"/>
  <c r="U263" i="2"/>
  <c r="W263" i="2"/>
  <c r="P264" i="2"/>
  <c r="O264" i="2" s="1"/>
  <c r="R264" i="2"/>
  <c r="U264" i="2"/>
  <c r="W264" i="2"/>
  <c r="P265" i="2"/>
  <c r="O265" i="2" s="1"/>
  <c r="R265" i="2"/>
  <c r="U265" i="2"/>
  <c r="W265" i="2"/>
  <c r="P266" i="2"/>
  <c r="Y266" i="2" s="1"/>
  <c r="R266" i="2"/>
  <c r="U266" i="2"/>
  <c r="W266" i="2"/>
  <c r="P267" i="2"/>
  <c r="O267" i="2" s="1"/>
  <c r="R267" i="2"/>
  <c r="U267" i="2"/>
  <c r="W267" i="2"/>
  <c r="P268" i="2"/>
  <c r="Y268" i="2" s="1"/>
  <c r="R268" i="2"/>
  <c r="U268" i="2"/>
  <c r="W268" i="2"/>
  <c r="P269" i="2"/>
  <c r="O269" i="2" s="1"/>
  <c r="R269" i="2"/>
  <c r="U269" i="2"/>
  <c r="W269" i="2"/>
  <c r="P270" i="2"/>
  <c r="O270" i="2" s="1"/>
  <c r="R270" i="2"/>
  <c r="U270" i="2"/>
  <c r="W270" i="2"/>
  <c r="P271" i="2"/>
  <c r="O271" i="2" s="1"/>
  <c r="R271" i="2"/>
  <c r="U271" i="2"/>
  <c r="W271" i="2"/>
  <c r="P272" i="2"/>
  <c r="Y272" i="2" s="1"/>
  <c r="R272" i="2"/>
  <c r="U272" i="2"/>
  <c r="W272" i="2"/>
  <c r="P273" i="2"/>
  <c r="R273" i="2"/>
  <c r="U273" i="2"/>
  <c r="W273" i="2"/>
  <c r="P274" i="2"/>
  <c r="Y274" i="2" s="1"/>
  <c r="R274" i="2"/>
  <c r="U274" i="2"/>
  <c r="W274" i="2"/>
  <c r="P275" i="2"/>
  <c r="O275" i="2" s="1"/>
  <c r="R275" i="2"/>
  <c r="U275" i="2"/>
  <c r="W275" i="2"/>
  <c r="P276" i="2"/>
  <c r="Y276" i="2" s="1"/>
  <c r="R276" i="2"/>
  <c r="U276" i="2"/>
  <c r="W276" i="2"/>
  <c r="P277" i="2"/>
  <c r="O277" i="2" s="1"/>
  <c r="R277" i="2"/>
  <c r="U277" i="2"/>
  <c r="W277" i="2"/>
  <c r="P278" i="2"/>
  <c r="Y278" i="2" s="1"/>
  <c r="R278" i="2"/>
  <c r="U278" i="2"/>
  <c r="W278" i="2"/>
  <c r="P279" i="2"/>
  <c r="R279" i="2"/>
  <c r="U279" i="2"/>
  <c r="W279" i="2"/>
  <c r="P280" i="2"/>
  <c r="Y280" i="2" s="1"/>
  <c r="R280" i="2"/>
  <c r="U280" i="2"/>
  <c r="W280" i="2"/>
  <c r="P281" i="2"/>
  <c r="Y281" i="2" s="1"/>
  <c r="R281" i="2"/>
  <c r="U281" i="2"/>
  <c r="W281" i="2"/>
  <c r="P282" i="2"/>
  <c r="R282" i="2"/>
  <c r="U282" i="2"/>
  <c r="W282" i="2"/>
  <c r="P283" i="2"/>
  <c r="Y283" i="2" s="1"/>
  <c r="R283" i="2"/>
  <c r="U283" i="2"/>
  <c r="W283" i="2"/>
  <c r="P284" i="2"/>
  <c r="O284" i="2" s="1"/>
  <c r="R284" i="2"/>
  <c r="U284" i="2"/>
  <c r="W284" i="2"/>
  <c r="P285" i="2"/>
  <c r="Y285" i="2" s="1"/>
  <c r="R285" i="2"/>
  <c r="U285" i="2"/>
  <c r="W285" i="2"/>
  <c r="P286" i="2"/>
  <c r="O286" i="2" s="1"/>
  <c r="R286" i="2"/>
  <c r="U286" i="2"/>
  <c r="W286" i="2"/>
  <c r="P287" i="2"/>
  <c r="R287" i="2"/>
  <c r="U287" i="2"/>
  <c r="W287" i="2"/>
  <c r="P288" i="2"/>
  <c r="O288" i="2" s="1"/>
  <c r="R288" i="2"/>
  <c r="U288" i="2"/>
  <c r="W288" i="2"/>
  <c r="P289" i="2"/>
  <c r="O289" i="2" s="1"/>
  <c r="R289" i="2"/>
  <c r="U289" i="2"/>
  <c r="W289" i="2"/>
  <c r="P290" i="2"/>
  <c r="Y290" i="2" s="1"/>
  <c r="R290" i="2"/>
  <c r="U290" i="2"/>
  <c r="W290" i="2"/>
  <c r="P291" i="2"/>
  <c r="R291" i="2"/>
  <c r="U291" i="2"/>
  <c r="W291" i="2"/>
  <c r="P292" i="2"/>
  <c r="Y292" i="2" s="1"/>
  <c r="R292" i="2"/>
  <c r="U292" i="2"/>
  <c r="W292" i="2"/>
  <c r="P293" i="2"/>
  <c r="Y293" i="2" s="1"/>
  <c r="R293" i="2"/>
  <c r="U293" i="2"/>
  <c r="W293" i="2"/>
  <c r="P294" i="2"/>
  <c r="O294" i="2" s="1"/>
  <c r="R294" i="2"/>
  <c r="U294" i="2"/>
  <c r="W294" i="2"/>
  <c r="P295" i="2"/>
  <c r="R295" i="2"/>
  <c r="U295" i="2"/>
  <c r="W295" i="2"/>
  <c r="P296" i="2"/>
  <c r="Y296" i="2" s="1"/>
  <c r="R296" i="2"/>
  <c r="U296" i="2"/>
  <c r="W296" i="2"/>
  <c r="P297" i="2"/>
  <c r="O297" i="2" s="1"/>
  <c r="R297" i="2"/>
  <c r="U297" i="2"/>
  <c r="W297" i="2"/>
  <c r="P298" i="2"/>
  <c r="Y298" i="2" s="1"/>
  <c r="R298" i="2"/>
  <c r="U298" i="2"/>
  <c r="W298" i="2"/>
  <c r="P299" i="2"/>
  <c r="Y299" i="2" s="1"/>
  <c r="R299" i="2"/>
  <c r="U299" i="2"/>
  <c r="W299" i="2"/>
  <c r="P300" i="2"/>
  <c r="Y300" i="2" s="1"/>
  <c r="R300" i="2"/>
  <c r="U300" i="2"/>
  <c r="W300" i="2"/>
  <c r="P301" i="2"/>
  <c r="O301" i="2" s="1"/>
  <c r="R301" i="2"/>
  <c r="U301" i="2"/>
  <c r="W301" i="2"/>
  <c r="P302" i="2"/>
  <c r="O302" i="2" s="1"/>
  <c r="R302" i="2"/>
  <c r="U302" i="2"/>
  <c r="W302" i="2"/>
  <c r="P303" i="2"/>
  <c r="O303" i="2" s="1"/>
  <c r="R303" i="2"/>
  <c r="U303" i="2"/>
  <c r="W303" i="2"/>
  <c r="P304" i="2"/>
  <c r="O304" i="2" s="1"/>
  <c r="R304" i="2"/>
  <c r="U304" i="2"/>
  <c r="W304" i="2"/>
  <c r="P305" i="2"/>
  <c r="O305" i="2" s="1"/>
  <c r="R305" i="2"/>
  <c r="U305" i="2"/>
  <c r="W305" i="2"/>
  <c r="P306" i="2"/>
  <c r="R306" i="2"/>
  <c r="U306" i="2"/>
  <c r="W306" i="2"/>
  <c r="P307" i="2"/>
  <c r="O307" i="2" s="1"/>
  <c r="R307" i="2"/>
  <c r="U307" i="2"/>
  <c r="W307" i="2"/>
  <c r="P308" i="2"/>
  <c r="O308" i="2" s="1"/>
  <c r="R308" i="2"/>
  <c r="U308" i="2"/>
  <c r="W308" i="2"/>
  <c r="P309" i="2"/>
  <c r="O309" i="2" s="1"/>
  <c r="R309" i="2"/>
  <c r="U309" i="2"/>
  <c r="W309" i="2"/>
  <c r="P310" i="2"/>
  <c r="Y310" i="2" s="1"/>
  <c r="R310" i="2"/>
  <c r="U310" i="2"/>
  <c r="W310" i="2"/>
  <c r="P311" i="2"/>
  <c r="Y311" i="2" s="1"/>
  <c r="R311" i="2"/>
  <c r="U311" i="2"/>
  <c r="W311" i="2"/>
  <c r="P312" i="2"/>
  <c r="Y312" i="2" s="1"/>
  <c r="R312" i="2"/>
  <c r="U312" i="2"/>
  <c r="W312" i="2"/>
  <c r="P313" i="2"/>
  <c r="Y313" i="2" s="1"/>
  <c r="R313" i="2"/>
  <c r="U313" i="2"/>
  <c r="W313" i="2"/>
  <c r="P314" i="2"/>
  <c r="R314" i="2"/>
  <c r="U314" i="2"/>
  <c r="W314" i="2"/>
  <c r="P315" i="2"/>
  <c r="O315" i="2" s="1"/>
  <c r="R315" i="2"/>
  <c r="U315" i="2"/>
  <c r="W315" i="2"/>
  <c r="P316" i="2"/>
  <c r="O316" i="2" s="1"/>
  <c r="R316" i="2"/>
  <c r="U316" i="2"/>
  <c r="W316" i="2"/>
  <c r="P317" i="2"/>
  <c r="O317" i="2" s="1"/>
  <c r="R317" i="2"/>
  <c r="U317" i="2"/>
  <c r="W317" i="2"/>
  <c r="AL154" i="2"/>
  <c r="AM53" i="2"/>
  <c r="AM48" i="4"/>
  <c r="Y286" i="2"/>
  <c r="AN114" i="2"/>
  <c r="AN248" i="2"/>
  <c r="AN52" i="2"/>
  <c r="AM229" i="2"/>
  <c r="O278" i="2"/>
  <c r="AM88" i="2"/>
  <c r="G31" i="14"/>
  <c r="E11" i="14"/>
  <c r="Y288" i="2"/>
  <c r="Y264" i="2"/>
  <c r="O272" i="2"/>
  <c r="H32" i="14" l="1"/>
  <c r="F26" i="14"/>
  <c r="K30" i="14"/>
  <c r="X16" i="14"/>
  <c r="C24" i="14"/>
  <c r="D35" i="14"/>
  <c r="H30" i="14"/>
  <c r="B29" i="14"/>
  <c r="G33" i="14"/>
  <c r="K28" i="14"/>
  <c r="D33" i="14"/>
  <c r="J31" i="14"/>
  <c r="L220" i="2"/>
  <c r="AJ214" i="2"/>
  <c r="AT116" i="2"/>
  <c r="L186" i="2"/>
  <c r="L154" i="2"/>
  <c r="D34" i="14"/>
  <c r="K29" i="14"/>
  <c r="X8" i="14"/>
  <c r="Y284" i="2"/>
  <c r="X284" i="2" s="1"/>
  <c r="O280" i="2"/>
  <c r="Y270" i="2"/>
  <c r="X270" i="2" s="1"/>
  <c r="X135" i="2"/>
  <c r="L134" i="2"/>
  <c r="AJ128" i="2"/>
  <c r="U118" i="2"/>
  <c r="F116" i="2"/>
  <c r="C117" i="2"/>
  <c r="U116" i="2"/>
  <c r="X15" i="14"/>
  <c r="AB12" i="14"/>
  <c r="AF9" i="14"/>
  <c r="X7" i="14"/>
  <c r="AM70" i="4"/>
  <c r="AF120" i="4"/>
  <c r="B120" i="4"/>
  <c r="O13" i="14"/>
  <c r="Q13" i="14" s="1"/>
  <c r="AJ154" i="2"/>
  <c r="X145" i="2"/>
  <c r="X240" i="2"/>
  <c r="C25" i="14"/>
  <c r="L180" i="2"/>
  <c r="L164" i="2"/>
  <c r="X138" i="2"/>
  <c r="L144" i="2"/>
  <c r="Y122" i="2"/>
  <c r="AQ41" i="2"/>
  <c r="AO41" i="2" s="1"/>
  <c r="AJ136" i="2"/>
  <c r="AQ39" i="2"/>
  <c r="AO39" i="2" s="1"/>
  <c r="AS36" i="4"/>
  <c r="F32" i="14"/>
  <c r="AM92" i="4"/>
  <c r="AM76" i="4"/>
  <c r="F24" i="14"/>
  <c r="K34" i="14"/>
  <c r="C32" i="14"/>
  <c r="H28" i="14"/>
  <c r="AM45" i="4"/>
  <c r="J35" i="14"/>
  <c r="L33" i="14"/>
  <c r="D31" i="14"/>
  <c r="F30" i="14"/>
  <c r="G29" i="14"/>
  <c r="K26" i="14"/>
  <c r="L131" i="2"/>
  <c r="AH14" i="14"/>
  <c r="AL14" i="14" s="1"/>
  <c r="AF8" i="14"/>
  <c r="X6" i="14"/>
  <c r="B24" i="14"/>
  <c r="L24" i="14"/>
  <c r="C35" i="14"/>
  <c r="L28" i="14"/>
  <c r="B28" i="14"/>
  <c r="C27" i="14"/>
  <c r="D26" i="14"/>
  <c r="F25" i="14"/>
  <c r="K35" i="14"/>
  <c r="L34" i="14"/>
  <c r="B34" i="14"/>
  <c r="C33" i="14"/>
  <c r="D32" i="14"/>
  <c r="F31" i="14"/>
  <c r="G30" i="14"/>
  <c r="H29" i="14"/>
  <c r="K27" i="14"/>
  <c r="L26" i="14"/>
  <c r="B26" i="14"/>
  <c r="AJ173" i="2"/>
  <c r="L133" i="2"/>
  <c r="AJ127" i="2"/>
  <c r="AR124" i="2"/>
  <c r="AL124" i="2" s="1"/>
  <c r="L231" i="2"/>
  <c r="AJ217" i="2"/>
  <c r="AR121" i="2"/>
  <c r="AQ121" i="2" s="1"/>
  <c r="AJ134" i="2"/>
  <c r="L211" i="2"/>
  <c r="AB14" i="14"/>
  <c r="X286" i="2"/>
  <c r="X196" i="2"/>
  <c r="X193" i="2"/>
  <c r="Y254" i="2"/>
  <c r="X254" i="2" s="1"/>
  <c r="Z197" i="4"/>
  <c r="X208" i="2"/>
  <c r="X280" i="2"/>
  <c r="X172" i="2"/>
  <c r="AF234" i="4"/>
  <c r="X200" i="4"/>
  <c r="E197" i="4"/>
  <c r="L155" i="4"/>
  <c r="AJ154" i="4"/>
  <c r="AJ142" i="4"/>
  <c r="L131" i="4"/>
  <c r="Z125" i="4"/>
  <c r="AJ149" i="4"/>
  <c r="AM67" i="4"/>
  <c r="L161" i="2"/>
  <c r="AQ154" i="2"/>
  <c r="AO154" i="2" s="1"/>
  <c r="AQ146" i="2"/>
  <c r="AO146" i="2" s="1"/>
  <c r="AJ162" i="2"/>
  <c r="X161" i="2"/>
  <c r="AJ157" i="4"/>
  <c r="AN170" i="4"/>
  <c r="AN158" i="4"/>
  <c r="O6" i="14"/>
  <c r="S6" i="14" s="1"/>
  <c r="O276" i="2"/>
  <c r="O266" i="2"/>
  <c r="AJ148" i="2"/>
  <c r="X131" i="2"/>
  <c r="AJ126" i="2"/>
  <c r="AQ95" i="2"/>
  <c r="AO95" i="2" s="1"/>
  <c r="O310" i="2"/>
  <c r="Y302" i="2"/>
  <c r="X302" i="2" s="1"/>
  <c r="X184" i="2"/>
  <c r="AJ158" i="2"/>
  <c r="AJ153" i="2"/>
  <c r="X144" i="2"/>
  <c r="O293" i="2"/>
  <c r="O281" i="2"/>
  <c r="O290" i="2"/>
  <c r="AQ42" i="2"/>
  <c r="AO42" i="2" s="1"/>
  <c r="L182" i="2"/>
  <c r="L171" i="2"/>
  <c r="X167" i="2"/>
  <c r="L166" i="2"/>
  <c r="L142" i="2"/>
  <c r="L203" i="2"/>
  <c r="L152" i="2"/>
  <c r="X261" i="2"/>
  <c r="L197" i="2"/>
  <c r="AQ64" i="2"/>
  <c r="AO64" i="2" s="1"/>
  <c r="AJ213" i="4"/>
  <c r="X201" i="4"/>
  <c r="X198" i="4"/>
  <c r="AJ177" i="4"/>
  <c r="L170" i="4"/>
  <c r="AJ169" i="4"/>
  <c r="L166" i="4"/>
  <c r="AJ165" i="4"/>
  <c r="L162" i="4"/>
  <c r="T126" i="4"/>
  <c r="AF118" i="4"/>
  <c r="AM77" i="4"/>
  <c r="AM83" i="4"/>
  <c r="AP116" i="4"/>
  <c r="T117" i="4"/>
  <c r="E117" i="4"/>
  <c r="F117" i="2"/>
  <c r="AC119" i="4"/>
  <c r="N119" i="4"/>
  <c r="M195" i="4"/>
  <c r="W119" i="4"/>
  <c r="AJ136" i="4"/>
  <c r="AF125" i="4"/>
  <c r="Z194" i="4"/>
  <c r="AJ161" i="4"/>
  <c r="L150" i="4"/>
  <c r="X144" i="4"/>
  <c r="T118" i="4"/>
  <c r="AM97" i="4"/>
  <c r="AM68" i="4"/>
  <c r="H27" i="14"/>
  <c r="X163" i="4"/>
  <c r="X155" i="4"/>
  <c r="X151" i="4"/>
  <c r="AL177" i="4"/>
  <c r="K117" i="4"/>
  <c r="AM58" i="4"/>
  <c r="L158" i="2"/>
  <c r="L150" i="2"/>
  <c r="AQ109" i="2"/>
  <c r="AO109" i="2" s="1"/>
  <c r="AN95" i="2"/>
  <c r="Y301" i="2"/>
  <c r="X301" i="2" s="1"/>
  <c r="AJ231" i="2"/>
  <c r="X209" i="2"/>
  <c r="AJ194" i="2"/>
  <c r="AJ186" i="2"/>
  <c r="L176" i="2"/>
  <c r="AQ91" i="2"/>
  <c r="AO91" i="2" s="1"/>
  <c r="AQ93" i="2"/>
  <c r="AO93" i="2" s="1"/>
  <c r="AQ97" i="2"/>
  <c r="AO97" i="2" s="1"/>
  <c r="X130" i="2"/>
  <c r="Y305" i="2"/>
  <c r="X305" i="2" s="1"/>
  <c r="AQ159" i="2"/>
  <c r="AO159" i="2" s="1"/>
  <c r="X155" i="2"/>
  <c r="AJ131" i="2"/>
  <c r="AQ127" i="2"/>
  <c r="AO127" i="2" s="1"/>
  <c r="X246" i="2"/>
  <c r="L207" i="2"/>
  <c r="X192" i="2"/>
  <c r="L188" i="2"/>
  <c r="X181" i="2"/>
  <c r="AQ79" i="2"/>
  <c r="AO79" i="2" s="1"/>
  <c r="AQ105" i="2"/>
  <c r="AO105" i="2" s="1"/>
  <c r="AQ132" i="2"/>
  <c r="AO132" i="2" s="1"/>
  <c r="X157" i="2"/>
  <c r="L156" i="2"/>
  <c r="L148" i="2"/>
  <c r="AJ142" i="2"/>
  <c r="L140" i="2"/>
  <c r="M117" i="2"/>
  <c r="AP115" i="2"/>
  <c r="Y307" i="2"/>
  <c r="X307" i="2" s="1"/>
  <c r="AQ107" i="2"/>
  <c r="AO107" i="2" s="1"/>
  <c r="AJ245" i="2"/>
  <c r="X239" i="2"/>
  <c r="AJ213" i="2"/>
  <c r="AJ192" i="2"/>
  <c r="AJ184" i="2"/>
  <c r="X183" i="2"/>
  <c r="AA117" i="2"/>
  <c r="AM115" i="2"/>
  <c r="AN130" i="4"/>
  <c r="M16" i="14"/>
  <c r="G24" i="14"/>
  <c r="F34" i="14"/>
  <c r="E14" i="14"/>
  <c r="E13" i="14"/>
  <c r="AJ196" i="4"/>
  <c r="X161" i="4"/>
  <c r="X145" i="4"/>
  <c r="X141" i="4"/>
  <c r="X137" i="4"/>
  <c r="AC123" i="4"/>
  <c r="N123" i="4"/>
  <c r="Z118" i="4"/>
  <c r="K118" i="4"/>
  <c r="H117" i="4"/>
  <c r="AO197" i="4"/>
  <c r="AN193" i="4"/>
  <c r="X233" i="4"/>
  <c r="AJ207" i="4"/>
  <c r="AK197" i="4"/>
  <c r="X187" i="4"/>
  <c r="X179" i="4"/>
  <c r="X167" i="4"/>
  <c r="L157" i="4"/>
  <c r="AJ156" i="4"/>
  <c r="X131" i="4"/>
  <c r="N125" i="4"/>
  <c r="AF122" i="4"/>
  <c r="Q121" i="4"/>
  <c r="H118" i="4"/>
  <c r="AM91" i="4"/>
  <c r="AC124" i="4"/>
  <c r="AL138" i="4"/>
  <c r="L128" i="4"/>
  <c r="Y127" i="4"/>
  <c r="N122" i="4"/>
  <c r="AQ165" i="2"/>
  <c r="AO165" i="2" s="1"/>
  <c r="AJ130" i="2"/>
  <c r="AQ51" i="2"/>
  <c r="AO51" i="2" s="1"/>
  <c r="AQ134" i="2"/>
  <c r="AO134" i="2" s="1"/>
  <c r="AJ125" i="2"/>
  <c r="AJ124" i="2"/>
  <c r="AJ123" i="2"/>
  <c r="AJ122" i="2"/>
  <c r="AJ121" i="2"/>
  <c r="O121" i="2"/>
  <c r="B35" i="14"/>
  <c r="C34" i="14"/>
  <c r="B27" i="14"/>
  <c r="C26" i="14"/>
  <c r="D25" i="14"/>
  <c r="AH9" i="14"/>
  <c r="AJ9" i="14" s="1"/>
  <c r="AQ167" i="2"/>
  <c r="AO167" i="2" s="1"/>
  <c r="AJ175" i="2"/>
  <c r="L173" i="2"/>
  <c r="L168" i="2"/>
  <c r="X164" i="2"/>
  <c r="AQ161" i="2"/>
  <c r="AO161" i="2" s="1"/>
  <c r="AJ157" i="2"/>
  <c r="X156" i="2"/>
  <c r="L155" i="2"/>
  <c r="AJ180" i="2"/>
  <c r="L170" i="2"/>
  <c r="AJ146" i="2"/>
  <c r="X143" i="2"/>
  <c r="AR116" i="2"/>
  <c r="AL116" i="2" s="1"/>
  <c r="AL91" i="2"/>
  <c r="W115" i="2"/>
  <c r="X290" i="2"/>
  <c r="AQ82" i="2"/>
  <c r="AO82" i="2" s="1"/>
  <c r="AB11" i="14"/>
  <c r="O311" i="2"/>
  <c r="X176" i="4"/>
  <c r="X172" i="4"/>
  <c r="AI121" i="4"/>
  <c r="AN128" i="4"/>
  <c r="AF126" i="4"/>
  <c r="AF197" i="4"/>
  <c r="Z218" i="4"/>
  <c r="AN213" i="4"/>
  <c r="L189" i="4"/>
  <c r="L165" i="4"/>
  <c r="L137" i="4"/>
  <c r="AM85" i="4"/>
  <c r="AJ225" i="4"/>
  <c r="AJ221" i="4"/>
  <c r="X209" i="4"/>
  <c r="Z200" i="4"/>
  <c r="AF194" i="4"/>
  <c r="AN156" i="4"/>
  <c r="L124" i="4"/>
  <c r="AJ216" i="2"/>
  <c r="AJ132" i="2"/>
  <c r="X189" i="2"/>
  <c r="AJ172" i="2"/>
  <c r="AJ149" i="2"/>
  <c r="AJ137" i="2"/>
  <c r="AF15" i="14"/>
  <c r="AQ75" i="2"/>
  <c r="AO75" i="2" s="1"/>
  <c r="L236" i="2"/>
  <c r="L206" i="2"/>
  <c r="AJ187" i="2"/>
  <c r="L185" i="2"/>
  <c r="AQ176" i="2"/>
  <c r="AO176" i="2" s="1"/>
  <c r="O116" i="2"/>
  <c r="AQ153" i="2"/>
  <c r="AO153" i="2" s="1"/>
  <c r="AQ226" i="2"/>
  <c r="AO226" i="2" s="1"/>
  <c r="AL146" i="2"/>
  <c r="X233" i="2"/>
  <c r="X217" i="2"/>
  <c r="L208" i="2"/>
  <c r="AJ205" i="2"/>
  <c r="X204" i="2"/>
  <c r="L169" i="2"/>
  <c r="AQ57" i="2"/>
  <c r="AO57" i="2" s="1"/>
  <c r="AF7" i="14"/>
  <c r="W121" i="2"/>
  <c r="X121" i="2" s="1"/>
  <c r="AJ224" i="2"/>
  <c r="X13" i="14"/>
  <c r="AB10" i="14"/>
  <c r="O125" i="2"/>
  <c r="AQ84" i="2"/>
  <c r="AO84" i="2" s="1"/>
  <c r="L249" i="2"/>
  <c r="X248" i="2"/>
  <c r="AJ228" i="2"/>
  <c r="X227" i="2"/>
  <c r="L226" i="2"/>
  <c r="L192" i="2"/>
  <c r="AJ181" i="2"/>
  <c r="AJ176" i="2"/>
  <c r="X147" i="2"/>
  <c r="AJ138" i="2"/>
  <c r="B33" i="14"/>
  <c r="AQ131" i="2"/>
  <c r="AO131" i="2" s="1"/>
  <c r="AQ49" i="2"/>
  <c r="AO49" i="2" s="1"/>
  <c r="Y315" i="2"/>
  <c r="X315" i="2" s="1"/>
  <c r="L199" i="2"/>
  <c r="AJ193" i="2"/>
  <c r="X177" i="2"/>
  <c r="AT118" i="2"/>
  <c r="AN118" i="2" s="1"/>
  <c r="AT117" i="2"/>
  <c r="AN117" i="2" s="1"/>
  <c r="AS117" i="2"/>
  <c r="AM117" i="2" s="1"/>
  <c r="AQ83" i="2"/>
  <c r="AO83" i="2" s="1"/>
  <c r="O123" i="2"/>
  <c r="AQ40" i="2"/>
  <c r="AO40" i="2" s="1"/>
  <c r="AJ236" i="2"/>
  <c r="X235" i="2"/>
  <c r="X234" i="2"/>
  <c r="X205" i="2"/>
  <c r="L204" i="2"/>
  <c r="AJ140" i="2"/>
  <c r="X134" i="2"/>
  <c r="O126" i="2"/>
  <c r="AL125" i="2"/>
  <c r="AL122" i="2"/>
  <c r="AQ120" i="2"/>
  <c r="AO120" i="2" s="1"/>
  <c r="AK116" i="2"/>
  <c r="Y116" i="2"/>
  <c r="X196" i="4"/>
  <c r="X224" i="4"/>
  <c r="L218" i="4"/>
  <c r="L215" i="4"/>
  <c r="X212" i="4"/>
  <c r="AN206" i="4"/>
  <c r="AJ198" i="4"/>
  <c r="AO194" i="4"/>
  <c r="AN188" i="4"/>
  <c r="X186" i="4"/>
  <c r="AN180" i="4"/>
  <c r="AN160" i="4"/>
  <c r="X158" i="4"/>
  <c r="AN155" i="4"/>
  <c r="AL154" i="4"/>
  <c r="X150" i="4"/>
  <c r="X142" i="4"/>
  <c r="AN140" i="4"/>
  <c r="X138" i="4"/>
  <c r="AL130" i="4"/>
  <c r="N127" i="4"/>
  <c r="Q124" i="4"/>
  <c r="T122" i="4"/>
  <c r="M120" i="4"/>
  <c r="AC118" i="4"/>
  <c r="AI117" i="4"/>
  <c r="B117" i="4"/>
  <c r="AM114" i="4"/>
  <c r="AM98" i="4"/>
  <c r="AM79" i="4"/>
  <c r="AM63" i="4"/>
  <c r="AM52" i="4"/>
  <c r="AT34" i="4"/>
  <c r="AU34" i="4"/>
  <c r="AS34" i="4"/>
  <c r="B218" i="4"/>
  <c r="AK211" i="4"/>
  <c r="AN211" i="4" s="1"/>
  <c r="AL230" i="4"/>
  <c r="AL229" i="4"/>
  <c r="AN223" i="4"/>
  <c r="AN203" i="4"/>
  <c r="AL184" i="4"/>
  <c r="AL179" i="4"/>
  <c r="AL155" i="4"/>
  <c r="AL139" i="4"/>
  <c r="AI125" i="4"/>
  <c r="AM104" i="4"/>
  <c r="AM96" i="4"/>
  <c r="AM88" i="4"/>
  <c r="AM61" i="4"/>
  <c r="AI209" i="4"/>
  <c r="AJ209" i="4" s="1"/>
  <c r="X128" i="4"/>
  <c r="AC200" i="4"/>
  <c r="AF209" i="4"/>
  <c r="AF218" i="4"/>
  <c r="L183" i="4"/>
  <c r="AJ182" i="4"/>
  <c r="L179" i="4"/>
  <c r="AJ178" i="4"/>
  <c r="L175" i="4"/>
  <c r="L139" i="4"/>
  <c r="AS35" i="4"/>
  <c r="AT35" i="4"/>
  <c r="AU35" i="4"/>
  <c r="L220" i="4"/>
  <c r="X215" i="4"/>
  <c r="AN212" i="4"/>
  <c r="AJ202" i="4"/>
  <c r="X188" i="4"/>
  <c r="X184" i="4"/>
  <c r="X140" i="4"/>
  <c r="L125" i="4"/>
  <c r="X226" i="4"/>
  <c r="AJ219" i="4"/>
  <c r="AC217" i="4"/>
  <c r="Z207" i="4"/>
  <c r="AC234" i="4"/>
  <c r="L232" i="4"/>
  <c r="AJ231" i="4"/>
  <c r="X229" i="4"/>
  <c r="AC218" i="4"/>
  <c r="AO217" i="4"/>
  <c r="AL216" i="4"/>
  <c r="X214" i="4"/>
  <c r="L206" i="4"/>
  <c r="AJ205" i="4"/>
  <c r="AN201" i="4"/>
  <c r="AJ193" i="4"/>
  <c r="AJ189" i="4"/>
  <c r="AJ185" i="4"/>
  <c r="AL157" i="4"/>
  <c r="L146" i="4"/>
  <c r="AJ145" i="4"/>
  <c r="AL137" i="4"/>
  <c r="AI120" i="4"/>
  <c r="AM89" i="4"/>
  <c r="AM62" i="4"/>
  <c r="AU33" i="4"/>
  <c r="AS33" i="4"/>
  <c r="AT33" i="4"/>
  <c r="AM33" i="4"/>
  <c r="Y118" i="2"/>
  <c r="X14" i="14"/>
  <c r="B25" i="14"/>
  <c r="AQ179" i="2"/>
  <c r="AO179" i="2" s="1"/>
  <c r="AQ136" i="2"/>
  <c r="AO136" i="2" s="1"/>
  <c r="AG117" i="2"/>
  <c r="X288" i="2"/>
  <c r="AH10" i="14"/>
  <c r="AK10" i="14" s="1"/>
  <c r="AF16" i="14"/>
  <c r="AL134" i="2"/>
  <c r="X242" i="2"/>
  <c r="AH16" i="14"/>
  <c r="AJ16" i="14" s="1"/>
  <c r="AH7" i="14"/>
  <c r="AL7" i="14" s="1"/>
  <c r="AQ141" i="2"/>
  <c r="AO141" i="2" s="1"/>
  <c r="AQ125" i="2"/>
  <c r="O120" i="2"/>
  <c r="AP124" i="2"/>
  <c r="AR126" i="2"/>
  <c r="AL126" i="2" s="1"/>
  <c r="Y125" i="2"/>
  <c r="X125" i="2" s="1"/>
  <c r="X296" i="2"/>
  <c r="X292" i="2"/>
  <c r="AJ262" i="2"/>
  <c r="AJ243" i="2"/>
  <c r="X230" i="2"/>
  <c r="AJ210" i="2"/>
  <c r="AJ197" i="2"/>
  <c r="X173" i="2"/>
  <c r="L172" i="2"/>
  <c r="X163" i="2"/>
  <c r="AJ156" i="2"/>
  <c r="L147" i="2"/>
  <c r="X141" i="2"/>
  <c r="AJ120" i="2"/>
  <c r="AD118" i="2"/>
  <c r="AJ240" i="2"/>
  <c r="L145" i="2"/>
  <c r="AQ145" i="2"/>
  <c r="AO145" i="2" s="1"/>
  <c r="AH15" i="14"/>
  <c r="AL15" i="14" s="1"/>
  <c r="K116" i="2"/>
  <c r="Y120" i="2"/>
  <c r="O124" i="2"/>
  <c r="AQ89" i="2"/>
  <c r="AO89" i="2" s="1"/>
  <c r="AQ67" i="2"/>
  <c r="AO67" i="2" s="1"/>
  <c r="AL176" i="2"/>
  <c r="AQ183" i="2"/>
  <c r="AO183" i="2" s="1"/>
  <c r="X313" i="2"/>
  <c r="AQ247" i="2"/>
  <c r="AO247" i="2" s="1"/>
  <c r="AJ225" i="2"/>
  <c r="X211" i="2"/>
  <c r="AJ161" i="2"/>
  <c r="L124" i="2"/>
  <c r="L123" i="2"/>
  <c r="L122" i="2"/>
  <c r="AK118" i="2"/>
  <c r="K117" i="2"/>
  <c r="AD116" i="2"/>
  <c r="M116" i="2"/>
  <c r="AQ199" i="2"/>
  <c r="AO199" i="2" s="1"/>
  <c r="X194" i="2"/>
  <c r="X179" i="2"/>
  <c r="Y277" i="2"/>
  <c r="X277" i="2" s="1"/>
  <c r="AQ100" i="2"/>
  <c r="AO100" i="2" s="1"/>
  <c r="AJ177" i="2"/>
  <c r="Y269" i="2"/>
  <c r="X269" i="2" s="1"/>
  <c r="AP125" i="2"/>
  <c r="AQ65" i="2"/>
  <c r="AO65" i="2" s="1"/>
  <c r="AQ112" i="2"/>
  <c r="AO112" i="2" s="1"/>
  <c r="Y308" i="2"/>
  <c r="X308" i="2" s="1"/>
  <c r="AQ249" i="2"/>
  <c r="AO249" i="2" s="1"/>
  <c r="AQ69" i="2"/>
  <c r="AO69" i="2" s="1"/>
  <c r="Y262" i="2"/>
  <c r="X262" i="2" s="1"/>
  <c r="AL120" i="2"/>
  <c r="Y275" i="2"/>
  <c r="X275" i="2" s="1"/>
  <c r="AQ104" i="2"/>
  <c r="AO104" i="2" s="1"/>
  <c r="AP119" i="2"/>
  <c r="C116" i="2"/>
  <c r="AQ178" i="2"/>
  <c r="AO178" i="2" s="1"/>
  <c r="AS118" i="2"/>
  <c r="AM118" i="2" s="1"/>
  <c r="AR123" i="2"/>
  <c r="AL123" i="2" s="1"/>
  <c r="AQ171" i="2"/>
  <c r="AO171" i="2" s="1"/>
  <c r="W126" i="2"/>
  <c r="X272" i="2"/>
  <c r="O259" i="2"/>
  <c r="AQ180" i="2"/>
  <c r="AO180" i="2" s="1"/>
  <c r="AQ238" i="2"/>
  <c r="AO238" i="2" s="1"/>
  <c r="AQ48" i="2"/>
  <c r="AO48" i="2" s="1"/>
  <c r="AJ234" i="2"/>
  <c r="O285" i="2"/>
  <c r="AQ73" i="2"/>
  <c r="AO73" i="2" s="1"/>
  <c r="AQ207" i="2"/>
  <c r="AO207" i="2" s="1"/>
  <c r="O312" i="2"/>
  <c r="AQ98" i="2"/>
  <c r="AO98" i="2" s="1"/>
  <c r="W123" i="2"/>
  <c r="X123" i="2" s="1"/>
  <c r="AQ191" i="2"/>
  <c r="AO191" i="2" s="1"/>
  <c r="AQ63" i="2"/>
  <c r="AO63" i="2" s="1"/>
  <c r="AP121" i="2"/>
  <c r="W120" i="2"/>
  <c r="L139" i="2"/>
  <c r="AJ195" i="2"/>
  <c r="L178" i="2"/>
  <c r="X166" i="2"/>
  <c r="R117" i="2"/>
  <c r="Y316" i="2"/>
  <c r="X316" i="2" s="1"/>
  <c r="AQ237" i="2"/>
  <c r="AO237" i="2" s="1"/>
  <c r="AQ196" i="2"/>
  <c r="AO196" i="2" s="1"/>
  <c r="AQ188" i="2"/>
  <c r="AO188" i="2" s="1"/>
  <c r="X249" i="2"/>
  <c r="L217" i="2"/>
  <c r="L212" i="2"/>
  <c r="L209" i="2"/>
  <c r="AJ170" i="2"/>
  <c r="X169" i="2"/>
  <c r="X127" i="2"/>
  <c r="L226" i="4"/>
  <c r="AJ175" i="4"/>
  <c r="L172" i="4"/>
  <c r="AJ167" i="4"/>
  <c r="L164" i="4"/>
  <c r="L156" i="4"/>
  <c r="L152" i="4"/>
  <c r="AJ151" i="4"/>
  <c r="AJ147" i="4"/>
  <c r="L144" i="4"/>
  <c r="L140" i="4"/>
  <c r="AC126" i="4"/>
  <c r="AF124" i="4"/>
  <c r="E120" i="4"/>
  <c r="Z119" i="4"/>
  <c r="H119" i="4"/>
  <c r="AP117" i="4"/>
  <c r="AQ117" i="4"/>
  <c r="K24" i="14"/>
  <c r="X130" i="4"/>
  <c r="AK194" i="4"/>
  <c r="AN190" i="4"/>
  <c r="AN186" i="4"/>
  <c r="AN174" i="4"/>
  <c r="AN166" i="4"/>
  <c r="AM99" i="4"/>
  <c r="AM53" i="4"/>
  <c r="B31" i="14"/>
  <c r="C30" i="14"/>
  <c r="H26" i="14"/>
  <c r="AO208" i="4"/>
  <c r="AQ234" i="4"/>
  <c r="X230" i="4"/>
  <c r="B200" i="4"/>
  <c r="K197" i="4"/>
  <c r="AN196" i="4"/>
  <c r="AK195" i="4"/>
  <c r="H195" i="4"/>
  <c r="AI194" i="4"/>
  <c r="H194" i="4"/>
  <c r="X192" i="4"/>
  <c r="O15" i="14"/>
  <c r="Q15" i="14" s="1"/>
  <c r="J24" i="14"/>
  <c r="L30" i="14"/>
  <c r="C29" i="14"/>
  <c r="D28" i="14"/>
  <c r="F27" i="14"/>
  <c r="H25" i="14"/>
  <c r="Y195" i="4"/>
  <c r="E195" i="4"/>
  <c r="G25" i="14"/>
  <c r="AL228" i="4"/>
  <c r="AF117" i="4"/>
  <c r="AK234" i="4"/>
  <c r="AN234" i="4" s="1"/>
  <c r="AN231" i="4"/>
  <c r="AJ230" i="4"/>
  <c r="AN226" i="4"/>
  <c r="AL221" i="4"/>
  <c r="AO218" i="4"/>
  <c r="AJ215" i="4"/>
  <c r="L208" i="4"/>
  <c r="AQ199" i="4"/>
  <c r="X191" i="4"/>
  <c r="AM108" i="4"/>
  <c r="AM54" i="4"/>
  <c r="E10" i="14"/>
  <c r="AN232" i="4"/>
  <c r="W195" i="4"/>
  <c r="AI126" i="4"/>
  <c r="O313" i="2"/>
  <c r="AQ113" i="2"/>
  <c r="AO113" i="2" s="1"/>
  <c r="AQ147" i="2"/>
  <c r="AO147" i="2" s="1"/>
  <c r="H207" i="4"/>
  <c r="AQ144" i="2"/>
  <c r="AO144" i="2" s="1"/>
  <c r="AQ85" i="2"/>
  <c r="AO85" i="2" s="1"/>
  <c r="AM161" i="2"/>
  <c r="X312" i="2"/>
  <c r="X299" i="2"/>
  <c r="L222" i="2"/>
  <c r="AJ202" i="2"/>
  <c r="X201" i="2"/>
  <c r="L175" i="2"/>
  <c r="AJ144" i="2"/>
  <c r="L130" i="2"/>
  <c r="AQ59" i="2"/>
  <c r="AO59" i="2" s="1"/>
  <c r="AN216" i="4"/>
  <c r="AL206" i="4"/>
  <c r="AL205" i="4"/>
  <c r="AL201" i="4"/>
  <c r="X143" i="4"/>
  <c r="AL142" i="4"/>
  <c r="X139" i="4"/>
  <c r="AQ124" i="4"/>
  <c r="AK122" i="4"/>
  <c r="Z121" i="4"/>
  <c r="L121" i="4"/>
  <c r="AM81" i="4"/>
  <c r="AM73" i="4"/>
  <c r="AM65" i="4"/>
  <c r="AQ217" i="2"/>
  <c r="AO217" i="2" s="1"/>
  <c r="AJ251" i="4"/>
  <c r="L233" i="4"/>
  <c r="AL232" i="4"/>
  <c r="AL227" i="4"/>
  <c r="AL210" i="4"/>
  <c r="X202" i="4"/>
  <c r="H200" i="4"/>
  <c r="L199" i="4"/>
  <c r="AI197" i="4"/>
  <c r="AL187" i="4"/>
  <c r="X183" i="4"/>
  <c r="AN176" i="4"/>
  <c r="AN172" i="4"/>
  <c r="AN164" i="4"/>
  <c r="X159" i="4"/>
  <c r="AN148" i="4"/>
  <c r="AL147" i="4"/>
  <c r="AN132" i="4"/>
  <c r="AP126" i="4"/>
  <c r="AQ172" i="2"/>
  <c r="AO172" i="2" s="1"/>
  <c r="Y265" i="2"/>
  <c r="X265" i="2" s="1"/>
  <c r="AC194" i="4"/>
  <c r="AQ205" i="2"/>
  <c r="AO205" i="2" s="1"/>
  <c r="AQ166" i="2"/>
  <c r="AO166" i="2" s="1"/>
  <c r="AO200" i="4"/>
  <c r="K120" i="4"/>
  <c r="O292" i="2"/>
  <c r="AI124" i="4"/>
  <c r="AL180" i="2"/>
  <c r="I116" i="2"/>
  <c r="AQ62" i="2"/>
  <c r="AO62" i="2" s="1"/>
  <c r="AR118" i="2"/>
  <c r="AL118" i="2" s="1"/>
  <c r="AQ202" i="2"/>
  <c r="AO202" i="2" s="1"/>
  <c r="AJ259" i="2"/>
  <c r="AJ253" i="2"/>
  <c r="AJ249" i="2"/>
  <c r="L244" i="2"/>
  <c r="X243" i="2"/>
  <c r="AJ241" i="2"/>
  <c r="L235" i="2"/>
  <c r="AJ233" i="2"/>
  <c r="AJ226" i="2"/>
  <c r="AJ221" i="2"/>
  <c r="X220" i="2"/>
  <c r="L219" i="2"/>
  <c r="X213" i="2"/>
  <c r="AJ212" i="2"/>
  <c r="AJ207" i="2"/>
  <c r="AJ199" i="2"/>
  <c r="L195" i="2"/>
  <c r="AJ167" i="2"/>
  <c r="L149" i="2"/>
  <c r="L132" i="2"/>
  <c r="AJ129" i="2"/>
  <c r="AQ128" i="2"/>
  <c r="AO128" i="2" s="1"/>
  <c r="AP116" i="2"/>
  <c r="W116" i="2"/>
  <c r="AN115" i="2"/>
  <c r="AQ99" i="2"/>
  <c r="AO99" i="2" s="1"/>
  <c r="L198" i="4"/>
  <c r="L149" i="4"/>
  <c r="AN146" i="4"/>
  <c r="AM111" i="4"/>
  <c r="AM95" i="4"/>
  <c r="AM60" i="4"/>
  <c r="AM38" i="4"/>
  <c r="AB5" i="14"/>
  <c r="AF14" i="14"/>
  <c r="AF12" i="14"/>
  <c r="AF6" i="14"/>
  <c r="Y267" i="2"/>
  <c r="X267" i="2" s="1"/>
  <c r="AQ200" i="2"/>
  <c r="AO200" i="2" s="1"/>
  <c r="AQ156" i="2"/>
  <c r="AO156" i="2" s="1"/>
  <c r="R115" i="2"/>
  <c r="L239" i="2"/>
  <c r="X215" i="2"/>
  <c r="X185" i="2"/>
  <c r="L184" i="2"/>
  <c r="X180" i="2"/>
  <c r="AQ173" i="2"/>
  <c r="AO173" i="2" s="1"/>
  <c r="L153" i="2"/>
  <c r="L146" i="2"/>
  <c r="L129" i="2"/>
  <c r="L120" i="2"/>
  <c r="L119" i="2"/>
  <c r="L118" i="2"/>
  <c r="AP117" i="2"/>
  <c r="AQ45" i="2"/>
  <c r="AO45" i="2" s="1"/>
  <c r="AJ210" i="4"/>
  <c r="L184" i="4"/>
  <c r="AJ183" i="4"/>
  <c r="L180" i="4"/>
  <c r="AJ179" i="4"/>
  <c r="AJ171" i="4"/>
  <c r="Q123" i="4"/>
  <c r="AM109" i="4"/>
  <c r="AM101" i="4"/>
  <c r="H35" i="14"/>
  <c r="J34" i="14"/>
  <c r="K33" i="14"/>
  <c r="L32" i="14"/>
  <c r="B32" i="14"/>
  <c r="C31" i="14"/>
  <c r="D30" i="14"/>
  <c r="I9" i="14"/>
  <c r="AQ192" i="2"/>
  <c r="AO192" i="2" s="1"/>
  <c r="AJ257" i="2"/>
  <c r="L245" i="2"/>
  <c r="L242" i="2"/>
  <c r="AQ234" i="2"/>
  <c r="AO234" i="2" s="1"/>
  <c r="AJ220" i="2"/>
  <c r="X219" i="2"/>
  <c r="L218" i="2"/>
  <c r="L216" i="2"/>
  <c r="AJ196" i="2"/>
  <c r="X195" i="2"/>
  <c r="L194" i="2"/>
  <c r="AJ191" i="2"/>
  <c r="X190" i="2"/>
  <c r="L189" i="2"/>
  <c r="AJ183" i="2"/>
  <c r="L179" i="2"/>
  <c r="AJ171" i="2"/>
  <c r="L160" i="2"/>
  <c r="AJ150" i="2"/>
  <c r="Z234" i="4"/>
  <c r="X225" i="4"/>
  <c r="L219" i="4"/>
  <c r="AL204" i="4"/>
  <c r="AI200" i="4"/>
  <c r="L196" i="4"/>
  <c r="X189" i="4"/>
  <c r="AN187" i="4"/>
  <c r="X185" i="4"/>
  <c r="X177" i="4"/>
  <c r="X169" i="4"/>
  <c r="X165" i="4"/>
  <c r="X133" i="4"/>
  <c r="X129" i="4"/>
  <c r="Z127" i="4"/>
  <c r="L127" i="4"/>
  <c r="AP124" i="4"/>
  <c r="W124" i="4"/>
  <c r="Y123" i="4"/>
  <c r="AQ122" i="4"/>
  <c r="Q122" i="4"/>
  <c r="AQ121" i="4"/>
  <c r="AP121" i="4"/>
  <c r="Y120" i="4"/>
  <c r="AM42" i="4"/>
  <c r="J26" i="14"/>
  <c r="K25" i="14"/>
  <c r="AQ163" i="2"/>
  <c r="AO163" i="2" s="1"/>
  <c r="AQ212" i="2"/>
  <c r="AO212" i="2" s="1"/>
  <c r="AL172" i="4"/>
  <c r="AQ182" i="2"/>
  <c r="AO182" i="2" s="1"/>
  <c r="AQ140" i="2"/>
  <c r="AO140" i="2" s="1"/>
  <c r="AQ92" i="2"/>
  <c r="AO92" i="2" s="1"/>
  <c r="AM83" i="2"/>
  <c r="AQ87" i="2"/>
  <c r="AO87" i="2" s="1"/>
  <c r="X247" i="2"/>
  <c r="AJ242" i="2"/>
  <c r="AJ232" i="2"/>
  <c r="L230" i="2"/>
  <c r="L223" i="2"/>
  <c r="AJ198" i="2"/>
  <c r="X197" i="2"/>
  <c r="AJ152" i="2"/>
  <c r="AJ145" i="2"/>
  <c r="AQ142" i="2"/>
  <c r="AO142" i="2" s="1"/>
  <c r="X142" i="2"/>
  <c r="AJ133" i="2"/>
  <c r="AA116" i="2"/>
  <c r="AQ56" i="2"/>
  <c r="AO56" i="2" s="1"/>
  <c r="L209" i="4"/>
  <c r="L151" i="4"/>
  <c r="AQ127" i="4"/>
  <c r="M117" i="4"/>
  <c r="AU48" i="4"/>
  <c r="O300" i="2"/>
  <c r="AQ207" i="4"/>
  <c r="Z217" i="4"/>
  <c r="AI119" i="4"/>
  <c r="X274" i="2"/>
  <c r="AJ254" i="2"/>
  <c r="AJ229" i="2"/>
  <c r="X226" i="2"/>
  <c r="X216" i="2"/>
  <c r="X212" i="2"/>
  <c r="X199" i="2"/>
  <c r="AJ168" i="2"/>
  <c r="L159" i="2"/>
  <c r="X148" i="2"/>
  <c r="L143" i="2"/>
  <c r="U117" i="2"/>
  <c r="X211" i="4"/>
  <c r="AN204" i="4"/>
  <c r="Q195" i="4"/>
  <c r="L190" i="4"/>
  <c r="AN189" i="4"/>
  <c r="L182" i="4"/>
  <c r="L178" i="4"/>
  <c r="AN161" i="4"/>
  <c r="AL136" i="4"/>
  <c r="L134" i="4"/>
  <c r="AJ133" i="4"/>
  <c r="X132" i="4"/>
  <c r="L130" i="4"/>
  <c r="AJ129" i="4"/>
  <c r="AO120" i="4"/>
  <c r="AF119" i="4"/>
  <c r="Q119" i="4"/>
  <c r="B119" i="4"/>
  <c r="Z117" i="4"/>
  <c r="AM113" i="4"/>
  <c r="AM86" i="4"/>
  <c r="AU38" i="4"/>
  <c r="L29" i="14"/>
  <c r="AM34" i="4"/>
  <c r="AQ227" i="2"/>
  <c r="AO227" i="2" s="1"/>
  <c r="AQ208" i="2"/>
  <c r="AO208" i="2" s="1"/>
  <c r="J25" i="14"/>
  <c r="X12" i="14"/>
  <c r="AQ130" i="2"/>
  <c r="AO130" i="2" s="1"/>
  <c r="AQ133" i="2"/>
  <c r="AO133" i="2" s="1"/>
  <c r="U115" i="2"/>
  <c r="AQ190" i="2"/>
  <c r="AO190" i="2" s="1"/>
  <c r="AQ76" i="2"/>
  <c r="AO76" i="2" s="1"/>
  <c r="AQ94" i="2"/>
  <c r="AO94" i="2" s="1"/>
  <c r="R116" i="2"/>
  <c r="AQ68" i="2"/>
  <c r="AO68" i="2" s="1"/>
  <c r="AJ252" i="2"/>
  <c r="L247" i="2"/>
  <c r="AJ239" i="2"/>
  <c r="AJ238" i="2"/>
  <c r="X236" i="2"/>
  <c r="AJ222" i="2"/>
  <c r="X210" i="2"/>
  <c r="X203" i="2"/>
  <c r="AJ188" i="2"/>
  <c r="X187" i="2"/>
  <c r="X182" i="2"/>
  <c r="L167" i="2"/>
  <c r="AJ165" i="2"/>
  <c r="X162" i="2"/>
  <c r="AJ159" i="2"/>
  <c r="L151" i="2"/>
  <c r="AQ139" i="2"/>
  <c r="AO139" i="2" s="1"/>
  <c r="X137" i="2"/>
  <c r="AQ103" i="2"/>
  <c r="AO103" i="2" s="1"/>
  <c r="AB16" i="14"/>
  <c r="AB15" i="14"/>
  <c r="AF13" i="14"/>
  <c r="X11" i="14"/>
  <c r="AB7" i="14"/>
  <c r="AQ101" i="2"/>
  <c r="AO101" i="2" s="1"/>
  <c r="X264" i="2"/>
  <c r="O296" i="2"/>
  <c r="AQ61" i="2"/>
  <c r="AO61" i="2" s="1"/>
  <c r="Y258" i="2"/>
  <c r="X258" i="2" s="1"/>
  <c r="O118" i="2"/>
  <c r="AQ74" i="2"/>
  <c r="AO74" i="2" s="1"/>
  <c r="X300" i="2"/>
  <c r="X298" i="2"/>
  <c r="X238" i="2"/>
  <c r="L202" i="2"/>
  <c r="AJ190" i="2"/>
  <c r="I117" i="2"/>
  <c r="AQ81" i="2"/>
  <c r="AO81" i="2" s="1"/>
  <c r="Y117" i="2"/>
  <c r="AH12" i="14"/>
  <c r="AK12" i="14" s="1"/>
  <c r="Y294" i="2"/>
  <c r="X294" i="2" s="1"/>
  <c r="AQ143" i="2"/>
  <c r="AO143" i="2" s="1"/>
  <c r="O263" i="2"/>
  <c r="X266" i="2"/>
  <c r="AQ245" i="2"/>
  <c r="AO245" i="2" s="1"/>
  <c r="AJ206" i="2"/>
  <c r="X160" i="2"/>
  <c r="AQ122" i="2"/>
  <c r="X311" i="2"/>
  <c r="AQ96" i="2"/>
  <c r="AO96" i="2" s="1"/>
  <c r="AQ177" i="2"/>
  <c r="AO177" i="2" s="1"/>
  <c r="AQ43" i="2"/>
  <c r="AO43" i="2" s="1"/>
  <c r="AQ52" i="2"/>
  <c r="AO52" i="2" s="1"/>
  <c r="AQ197" i="2"/>
  <c r="AO197" i="2" s="1"/>
  <c r="AQ162" i="2"/>
  <c r="AO162" i="2" s="1"/>
  <c r="AJ260" i="2"/>
  <c r="L241" i="2"/>
  <c r="L232" i="2"/>
  <c r="X225" i="2"/>
  <c r="L215" i="2"/>
  <c r="AJ208" i="2"/>
  <c r="AJ201" i="2"/>
  <c r="X200" i="2"/>
  <c r="X186" i="2"/>
  <c r="X174" i="2"/>
  <c r="X153" i="2"/>
  <c r="X151" i="2"/>
  <c r="AJ139" i="2"/>
  <c r="AQ184" i="2"/>
  <c r="AO184" i="2" s="1"/>
  <c r="AQ108" i="2"/>
  <c r="AO108" i="2" s="1"/>
  <c r="AQ78" i="2"/>
  <c r="AO78" i="2" s="1"/>
  <c r="AL128" i="2"/>
  <c r="AL234" i="2"/>
  <c r="X310" i="2"/>
  <c r="AB9" i="14"/>
  <c r="AQ72" i="2"/>
  <c r="AO72" i="2" s="1"/>
  <c r="AQ203" i="2"/>
  <c r="AO203" i="2" s="1"/>
  <c r="O274" i="2"/>
  <c r="AQ152" i="2"/>
  <c r="AO152" i="2" s="1"/>
  <c r="AQ210" i="2"/>
  <c r="AO210" i="2" s="1"/>
  <c r="AN116" i="2"/>
  <c r="AQ150" i="2"/>
  <c r="AO150" i="2" s="1"/>
  <c r="AI117" i="2"/>
  <c r="AQ158" i="2"/>
  <c r="AO158" i="2" s="1"/>
  <c r="AQ114" i="2"/>
  <c r="AO114" i="2" s="1"/>
  <c r="AQ170" i="2"/>
  <c r="AO170" i="2" s="1"/>
  <c r="AQ168" i="2"/>
  <c r="AO168" i="2" s="1"/>
  <c r="AQ219" i="2"/>
  <c r="AO219" i="2" s="1"/>
  <c r="O298" i="2"/>
  <c r="AL45" i="2"/>
  <c r="AL56" i="2"/>
  <c r="AQ160" i="2"/>
  <c r="AO160" i="2" s="1"/>
  <c r="Y303" i="2"/>
  <c r="X303" i="2" s="1"/>
  <c r="AJ248" i="2"/>
  <c r="L234" i="2"/>
  <c r="X222" i="2"/>
  <c r="X202" i="2"/>
  <c r="X188" i="2"/>
  <c r="X165" i="2"/>
  <c r="L162" i="2"/>
  <c r="X159" i="2"/>
  <c r="AJ141" i="2"/>
  <c r="L137" i="2"/>
  <c r="AQ135" i="2"/>
  <c r="AO135" i="2" s="1"/>
  <c r="AQ221" i="2"/>
  <c r="AO221" i="2" s="1"/>
  <c r="AQ66" i="2"/>
  <c r="AO66" i="2" s="1"/>
  <c r="AH6" i="14"/>
  <c r="AJ6" i="14" s="1"/>
  <c r="AQ187" i="2"/>
  <c r="AO187" i="2" s="1"/>
  <c r="AQ229" i="2"/>
  <c r="AO229" i="2" s="1"/>
  <c r="AQ201" i="2"/>
  <c r="AO201" i="2" s="1"/>
  <c r="AQ36" i="2"/>
  <c r="AO36" i="2" s="1"/>
  <c r="AQ175" i="2"/>
  <c r="AO175" i="2" s="1"/>
  <c r="AQ164" i="2"/>
  <c r="AO164" i="2" s="1"/>
  <c r="AQ54" i="2"/>
  <c r="AO54" i="2" s="1"/>
  <c r="W117" i="2"/>
  <c r="AQ70" i="2"/>
  <c r="AO70" i="2" s="1"/>
  <c r="X245" i="2"/>
  <c r="X232" i="2"/>
  <c r="X228" i="2"/>
  <c r="L221" i="2"/>
  <c r="X206" i="2"/>
  <c r="X152" i="2"/>
  <c r="AJ151" i="2"/>
  <c r="L141" i="2"/>
  <c r="X133" i="2"/>
  <c r="L121" i="2"/>
  <c r="AJ237" i="2"/>
  <c r="AF5" i="14"/>
  <c r="X10" i="14"/>
  <c r="AH8" i="14"/>
  <c r="AK8" i="14" s="1"/>
  <c r="AH5" i="14"/>
  <c r="AL5" i="14" s="1"/>
  <c r="J32" i="14"/>
  <c r="Y126" i="2"/>
  <c r="AL103" i="2"/>
  <c r="AR117" i="2"/>
  <c r="AL117" i="2" s="1"/>
  <c r="Y304" i="2"/>
  <c r="X304" i="2" s="1"/>
  <c r="Y251" i="2"/>
  <c r="X251" i="2" s="1"/>
  <c r="O251" i="2"/>
  <c r="L250" i="2"/>
  <c r="AJ235" i="2"/>
  <c r="AJ230" i="2"/>
  <c r="AI116" i="2"/>
  <c r="AG116" i="2"/>
  <c r="B30" i="14"/>
  <c r="AQ138" i="2"/>
  <c r="AO138" i="2" s="1"/>
  <c r="X278" i="2"/>
  <c r="AJ256" i="2"/>
  <c r="X223" i="2"/>
  <c r="L127" i="2"/>
  <c r="AB6" i="14"/>
  <c r="AM189" i="2"/>
  <c r="AQ189" i="2"/>
  <c r="AO189" i="2" s="1"/>
  <c r="AQ35" i="2"/>
  <c r="AO35" i="2" s="1"/>
  <c r="AH13" i="14"/>
  <c r="AB8" i="14"/>
  <c r="AH11" i="14"/>
  <c r="AL11" i="14" s="1"/>
  <c r="AQ225" i="2"/>
  <c r="AO225" i="2" s="1"/>
  <c r="AL225" i="2"/>
  <c r="AN204" i="2"/>
  <c r="AQ204" i="2"/>
  <c r="AO204" i="2" s="1"/>
  <c r="AM129" i="2"/>
  <c r="AQ129" i="2"/>
  <c r="AO129" i="2" s="1"/>
  <c r="AA118" i="2"/>
  <c r="AI118" i="2"/>
  <c r="AP118" i="2"/>
  <c r="X9" i="14"/>
  <c r="AQ55" i="2"/>
  <c r="AO55" i="2" s="1"/>
  <c r="AQ137" i="2"/>
  <c r="AO137" i="2" s="1"/>
  <c r="AQ155" i="2"/>
  <c r="AO155" i="2" s="1"/>
  <c r="O256" i="2"/>
  <c r="X244" i="2"/>
  <c r="AQ209" i="2"/>
  <c r="AO209" i="2" s="1"/>
  <c r="AL209" i="2"/>
  <c r="X191" i="2"/>
  <c r="AK117" i="2"/>
  <c r="X231" i="2"/>
  <c r="AQ214" i="2"/>
  <c r="AO214" i="2" s="1"/>
  <c r="AQ216" i="2"/>
  <c r="AO216" i="2" s="1"/>
  <c r="AF11" i="14"/>
  <c r="AQ86" i="2"/>
  <c r="AO86" i="2" s="1"/>
  <c r="AQ195" i="2"/>
  <c r="AO195" i="2" s="1"/>
  <c r="O299" i="2"/>
  <c r="AL193" i="2"/>
  <c r="AQ193" i="2"/>
  <c r="AO193" i="2" s="1"/>
  <c r="AM185" i="2"/>
  <c r="AQ185" i="2"/>
  <c r="AO185" i="2" s="1"/>
  <c r="AP122" i="2"/>
  <c r="O122" i="2"/>
  <c r="W122" i="2"/>
  <c r="AQ149" i="2"/>
  <c r="AO149" i="2" s="1"/>
  <c r="AQ157" i="2"/>
  <c r="AO157" i="2" s="1"/>
  <c r="Y306" i="2"/>
  <c r="X306" i="2" s="1"/>
  <c r="O306" i="2"/>
  <c r="AJ251" i="2"/>
  <c r="AJ244" i="2"/>
  <c r="L240" i="2"/>
  <c r="L238" i="2"/>
  <c r="L229" i="2"/>
  <c r="AJ227" i="2"/>
  <c r="L214" i="2"/>
  <c r="X207" i="2"/>
  <c r="L201" i="2"/>
  <c r="L198" i="2"/>
  <c r="L183" i="2"/>
  <c r="L181" i="2"/>
  <c r="AJ179" i="2"/>
  <c r="AQ174" i="2"/>
  <c r="AO174" i="2" s="1"/>
  <c r="AJ169" i="2"/>
  <c r="AJ166" i="2"/>
  <c r="L165" i="2"/>
  <c r="L163" i="2"/>
  <c r="AJ160" i="2"/>
  <c r="L157" i="2"/>
  <c r="X154" i="2"/>
  <c r="AJ143" i="2"/>
  <c r="L135" i="2"/>
  <c r="AD117" i="2"/>
  <c r="AQ111" i="2"/>
  <c r="AO111" i="2" s="1"/>
  <c r="AQ88" i="2"/>
  <c r="AO88" i="2" s="1"/>
  <c r="AA17" i="14"/>
  <c r="AC17" i="14"/>
  <c r="AJ215" i="2"/>
  <c r="X214" i="2"/>
  <c r="AJ211" i="2"/>
  <c r="AJ203" i="2"/>
  <c r="AJ200" i="2"/>
  <c r="L196" i="2"/>
  <c r="X168" i="2"/>
  <c r="AJ164" i="2"/>
  <c r="X140" i="2"/>
  <c r="L138" i="2"/>
  <c r="X129" i="2"/>
  <c r="L128" i="2"/>
  <c r="AS116" i="2"/>
  <c r="AM116" i="2" s="1"/>
  <c r="X276" i="2"/>
  <c r="AQ239" i="2"/>
  <c r="AO239" i="2" s="1"/>
  <c r="AQ236" i="2"/>
  <c r="AO236" i="2" s="1"/>
  <c r="X221" i="2"/>
  <c r="AJ218" i="2"/>
  <c r="AJ182" i="2"/>
  <c r="W118" i="2"/>
  <c r="AQ102" i="2"/>
  <c r="AO102" i="2" s="1"/>
  <c r="X257" i="2"/>
  <c r="AJ246" i="2"/>
  <c r="L246" i="2"/>
  <c r="L237" i="2"/>
  <c r="X229" i="2"/>
  <c r="L213" i="2"/>
  <c r="AJ209" i="2"/>
  <c r="L190" i="2"/>
  <c r="AQ181" i="2"/>
  <c r="AO181" i="2" s="1"/>
  <c r="AJ178" i="2"/>
  <c r="AJ174" i="2"/>
  <c r="L136" i="2"/>
  <c r="L126" i="2"/>
  <c r="L125" i="2"/>
  <c r="F35" i="14"/>
  <c r="G34" i="14"/>
  <c r="V17" i="14"/>
  <c r="X285" i="2"/>
  <c r="X281" i="2"/>
  <c r="AJ258" i="2"/>
  <c r="X250" i="2"/>
  <c r="AJ247" i="2"/>
  <c r="X241" i="2"/>
  <c r="L228" i="2"/>
  <c r="AQ220" i="2"/>
  <c r="AO220" i="2" s="1"/>
  <c r="AJ219" i="2"/>
  <c r="L200" i="2"/>
  <c r="AQ194" i="2"/>
  <c r="AO194" i="2" s="1"/>
  <c r="AJ189" i="2"/>
  <c r="AJ185" i="2"/>
  <c r="L174" i="2"/>
  <c r="X171" i="2"/>
  <c r="AJ163" i="2"/>
  <c r="X150" i="2"/>
  <c r="AJ135" i="2"/>
  <c r="X128" i="2"/>
  <c r="AM122" i="2"/>
  <c r="R118" i="2"/>
  <c r="Y271" i="2"/>
  <c r="X271" i="2" s="1"/>
  <c r="O261" i="2"/>
  <c r="X259" i="2"/>
  <c r="X256" i="2"/>
  <c r="L248" i="2"/>
  <c r="X237" i="2"/>
  <c r="AQ230" i="2"/>
  <c r="AO230" i="2" s="1"/>
  <c r="L225" i="2"/>
  <c r="AJ204" i="2"/>
  <c r="AQ233" i="2"/>
  <c r="AO233" i="2" s="1"/>
  <c r="AQ215" i="2"/>
  <c r="AO215" i="2" s="1"/>
  <c r="L191" i="2"/>
  <c r="L187" i="2"/>
  <c r="X158" i="2"/>
  <c r="AJ147" i="2"/>
  <c r="X146" i="2"/>
  <c r="X139" i="2"/>
  <c r="X136" i="2"/>
  <c r="AJ119" i="2"/>
  <c r="Z17" i="14"/>
  <c r="Y297" i="2"/>
  <c r="X297" i="2" s="1"/>
  <c r="AQ228" i="2"/>
  <c r="AO228" i="2" s="1"/>
  <c r="O314" i="2"/>
  <c r="Y314" i="2"/>
  <c r="X314" i="2" s="1"/>
  <c r="AM235" i="2"/>
  <c r="AQ235" i="2"/>
  <c r="AO235" i="2" s="1"/>
  <c r="AQ241" i="2"/>
  <c r="AO241" i="2" s="1"/>
  <c r="Y260" i="2"/>
  <c r="X260" i="2" s="1"/>
  <c r="AQ224" i="2"/>
  <c r="AO224" i="2" s="1"/>
  <c r="X293" i="2"/>
  <c r="O273" i="2"/>
  <c r="Y273" i="2"/>
  <c r="X273" i="2" s="1"/>
  <c r="AQ246" i="2"/>
  <c r="AO246" i="2" s="1"/>
  <c r="AQ244" i="2"/>
  <c r="AO244" i="2" s="1"/>
  <c r="AL244" i="2"/>
  <c r="L233" i="2"/>
  <c r="L227" i="2"/>
  <c r="L224" i="2"/>
  <c r="Y295" i="2"/>
  <c r="X295" i="2" s="1"/>
  <c r="O295" i="2"/>
  <c r="O287" i="2"/>
  <c r="Y287" i="2"/>
  <c r="X287" i="2" s="1"/>
  <c r="X263" i="2"/>
  <c r="X255" i="2"/>
  <c r="AL232" i="2"/>
  <c r="AQ232" i="2"/>
  <c r="AO232" i="2" s="1"/>
  <c r="AQ223" i="2"/>
  <c r="AO223" i="2" s="1"/>
  <c r="AL223" i="2"/>
  <c r="Y317" i="2"/>
  <c r="X317" i="2" s="1"/>
  <c r="O283" i="2"/>
  <c r="O268" i="2"/>
  <c r="AJ250" i="2"/>
  <c r="L243" i="2"/>
  <c r="AM206" i="2"/>
  <c r="AQ206" i="2"/>
  <c r="AO206" i="2" s="1"/>
  <c r="AN46" i="2"/>
  <c r="AQ46" i="2"/>
  <c r="AO46" i="2" s="1"/>
  <c r="AQ44" i="2"/>
  <c r="AO44" i="2" s="1"/>
  <c r="AN44" i="2"/>
  <c r="AQ222" i="2"/>
  <c r="AO222" i="2" s="1"/>
  <c r="O279" i="2"/>
  <c r="Y279" i="2"/>
  <c r="X279" i="2" s="1"/>
  <c r="AJ255" i="2"/>
  <c r="AQ250" i="2"/>
  <c r="AO250" i="2" s="1"/>
  <c r="AN250" i="2"/>
  <c r="AL247" i="2"/>
  <c r="AL240" i="2"/>
  <c r="AQ240" i="2"/>
  <c r="AO240" i="2" s="1"/>
  <c r="AL236" i="2"/>
  <c r="X224" i="2"/>
  <c r="AM213" i="2"/>
  <c r="AQ213" i="2"/>
  <c r="AO213" i="2" s="1"/>
  <c r="AN211" i="2"/>
  <c r="AQ211" i="2"/>
  <c r="AO211" i="2" s="1"/>
  <c r="AM186" i="2"/>
  <c r="AQ186" i="2"/>
  <c r="AO186" i="2" s="1"/>
  <c r="AM169" i="2"/>
  <c r="AQ169" i="2"/>
  <c r="AO169" i="2" s="1"/>
  <c r="AM148" i="2"/>
  <c r="AQ148" i="2"/>
  <c r="AO148" i="2" s="1"/>
  <c r="Y119" i="2"/>
  <c r="X119" i="2" s="1"/>
  <c r="AR119" i="2"/>
  <c r="O119" i="2"/>
  <c r="AG118" i="2"/>
  <c r="AQ110" i="2"/>
  <c r="AO110" i="2" s="1"/>
  <c r="AL110" i="2"/>
  <c r="AN106" i="2"/>
  <c r="AQ106" i="2"/>
  <c r="AO106" i="2" s="1"/>
  <c r="AN77" i="2"/>
  <c r="AQ77" i="2"/>
  <c r="AO77" i="2" s="1"/>
  <c r="AL58" i="2"/>
  <c r="AQ58" i="2"/>
  <c r="AO58" i="2" s="1"/>
  <c r="AL53" i="2"/>
  <c r="AQ53" i="2"/>
  <c r="AO53" i="2" s="1"/>
  <c r="AL231" i="2"/>
  <c r="AQ231" i="2"/>
  <c r="AO231" i="2" s="1"/>
  <c r="AM242" i="2"/>
  <c r="AQ242" i="2"/>
  <c r="AO242" i="2" s="1"/>
  <c r="O255" i="2"/>
  <c r="Y252" i="2"/>
  <c r="X252" i="2" s="1"/>
  <c r="Y309" i="2"/>
  <c r="X309" i="2" s="1"/>
  <c r="Y289" i="2"/>
  <c r="X289" i="2" s="1"/>
  <c r="Y291" i="2"/>
  <c r="X291" i="2" s="1"/>
  <c r="O291" i="2"/>
  <c r="AJ261" i="2"/>
  <c r="O253" i="2"/>
  <c r="Y253" i="2"/>
  <c r="X253" i="2" s="1"/>
  <c r="AQ248" i="2"/>
  <c r="AO248" i="2" s="1"/>
  <c r="AL248" i="2"/>
  <c r="AQ243" i="2"/>
  <c r="AO243" i="2" s="1"/>
  <c r="AM218" i="2"/>
  <c r="AQ218" i="2"/>
  <c r="AO218" i="2" s="1"/>
  <c r="AN38" i="2"/>
  <c r="AQ38" i="2"/>
  <c r="AO38" i="2" s="1"/>
  <c r="AL37" i="2"/>
  <c r="AQ37" i="2"/>
  <c r="AO37" i="2" s="1"/>
  <c r="O257" i="2"/>
  <c r="X283" i="2"/>
  <c r="O282" i="2"/>
  <c r="Y282" i="2"/>
  <c r="X282" i="2" s="1"/>
  <c r="X268" i="2"/>
  <c r="AL151" i="2"/>
  <c r="AQ151" i="2"/>
  <c r="AO151" i="2" s="1"/>
  <c r="AL90" i="2"/>
  <c r="AQ90" i="2"/>
  <c r="AO90" i="2" s="1"/>
  <c r="AM80" i="2"/>
  <c r="AQ80" i="2"/>
  <c r="AO80" i="2" s="1"/>
  <c r="AN71" i="2"/>
  <c r="AQ71" i="2"/>
  <c r="AO71" i="2" s="1"/>
  <c r="AL245" i="2"/>
  <c r="L210" i="2"/>
  <c r="L193" i="2"/>
  <c r="X175" i="2"/>
  <c r="W17" i="14"/>
  <c r="O115" i="2"/>
  <c r="Y17" i="14"/>
  <c r="AM198" i="2"/>
  <c r="AQ198" i="2"/>
  <c r="AO198" i="2" s="1"/>
  <c r="X218" i="2"/>
  <c r="X176" i="2"/>
  <c r="AQ60" i="2"/>
  <c r="AO60" i="2" s="1"/>
  <c r="AQ50" i="2"/>
  <c r="AO50" i="2" s="1"/>
  <c r="AQ47" i="2"/>
  <c r="AO47" i="2" s="1"/>
  <c r="AJ223" i="2"/>
  <c r="L205" i="2"/>
  <c r="X198" i="2"/>
  <c r="X149" i="2"/>
  <c r="AD17" i="14"/>
  <c r="X124" i="2"/>
  <c r="G35" i="14"/>
  <c r="H34" i="14"/>
  <c r="J33" i="14"/>
  <c r="K32" i="14"/>
  <c r="L31" i="14"/>
  <c r="F28" i="14"/>
  <c r="U17" i="14"/>
  <c r="AE17" i="14"/>
  <c r="AN102" i="2"/>
  <c r="L25" i="14"/>
  <c r="AM35" i="4"/>
  <c r="AL211" i="4"/>
  <c r="AF199" i="4"/>
  <c r="AP217" i="4"/>
  <c r="I11" i="14"/>
  <c r="K119" i="4"/>
  <c r="AJ216" i="4"/>
  <c r="X221" i="4"/>
  <c r="T195" i="4"/>
  <c r="AJ220" i="4"/>
  <c r="AL203" i="4"/>
  <c r="AK200" i="4"/>
  <c r="X197" i="4"/>
  <c r="AP194" i="4"/>
  <c r="X193" i="4"/>
  <c r="L188" i="4"/>
  <c r="AL171" i="4"/>
  <c r="AL163" i="4"/>
  <c r="X154" i="4"/>
  <c r="AN142" i="4"/>
  <c r="AN141" i="4"/>
  <c r="L138" i="4"/>
  <c r="AJ137" i="4"/>
  <c r="N124" i="4"/>
  <c r="AK118" i="4"/>
  <c r="AM103" i="4"/>
  <c r="AM59" i="4"/>
  <c r="AM40" i="4"/>
  <c r="AP122" i="4"/>
  <c r="Q120" i="4"/>
  <c r="O12" i="14"/>
  <c r="S12" i="14" s="1"/>
  <c r="AI208" i="4"/>
  <c r="AP123" i="4"/>
  <c r="AK218" i="4"/>
  <c r="AJ155" i="4"/>
  <c r="AI218" i="4"/>
  <c r="AL218" i="4" s="1"/>
  <c r="X203" i="4"/>
  <c r="B197" i="4"/>
  <c r="AQ195" i="4"/>
  <c r="K195" i="4"/>
  <c r="L191" i="4"/>
  <c r="AL178" i="4"/>
  <c r="AJ170" i="4"/>
  <c r="X168" i="4"/>
  <c r="AL167" i="4"/>
  <c r="X160" i="4"/>
  <c r="AJ158" i="4"/>
  <c r="X149" i="4"/>
  <c r="AJ148" i="4"/>
  <c r="AN144" i="4"/>
  <c r="AC117" i="4"/>
  <c r="AO117" i="4"/>
  <c r="AQ116" i="4"/>
  <c r="AM106" i="4"/>
  <c r="AM87" i="4"/>
  <c r="AM84" i="4"/>
  <c r="AS54" i="4"/>
  <c r="AN210" i="4"/>
  <c r="AL150" i="4"/>
  <c r="AN133" i="4"/>
  <c r="L129" i="4"/>
  <c r="W122" i="4"/>
  <c r="E118" i="4"/>
  <c r="AM90" i="4"/>
  <c r="AM71" i="4"/>
  <c r="AM37" i="4"/>
  <c r="AT49" i="4"/>
  <c r="O8" i="14"/>
  <c r="S8" i="14" s="1"/>
  <c r="AP218" i="4"/>
  <c r="X206" i="4"/>
  <c r="L205" i="4"/>
  <c r="AJ204" i="4"/>
  <c r="E194" i="4"/>
  <c r="AN192" i="4"/>
  <c r="AN191" i="4"/>
  <c r="L186" i="4"/>
  <c r="L174" i="4"/>
  <c r="X171" i="4"/>
  <c r="AL165" i="4"/>
  <c r="L158" i="4"/>
  <c r="AL156" i="4"/>
  <c r="L154" i="4"/>
  <c r="AN153" i="4"/>
  <c r="X146" i="4"/>
  <c r="L126" i="4"/>
  <c r="Z123" i="4"/>
  <c r="L123" i="4"/>
  <c r="AN177" i="4"/>
  <c r="AN165" i="4"/>
  <c r="AJ143" i="4"/>
  <c r="AK120" i="4"/>
  <c r="N120" i="4"/>
  <c r="AM66" i="4"/>
  <c r="AM44" i="4"/>
  <c r="AI217" i="4"/>
  <c r="AL217" i="4" s="1"/>
  <c r="AL183" i="4"/>
  <c r="AO234" i="4"/>
  <c r="AL188" i="4"/>
  <c r="AN233" i="4"/>
  <c r="L227" i="4"/>
  <c r="AJ226" i="4"/>
  <c r="AJ222" i="4"/>
  <c r="L213" i="4"/>
  <c r="L212" i="4"/>
  <c r="L204" i="4"/>
  <c r="AJ203" i="4"/>
  <c r="AQ194" i="4"/>
  <c r="K194" i="4"/>
  <c r="AJ188" i="4"/>
  <c r="L181" i="4"/>
  <c r="AN178" i="4"/>
  <c r="L169" i="4"/>
  <c r="L161" i="4"/>
  <c r="AJ160" i="4"/>
  <c r="L132" i="4"/>
  <c r="AC127" i="4"/>
  <c r="Q126" i="4"/>
  <c r="AM102" i="4"/>
  <c r="AM69" i="4"/>
  <c r="AM50" i="4"/>
  <c r="AL189" i="4"/>
  <c r="AL152" i="4"/>
  <c r="T127" i="4"/>
  <c r="M15" i="14"/>
  <c r="AO119" i="4"/>
  <c r="E200" i="4"/>
  <c r="L192" i="4"/>
  <c r="AL191" i="4"/>
  <c r="X190" i="4"/>
  <c r="AJ187" i="4"/>
  <c r="X182" i="4"/>
  <c r="X162" i="4"/>
  <c r="AJ152" i="4"/>
  <c r="AJ130" i="4"/>
  <c r="AO127" i="4"/>
  <c r="AK125" i="4"/>
  <c r="AK124" i="4"/>
  <c r="AK123" i="4"/>
  <c r="AM105" i="4"/>
  <c r="AM80" i="4"/>
  <c r="AM72" i="4"/>
  <c r="I12" i="14"/>
  <c r="M11" i="14"/>
  <c r="X204" i="4"/>
  <c r="AP120" i="4"/>
  <c r="AJ172" i="4"/>
  <c r="K200" i="4"/>
  <c r="L167" i="4"/>
  <c r="F33" i="14"/>
  <c r="AJ232" i="4"/>
  <c r="AO123" i="4"/>
  <c r="AL162" i="4"/>
  <c r="B126" i="4"/>
  <c r="X223" i="4"/>
  <c r="L222" i="4"/>
  <c r="AN220" i="4"/>
  <c r="AL207" i="4"/>
  <c r="AJ191" i="4"/>
  <c r="AL185" i="4"/>
  <c r="L171" i="4"/>
  <c r="AJ166" i="4"/>
  <c r="AN149" i="4"/>
  <c r="X147" i="4"/>
  <c r="AN134" i="4"/>
  <c r="AL131" i="4"/>
  <c r="AC122" i="4"/>
  <c r="N121" i="4"/>
  <c r="AM93" i="4"/>
  <c r="AM41" i="4"/>
  <c r="AM36" i="4"/>
  <c r="AT36" i="4"/>
  <c r="AU49" i="4"/>
  <c r="AU40" i="4"/>
  <c r="D29" i="14"/>
  <c r="G28" i="14"/>
  <c r="N117" i="4"/>
  <c r="AO207" i="4"/>
  <c r="H31" i="14"/>
  <c r="O14" i="14"/>
  <c r="AN215" i="4"/>
  <c r="AN183" i="4"/>
  <c r="AN209" i="4"/>
  <c r="AL148" i="4"/>
  <c r="AO121" i="4"/>
  <c r="AL145" i="4"/>
  <c r="L229" i="4"/>
  <c r="AJ228" i="4"/>
  <c r="X218" i="4"/>
  <c r="X217" i="4"/>
  <c r="L216" i="4"/>
  <c r="X210" i="4"/>
  <c r="X199" i="4"/>
  <c r="L177" i="4"/>
  <c r="L173" i="4"/>
  <c r="AL143" i="4"/>
  <c r="L142" i="4"/>
  <c r="AJ141" i="4"/>
  <c r="X136" i="4"/>
  <c r="L122" i="4"/>
  <c r="AM82" i="4"/>
  <c r="AM74" i="4"/>
  <c r="AM39" i="4"/>
  <c r="AU56" i="4"/>
  <c r="B17" i="14"/>
  <c r="AS39" i="4"/>
  <c r="W117" i="4"/>
  <c r="AC120" i="4"/>
  <c r="AQ200" i="4"/>
  <c r="M8" i="14"/>
  <c r="E15" i="14"/>
  <c r="J27" i="14"/>
  <c r="M194" i="4"/>
  <c r="AP200" i="4"/>
  <c r="AM56" i="4"/>
  <c r="AJ153" i="4"/>
  <c r="X178" i="4"/>
  <c r="AN228" i="4"/>
  <c r="AJ223" i="4"/>
  <c r="X222" i="4"/>
  <c r="AQ218" i="4"/>
  <c r="AN214" i="4"/>
  <c r="X213" i="4"/>
  <c r="Z211" i="4"/>
  <c r="L211" i="4"/>
  <c r="X207" i="4"/>
  <c r="L202" i="4"/>
  <c r="AJ201" i="4"/>
  <c r="AL198" i="4"/>
  <c r="AN175" i="4"/>
  <c r="X174" i="4"/>
  <c r="AN163" i="4"/>
  <c r="AN159" i="4"/>
  <c r="AL158" i="4"/>
  <c r="L148" i="4"/>
  <c r="L145" i="4"/>
  <c r="X135" i="4"/>
  <c r="Y125" i="4"/>
  <c r="Y121" i="4"/>
  <c r="M118" i="4"/>
  <c r="AM115" i="4"/>
  <c r="AM94" i="4"/>
  <c r="AS55" i="4"/>
  <c r="AS38" i="4"/>
  <c r="I8" i="14"/>
  <c r="AJ163" i="4"/>
  <c r="AL182" i="4"/>
  <c r="AO195" i="4"/>
  <c r="X194" i="4"/>
  <c r="AN173" i="4"/>
  <c r="AN168" i="4"/>
  <c r="AL164" i="4"/>
  <c r="AN137" i="4"/>
  <c r="AQ118" i="4"/>
  <c r="Q118" i="4"/>
  <c r="B118" i="4"/>
  <c r="Q116" i="4"/>
  <c r="AM75" i="4"/>
  <c r="AU54" i="4"/>
  <c r="AT44" i="4"/>
  <c r="O5" i="14"/>
  <c r="R5" i="14" s="1"/>
  <c r="E9" i="14"/>
  <c r="AP195" i="4"/>
  <c r="E6" i="14"/>
  <c r="T124" i="4"/>
  <c r="X232" i="4"/>
  <c r="L231" i="4"/>
  <c r="AN222" i="4"/>
  <c r="AN219" i="4"/>
  <c r="X216" i="4"/>
  <c r="X208" i="4"/>
  <c r="AN202" i="4"/>
  <c r="L201" i="4"/>
  <c r="X180" i="4"/>
  <c r="X173" i="4"/>
  <c r="L159" i="4"/>
  <c r="AN147" i="4"/>
  <c r="AK126" i="4"/>
  <c r="Y122" i="4"/>
  <c r="Y116" i="4"/>
  <c r="AN116" i="4" s="1"/>
  <c r="AM78" i="4"/>
  <c r="AS44" i="4"/>
  <c r="E8" i="14"/>
  <c r="M10" i="14"/>
  <c r="AL213" i="4"/>
  <c r="T116" i="4"/>
  <c r="AN205" i="4"/>
  <c r="AK199" i="4"/>
  <c r="AN199" i="4" s="1"/>
  <c r="AN179" i="4"/>
  <c r="X170" i="4"/>
  <c r="AN157" i="4"/>
  <c r="X153" i="4"/>
  <c r="X148" i="4"/>
  <c r="AJ139" i="4"/>
  <c r="X134" i="4"/>
  <c r="AF127" i="4"/>
  <c r="AT52" i="4"/>
  <c r="AU41" i="4"/>
  <c r="AL129" i="4"/>
  <c r="J30" i="14"/>
  <c r="W116" i="4"/>
  <c r="AL116" i="4" s="1"/>
  <c r="AL170" i="4"/>
  <c r="L187" i="4"/>
  <c r="X234" i="4"/>
  <c r="L230" i="4"/>
  <c r="X228" i="4"/>
  <c r="AN225" i="4"/>
  <c r="AN221" i="4"/>
  <c r="AL215" i="4"/>
  <c r="L214" i="4"/>
  <c r="L210" i="4"/>
  <c r="AN208" i="4"/>
  <c r="AJ206" i="4"/>
  <c r="L203" i="4"/>
  <c r="AN198" i="4"/>
  <c r="L185" i="4"/>
  <c r="AN169" i="4"/>
  <c r="L168" i="4"/>
  <c r="AN154" i="4"/>
  <c r="AL146" i="4"/>
  <c r="AN143" i="4"/>
  <c r="W118" i="4"/>
  <c r="AK127" i="4"/>
  <c r="Q127" i="4"/>
  <c r="Y126" i="4"/>
  <c r="AK117" i="4"/>
  <c r="AM64" i="4"/>
  <c r="AM55" i="4"/>
  <c r="AM49" i="4"/>
  <c r="AS52" i="4"/>
  <c r="AT41" i="4"/>
  <c r="AL223" i="4"/>
  <c r="L223" i="4"/>
  <c r="AN136" i="4"/>
  <c r="L136" i="4"/>
  <c r="AJ132" i="4"/>
  <c r="AL132" i="4"/>
  <c r="AS42" i="4"/>
  <c r="AT42" i="4"/>
  <c r="AU42" i="4"/>
  <c r="AJ138" i="4"/>
  <c r="AN138" i="4"/>
  <c r="AL231" i="4"/>
  <c r="X231" i="4"/>
  <c r="AJ192" i="4"/>
  <c r="AL174" i="4"/>
  <c r="AJ174" i="4"/>
  <c r="I7" i="14"/>
  <c r="G17" i="14"/>
  <c r="C28" i="14"/>
  <c r="AJ146" i="4"/>
  <c r="X227" i="4"/>
  <c r="AI212" i="4"/>
  <c r="AQ212" i="4"/>
  <c r="AF212" i="4"/>
  <c r="X205" i="4"/>
  <c r="AC199" i="4"/>
  <c r="AP199" i="4"/>
  <c r="AJ184" i="4"/>
  <c r="AN184" i="4"/>
  <c r="AL166" i="4"/>
  <c r="X166" i="4"/>
  <c r="L135" i="4"/>
  <c r="AL135" i="4"/>
  <c r="AJ134" i="4"/>
  <c r="AL134" i="4"/>
  <c r="AO116" i="4"/>
  <c r="N116" i="4"/>
  <c r="AM110" i="4"/>
  <c r="D24" i="14"/>
  <c r="D17" i="14"/>
  <c r="E5" i="14"/>
  <c r="O9" i="14"/>
  <c r="S9" i="14" s="1"/>
  <c r="J28" i="14"/>
  <c r="M9" i="14"/>
  <c r="AL190" i="4"/>
  <c r="AJ190" i="4"/>
  <c r="AN162" i="4"/>
  <c r="AJ162" i="4"/>
  <c r="AT46" i="4"/>
  <c r="AS46" i="4"/>
  <c r="M6" i="14"/>
  <c r="AL169" i="4"/>
  <c r="AJ131" i="4"/>
  <c r="L225" i="4"/>
  <c r="AL225" i="4"/>
  <c r="AJ224" i="4"/>
  <c r="AL224" i="4"/>
  <c r="AL180" i="4"/>
  <c r="AJ180" i="4"/>
  <c r="Y119" i="4"/>
  <c r="T119" i="4"/>
  <c r="E119" i="4"/>
  <c r="M119" i="4"/>
  <c r="AP119" i="4"/>
  <c r="AI118" i="4"/>
  <c r="AP118" i="4"/>
  <c r="M12" i="14"/>
  <c r="K31" i="14"/>
  <c r="F29" i="14"/>
  <c r="O10" i="14"/>
  <c r="R10" i="14" s="1"/>
  <c r="I10" i="14"/>
  <c r="AN152" i="4"/>
  <c r="X152" i="4"/>
  <c r="AN135" i="4"/>
  <c r="AJ135" i="4"/>
  <c r="AL133" i="4"/>
  <c r="L133" i="4"/>
  <c r="AI123" i="4"/>
  <c r="AQ123" i="4"/>
  <c r="AF123" i="4"/>
  <c r="AL168" i="4"/>
  <c r="AJ168" i="4"/>
  <c r="AS51" i="4"/>
  <c r="AM51" i="4"/>
  <c r="AU51" i="4"/>
  <c r="AT51" i="4"/>
  <c r="O7" i="14"/>
  <c r="Q7" i="14" s="1"/>
  <c r="X164" i="4"/>
  <c r="L193" i="4"/>
  <c r="AL193" i="4"/>
  <c r="AM57" i="4"/>
  <c r="AS43" i="4"/>
  <c r="AU43" i="4"/>
  <c r="AT43" i="4"/>
  <c r="AM43" i="4"/>
  <c r="AL222" i="4"/>
  <c r="G27" i="14"/>
  <c r="AL192" i="4"/>
  <c r="AN182" i="4"/>
  <c r="AO124" i="4"/>
  <c r="L235" i="4"/>
  <c r="AJ227" i="4"/>
  <c r="AN227" i="4"/>
  <c r="AF217" i="4"/>
  <c r="AQ217" i="4"/>
  <c r="AK217" i="4"/>
  <c r="AN217" i="4" s="1"/>
  <c r="E207" i="4"/>
  <c r="M207" i="4"/>
  <c r="AP207" i="4"/>
  <c r="AL202" i="4"/>
  <c r="AC197" i="4"/>
  <c r="AP197" i="4"/>
  <c r="H197" i="4"/>
  <c r="M197" i="4"/>
  <c r="X175" i="4"/>
  <c r="AL175" i="4"/>
  <c r="T125" i="4"/>
  <c r="W125" i="4"/>
  <c r="AQ125" i="4"/>
  <c r="Z122" i="4"/>
  <c r="AO122" i="4"/>
  <c r="AQ119" i="4"/>
  <c r="AL220" i="4"/>
  <c r="X220" i="4"/>
  <c r="AJ181" i="4"/>
  <c r="AN181" i="4"/>
  <c r="AP127" i="4"/>
  <c r="AI127" i="4"/>
  <c r="W127" i="4"/>
  <c r="G26" i="14"/>
  <c r="AL151" i="4"/>
  <c r="AQ126" i="4"/>
  <c r="AL226" i="4"/>
  <c r="AL219" i="4"/>
  <c r="AL176" i="4"/>
  <c r="AJ176" i="4"/>
  <c r="X157" i="4"/>
  <c r="L147" i="4"/>
  <c r="L141" i="4"/>
  <c r="AL141" i="4"/>
  <c r="AJ140" i="4"/>
  <c r="AL140" i="4"/>
  <c r="AC125" i="4"/>
  <c r="T123" i="4"/>
  <c r="W123" i="4"/>
  <c r="H17" i="14"/>
  <c r="H24" i="14"/>
  <c r="I5" i="14"/>
  <c r="O16" i="14"/>
  <c r="E16" i="14"/>
  <c r="I14" i="14"/>
  <c r="G32" i="14"/>
  <c r="I13" i="14"/>
  <c r="L17" i="14"/>
  <c r="X156" i="4"/>
  <c r="M7" i="14"/>
  <c r="D27" i="14"/>
  <c r="AJ164" i="4"/>
  <c r="AJ214" i="4"/>
  <c r="AL214" i="4"/>
  <c r="AL181" i="4"/>
  <c r="X181" i="4"/>
  <c r="L163" i="4"/>
  <c r="N126" i="4"/>
  <c r="W126" i="4"/>
  <c r="AO125" i="4"/>
  <c r="W121" i="4"/>
  <c r="T121" i="4"/>
  <c r="AQ120" i="4"/>
  <c r="H120" i="4"/>
  <c r="AK119" i="4"/>
  <c r="E7" i="14"/>
  <c r="F17" i="14"/>
  <c r="AI234" i="4"/>
  <c r="AP234" i="4"/>
  <c r="AN224" i="4"/>
  <c r="M200" i="4"/>
  <c r="Z199" i="4"/>
  <c r="AO199" i="4"/>
  <c r="AL196" i="4"/>
  <c r="AJ173" i="4"/>
  <c r="AL173" i="4"/>
  <c r="AN167" i="4"/>
  <c r="AN150" i="4"/>
  <c r="AJ150" i="4"/>
  <c r="AN139" i="4"/>
  <c r="AN131" i="4"/>
  <c r="AL128" i="4"/>
  <c r="Z126" i="4"/>
  <c r="AO126" i="4"/>
  <c r="Q125" i="4"/>
  <c r="AP125" i="4"/>
  <c r="Z120" i="4"/>
  <c r="Q117" i="4"/>
  <c r="AM46" i="4"/>
  <c r="X251" i="4"/>
  <c r="AN230" i="4"/>
  <c r="L228" i="4"/>
  <c r="L217" i="4"/>
  <c r="AF200" i="4"/>
  <c r="AQ197" i="4"/>
  <c r="AN171" i="4"/>
  <c r="L160" i="4"/>
  <c r="AL160" i="4"/>
  <c r="AJ159" i="4"/>
  <c r="AL159" i="4"/>
  <c r="AL149" i="4"/>
  <c r="AN145" i="4"/>
  <c r="AI122" i="4"/>
  <c r="T120" i="4"/>
  <c r="W120" i="4"/>
  <c r="AT47" i="4"/>
  <c r="AU47" i="4"/>
  <c r="O11" i="14"/>
  <c r="Q11" i="14" s="1"/>
  <c r="L224" i="4"/>
  <c r="X219" i="4"/>
  <c r="AN185" i="4"/>
  <c r="L176" i="4"/>
  <c r="AL161" i="4"/>
  <c r="AN151" i="4"/>
  <c r="L143" i="4"/>
  <c r="AF121" i="4"/>
  <c r="AK121" i="4"/>
  <c r="AS53" i="4"/>
  <c r="AT53" i="4"/>
  <c r="AU53" i="4"/>
  <c r="AS50" i="4"/>
  <c r="AT50" i="4"/>
  <c r="AU50" i="4"/>
  <c r="AM47" i="4"/>
  <c r="J17" i="14"/>
  <c r="AJ229" i="4"/>
  <c r="AN229" i="4"/>
  <c r="N195" i="4"/>
  <c r="B195" i="4"/>
  <c r="AJ186" i="4"/>
  <c r="AL186" i="4"/>
  <c r="L153" i="4"/>
  <c r="AL153" i="4"/>
  <c r="AN129" i="4"/>
  <c r="Y118" i="4"/>
  <c r="K17" i="14"/>
  <c r="AL233" i="4"/>
  <c r="AJ233" i="4"/>
  <c r="AI199" i="4"/>
  <c r="AJ144" i="4"/>
  <c r="AL144" i="4"/>
  <c r="Y124" i="4"/>
  <c r="Y117" i="4"/>
  <c r="AM100" i="4"/>
  <c r="AS37" i="4"/>
  <c r="AT37" i="4"/>
  <c r="AU37" i="4"/>
  <c r="C17" i="14"/>
  <c r="B194" i="4"/>
  <c r="AT56" i="4"/>
  <c r="AT48" i="4"/>
  <c r="AU45" i="4"/>
  <c r="AT40" i="4"/>
  <c r="AT45" i="4"/>
  <c r="AU55" i="4"/>
  <c r="AU39" i="4"/>
  <c r="R13" i="14" l="1"/>
  <c r="S13" i="14"/>
  <c r="X122" i="2"/>
  <c r="R6" i="14"/>
  <c r="Q6" i="14"/>
  <c r="AM170" i="4"/>
  <c r="AJ14" i="14"/>
  <c r="AQ124" i="2"/>
  <c r="AO124" i="2" s="1"/>
  <c r="AK14" i="14"/>
  <c r="AM188" i="4"/>
  <c r="AM158" i="4"/>
  <c r="AM180" i="4"/>
  <c r="AM140" i="4"/>
  <c r="AM184" i="4"/>
  <c r="X116" i="2"/>
  <c r="AL121" i="2"/>
  <c r="X120" i="2"/>
  <c r="AJ116" i="2"/>
  <c r="X118" i="2"/>
  <c r="AO121" i="2"/>
  <c r="AN194" i="4"/>
  <c r="AL9" i="14"/>
  <c r="AL10" i="14"/>
  <c r="AK9" i="14"/>
  <c r="L116" i="2"/>
  <c r="AJ10" i="14"/>
  <c r="AL197" i="4"/>
  <c r="AM196" i="4"/>
  <c r="AM228" i="4"/>
  <c r="AL195" i="4"/>
  <c r="AO125" i="2"/>
  <c r="AM145" i="4"/>
  <c r="AM155" i="4"/>
  <c r="AM153" i="4"/>
  <c r="L195" i="4"/>
  <c r="AM226" i="4"/>
  <c r="L117" i="2"/>
  <c r="AN127" i="4"/>
  <c r="X127" i="4"/>
  <c r="AL209" i="4"/>
  <c r="AM209" i="4" s="1"/>
  <c r="AJ117" i="4"/>
  <c r="X119" i="4"/>
  <c r="AM177" i="4"/>
  <c r="AM128" i="4"/>
  <c r="AJ126" i="4"/>
  <c r="AM148" i="4"/>
  <c r="AJ211" i="4"/>
  <c r="AM161" i="4"/>
  <c r="AL194" i="4"/>
  <c r="AM139" i="4"/>
  <c r="AM231" i="4"/>
  <c r="L117" i="4"/>
  <c r="AN197" i="4"/>
  <c r="AM193" i="4"/>
  <c r="AM203" i="4"/>
  <c r="AM149" i="4"/>
  <c r="AM205" i="4"/>
  <c r="AM138" i="4"/>
  <c r="AL117" i="4"/>
  <c r="AM165" i="4"/>
  <c r="AM160" i="4"/>
  <c r="AM141" i="4"/>
  <c r="AM116" i="4"/>
  <c r="AL119" i="4"/>
  <c r="AQ123" i="2"/>
  <c r="AO123" i="2" s="1"/>
  <c r="AL16" i="14"/>
  <c r="AK16" i="14"/>
  <c r="AQ126" i="2"/>
  <c r="AO126" i="2" s="1"/>
  <c r="X120" i="4"/>
  <c r="AM130" i="4"/>
  <c r="AM206" i="4"/>
  <c r="AN195" i="4"/>
  <c r="AM129" i="4"/>
  <c r="L120" i="4"/>
  <c r="X195" i="4"/>
  <c r="L118" i="4"/>
  <c r="AM191" i="4"/>
  <c r="AJ194" i="4"/>
  <c r="AM185" i="4"/>
  <c r="AM166" i="4"/>
  <c r="AM187" i="4"/>
  <c r="AO118" i="4"/>
  <c r="AM152" i="4"/>
  <c r="AM146" i="4"/>
  <c r="AM156" i="4"/>
  <c r="AK7" i="14"/>
  <c r="AJ7" i="14"/>
  <c r="AM172" i="4"/>
  <c r="AM154" i="4"/>
  <c r="AM150" i="4"/>
  <c r="AM223" i="4"/>
  <c r="AM213" i="4"/>
  <c r="AL200" i="4"/>
  <c r="AM216" i="4"/>
  <c r="AM222" i="4"/>
  <c r="AJ119" i="4"/>
  <c r="AM210" i="4"/>
  <c r="AM211" i="4"/>
  <c r="AM189" i="4"/>
  <c r="AJ118" i="2"/>
  <c r="L200" i="4"/>
  <c r="AJ200" i="4"/>
  <c r="AM179" i="4"/>
  <c r="Q8" i="14"/>
  <c r="AN125" i="4"/>
  <c r="R15" i="14"/>
  <c r="AJ124" i="4"/>
  <c r="AM133" i="4"/>
  <c r="AN126" i="4"/>
  <c r="X122" i="4"/>
  <c r="AM186" i="4"/>
  <c r="AM230" i="4"/>
  <c r="AJ195" i="4"/>
  <c r="AM221" i="4"/>
  <c r="AN122" i="4"/>
  <c r="AM190" i="4"/>
  <c r="AM157" i="4"/>
  <c r="AM137" i="4"/>
  <c r="B36" i="14"/>
  <c r="B38" i="14" s="1"/>
  <c r="AJ120" i="4"/>
  <c r="AM229" i="4"/>
  <c r="X125" i="4"/>
  <c r="AM132" i="4"/>
  <c r="R8" i="14"/>
  <c r="AM201" i="4"/>
  <c r="X126" i="2"/>
  <c r="AQ118" i="2"/>
  <c r="AO118" i="2" s="1"/>
  <c r="AK15" i="14"/>
  <c r="AJ15" i="14"/>
  <c r="AJ197" i="4"/>
  <c r="AM142" i="4"/>
  <c r="AM233" i="4"/>
  <c r="AM171" i="4"/>
  <c r="AM131" i="4"/>
  <c r="AJ125" i="4"/>
  <c r="AM136" i="4"/>
  <c r="AM183" i="4"/>
  <c r="X124" i="4"/>
  <c r="AM162" i="4"/>
  <c r="AM178" i="4"/>
  <c r="AN120" i="4"/>
  <c r="AL124" i="4"/>
  <c r="S15" i="14"/>
  <c r="AM204" i="4"/>
  <c r="AM232" i="4"/>
  <c r="AM174" i="4"/>
  <c r="AM167" i="4"/>
  <c r="AM147" i="4"/>
  <c r="AM176" i="4"/>
  <c r="AM164" i="4"/>
  <c r="AL12" i="14"/>
  <c r="AK6" i="14"/>
  <c r="AB17" i="14"/>
  <c r="AL125" i="4"/>
  <c r="AM227" i="4"/>
  <c r="AN123" i="4"/>
  <c r="AM181" i="4"/>
  <c r="R12" i="14"/>
  <c r="AM214" i="4"/>
  <c r="AM220" i="4"/>
  <c r="AM175" i="4"/>
  <c r="L119" i="4"/>
  <c r="AM134" i="4"/>
  <c r="X118" i="4"/>
  <c r="X123" i="4"/>
  <c r="AJ218" i="4"/>
  <c r="X17" i="14"/>
  <c r="X117" i="2"/>
  <c r="AF17" i="14"/>
  <c r="AJ12" i="14"/>
  <c r="AO122" i="2"/>
  <c r="AQ117" i="2"/>
  <c r="AO117" i="2" s="1"/>
  <c r="AJ117" i="2"/>
  <c r="AL6" i="14"/>
  <c r="AJ11" i="14"/>
  <c r="AK11" i="14"/>
  <c r="AL13" i="14"/>
  <c r="AK13" i="14"/>
  <c r="AJ13" i="14"/>
  <c r="J36" i="14"/>
  <c r="J38" i="14" s="1"/>
  <c r="AK5" i="14"/>
  <c r="AJ5" i="14"/>
  <c r="AQ116" i="2"/>
  <c r="AO116" i="2" s="1"/>
  <c r="AH17" i="14"/>
  <c r="AL17" i="14" s="1"/>
  <c r="AL8" i="14"/>
  <c r="AJ8" i="14"/>
  <c r="F36" i="14"/>
  <c r="F38" i="14" s="1"/>
  <c r="AL119" i="2"/>
  <c r="AQ119" i="2"/>
  <c r="AO119" i="2" s="1"/>
  <c r="AR115" i="2"/>
  <c r="Y115" i="2"/>
  <c r="X115" i="2" s="1"/>
  <c r="AM144" i="4"/>
  <c r="AN218" i="4"/>
  <c r="AM218" i="4" s="1"/>
  <c r="AM198" i="4"/>
  <c r="AM173" i="4"/>
  <c r="N118" i="4"/>
  <c r="AM192" i="4"/>
  <c r="AJ208" i="4"/>
  <c r="AL208" i="4"/>
  <c r="AM208" i="4" s="1"/>
  <c r="I17" i="14"/>
  <c r="X126" i="4"/>
  <c r="AM168" i="4"/>
  <c r="X116" i="4"/>
  <c r="AM163" i="4"/>
  <c r="M17" i="14"/>
  <c r="AM143" i="4"/>
  <c r="AM169" i="4"/>
  <c r="L194" i="4"/>
  <c r="AM202" i="4"/>
  <c r="AM217" i="4"/>
  <c r="Q12" i="14"/>
  <c r="AM151" i="4"/>
  <c r="AM215" i="4"/>
  <c r="Q14" i="14"/>
  <c r="S14" i="14"/>
  <c r="AN117" i="4"/>
  <c r="AM182" i="4"/>
  <c r="R14" i="14"/>
  <c r="Q5" i="14"/>
  <c r="S5" i="14"/>
  <c r="AM159" i="4"/>
  <c r="AM135" i="4"/>
  <c r="AN118" i="4"/>
  <c r="AM219" i="4"/>
  <c r="E17" i="14"/>
  <c r="AN200" i="4"/>
  <c r="AM225" i="4"/>
  <c r="AM224" i="4"/>
  <c r="Q9" i="14"/>
  <c r="R9" i="14"/>
  <c r="L197" i="4"/>
  <c r="AJ123" i="4"/>
  <c r="AL123" i="4"/>
  <c r="AJ199" i="4"/>
  <c r="AL199" i="4"/>
  <c r="AM199" i="4" s="1"/>
  <c r="AL234" i="4"/>
  <c r="AM234" i="4" s="1"/>
  <c r="AJ234" i="4"/>
  <c r="AJ122" i="4"/>
  <c r="AL122" i="4"/>
  <c r="S11" i="14"/>
  <c r="R11" i="14"/>
  <c r="AN124" i="4"/>
  <c r="AN119" i="4"/>
  <c r="S10" i="14"/>
  <c r="Q10" i="14"/>
  <c r="X121" i="4"/>
  <c r="AL121" i="4"/>
  <c r="L207" i="4"/>
  <c r="AN207" i="4"/>
  <c r="AM207" i="4" s="1"/>
  <c r="AJ217" i="4"/>
  <c r="AJ118" i="4"/>
  <c r="AL118" i="4"/>
  <c r="X117" i="4"/>
  <c r="AL127" i="4"/>
  <c r="AJ127" i="4"/>
  <c r="R7" i="14"/>
  <c r="S7" i="14"/>
  <c r="AL126" i="4"/>
  <c r="O17" i="14"/>
  <c r="Q17" i="14" s="1"/>
  <c r="AN121" i="4"/>
  <c r="AJ121" i="4"/>
  <c r="R16" i="14"/>
  <c r="S16" i="14"/>
  <c r="Q16" i="14"/>
  <c r="AL120" i="4"/>
  <c r="AL212" i="4"/>
  <c r="AM212" i="4" s="1"/>
  <c r="AJ212" i="4"/>
  <c r="AM127" i="4" l="1"/>
  <c r="AM195" i="4"/>
  <c r="AM194" i="4"/>
  <c r="AM122" i="4"/>
  <c r="AM123" i="4"/>
  <c r="AM197" i="4"/>
  <c r="AM120" i="4"/>
  <c r="AM124" i="4"/>
  <c r="AM125" i="4"/>
  <c r="AM119" i="4"/>
  <c r="AM117" i="4"/>
  <c r="AM126" i="4"/>
  <c r="AM200" i="4"/>
  <c r="H38" i="14"/>
  <c r="AM118" i="4"/>
  <c r="AK17" i="14"/>
  <c r="N38" i="14"/>
  <c r="M38" i="14"/>
  <c r="AJ17" i="14"/>
  <c r="AL115" i="2"/>
  <c r="AQ115" i="2"/>
  <c r="AO115" i="2" s="1"/>
  <c r="R17" i="14"/>
  <c r="S17" i="14"/>
  <c r="AM12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Lotte Schlegel</author>
  </authors>
  <commentList>
    <comment ref="N238" authorId="0" shapeId="0" xr:uid="{00000000-0006-0000-0800-000001000000}">
      <text>
        <r>
          <rPr>
            <b/>
            <sz val="8"/>
            <color indexed="81"/>
            <rFont val="Tahoma"/>
            <family val="2"/>
          </rPr>
          <t>Prior to this date, % represented % residential customers on CEP
As of this date, % represents all small customers on CEPs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of Maine</author>
  </authors>
  <commentList>
    <comment ref="Y178" authorId="0" shapeId="0" xr:uid="{00000000-0006-0000-0700-000001000000}">
      <text>
        <r>
          <rPr>
            <b/>
            <sz val="8"/>
            <color indexed="81"/>
            <rFont val="Tahoma"/>
            <family val="2"/>
          </rPr>
          <t>State of Maine:</t>
        </r>
        <r>
          <rPr>
            <sz val="8"/>
            <color indexed="81"/>
            <rFont val="Tahoma"/>
            <family val="2"/>
          </rPr>
          <t xml:space="preserve">
Note that as of January 2012, CMP customer count (and load) data are based upon billed accounts, rather than active accounts as was done previously. This change in reporting is the reason for the large increase in total customer count from December 2011.</t>
        </r>
      </text>
    </comment>
  </commentList>
</comments>
</file>

<file path=xl/sharedStrings.xml><?xml version="1.0" encoding="utf-8"?>
<sst xmlns="http://schemas.openxmlformats.org/spreadsheetml/2006/main" count="203" uniqueCount="68">
  <si>
    <t>Date</t>
  </si>
  <si>
    <t>Small class</t>
  </si>
  <si>
    <t>Statewide</t>
  </si>
  <si>
    <t>Medium class</t>
  </si>
  <si>
    <t>Large class</t>
  </si>
  <si>
    <t>Small Class</t>
  </si>
  <si>
    <t>Medium Class</t>
  </si>
  <si>
    <t>Large Class</t>
  </si>
  <si>
    <t>% CEP</t>
  </si>
  <si>
    <t># customers in class</t>
  </si>
  <si>
    <t># CEP</t>
  </si>
  <si>
    <t>Percentage of Load served by Competitive Electric Providers (CEPs) for each of Maine's three largest electric utilities</t>
  </si>
  <si>
    <t>Central Maine Power Company</t>
  </si>
  <si>
    <t>% Load CEP</t>
  </si>
  <si>
    <t>Central Maine Power</t>
  </si>
  <si>
    <t>Total customers</t>
  </si>
  <si>
    <t>load CEP</t>
  </si>
  <si>
    <t>All CMP</t>
  </si>
  <si>
    <t>Load CEP</t>
  </si>
  <si>
    <t>Res/sm. Com</t>
  </si>
  <si>
    <t>Med</t>
  </si>
  <si>
    <t>Large</t>
  </si>
  <si>
    <t xml:space="preserve">All CMP </t>
  </si>
  <si>
    <t>Number of Customers served by Competitive Electric Providers (CEPs) for each of Maine's three largest electric utilities</t>
  </si>
  <si>
    <t xml:space="preserve">Small </t>
  </si>
  <si>
    <t>Medium</t>
  </si>
  <si>
    <t>Small</t>
  </si>
  <si>
    <t>ALL</t>
  </si>
  <si>
    <t>Percentage of customers enrolled with CEPs</t>
  </si>
  <si>
    <t>Total Number of Customers by class</t>
  </si>
  <si>
    <t xml:space="preserve">Class definitions:  </t>
  </si>
  <si>
    <t>CMP</t>
  </si>
  <si>
    <t>Res./Sm. Comm.</t>
  </si>
  <si>
    <t>&lt;25 kW</t>
  </si>
  <si>
    <t>&lt;20 kW</t>
  </si>
  <si>
    <t>&lt;50 kW</t>
  </si>
  <si>
    <t>&gt;500 kW</t>
  </si>
  <si>
    <t>&gt;400 kW</t>
  </si>
  <si>
    <t>25-500kW</t>
  </si>
  <si>
    <t>20-400 kW</t>
  </si>
  <si>
    <t>50-500 kW</t>
  </si>
  <si>
    <t>Load data is expressed in MWhs and represents one day's electric use</t>
  </si>
  <si>
    <t>Utility</t>
  </si>
  <si>
    <t>Total Class Load (MWh)</t>
  </si>
  <si>
    <t>Total Load (MWh)</t>
  </si>
  <si>
    <t>Load CEP (MWh)</t>
  </si>
  <si>
    <t>Avg Daily Load CEP (MWh)</t>
  </si>
  <si>
    <t>Versant Power - Bangor Hydro District</t>
  </si>
  <si>
    <t>Versant Power - Maine Public District</t>
  </si>
  <si>
    <t>VERSANT POWER - Bangor Hydro District</t>
  </si>
  <si>
    <t>VERSANT POWER - Maine Public District</t>
  </si>
  <si>
    <t>VP-BHD</t>
  </si>
  <si>
    <t>VP-MPD</t>
  </si>
  <si>
    <t>All VP-BHD</t>
  </si>
  <si>
    <t>All VP-MPD</t>
  </si>
  <si>
    <t xml:space="preserve">All VP-BHD </t>
  </si>
  <si>
    <t>%Load BHD</t>
  </si>
  <si>
    <t>%Load MPD</t>
  </si>
  <si>
    <t>%Load CMP</t>
  </si>
  <si>
    <t>VP - BHD</t>
  </si>
  <si>
    <t>VP - MPD</t>
  </si>
  <si>
    <t>Loads - Total</t>
  </si>
  <si>
    <t>Total</t>
  </si>
  <si>
    <t>Customers - Total</t>
  </si>
  <si>
    <t>Avg daily kWh per customer</t>
  </si>
  <si>
    <t xml:space="preserve">Total </t>
  </si>
  <si>
    <t>BHD</t>
  </si>
  <si>
    <t>MPD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</si>
</sst>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
    <numFmt numFmtId="166" formatCode="_(* #,##0_);_(* \(#,##0\);_(* &quot;-&quot;??_);_(@_)"/>
    <numFmt numFmtId="167" formatCode="[$-409]mmm\-yy;@"/>
  </numFmts>
  <fonts count="16" x14ac:knownFonts="1">
    <font>
      <sz val="10"/>
      <name val="Arial"/>
    </font>
    <font>
      <sz val="10"/>
      <name val="Arial"/>
    </font>
    <font>
      <b/>
      <sz val="10"/>
      <name val="Arial"/>
      <family val="2"/>
    </font>
    <font>
      <sz val="8"/>
      <name val="Arial"/>
      <family val="2"/>
    </font>
    <font>
      <b/>
      <sz val="14"/>
      <name val="Arial"/>
      <family val="2"/>
    </font>
    <font>
      <sz val="8"/>
      <name val="Arial"/>
      <family val="2"/>
    </font>
    <font>
      <sz val="10"/>
      <name val="Arial"/>
      <family val="2"/>
    </font>
    <font>
      <b/>
      <sz val="8"/>
      <color indexed="81"/>
      <name val="Tahoma"/>
      <family val="2"/>
    </font>
    <font>
      <sz val="12"/>
      <name val="Arial"/>
      <family val="2"/>
    </font>
    <font>
      <i/>
      <sz val="12"/>
      <name val="Arial"/>
      <family val="2"/>
    </font>
    <font>
      <i/>
      <sz val="10"/>
      <name val="Arial"/>
      <family val="2"/>
    </font>
    <font>
      <b/>
      <sz val="12"/>
      <name val="Arial"/>
      <family val="2"/>
    </font>
    <font>
      <sz val="8"/>
      <color indexed="81"/>
      <name val="Tahoma"/>
      <family val="2"/>
    </font>
    <font>
      <sz val="10"/>
      <name val="Arial"/>
      <family val="2"/>
    </font>
    <font>
      <sz val="10"/>
      <name val="Arial"/>
      <family val="2"/>
    </font>
    <font>
      <sz val="10"/>
      <name val="Arial"/>
      <family val="2"/>
    </font>
  </fonts>
  <fills count="3">
    <fill>
      <patternFill patternType="none"/>
    </fill>
    <fill>
      <patternFill patternType="gray125"/>
    </fill>
    <fill>
      <patternFill patternType="solid">
        <fgColor rgb="FFFFFF00"/>
        <bgColor indexed="64"/>
      </patternFill>
    </fill>
  </fills>
  <borders count="37">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8">
    <xf numFmtId="0" fontId="0" fillId="0" borderId="0"/>
    <xf numFmtId="43" fontId="1"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0" fontId="6" fillId="0" borderId="0"/>
    <xf numFmtId="9" fontId="1"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cellStyleXfs>
  <cellXfs count="221">
    <xf numFmtId="0" fontId="0" fillId="0" borderId="0" xfId="0"/>
    <xf numFmtId="0" fontId="5" fillId="0" borderId="0" xfId="0" applyFont="1" applyAlignment="1">
      <alignment horizontal="center" vertical="center"/>
    </xf>
    <xf numFmtId="1" fontId="5" fillId="0" borderId="0" xfId="0" applyNumberFormat="1" applyFont="1" applyAlignment="1">
      <alignment horizontal="center" vertical="center"/>
    </xf>
    <xf numFmtId="3" fontId="0" fillId="0" borderId="0" xfId="0" applyNumberFormat="1" applyAlignment="1">
      <alignment horizontal="center"/>
    </xf>
    <xf numFmtId="0" fontId="0" fillId="0" borderId="0" xfId="0" applyAlignment="1">
      <alignment horizontal="center"/>
    </xf>
    <xf numFmtId="3" fontId="6" fillId="0" borderId="0" xfId="0" applyNumberFormat="1" applyFont="1" applyAlignment="1">
      <alignment horizontal="center"/>
    </xf>
    <xf numFmtId="164" fontId="0" fillId="0" borderId="0" xfId="0" applyNumberFormat="1" applyAlignment="1">
      <alignment horizontal="center"/>
    </xf>
    <xf numFmtId="164" fontId="6" fillId="0" borderId="0" xfId="0" applyNumberFormat="1" applyFont="1" applyAlignment="1">
      <alignment horizontal="center"/>
    </xf>
    <xf numFmtId="9" fontId="5" fillId="0" borderId="0" xfId="0" applyNumberFormat="1" applyFont="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164" fontId="6" fillId="0" borderId="0" xfId="0" applyNumberFormat="1" applyFont="1" applyAlignment="1">
      <alignment horizontal="center" vertical="center"/>
    </xf>
    <xf numFmtId="3" fontId="0" fillId="0" borderId="0" xfId="0" applyNumberFormat="1"/>
    <xf numFmtId="0" fontId="0" fillId="0" borderId="1" xfId="0" applyBorder="1"/>
    <xf numFmtId="0" fontId="0" fillId="0" borderId="2" xfId="0" applyBorder="1"/>
    <xf numFmtId="9" fontId="5" fillId="0" borderId="1" xfId="0" applyNumberFormat="1" applyFont="1" applyBorder="1" applyAlignment="1">
      <alignment horizontal="center" vertical="center"/>
    </xf>
    <xf numFmtId="1" fontId="5" fillId="0" borderId="2" xfId="0" applyNumberFormat="1" applyFont="1" applyBorder="1" applyAlignment="1">
      <alignment horizontal="center" vertical="center"/>
    </xf>
    <xf numFmtId="164" fontId="6" fillId="0" borderId="1" xfId="0" applyNumberFormat="1" applyFont="1" applyBorder="1" applyAlignment="1">
      <alignment horizontal="center" vertical="center"/>
    </xf>
    <xf numFmtId="3" fontId="6" fillId="0" borderId="2" xfId="0" applyNumberFormat="1" applyFont="1" applyBorder="1" applyAlignment="1">
      <alignment horizontal="center"/>
    </xf>
    <xf numFmtId="3" fontId="6" fillId="0" borderId="2" xfId="0" applyNumberFormat="1" applyFont="1" applyBorder="1" applyAlignment="1">
      <alignment horizontal="center" vertical="center"/>
    </xf>
    <xf numFmtId="164" fontId="0" fillId="0" borderId="1" xfId="0" applyNumberFormat="1" applyBorder="1" applyAlignment="1">
      <alignment horizontal="center"/>
    </xf>
    <xf numFmtId="3" fontId="0" fillId="0" borderId="2" xfId="0" applyNumberFormat="1" applyBorder="1" applyAlignment="1">
      <alignment horizontal="center"/>
    </xf>
    <xf numFmtId="3" fontId="1" fillId="0" borderId="2" xfId="0" applyNumberFormat="1" applyFont="1" applyBorder="1" applyAlignment="1">
      <alignment horizontal="center"/>
    </xf>
    <xf numFmtId="1" fontId="5" fillId="0" borderId="1" xfId="0" applyNumberFormat="1" applyFont="1" applyBorder="1" applyAlignment="1">
      <alignment horizontal="center" vertical="center"/>
    </xf>
    <xf numFmtId="0" fontId="0" fillId="0" borderId="3" xfId="0" applyBorder="1"/>
    <xf numFmtId="164" fontId="1" fillId="0" borderId="0" xfId="0" applyNumberFormat="1" applyFont="1" applyAlignment="1">
      <alignment horizontal="center"/>
    </xf>
    <xf numFmtId="0" fontId="0" fillId="0" borderId="4" xfId="0" applyBorder="1"/>
    <xf numFmtId="0" fontId="0" fillId="0" borderId="5" xfId="0" applyBorder="1"/>
    <xf numFmtId="9" fontId="5" fillId="0" borderId="4" xfId="0" applyNumberFormat="1" applyFont="1" applyBorder="1" applyAlignment="1">
      <alignment horizontal="center" vertical="center"/>
    </xf>
    <xf numFmtId="164" fontId="6" fillId="0" borderId="4" xfId="0" applyNumberFormat="1" applyFont="1" applyBorder="1" applyAlignment="1">
      <alignment horizontal="center" vertical="center"/>
    </xf>
    <xf numFmtId="3" fontId="6" fillId="0" borderId="5" xfId="0" applyNumberFormat="1" applyFont="1" applyBorder="1" applyAlignment="1">
      <alignment horizontal="center" vertical="center"/>
    </xf>
    <xf numFmtId="3" fontId="6" fillId="0" borderId="5" xfId="0" applyNumberFormat="1" applyFont="1" applyBorder="1" applyAlignment="1">
      <alignment horizontal="center"/>
    </xf>
    <xf numFmtId="164" fontId="0" fillId="0" borderId="4" xfId="0" applyNumberFormat="1" applyBorder="1" applyAlignment="1">
      <alignment horizontal="center"/>
    </xf>
    <xf numFmtId="3" fontId="0" fillId="0" borderId="5" xfId="0" applyNumberFormat="1"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2" xfId="0" applyBorder="1" applyAlignment="1">
      <alignment horizontal="center"/>
    </xf>
    <xf numFmtId="0" fontId="5" fillId="0" borderId="5" xfId="0" applyFont="1" applyBorder="1" applyAlignment="1">
      <alignment horizontal="center" vertical="center"/>
    </xf>
    <xf numFmtId="164" fontId="0" fillId="0" borderId="4" xfId="5" applyNumberFormat="1" applyFont="1" applyFill="1" applyBorder="1" applyAlignment="1">
      <alignment horizontal="center"/>
    </xf>
    <xf numFmtId="164" fontId="0" fillId="0" borderId="4" xfId="5" applyNumberFormat="1" applyFont="1" applyBorder="1" applyAlignment="1">
      <alignment horizontal="center"/>
    </xf>
    <xf numFmtId="1" fontId="0" fillId="0" borderId="0" xfId="0" applyNumberFormat="1" applyAlignment="1">
      <alignment horizontal="center"/>
    </xf>
    <xf numFmtId="0" fontId="5" fillId="0" borderId="4" xfId="0" applyFont="1" applyBorder="1" applyAlignment="1">
      <alignment horizontal="center" vertical="center"/>
    </xf>
    <xf numFmtId="1" fontId="6" fillId="0" borderId="5" xfId="0" applyNumberFormat="1" applyFont="1" applyBorder="1" applyAlignment="1">
      <alignment horizontal="center" vertical="center"/>
    </xf>
    <xf numFmtId="0" fontId="0" fillId="0" borderId="6"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6" fillId="0" borderId="4" xfId="0" applyFont="1" applyBorder="1" applyAlignment="1">
      <alignment horizontal="center" vertical="center"/>
    </xf>
    <xf numFmtId="37" fontId="1" fillId="0" borderId="5" xfId="0" applyNumberFormat="1" applyFont="1" applyBorder="1" applyAlignment="1">
      <alignment horizontal="center"/>
    </xf>
    <xf numFmtId="3" fontId="6" fillId="0" borderId="4" xfId="0" applyNumberFormat="1"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3" fontId="0" fillId="0" borderId="1" xfId="0" applyNumberFormat="1" applyBorder="1" applyAlignment="1">
      <alignment horizontal="center"/>
    </xf>
    <xf numFmtId="3" fontId="0" fillId="0" borderId="1" xfId="0" applyNumberFormat="1" applyBorder="1"/>
    <xf numFmtId="3" fontId="0" fillId="0" borderId="1" xfId="5" applyNumberFormat="1" applyFont="1" applyBorder="1"/>
    <xf numFmtId="3" fontId="0" fillId="0" borderId="4" xfId="0" applyNumberFormat="1" applyBorder="1" applyAlignment="1">
      <alignment horizontal="center"/>
    </xf>
    <xf numFmtId="3" fontId="6" fillId="0" borderId="4" xfId="0" applyNumberFormat="1" applyFont="1" applyBorder="1" applyAlignment="1">
      <alignment horizontal="center" vertical="center"/>
    </xf>
    <xf numFmtId="3" fontId="0" fillId="0" borderId="0" xfId="5" applyNumberFormat="1" applyFont="1" applyBorder="1" applyAlignment="1">
      <alignment horizontal="center"/>
    </xf>
    <xf numFmtId="3" fontId="0" fillId="0" borderId="0" xfId="5" applyNumberFormat="1" applyFont="1" applyFill="1" applyBorder="1" applyAlignment="1">
      <alignment horizontal="center"/>
    </xf>
    <xf numFmtId="1" fontId="6" fillId="0" borderId="0" xfId="0" applyNumberFormat="1" applyFont="1" applyAlignment="1">
      <alignment horizontal="center" vertical="center"/>
    </xf>
    <xf numFmtId="164" fontId="1" fillId="0" borderId="4" xfId="0" applyNumberFormat="1" applyFont="1" applyBorder="1" applyAlignment="1">
      <alignment horizontal="center" vertical="center"/>
    </xf>
    <xf numFmtId="164" fontId="5" fillId="0" borderId="1" xfId="0" applyNumberFormat="1" applyFont="1" applyBorder="1" applyAlignment="1">
      <alignment horizontal="center" vertical="center"/>
    </xf>
    <xf numFmtId="1" fontId="6" fillId="0" borderId="2" xfId="0" applyNumberFormat="1" applyFont="1" applyBorder="1" applyAlignment="1">
      <alignment horizontal="center"/>
    </xf>
    <xf numFmtId="9" fontId="0" fillId="0" borderId="0" xfId="0" applyNumberFormat="1" applyAlignment="1">
      <alignment horizontal="center"/>
    </xf>
    <xf numFmtId="3" fontId="1" fillId="0" borderId="1" xfId="0" applyNumberFormat="1" applyFont="1" applyBorder="1" applyAlignment="1">
      <alignment horizontal="center"/>
    </xf>
    <xf numFmtId="3" fontId="6" fillId="0" borderId="1" xfId="0" applyNumberFormat="1" applyFont="1" applyBorder="1" applyAlignment="1">
      <alignment horizontal="center" vertical="center"/>
    </xf>
    <xf numFmtId="0" fontId="0" fillId="0" borderId="10" xfId="0" applyBorder="1" applyAlignment="1">
      <alignment horizontal="center"/>
    </xf>
    <xf numFmtId="0" fontId="0" fillId="0" borderId="11" xfId="0" applyBorder="1"/>
    <xf numFmtId="0" fontId="0" fillId="0" borderId="10" xfId="0" applyBorder="1"/>
    <xf numFmtId="3" fontId="0" fillId="0" borderId="10" xfId="0" applyNumberFormat="1" applyBorder="1" applyAlignment="1">
      <alignment horizontal="center"/>
    </xf>
    <xf numFmtId="164" fontId="0" fillId="0" borderId="11" xfId="0" applyNumberFormat="1" applyBorder="1" applyAlignment="1">
      <alignment horizontal="center"/>
    </xf>
    <xf numFmtId="37" fontId="0" fillId="0" borderId="0" xfId="0" applyNumberFormat="1" applyAlignment="1">
      <alignment horizontal="center"/>
    </xf>
    <xf numFmtId="0" fontId="8" fillId="0" borderId="0" xfId="0" applyFont="1"/>
    <xf numFmtId="0" fontId="9" fillId="0" borderId="0" xfId="0" applyFont="1"/>
    <xf numFmtId="0" fontId="1" fillId="0" borderId="0" xfId="0" applyFont="1" applyAlignment="1">
      <alignment horizontal="center"/>
    </xf>
    <xf numFmtId="1" fontId="0" fillId="0" borderId="2" xfId="0" applyNumberFormat="1" applyBorder="1" applyAlignment="1">
      <alignment horizontal="center"/>
    </xf>
    <xf numFmtId="3" fontId="1" fillId="0" borderId="0" xfId="0" applyNumberFormat="1" applyFont="1" applyAlignment="1">
      <alignment horizontal="center"/>
    </xf>
    <xf numFmtId="164" fontId="0" fillId="0" borderId="3" xfId="0" applyNumberFormat="1" applyBorder="1" applyAlignment="1">
      <alignment horizontal="center"/>
    </xf>
    <xf numFmtId="3" fontId="0" fillId="0" borderId="6" xfId="0" applyNumberFormat="1" applyBorder="1" applyAlignment="1">
      <alignment horizontal="center"/>
    </xf>
    <xf numFmtId="3" fontId="0" fillId="0" borderId="7" xfId="0" applyNumberFormat="1" applyBorder="1" applyAlignment="1">
      <alignment horizontal="center"/>
    </xf>
    <xf numFmtId="3" fontId="0" fillId="0" borderId="9" xfId="0" applyNumberFormat="1" applyBorder="1" applyAlignment="1">
      <alignment horizontal="center"/>
    </xf>
    <xf numFmtId="3" fontId="0" fillId="0" borderId="3" xfId="0" applyNumberFormat="1" applyBorder="1" applyAlignment="1">
      <alignment horizontal="center"/>
    </xf>
    <xf numFmtId="3" fontId="0" fillId="0" borderId="8" xfId="0" applyNumberFormat="1" applyBorder="1" applyAlignment="1">
      <alignment horizontal="center"/>
    </xf>
    <xf numFmtId="164" fontId="0" fillId="0" borderId="0" xfId="5" applyNumberFormat="1" applyFont="1" applyBorder="1" applyAlignment="1">
      <alignment horizontal="center"/>
    </xf>
    <xf numFmtId="164" fontId="0" fillId="0" borderId="1" xfId="5" applyNumberFormat="1" applyFont="1" applyBorder="1" applyAlignment="1">
      <alignment horizontal="center"/>
    </xf>
    <xf numFmtId="1" fontId="0" fillId="0" borderId="0" xfId="0" applyNumberFormat="1"/>
    <xf numFmtId="0" fontId="11" fillId="0" borderId="0" xfId="0" applyFont="1"/>
    <xf numFmtId="9" fontId="5" fillId="0" borderId="6" xfId="0" applyNumberFormat="1" applyFont="1" applyBorder="1" applyAlignment="1">
      <alignment horizontal="center" vertical="center"/>
    </xf>
    <xf numFmtId="9" fontId="5" fillId="0" borderId="3" xfId="0" applyNumberFormat="1" applyFont="1" applyBorder="1" applyAlignment="1">
      <alignment horizontal="center" vertical="center"/>
    </xf>
    <xf numFmtId="1" fontId="5" fillId="0" borderId="3" xfId="0" applyNumberFormat="1" applyFont="1" applyBorder="1" applyAlignment="1">
      <alignment horizontal="center" vertical="center"/>
    </xf>
    <xf numFmtId="9" fontId="5" fillId="0" borderId="8" xfId="0" applyNumberFormat="1" applyFont="1" applyBorder="1" applyAlignment="1">
      <alignment horizontal="center" vertical="center"/>
    </xf>
    <xf numFmtId="1" fontId="5" fillId="0" borderId="6" xfId="0" applyNumberFormat="1" applyFont="1" applyBorder="1" applyAlignment="1">
      <alignment horizontal="center" vertical="center"/>
    </xf>
    <xf numFmtId="0" fontId="0" fillId="0" borderId="7" xfId="0" applyBorder="1"/>
    <xf numFmtId="164" fontId="6" fillId="0" borderId="6" xfId="0" applyNumberFormat="1" applyFont="1" applyBorder="1" applyAlignment="1">
      <alignment horizontal="center" vertical="center"/>
    </xf>
    <xf numFmtId="164" fontId="6" fillId="0" borderId="3" xfId="0" applyNumberFormat="1" applyFont="1" applyBorder="1" applyAlignment="1">
      <alignment horizontal="center" vertical="center"/>
    </xf>
    <xf numFmtId="0" fontId="5" fillId="0" borderId="9" xfId="0" applyFont="1" applyBorder="1" applyAlignment="1">
      <alignment horizontal="center" vertical="center"/>
    </xf>
    <xf numFmtId="164" fontId="6" fillId="0" borderId="8" xfId="0" applyNumberFormat="1"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1" fontId="0" fillId="0" borderId="5" xfId="0" applyNumberFormat="1" applyBorder="1" applyAlignment="1">
      <alignment horizontal="center"/>
    </xf>
    <xf numFmtId="0" fontId="0" fillId="0" borderId="6" xfId="0" applyBorder="1"/>
    <xf numFmtId="9" fontId="0" fillId="0" borderId="3" xfId="0" applyNumberFormat="1" applyBorder="1" applyAlignment="1">
      <alignment horizontal="center"/>
    </xf>
    <xf numFmtId="0" fontId="0" fillId="0" borderId="12" xfId="0" applyBorder="1"/>
    <xf numFmtId="9" fontId="0" fillId="0" borderId="13" xfId="0" applyNumberFormat="1" applyBorder="1" applyAlignment="1">
      <alignment horizontal="center"/>
    </xf>
    <xf numFmtId="0" fontId="0" fillId="0" borderId="13" xfId="0" applyBorder="1" applyAlignment="1">
      <alignment horizontal="center"/>
    </xf>
    <xf numFmtId="0" fontId="0" fillId="0" borderId="13" xfId="0" applyBorder="1"/>
    <xf numFmtId="0" fontId="0" fillId="0" borderId="14" xfId="0" applyBorder="1"/>
    <xf numFmtId="0" fontId="5" fillId="0" borderId="8" xfId="0" applyFont="1" applyBorder="1" applyAlignment="1">
      <alignment horizontal="center" vertical="center"/>
    </xf>
    <xf numFmtId="167" fontId="0" fillId="0" borderId="15" xfId="0" applyNumberFormat="1" applyBorder="1" applyAlignment="1">
      <alignment horizontal="left"/>
    </xf>
    <xf numFmtId="167" fontId="6" fillId="0" borderId="15" xfId="0" applyNumberFormat="1" applyFont="1" applyBorder="1" applyAlignment="1">
      <alignment horizontal="left" vertical="center"/>
    </xf>
    <xf numFmtId="167" fontId="6" fillId="0" borderId="16" xfId="0" applyNumberFormat="1" applyFont="1" applyBorder="1" applyAlignment="1">
      <alignment horizontal="left" vertical="center"/>
    </xf>
    <xf numFmtId="0" fontId="2" fillId="0" borderId="0" xfId="0" applyFont="1"/>
    <xf numFmtId="0" fontId="1" fillId="0" borderId="0" xfId="0" applyFont="1"/>
    <xf numFmtId="0" fontId="6" fillId="0" borderId="0" xfId="0" applyFont="1"/>
    <xf numFmtId="0" fontId="2" fillId="0" borderId="0" xfId="0" applyFont="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wrapText="1"/>
    </xf>
    <xf numFmtId="0" fontId="0" fillId="0" borderId="18" xfId="0" applyBorder="1" applyAlignment="1">
      <alignment horizontal="center" wrapText="1"/>
    </xf>
    <xf numFmtId="0" fontId="0" fillId="0" borderId="20" xfId="0" applyBorder="1" applyAlignment="1">
      <alignment horizontal="center"/>
    </xf>
    <xf numFmtId="0" fontId="0" fillId="0" borderId="21" xfId="0" applyBorder="1" applyAlignment="1">
      <alignment horizontal="center"/>
    </xf>
    <xf numFmtId="0" fontId="0" fillId="0" borderId="17" xfId="0" applyBorder="1"/>
    <xf numFmtId="0" fontId="0" fillId="0" borderId="22" xfId="0" applyBorder="1"/>
    <xf numFmtId="0" fontId="0" fillId="0" borderId="19" xfId="0" applyBorder="1" applyAlignment="1">
      <alignment horizontal="center"/>
    </xf>
    <xf numFmtId="0" fontId="0" fillId="0" borderId="23" xfId="0" applyBorder="1" applyAlignment="1">
      <alignment horizontal="center"/>
    </xf>
    <xf numFmtId="0" fontId="0" fillId="0" borderId="22" xfId="0" applyBorder="1" applyAlignment="1">
      <alignment horizontal="center"/>
    </xf>
    <xf numFmtId="164" fontId="0" fillId="0" borderId="2" xfId="0" applyNumberFormat="1" applyBorder="1" applyAlignment="1">
      <alignment horizontal="center"/>
    </xf>
    <xf numFmtId="0" fontId="0" fillId="0" borderId="24" xfId="0" applyBorder="1"/>
    <xf numFmtId="1" fontId="0" fillId="0" borderId="0" xfId="0" applyNumberFormat="1" applyAlignment="1">
      <alignment horizontal="center" wrapText="1"/>
    </xf>
    <xf numFmtId="3" fontId="0" fillId="0" borderId="0" xfId="0" applyNumberFormat="1" applyAlignment="1">
      <alignment horizontal="center" wrapText="1"/>
    </xf>
    <xf numFmtId="3" fontId="0" fillId="0" borderId="5" xfId="0" applyNumberFormat="1" applyBorder="1" applyAlignment="1">
      <alignment horizontal="center" wrapText="1"/>
    </xf>
    <xf numFmtId="1" fontId="0" fillId="0" borderId="5" xfId="0" applyNumberFormat="1" applyBorder="1" applyAlignment="1">
      <alignment horizontal="center" wrapText="1"/>
    </xf>
    <xf numFmtId="17" fontId="6" fillId="0" borderId="15" xfId="0" applyNumberFormat="1" applyFont="1" applyBorder="1" applyAlignment="1">
      <alignment horizontal="left"/>
    </xf>
    <xf numFmtId="1" fontId="0" fillId="0" borderId="4" xfId="0" applyNumberFormat="1" applyBorder="1" applyAlignment="1">
      <alignment horizontal="center"/>
    </xf>
    <xf numFmtId="0" fontId="0" fillId="0" borderId="5" xfId="0" applyBorder="1" applyAlignment="1">
      <alignment horizontal="center" wrapText="1"/>
    </xf>
    <xf numFmtId="3" fontId="0" fillId="0" borderId="0" xfId="0" applyNumberFormat="1" applyAlignment="1">
      <alignment horizontal="right"/>
    </xf>
    <xf numFmtId="0" fontId="0" fillId="0" borderId="0" xfId="0" applyAlignment="1">
      <alignment horizontal="center" wrapText="1"/>
    </xf>
    <xf numFmtId="164" fontId="13" fillId="0" borderId="0" xfId="5" applyNumberFormat="1" applyFont="1" applyFill="1" applyBorder="1" applyAlignment="1">
      <alignment horizontal="center"/>
    </xf>
    <xf numFmtId="164" fontId="0" fillId="0" borderId="0" xfId="5" applyNumberFormat="1" applyFont="1" applyFill="1" applyBorder="1" applyAlignment="1">
      <alignment horizontal="center"/>
    </xf>
    <xf numFmtId="166" fontId="0" fillId="0" borderId="1" xfId="1" applyNumberFormat="1" applyFont="1" applyBorder="1" applyAlignment="1">
      <alignment horizontal="center"/>
    </xf>
    <xf numFmtId="166" fontId="6" fillId="0" borderId="1" xfId="1" applyNumberFormat="1" applyFont="1" applyBorder="1" applyAlignment="1">
      <alignment horizontal="center"/>
    </xf>
    <xf numFmtId="164" fontId="0" fillId="0" borderId="6" xfId="0" applyNumberFormat="1" applyBorder="1" applyAlignment="1">
      <alignment horizontal="center"/>
    </xf>
    <xf numFmtId="164" fontId="0" fillId="0" borderId="8" xfId="0" applyNumberFormat="1" applyBorder="1" applyAlignment="1">
      <alignment horizontal="center"/>
    </xf>
    <xf numFmtId="164" fontId="0" fillId="0" borderId="0" xfId="7" applyNumberFormat="1" applyFont="1" applyBorder="1" applyAlignment="1">
      <alignment horizontal="center"/>
    </xf>
    <xf numFmtId="166" fontId="0" fillId="0" borderId="1" xfId="2" applyNumberFormat="1" applyFont="1" applyBorder="1" applyAlignment="1">
      <alignment horizontal="center"/>
    </xf>
    <xf numFmtId="167" fontId="0" fillId="0" borderId="0" xfId="0" applyNumberFormat="1" applyAlignment="1">
      <alignment horizontal="left"/>
    </xf>
    <xf numFmtId="166" fontId="0" fillId="0" borderId="1" xfId="1" applyNumberFormat="1" applyFont="1" applyFill="1" applyBorder="1" applyAlignment="1">
      <alignment horizontal="center"/>
    </xf>
    <xf numFmtId="164" fontId="0" fillId="2" borderId="4" xfId="0" applyNumberFormat="1" applyFill="1" applyBorder="1" applyAlignment="1">
      <alignment horizontal="center"/>
    </xf>
    <xf numFmtId="164" fontId="15" fillId="0" borderId="0" xfId="5" applyNumberFormat="1" applyFont="1" applyFill="1" applyBorder="1" applyAlignment="1">
      <alignment horizontal="center"/>
    </xf>
    <xf numFmtId="1" fontId="0" fillId="0" borderId="18" xfId="0" applyNumberFormat="1" applyBorder="1" applyAlignment="1">
      <alignment horizontal="center"/>
    </xf>
    <xf numFmtId="1" fontId="8" fillId="0" borderId="0" xfId="0" applyNumberFormat="1" applyFont="1"/>
    <xf numFmtId="1" fontId="10" fillId="0" borderId="0" xfId="0" applyNumberFormat="1" applyFont="1"/>
    <xf numFmtId="164" fontId="0" fillId="0" borderId="0" xfId="6" applyNumberFormat="1" applyFont="1" applyBorder="1" applyAlignment="1">
      <alignment horizontal="center"/>
    </xf>
    <xf numFmtId="166" fontId="0" fillId="0" borderId="1" xfId="3" applyNumberFormat="1" applyFont="1" applyBorder="1" applyAlignment="1">
      <alignment horizontal="center"/>
    </xf>
    <xf numFmtId="1" fontId="9" fillId="0" borderId="0" xfId="0" applyNumberFormat="1" applyFont="1"/>
    <xf numFmtId="165" fontId="1" fillId="0" borderId="0" xfId="0" applyNumberFormat="1" applyFont="1" applyAlignment="1">
      <alignment horizontal="center"/>
    </xf>
    <xf numFmtId="165" fontId="8" fillId="0" borderId="0" xfId="0" applyNumberFormat="1" applyFont="1"/>
    <xf numFmtId="165" fontId="0" fillId="0" borderId="19" xfId="0" applyNumberFormat="1" applyBorder="1" applyAlignment="1">
      <alignment horizontal="center" wrapText="1"/>
    </xf>
    <xf numFmtId="165" fontId="0" fillId="0" borderId="0" xfId="0" applyNumberFormat="1" applyAlignment="1">
      <alignment horizontal="center" wrapText="1"/>
    </xf>
    <xf numFmtId="165" fontId="0" fillId="0" borderId="3" xfId="0" applyNumberFormat="1" applyBorder="1" applyAlignment="1">
      <alignment horizontal="center" wrapText="1"/>
    </xf>
    <xf numFmtId="165" fontId="0" fillId="0" borderId="0" xfId="0" applyNumberFormat="1" applyAlignment="1">
      <alignment horizontal="center"/>
    </xf>
    <xf numFmtId="165" fontId="0" fillId="0" borderId="5" xfId="0" applyNumberFormat="1" applyBorder="1" applyAlignment="1">
      <alignment horizontal="center"/>
    </xf>
    <xf numFmtId="165" fontId="6" fillId="0" borderId="0" xfId="0" applyNumberFormat="1" applyFont="1" applyAlignment="1">
      <alignment horizontal="center"/>
    </xf>
    <xf numFmtId="165" fontId="6" fillId="0" borderId="0" xfId="0" applyNumberFormat="1" applyFont="1" applyAlignment="1">
      <alignment horizontal="center" vertical="center"/>
    </xf>
    <xf numFmtId="165" fontId="5" fillId="0" borderId="0" xfId="0" applyNumberFormat="1" applyFont="1" applyAlignment="1">
      <alignment horizontal="center" vertical="center"/>
    </xf>
    <xf numFmtId="165" fontId="0" fillId="0" borderId="0" xfId="0" applyNumberFormat="1"/>
    <xf numFmtId="165" fontId="5" fillId="0" borderId="3" xfId="0" applyNumberFormat="1" applyFont="1" applyBorder="1" applyAlignment="1">
      <alignment horizontal="center" vertical="center"/>
    </xf>
    <xf numFmtId="165" fontId="0" fillId="0" borderId="18" xfId="0" applyNumberFormat="1" applyBorder="1" applyAlignment="1">
      <alignment horizontal="center"/>
    </xf>
    <xf numFmtId="165" fontId="0" fillId="0" borderId="5" xfId="0" applyNumberFormat="1" applyBorder="1" applyAlignment="1">
      <alignment horizontal="center" wrapText="1"/>
    </xf>
    <xf numFmtId="165" fontId="6" fillId="0" borderId="5" xfId="0" applyNumberFormat="1" applyFont="1" applyBorder="1" applyAlignment="1">
      <alignment horizontal="center"/>
    </xf>
    <xf numFmtId="165" fontId="1" fillId="0" borderId="0" xfId="0" applyNumberFormat="1" applyFont="1" applyAlignment="1">
      <alignment horizontal="center" vertical="center"/>
    </xf>
    <xf numFmtId="165" fontId="6" fillId="0" borderId="5" xfId="0" applyNumberFormat="1" applyFont="1" applyBorder="1" applyAlignment="1">
      <alignment horizontal="center" vertical="center"/>
    </xf>
    <xf numFmtId="165" fontId="1" fillId="0" borderId="5" xfId="0" applyNumberFormat="1" applyFont="1" applyBorder="1" applyAlignment="1">
      <alignment horizontal="center"/>
    </xf>
    <xf numFmtId="165" fontId="5" fillId="0" borderId="5" xfId="0" applyNumberFormat="1" applyFont="1" applyBorder="1" applyAlignment="1">
      <alignment horizontal="center" vertical="center"/>
    </xf>
    <xf numFmtId="165" fontId="0" fillId="0" borderId="5" xfId="0" applyNumberFormat="1" applyBorder="1"/>
    <xf numFmtId="165" fontId="5" fillId="0" borderId="9" xfId="0" applyNumberFormat="1" applyFont="1" applyBorder="1" applyAlignment="1">
      <alignment horizontal="center" vertical="center"/>
    </xf>
    <xf numFmtId="165" fontId="0" fillId="0" borderId="18" xfId="0" applyNumberFormat="1" applyBorder="1" applyAlignment="1">
      <alignment horizontal="center" wrapText="1"/>
    </xf>
    <xf numFmtId="165" fontId="0" fillId="0" borderId="2" xfId="0" applyNumberFormat="1" applyBorder="1" applyAlignment="1">
      <alignment horizontal="center"/>
    </xf>
    <xf numFmtId="165" fontId="6" fillId="0" borderId="2" xfId="0" applyNumberFormat="1" applyFont="1" applyBorder="1" applyAlignment="1">
      <alignment horizontal="center"/>
    </xf>
    <xf numFmtId="165" fontId="6" fillId="0" borderId="2" xfId="0" applyNumberFormat="1" applyFont="1" applyBorder="1" applyAlignment="1">
      <alignment horizontal="center" vertical="center"/>
    </xf>
    <xf numFmtId="165" fontId="1" fillId="0" borderId="2" xfId="0" applyNumberFormat="1" applyFont="1" applyBorder="1" applyAlignment="1">
      <alignment horizontal="center"/>
    </xf>
    <xf numFmtId="165" fontId="5" fillId="0" borderId="2" xfId="0" applyNumberFormat="1" applyFont="1" applyBorder="1" applyAlignment="1">
      <alignment horizontal="center" vertical="center"/>
    </xf>
    <xf numFmtId="165" fontId="5" fillId="0" borderId="7" xfId="0" applyNumberFormat="1" applyFont="1" applyBorder="1" applyAlignment="1">
      <alignment horizontal="center" vertical="center"/>
    </xf>
    <xf numFmtId="9" fontId="0" fillId="0" borderId="0" xfId="5" applyFont="1"/>
    <xf numFmtId="0" fontId="6" fillId="0" borderId="25" xfId="0" applyFont="1" applyBorder="1" applyAlignment="1">
      <alignment horizontal="center"/>
    </xf>
    <xf numFmtId="0" fontId="6" fillId="0" borderId="15" xfId="0" applyFont="1" applyBorder="1"/>
    <xf numFmtId="0" fontId="6" fillId="0" borderId="26" xfId="0" applyFont="1" applyBorder="1"/>
    <xf numFmtId="0" fontId="2" fillId="0" borderId="24" xfId="0" applyFont="1" applyBorder="1" applyAlignment="1">
      <alignment horizontal="center"/>
    </xf>
    <xf numFmtId="0" fontId="2" fillId="0" borderId="30" xfId="0" applyFont="1" applyBorder="1" applyAlignment="1">
      <alignment horizontal="center"/>
    </xf>
    <xf numFmtId="0" fontId="2" fillId="0" borderId="33" xfId="0" applyFont="1" applyBorder="1" applyAlignment="1">
      <alignment horizontal="center"/>
    </xf>
    <xf numFmtId="0" fontId="2" fillId="0" borderId="32" xfId="0" applyFont="1" applyBorder="1" applyAlignment="1">
      <alignment horizontal="center"/>
    </xf>
    <xf numFmtId="0" fontId="2" fillId="0" borderId="31" xfId="0" applyFont="1" applyBorder="1" applyAlignment="1">
      <alignment horizontal="center"/>
    </xf>
    <xf numFmtId="0" fontId="0" fillId="0" borderId="30" xfId="0" applyBorder="1" applyAlignment="1">
      <alignment horizontal="center"/>
    </xf>
    <xf numFmtId="0" fontId="4" fillId="0" borderId="27" xfId="0" applyFont="1" applyBorder="1" applyAlignment="1">
      <alignment horizontal="center"/>
    </xf>
    <xf numFmtId="0" fontId="4" fillId="0" borderId="28" xfId="0" applyFont="1"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4" fillId="0" borderId="34" xfId="0" applyFont="1" applyBorder="1" applyAlignment="1">
      <alignment horizontal="center"/>
    </xf>
    <xf numFmtId="0" fontId="2" fillId="0" borderId="35" xfId="0" applyFont="1" applyBorder="1"/>
    <xf numFmtId="0" fontId="2" fillId="0" borderId="36" xfId="0" applyFont="1" applyBorder="1"/>
    <xf numFmtId="0" fontId="4" fillId="0" borderId="24" xfId="0" applyFont="1" applyBorder="1" applyAlignment="1">
      <alignment horizontal="center"/>
    </xf>
    <xf numFmtId="0" fontId="4" fillId="0" borderId="30" xfId="0" applyFont="1" applyBorder="1" applyAlignment="1">
      <alignment horizontal="center"/>
    </xf>
    <xf numFmtId="0" fontId="0" fillId="0" borderId="25" xfId="0" applyBorder="1"/>
    <xf numFmtId="0" fontId="0" fillId="0" borderId="15" xfId="0" applyBorder="1"/>
    <xf numFmtId="0" fontId="0" fillId="0" borderId="26" xfId="0" applyBorder="1"/>
    <xf numFmtId="0" fontId="2" fillId="0" borderId="4" xfId="0" applyFont="1" applyBorder="1" applyAlignment="1">
      <alignment horizontal="center"/>
    </xf>
    <xf numFmtId="0" fontId="0" fillId="0" borderId="0" xfId="0" applyAlignment="1">
      <alignment horizontal="center"/>
    </xf>
    <xf numFmtId="0" fontId="0" fillId="0" borderId="5" xfId="0" applyBorder="1" applyAlignment="1">
      <alignment horizontal="center"/>
    </xf>
    <xf numFmtId="0" fontId="2" fillId="0" borderId="1" xfId="0" applyFont="1" applyBorder="1" applyAlignment="1">
      <alignment horizontal="center"/>
    </xf>
    <xf numFmtId="0" fontId="0" fillId="0" borderId="0" xfId="0"/>
    <xf numFmtId="0" fontId="0" fillId="0" borderId="5" xfId="0" applyBorder="1"/>
    <xf numFmtId="0" fontId="0" fillId="0" borderId="2" xfId="0" applyBorder="1" applyAlignment="1">
      <alignment horizontal="center"/>
    </xf>
    <xf numFmtId="0" fontId="2" fillId="0" borderId="0" xfId="0" applyFont="1" applyAlignment="1">
      <alignment horizontal="center"/>
    </xf>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2" xfId="0" applyBorder="1" applyAlignment="1">
      <alignment horizontal="center"/>
    </xf>
    <xf numFmtId="0" fontId="0" fillId="0" borderId="31" xfId="0" applyBorder="1" applyAlignment="1">
      <alignment horizontal="center"/>
    </xf>
  </cellXfs>
  <cellStyles count="8">
    <cellStyle name="Comma" xfId="1" builtinId="3"/>
    <cellStyle name="Comma 2" xfId="2" xr:uid="{00000000-0005-0000-0000-000001000000}"/>
    <cellStyle name="Comma 3" xfId="3" xr:uid="{00000000-0005-0000-0000-000002000000}"/>
    <cellStyle name="Normal" xfId="0" builtinId="0"/>
    <cellStyle name="Normal 2" xfId="4" xr:uid="{00000000-0005-0000-0000-000004000000}"/>
    <cellStyle name="Percent" xfId="5" builtinId="5"/>
    <cellStyle name="Percent 2" xfId="6" xr:uid="{00000000-0005-0000-0000-000006000000}"/>
    <cellStyle name="Percent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Percentage</a:t>
            </a:r>
            <a:r>
              <a:rPr lang="en-US" baseline="0"/>
              <a:t> of </a:t>
            </a:r>
            <a:r>
              <a:rPr lang="en-US"/>
              <a:t>Load</a:t>
            </a:r>
            <a:r>
              <a:rPr lang="en-US" baseline="0"/>
              <a:t> Served by Competitve Energy Providers</a:t>
            </a:r>
          </a:p>
          <a:p>
            <a:pPr>
              <a:defRPr/>
            </a:pPr>
            <a:r>
              <a:rPr lang="en-US" baseline="0"/>
              <a:t>January 2016- June 2026</a:t>
            </a:r>
          </a:p>
          <a:p>
            <a:pPr>
              <a:defRPr/>
            </a:pPr>
            <a:r>
              <a:rPr lang="en-US" baseline="0"/>
              <a:t>Presented by Maine Public Utilities Commission</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VP - BHD</c:v>
          </c:tx>
          <c:spPr>
            <a:ln w="28575" cap="rnd">
              <a:solidFill>
                <a:schemeClr val="accent1"/>
              </a:solidFill>
              <a:round/>
            </a:ln>
            <a:effectLst/>
          </c:spPr>
          <c:marker>
            <c:symbol val="none"/>
          </c:marker>
          <c:cat>
            <c:numRef>
              <c:f>Load!$A$6:$A$131</c:f>
              <c:numCache>
                <c:formatCode>mmm\-yy</c:formatCode>
                <c:ptCount val="126"/>
                <c:pt idx="0">
                  <c:v>46203</c:v>
                </c:pt>
                <c:pt idx="1">
                  <c:v>46173</c:v>
                </c:pt>
                <c:pt idx="2">
                  <c:v>46142</c:v>
                </c:pt>
                <c:pt idx="3">
                  <c:v>46112</c:v>
                </c:pt>
                <c:pt idx="4">
                  <c:v>46081</c:v>
                </c:pt>
                <c:pt idx="5">
                  <c:v>46053</c:v>
                </c:pt>
                <c:pt idx="6">
                  <c:v>46022</c:v>
                </c:pt>
                <c:pt idx="7">
                  <c:v>45991</c:v>
                </c:pt>
                <c:pt idx="8">
                  <c:v>45961</c:v>
                </c:pt>
                <c:pt idx="9">
                  <c:v>45930</c:v>
                </c:pt>
                <c:pt idx="10">
                  <c:v>45900</c:v>
                </c:pt>
                <c:pt idx="11">
                  <c:v>45869</c:v>
                </c:pt>
                <c:pt idx="12">
                  <c:v>45838</c:v>
                </c:pt>
                <c:pt idx="13">
                  <c:v>45808</c:v>
                </c:pt>
                <c:pt idx="14">
                  <c:v>45777</c:v>
                </c:pt>
                <c:pt idx="15">
                  <c:v>45747</c:v>
                </c:pt>
                <c:pt idx="16">
                  <c:v>45716</c:v>
                </c:pt>
                <c:pt idx="17">
                  <c:v>45688</c:v>
                </c:pt>
                <c:pt idx="18">
                  <c:v>45657</c:v>
                </c:pt>
                <c:pt idx="19">
                  <c:v>45626</c:v>
                </c:pt>
                <c:pt idx="20">
                  <c:v>45596</c:v>
                </c:pt>
                <c:pt idx="21">
                  <c:v>45565</c:v>
                </c:pt>
                <c:pt idx="22">
                  <c:v>45535</c:v>
                </c:pt>
                <c:pt idx="23">
                  <c:v>45504</c:v>
                </c:pt>
                <c:pt idx="24">
                  <c:v>45473</c:v>
                </c:pt>
                <c:pt idx="25">
                  <c:v>45443</c:v>
                </c:pt>
                <c:pt idx="26">
                  <c:v>45412</c:v>
                </c:pt>
                <c:pt idx="27">
                  <c:v>45382</c:v>
                </c:pt>
                <c:pt idx="28">
                  <c:v>45351</c:v>
                </c:pt>
                <c:pt idx="29">
                  <c:v>45322</c:v>
                </c:pt>
                <c:pt idx="30">
                  <c:v>45291</c:v>
                </c:pt>
                <c:pt idx="31">
                  <c:v>45260</c:v>
                </c:pt>
                <c:pt idx="32">
                  <c:v>45230</c:v>
                </c:pt>
                <c:pt idx="33">
                  <c:v>45199</c:v>
                </c:pt>
                <c:pt idx="34">
                  <c:v>45169</c:v>
                </c:pt>
                <c:pt idx="35">
                  <c:v>45138</c:v>
                </c:pt>
                <c:pt idx="36">
                  <c:v>45107</c:v>
                </c:pt>
                <c:pt idx="37">
                  <c:v>45077</c:v>
                </c:pt>
                <c:pt idx="38">
                  <c:v>45046</c:v>
                </c:pt>
                <c:pt idx="39">
                  <c:v>45016</c:v>
                </c:pt>
                <c:pt idx="40">
                  <c:v>44985</c:v>
                </c:pt>
                <c:pt idx="41">
                  <c:v>44957</c:v>
                </c:pt>
                <c:pt idx="42">
                  <c:v>44926</c:v>
                </c:pt>
                <c:pt idx="43">
                  <c:v>44895</c:v>
                </c:pt>
                <c:pt idx="44">
                  <c:v>44865</c:v>
                </c:pt>
                <c:pt idx="45">
                  <c:v>44834</c:v>
                </c:pt>
                <c:pt idx="46">
                  <c:v>44804</c:v>
                </c:pt>
                <c:pt idx="47">
                  <c:v>44773</c:v>
                </c:pt>
                <c:pt idx="48">
                  <c:v>44742</c:v>
                </c:pt>
                <c:pt idx="49">
                  <c:v>44712</c:v>
                </c:pt>
                <c:pt idx="50">
                  <c:v>44681</c:v>
                </c:pt>
                <c:pt idx="51">
                  <c:v>44651</c:v>
                </c:pt>
                <c:pt idx="52">
                  <c:v>44620</c:v>
                </c:pt>
                <c:pt idx="53">
                  <c:v>44592</c:v>
                </c:pt>
                <c:pt idx="54">
                  <c:v>44561</c:v>
                </c:pt>
                <c:pt idx="55">
                  <c:v>44530</c:v>
                </c:pt>
                <c:pt idx="56">
                  <c:v>44500</c:v>
                </c:pt>
                <c:pt idx="57">
                  <c:v>44469</c:v>
                </c:pt>
                <c:pt idx="58">
                  <c:v>44439</c:v>
                </c:pt>
                <c:pt idx="59">
                  <c:v>44378</c:v>
                </c:pt>
                <c:pt idx="60">
                  <c:v>44348</c:v>
                </c:pt>
                <c:pt idx="61">
                  <c:v>44317</c:v>
                </c:pt>
                <c:pt idx="62">
                  <c:v>44287</c:v>
                </c:pt>
                <c:pt idx="63">
                  <c:v>44256</c:v>
                </c:pt>
                <c:pt idx="64">
                  <c:v>44228</c:v>
                </c:pt>
                <c:pt idx="65">
                  <c:v>44197</c:v>
                </c:pt>
                <c:pt idx="66">
                  <c:v>44196</c:v>
                </c:pt>
                <c:pt idx="67">
                  <c:v>44165</c:v>
                </c:pt>
                <c:pt idx="68">
                  <c:v>44135</c:v>
                </c:pt>
                <c:pt idx="69">
                  <c:v>44075</c:v>
                </c:pt>
                <c:pt idx="70">
                  <c:v>44044</c:v>
                </c:pt>
                <c:pt idx="71">
                  <c:v>44013</c:v>
                </c:pt>
                <c:pt idx="72">
                  <c:v>43983</c:v>
                </c:pt>
                <c:pt idx="73">
                  <c:v>43952</c:v>
                </c:pt>
                <c:pt idx="74">
                  <c:v>43922</c:v>
                </c:pt>
                <c:pt idx="75">
                  <c:v>43891</c:v>
                </c:pt>
                <c:pt idx="76">
                  <c:v>43862</c:v>
                </c:pt>
                <c:pt idx="77">
                  <c:v>43831</c:v>
                </c:pt>
                <c:pt idx="78">
                  <c:v>43800</c:v>
                </c:pt>
                <c:pt idx="79">
                  <c:v>43770</c:v>
                </c:pt>
                <c:pt idx="80">
                  <c:v>43739</c:v>
                </c:pt>
                <c:pt idx="81">
                  <c:v>43709</c:v>
                </c:pt>
                <c:pt idx="82">
                  <c:v>43678</c:v>
                </c:pt>
                <c:pt idx="83">
                  <c:v>43647</c:v>
                </c:pt>
                <c:pt idx="84">
                  <c:v>43617</c:v>
                </c:pt>
                <c:pt idx="85">
                  <c:v>43586</c:v>
                </c:pt>
                <c:pt idx="86">
                  <c:v>43556</c:v>
                </c:pt>
                <c:pt idx="87">
                  <c:v>43525</c:v>
                </c:pt>
                <c:pt idx="88">
                  <c:v>43497</c:v>
                </c:pt>
                <c:pt idx="89">
                  <c:v>43466</c:v>
                </c:pt>
                <c:pt idx="90">
                  <c:v>43435</c:v>
                </c:pt>
                <c:pt idx="91">
                  <c:v>43405</c:v>
                </c:pt>
                <c:pt idx="92">
                  <c:v>43404</c:v>
                </c:pt>
                <c:pt idx="93">
                  <c:v>43361</c:v>
                </c:pt>
                <c:pt idx="94">
                  <c:v>43330</c:v>
                </c:pt>
                <c:pt idx="95">
                  <c:v>43282</c:v>
                </c:pt>
                <c:pt idx="96">
                  <c:v>43252</c:v>
                </c:pt>
                <c:pt idx="97">
                  <c:v>43221</c:v>
                </c:pt>
                <c:pt idx="98">
                  <c:v>43191</c:v>
                </c:pt>
                <c:pt idx="99">
                  <c:v>43160</c:v>
                </c:pt>
                <c:pt idx="100">
                  <c:v>43149</c:v>
                </c:pt>
                <c:pt idx="101">
                  <c:v>43101</c:v>
                </c:pt>
                <c:pt idx="102">
                  <c:v>43070</c:v>
                </c:pt>
                <c:pt idx="103">
                  <c:v>43040</c:v>
                </c:pt>
                <c:pt idx="104">
                  <c:v>43009</c:v>
                </c:pt>
                <c:pt idx="105">
                  <c:v>42979</c:v>
                </c:pt>
                <c:pt idx="106">
                  <c:v>42948</c:v>
                </c:pt>
                <c:pt idx="107">
                  <c:v>42917</c:v>
                </c:pt>
                <c:pt idx="108">
                  <c:v>42887</c:v>
                </c:pt>
                <c:pt idx="109">
                  <c:v>42856</c:v>
                </c:pt>
                <c:pt idx="110">
                  <c:v>42826</c:v>
                </c:pt>
                <c:pt idx="111">
                  <c:v>42795</c:v>
                </c:pt>
                <c:pt idx="112">
                  <c:v>42767</c:v>
                </c:pt>
                <c:pt idx="113">
                  <c:v>42736</c:v>
                </c:pt>
                <c:pt idx="114">
                  <c:v>42705</c:v>
                </c:pt>
                <c:pt idx="115">
                  <c:v>42675</c:v>
                </c:pt>
                <c:pt idx="116">
                  <c:v>42644</c:v>
                </c:pt>
                <c:pt idx="117">
                  <c:v>42614</c:v>
                </c:pt>
                <c:pt idx="118">
                  <c:v>42583</c:v>
                </c:pt>
                <c:pt idx="119">
                  <c:v>42552</c:v>
                </c:pt>
                <c:pt idx="120">
                  <c:v>42522</c:v>
                </c:pt>
                <c:pt idx="121">
                  <c:v>42491</c:v>
                </c:pt>
                <c:pt idx="122">
                  <c:v>42461</c:v>
                </c:pt>
                <c:pt idx="123">
                  <c:v>42430</c:v>
                </c:pt>
                <c:pt idx="124">
                  <c:v>42401</c:v>
                </c:pt>
                <c:pt idx="125">
                  <c:v>42370</c:v>
                </c:pt>
              </c:numCache>
            </c:numRef>
          </c:cat>
          <c:val>
            <c:numRef>
              <c:f>Load!$L$6:$L$131</c:f>
              <c:numCache>
                <c:formatCode>0.0%</c:formatCode>
                <c:ptCount val="126"/>
                <c:pt idx="0">
                  <c:v>0.40631213775013747</c:v>
                </c:pt>
                <c:pt idx="1">
                  <c:v>0.39025735294117647</c:v>
                </c:pt>
                <c:pt idx="2">
                  <c:v>0.37332754469747798</c:v>
                </c:pt>
                <c:pt idx="3">
                  <c:v>0.34553538347536122</c:v>
                </c:pt>
                <c:pt idx="4">
                  <c:v>0.33935040406229683</c:v>
                </c:pt>
                <c:pt idx="5">
                  <c:v>0.34775646371976648</c:v>
                </c:pt>
                <c:pt idx="6">
                  <c:v>0.35679133858267714</c:v>
                </c:pt>
                <c:pt idx="7">
                  <c:v>0.4160934398227229</c:v>
                </c:pt>
                <c:pt idx="8">
                  <c:v>0.43488057683641285</c:v>
                </c:pt>
                <c:pt idx="9">
                  <c:v>0.44247340904993698</c:v>
                </c:pt>
                <c:pt idx="10">
                  <c:v>0.40928909252143075</c:v>
                </c:pt>
                <c:pt idx="11">
                  <c:v>0.39129810968829581</c:v>
                </c:pt>
                <c:pt idx="12">
                  <c:v>0.41722479821397901</c:v>
                </c:pt>
                <c:pt idx="13">
                  <c:v>0.40777494930318847</c:v>
                </c:pt>
                <c:pt idx="14">
                  <c:v>0.38605268144779231</c:v>
                </c:pt>
                <c:pt idx="15">
                  <c:v>0.35087593850554166</c:v>
                </c:pt>
                <c:pt idx="16">
                  <c:v>0.34637109019131496</c:v>
                </c:pt>
                <c:pt idx="17">
                  <c:v>0.33498703709630967</c:v>
                </c:pt>
                <c:pt idx="18">
                  <c:v>0.35407268396549851</c:v>
                </c:pt>
                <c:pt idx="19">
                  <c:v>0.40675501640978773</c:v>
                </c:pt>
                <c:pt idx="20">
                  <c:v>0.40245010867417508</c:v>
                </c:pt>
                <c:pt idx="21">
                  <c:v>0.43460241640910369</c:v>
                </c:pt>
                <c:pt idx="22">
                  <c:v>0.39931593278873612</c:v>
                </c:pt>
                <c:pt idx="23">
                  <c:v>0.37960835419596006</c:v>
                </c:pt>
                <c:pt idx="24">
                  <c:v>0.41366890675099927</c:v>
                </c:pt>
                <c:pt idx="25">
                  <c:v>0.38552243694726501</c:v>
                </c:pt>
                <c:pt idx="26">
                  <c:v>0.37529691211401423</c:v>
                </c:pt>
                <c:pt idx="27">
                  <c:v>0.35562938353636026</c:v>
                </c:pt>
                <c:pt idx="28">
                  <c:v>0.34903558469667073</c:v>
                </c:pt>
                <c:pt idx="29">
                  <c:v>0.34629416598192275</c:v>
                </c:pt>
                <c:pt idx="30">
                  <c:v>0.36</c:v>
                </c:pt>
                <c:pt idx="31">
                  <c:v>0.42399999999999999</c:v>
                </c:pt>
                <c:pt idx="32">
                  <c:v>0.40100000000000002</c:v>
                </c:pt>
                <c:pt idx="33">
                  <c:v>0.4097596943392432</c:v>
                </c:pt>
                <c:pt idx="34">
                  <c:v>0.38041213243806438</c:v>
                </c:pt>
                <c:pt idx="35">
                  <c:v>0.37650756523645934</c:v>
                </c:pt>
                <c:pt idx="36">
                  <c:v>0.38300000000000001</c:v>
                </c:pt>
                <c:pt idx="37">
                  <c:v>0.38621662942490892</c:v>
                </c:pt>
                <c:pt idx="38">
                  <c:v>0.39592835688063183</c:v>
                </c:pt>
                <c:pt idx="39">
                  <c:v>0.36795270127597957</c:v>
                </c:pt>
                <c:pt idx="40">
                  <c:v>0.31225139220365949</c:v>
                </c:pt>
                <c:pt idx="41">
                  <c:v>0.3213962984035611</c:v>
                </c:pt>
                <c:pt idx="42">
                  <c:v>0.34657126228217328</c:v>
                </c:pt>
                <c:pt idx="43">
                  <c:v>0.40463927977614667</c:v>
                </c:pt>
                <c:pt idx="44">
                  <c:v>0.39115698072968241</c:v>
                </c:pt>
                <c:pt idx="45">
                  <c:v>0.37712606303151575</c:v>
                </c:pt>
                <c:pt idx="46">
                  <c:v>0.377</c:v>
                </c:pt>
                <c:pt idx="47">
                  <c:v>0.40113443404747279</c:v>
                </c:pt>
                <c:pt idx="48">
                  <c:v>0.45721219042181144</c:v>
                </c:pt>
                <c:pt idx="49">
                  <c:v>0.38024373567147962</c:v>
                </c:pt>
                <c:pt idx="50">
                  <c:v>0.32761305494645188</c:v>
                </c:pt>
                <c:pt idx="51">
                  <c:v>0.32211392941461342</c:v>
                </c:pt>
                <c:pt idx="52">
                  <c:v>0.31888623978201636</c:v>
                </c:pt>
                <c:pt idx="53">
                  <c:v>0.31886745019169133</c:v>
                </c:pt>
                <c:pt idx="54">
                  <c:v>0.317</c:v>
                </c:pt>
                <c:pt idx="55">
                  <c:v>0.35885022692889562</c:v>
                </c:pt>
                <c:pt idx="56">
                  <c:v>0.36729613733905586</c:v>
                </c:pt>
                <c:pt idx="57">
                  <c:v>0.34201910419549741</c:v>
                </c:pt>
                <c:pt idx="58">
                  <c:v>0.35199999999999998</c:v>
                </c:pt>
                <c:pt idx="59">
                  <c:v>0.35026571376214038</c:v>
                </c:pt>
                <c:pt idx="60">
                  <c:v>0.3613632679526666</c:v>
                </c:pt>
                <c:pt idx="61">
                  <c:v>0.35879957912072835</c:v>
                </c:pt>
                <c:pt idx="62">
                  <c:v>0.34603383149942518</c:v>
                </c:pt>
                <c:pt idx="63">
                  <c:v>0.3118849618849619</c:v>
                </c:pt>
                <c:pt idx="64">
                  <c:v>0.32166317020325341</c:v>
                </c:pt>
                <c:pt idx="65">
                  <c:v>0.31624116544064618</c:v>
                </c:pt>
                <c:pt idx="66">
                  <c:v>0.32219561747206504</c:v>
                </c:pt>
                <c:pt idx="67">
                  <c:v>0.40682241058507335</c:v>
                </c:pt>
                <c:pt idx="68">
                  <c:v>0.37539829275008851</c:v>
                </c:pt>
                <c:pt idx="69">
                  <c:v>0.39</c:v>
                </c:pt>
                <c:pt idx="70">
                  <c:v>0.35066208925944098</c:v>
                </c:pt>
                <c:pt idx="71">
                  <c:v>0.34666806663866723</c:v>
                </c:pt>
                <c:pt idx="72">
                  <c:v>0.38900000000000001</c:v>
                </c:pt>
                <c:pt idx="73">
                  <c:v>0.373</c:v>
                </c:pt>
                <c:pt idx="74">
                  <c:v>0.34853258671503706</c:v>
                </c:pt>
                <c:pt idx="75">
                  <c:v>0.34899999999999998</c:v>
                </c:pt>
                <c:pt idx="76">
                  <c:v>0.35188846018835152</c:v>
                </c:pt>
                <c:pt idx="77">
                  <c:v>0.34810671601262433</c:v>
                </c:pt>
                <c:pt idx="78">
                  <c:v>0.32576672904991771</c:v>
                </c:pt>
                <c:pt idx="79">
                  <c:v>0.34300000000000003</c:v>
                </c:pt>
                <c:pt idx="80">
                  <c:v>0.35799999999999998</c:v>
                </c:pt>
                <c:pt idx="81">
                  <c:v>0.378</c:v>
                </c:pt>
                <c:pt idx="82">
                  <c:v>0.4</c:v>
                </c:pt>
                <c:pt idx="83">
                  <c:v>0.38227634057056875</c:v>
                </c:pt>
                <c:pt idx="84">
                  <c:v>0.39</c:v>
                </c:pt>
                <c:pt idx="85">
                  <c:v>0.37457809757236127</c:v>
                </c:pt>
                <c:pt idx="86">
                  <c:v>0.37993656157588007</c:v>
                </c:pt>
                <c:pt idx="87">
                  <c:v>0.36099999999999999</c:v>
                </c:pt>
                <c:pt idx="88">
                  <c:v>0.35194644707448886</c:v>
                </c:pt>
                <c:pt idx="89">
                  <c:v>0.3536932204418986</c:v>
                </c:pt>
                <c:pt idx="90">
                  <c:v>0.33912198441856128</c:v>
                </c:pt>
                <c:pt idx="91">
                  <c:v>0.36083152916037614</c:v>
                </c:pt>
                <c:pt idx="92">
                  <c:v>0.36801776084462368</c:v>
                </c:pt>
                <c:pt idx="93">
                  <c:v>0.38209917182611747</c:v>
                </c:pt>
                <c:pt idx="94">
                  <c:v>0.38179889169164821</c:v>
                </c:pt>
                <c:pt idx="95">
                  <c:v>0.38689059677420512</c:v>
                </c:pt>
                <c:pt idx="96">
                  <c:v>0.39675372687734795</c:v>
                </c:pt>
                <c:pt idx="97">
                  <c:v>0.37677212173075736</c:v>
                </c:pt>
                <c:pt idx="98">
                  <c:v>0.37054862007837075</c:v>
                </c:pt>
                <c:pt idx="99">
                  <c:v>0.36306470367798399</c:v>
                </c:pt>
                <c:pt idx="100">
                  <c:v>0.36858931097690201</c:v>
                </c:pt>
                <c:pt idx="101">
                  <c:v>0.36893653831616324</c:v>
                </c:pt>
                <c:pt idx="102">
                  <c:v>0.35213232942818107</c:v>
                </c:pt>
                <c:pt idx="103">
                  <c:v>0.37803472246480596</c:v>
                </c:pt>
                <c:pt idx="104">
                  <c:v>0.39762441901904211</c:v>
                </c:pt>
                <c:pt idx="105">
                  <c:v>0.40976870242682439</c:v>
                </c:pt>
                <c:pt idx="106">
                  <c:v>0.42460053668453135</c:v>
                </c:pt>
                <c:pt idx="107">
                  <c:v>0.4089157098411767</c:v>
                </c:pt>
                <c:pt idx="108">
                  <c:v>0.4053779629197467</c:v>
                </c:pt>
                <c:pt idx="109">
                  <c:v>0.40601876300434947</c:v>
                </c:pt>
                <c:pt idx="110">
                  <c:v>0.39245883134782522</c:v>
                </c:pt>
                <c:pt idx="111">
                  <c:v>0.38010794140323823</c:v>
                </c:pt>
                <c:pt idx="112">
                  <c:v>0.38603169954976396</c:v>
                </c:pt>
                <c:pt idx="113">
                  <c:v>0.28373442566990953</c:v>
                </c:pt>
                <c:pt idx="114">
                  <c:v>0.3966882126516087</c:v>
                </c:pt>
                <c:pt idx="115">
                  <c:v>0.40350461757044753</c:v>
                </c:pt>
                <c:pt idx="116">
                  <c:v>0.3990918264379415</c:v>
                </c:pt>
                <c:pt idx="117">
                  <c:v>0.34278544542032624</c:v>
                </c:pt>
                <c:pt idx="118">
                  <c:v>0.43621943159286186</c:v>
                </c:pt>
                <c:pt idx="119">
                  <c:v>0.39732457169678481</c:v>
                </c:pt>
                <c:pt idx="120">
                  <c:v>0.41506817656574996</c:v>
                </c:pt>
                <c:pt idx="121">
                  <c:v>0.40909090909090912</c:v>
                </c:pt>
                <c:pt idx="122">
                  <c:v>0.40873464466048687</c:v>
                </c:pt>
                <c:pt idx="123">
                  <c:v>0.40195401881378695</c:v>
                </c:pt>
                <c:pt idx="124">
                  <c:v>0.40560702265709025</c:v>
                </c:pt>
                <c:pt idx="125">
                  <c:v>0.3867452235806968</c:v>
                </c:pt>
              </c:numCache>
            </c:numRef>
          </c:val>
          <c:smooth val="0"/>
          <c:extLst>
            <c:ext xmlns:c16="http://schemas.microsoft.com/office/drawing/2014/chart" uri="{C3380CC4-5D6E-409C-BE32-E72D297353CC}">
              <c16:uniqueId val="{00000000-0A6B-4D74-BD39-2622E8F00488}"/>
            </c:ext>
          </c:extLst>
        </c:ser>
        <c:ser>
          <c:idx val="1"/>
          <c:order val="1"/>
          <c:tx>
            <c:v>CMP</c:v>
          </c:tx>
          <c:spPr>
            <a:ln w="28575" cap="rnd">
              <a:solidFill>
                <a:schemeClr val="accent2"/>
              </a:solidFill>
              <a:round/>
            </a:ln>
            <a:effectLst/>
          </c:spPr>
          <c:marker>
            <c:symbol val="none"/>
          </c:marker>
          <c:cat>
            <c:numRef>
              <c:f>Load!$A$6:$A$131</c:f>
              <c:numCache>
                <c:formatCode>mmm\-yy</c:formatCode>
                <c:ptCount val="126"/>
                <c:pt idx="0">
                  <c:v>46203</c:v>
                </c:pt>
                <c:pt idx="1">
                  <c:v>46173</c:v>
                </c:pt>
                <c:pt idx="2">
                  <c:v>46142</c:v>
                </c:pt>
                <c:pt idx="3">
                  <c:v>46112</c:v>
                </c:pt>
                <c:pt idx="4">
                  <c:v>46081</c:v>
                </c:pt>
                <c:pt idx="5">
                  <c:v>46053</c:v>
                </c:pt>
                <c:pt idx="6">
                  <c:v>46022</c:v>
                </c:pt>
                <c:pt idx="7">
                  <c:v>45991</c:v>
                </c:pt>
                <c:pt idx="8">
                  <c:v>45961</c:v>
                </c:pt>
                <c:pt idx="9">
                  <c:v>45930</c:v>
                </c:pt>
                <c:pt idx="10">
                  <c:v>45900</c:v>
                </c:pt>
                <c:pt idx="11">
                  <c:v>45869</c:v>
                </c:pt>
                <c:pt idx="12">
                  <c:v>45838</c:v>
                </c:pt>
                <c:pt idx="13">
                  <c:v>45808</c:v>
                </c:pt>
                <c:pt idx="14">
                  <c:v>45777</c:v>
                </c:pt>
                <c:pt idx="15">
                  <c:v>45747</c:v>
                </c:pt>
                <c:pt idx="16">
                  <c:v>45716</c:v>
                </c:pt>
                <c:pt idx="17">
                  <c:v>45688</c:v>
                </c:pt>
                <c:pt idx="18">
                  <c:v>45657</c:v>
                </c:pt>
                <c:pt idx="19">
                  <c:v>45626</c:v>
                </c:pt>
                <c:pt idx="20">
                  <c:v>45596</c:v>
                </c:pt>
                <c:pt idx="21">
                  <c:v>45565</c:v>
                </c:pt>
                <c:pt idx="22">
                  <c:v>45535</c:v>
                </c:pt>
                <c:pt idx="23">
                  <c:v>45504</c:v>
                </c:pt>
                <c:pt idx="24">
                  <c:v>45473</c:v>
                </c:pt>
                <c:pt idx="25">
                  <c:v>45443</c:v>
                </c:pt>
                <c:pt idx="26">
                  <c:v>45412</c:v>
                </c:pt>
                <c:pt idx="27">
                  <c:v>45382</c:v>
                </c:pt>
                <c:pt idx="28">
                  <c:v>45351</c:v>
                </c:pt>
                <c:pt idx="29">
                  <c:v>45322</c:v>
                </c:pt>
                <c:pt idx="30">
                  <c:v>45291</c:v>
                </c:pt>
                <c:pt idx="31">
                  <c:v>45260</c:v>
                </c:pt>
                <c:pt idx="32">
                  <c:v>45230</c:v>
                </c:pt>
                <c:pt idx="33">
                  <c:v>45199</c:v>
                </c:pt>
                <c:pt idx="34">
                  <c:v>45169</c:v>
                </c:pt>
                <c:pt idx="35">
                  <c:v>45138</c:v>
                </c:pt>
                <c:pt idx="36">
                  <c:v>45107</c:v>
                </c:pt>
                <c:pt idx="37">
                  <c:v>45077</c:v>
                </c:pt>
                <c:pt idx="38">
                  <c:v>45046</c:v>
                </c:pt>
                <c:pt idx="39">
                  <c:v>45016</c:v>
                </c:pt>
                <c:pt idx="40">
                  <c:v>44985</c:v>
                </c:pt>
                <c:pt idx="41">
                  <c:v>44957</c:v>
                </c:pt>
                <c:pt idx="42">
                  <c:v>44926</c:v>
                </c:pt>
                <c:pt idx="43">
                  <c:v>44895</c:v>
                </c:pt>
                <c:pt idx="44">
                  <c:v>44865</c:v>
                </c:pt>
                <c:pt idx="45">
                  <c:v>44834</c:v>
                </c:pt>
                <c:pt idx="46">
                  <c:v>44804</c:v>
                </c:pt>
                <c:pt idx="47">
                  <c:v>44773</c:v>
                </c:pt>
                <c:pt idx="48">
                  <c:v>44742</c:v>
                </c:pt>
                <c:pt idx="49">
                  <c:v>44712</c:v>
                </c:pt>
                <c:pt idx="50">
                  <c:v>44681</c:v>
                </c:pt>
                <c:pt idx="51">
                  <c:v>44651</c:v>
                </c:pt>
                <c:pt idx="52">
                  <c:v>44620</c:v>
                </c:pt>
                <c:pt idx="53">
                  <c:v>44592</c:v>
                </c:pt>
                <c:pt idx="54">
                  <c:v>44561</c:v>
                </c:pt>
                <c:pt idx="55">
                  <c:v>44530</c:v>
                </c:pt>
                <c:pt idx="56">
                  <c:v>44500</c:v>
                </c:pt>
                <c:pt idx="57">
                  <c:v>44469</c:v>
                </c:pt>
                <c:pt idx="58">
                  <c:v>44439</c:v>
                </c:pt>
                <c:pt idx="59">
                  <c:v>44378</c:v>
                </c:pt>
                <c:pt idx="60">
                  <c:v>44348</c:v>
                </c:pt>
                <c:pt idx="61">
                  <c:v>44317</c:v>
                </c:pt>
                <c:pt idx="62">
                  <c:v>44287</c:v>
                </c:pt>
                <c:pt idx="63">
                  <c:v>44256</c:v>
                </c:pt>
                <c:pt idx="64">
                  <c:v>44228</c:v>
                </c:pt>
                <c:pt idx="65">
                  <c:v>44197</c:v>
                </c:pt>
                <c:pt idx="66">
                  <c:v>44196</c:v>
                </c:pt>
                <c:pt idx="67">
                  <c:v>44165</c:v>
                </c:pt>
                <c:pt idx="68">
                  <c:v>44135</c:v>
                </c:pt>
                <c:pt idx="69">
                  <c:v>44075</c:v>
                </c:pt>
                <c:pt idx="70">
                  <c:v>44044</c:v>
                </c:pt>
                <c:pt idx="71">
                  <c:v>44013</c:v>
                </c:pt>
                <c:pt idx="72">
                  <c:v>43983</c:v>
                </c:pt>
                <c:pt idx="73">
                  <c:v>43952</c:v>
                </c:pt>
                <c:pt idx="74">
                  <c:v>43922</c:v>
                </c:pt>
                <c:pt idx="75">
                  <c:v>43891</c:v>
                </c:pt>
                <c:pt idx="76">
                  <c:v>43862</c:v>
                </c:pt>
                <c:pt idx="77">
                  <c:v>43831</c:v>
                </c:pt>
                <c:pt idx="78">
                  <c:v>43800</c:v>
                </c:pt>
                <c:pt idx="79">
                  <c:v>43770</c:v>
                </c:pt>
                <c:pt idx="80">
                  <c:v>43739</c:v>
                </c:pt>
                <c:pt idx="81">
                  <c:v>43709</c:v>
                </c:pt>
                <c:pt idx="82">
                  <c:v>43678</c:v>
                </c:pt>
                <c:pt idx="83">
                  <c:v>43647</c:v>
                </c:pt>
                <c:pt idx="84">
                  <c:v>43617</c:v>
                </c:pt>
                <c:pt idx="85">
                  <c:v>43586</c:v>
                </c:pt>
                <c:pt idx="86">
                  <c:v>43556</c:v>
                </c:pt>
                <c:pt idx="87">
                  <c:v>43525</c:v>
                </c:pt>
                <c:pt idx="88">
                  <c:v>43497</c:v>
                </c:pt>
                <c:pt idx="89">
                  <c:v>43466</c:v>
                </c:pt>
                <c:pt idx="90">
                  <c:v>43435</c:v>
                </c:pt>
                <c:pt idx="91">
                  <c:v>43405</c:v>
                </c:pt>
                <c:pt idx="92">
                  <c:v>43404</c:v>
                </c:pt>
                <c:pt idx="93">
                  <c:v>43361</c:v>
                </c:pt>
                <c:pt idx="94">
                  <c:v>43330</c:v>
                </c:pt>
                <c:pt idx="95">
                  <c:v>43282</c:v>
                </c:pt>
                <c:pt idx="96">
                  <c:v>43252</c:v>
                </c:pt>
                <c:pt idx="97">
                  <c:v>43221</c:v>
                </c:pt>
                <c:pt idx="98">
                  <c:v>43191</c:v>
                </c:pt>
                <c:pt idx="99">
                  <c:v>43160</c:v>
                </c:pt>
                <c:pt idx="100">
                  <c:v>43149</c:v>
                </c:pt>
                <c:pt idx="101">
                  <c:v>43101</c:v>
                </c:pt>
                <c:pt idx="102">
                  <c:v>43070</c:v>
                </c:pt>
                <c:pt idx="103">
                  <c:v>43040</c:v>
                </c:pt>
                <c:pt idx="104">
                  <c:v>43009</c:v>
                </c:pt>
                <c:pt idx="105">
                  <c:v>42979</c:v>
                </c:pt>
                <c:pt idx="106">
                  <c:v>42948</c:v>
                </c:pt>
                <c:pt idx="107">
                  <c:v>42917</c:v>
                </c:pt>
                <c:pt idx="108">
                  <c:v>42887</c:v>
                </c:pt>
                <c:pt idx="109">
                  <c:v>42856</c:v>
                </c:pt>
                <c:pt idx="110">
                  <c:v>42826</c:v>
                </c:pt>
                <c:pt idx="111">
                  <c:v>42795</c:v>
                </c:pt>
                <c:pt idx="112">
                  <c:v>42767</c:v>
                </c:pt>
                <c:pt idx="113">
                  <c:v>42736</c:v>
                </c:pt>
                <c:pt idx="114">
                  <c:v>42705</c:v>
                </c:pt>
                <c:pt idx="115">
                  <c:v>42675</c:v>
                </c:pt>
                <c:pt idx="116">
                  <c:v>42644</c:v>
                </c:pt>
                <c:pt idx="117">
                  <c:v>42614</c:v>
                </c:pt>
                <c:pt idx="118">
                  <c:v>42583</c:v>
                </c:pt>
                <c:pt idx="119">
                  <c:v>42552</c:v>
                </c:pt>
                <c:pt idx="120">
                  <c:v>42522</c:v>
                </c:pt>
                <c:pt idx="121">
                  <c:v>42491</c:v>
                </c:pt>
                <c:pt idx="122">
                  <c:v>42461</c:v>
                </c:pt>
                <c:pt idx="123">
                  <c:v>42430</c:v>
                </c:pt>
                <c:pt idx="124">
                  <c:v>42401</c:v>
                </c:pt>
                <c:pt idx="125">
                  <c:v>42370</c:v>
                </c:pt>
              </c:numCache>
            </c:numRef>
          </c:cat>
          <c:val>
            <c:numRef>
              <c:f>Load!$X$6:$X$131</c:f>
              <c:numCache>
                <c:formatCode>0.0%</c:formatCode>
                <c:ptCount val="126"/>
                <c:pt idx="0">
                  <c:v>0.49488588252153409</c:v>
                </c:pt>
                <c:pt idx="1">
                  <c:v>0.47169334909681498</c:v>
                </c:pt>
                <c:pt idx="2">
                  <c:v>0.46889886018845195</c:v>
                </c:pt>
                <c:pt idx="3">
                  <c:v>0.42785301982979229</c:v>
                </c:pt>
                <c:pt idx="4">
                  <c:v>0.41754626163638181</c:v>
                </c:pt>
                <c:pt idx="5">
                  <c:v>0.39063494411299177</c:v>
                </c:pt>
                <c:pt idx="6">
                  <c:v>0.43550436518272234</c:v>
                </c:pt>
                <c:pt idx="7">
                  <c:v>0.4517699309404396</c:v>
                </c:pt>
                <c:pt idx="8">
                  <c:v>0.50530604625432096</c:v>
                </c:pt>
                <c:pt idx="9">
                  <c:v>0.47555644790307672</c:v>
                </c:pt>
                <c:pt idx="10">
                  <c:v>0.48038092923008385</c:v>
                </c:pt>
                <c:pt idx="11">
                  <c:v>0.45354817070852754</c:v>
                </c:pt>
                <c:pt idx="12">
                  <c:v>0.51463456823637277</c:v>
                </c:pt>
                <c:pt idx="13">
                  <c:v>0.4406379837663672</c:v>
                </c:pt>
                <c:pt idx="14">
                  <c:v>0.45309372932204317</c:v>
                </c:pt>
                <c:pt idx="15">
                  <c:v>0.42525992533849527</c:v>
                </c:pt>
                <c:pt idx="16">
                  <c:v>0.41757857234407342</c:v>
                </c:pt>
                <c:pt idx="17">
                  <c:v>0.44771974926932973</c:v>
                </c:pt>
                <c:pt idx="18">
                  <c:v>0.42550132544953212</c:v>
                </c:pt>
                <c:pt idx="19">
                  <c:v>0.47444393133117529</c:v>
                </c:pt>
                <c:pt idx="20">
                  <c:v>0.50519350092211646</c:v>
                </c:pt>
                <c:pt idx="21">
                  <c:v>0.50410274576348513</c:v>
                </c:pt>
                <c:pt idx="22">
                  <c:v>0.47838015033414938</c:v>
                </c:pt>
                <c:pt idx="23">
                  <c:v>0.48002724905832023</c:v>
                </c:pt>
                <c:pt idx="24">
                  <c:v>0.50913790807925352</c:v>
                </c:pt>
                <c:pt idx="25">
                  <c:v>0.5255439031122624</c:v>
                </c:pt>
                <c:pt idx="26">
                  <c:v>0.47872856990854379</c:v>
                </c:pt>
                <c:pt idx="27">
                  <c:v>0.4623547407030868</c:v>
                </c:pt>
                <c:pt idx="28">
                  <c:v>0.47765074812044916</c:v>
                </c:pt>
                <c:pt idx="29">
                  <c:v>0.4729196608776865</c:v>
                </c:pt>
                <c:pt idx="30">
                  <c:v>0.47582622854144402</c:v>
                </c:pt>
                <c:pt idx="31">
                  <c:v>0.4406204418830893</c:v>
                </c:pt>
                <c:pt idx="32">
                  <c:v>0.52088027574295792</c:v>
                </c:pt>
                <c:pt idx="33">
                  <c:v>0.51580967234846209</c:v>
                </c:pt>
                <c:pt idx="34">
                  <c:v>0.47404172467723604</c:v>
                </c:pt>
                <c:pt idx="35">
                  <c:v>0.46832507115731065</c:v>
                </c:pt>
                <c:pt idx="36">
                  <c:v>0.51446129277869146</c:v>
                </c:pt>
                <c:pt idx="37">
                  <c:v>0.4925954395234266</c:v>
                </c:pt>
                <c:pt idx="38">
                  <c:v>0.44132347990530141</c:v>
                </c:pt>
                <c:pt idx="39">
                  <c:v>0.43388027425485587</c:v>
                </c:pt>
                <c:pt idx="40">
                  <c:v>0.45241114430668838</c:v>
                </c:pt>
                <c:pt idx="41">
                  <c:v>0.41559067165206898</c:v>
                </c:pt>
                <c:pt idx="42">
                  <c:v>0.44501554173296254</c:v>
                </c:pt>
                <c:pt idx="43">
                  <c:v>0.49018572051681236</c:v>
                </c:pt>
                <c:pt idx="44">
                  <c:v>0.50038497792886127</c:v>
                </c:pt>
                <c:pt idx="45">
                  <c:v>0.62656326592710632</c:v>
                </c:pt>
                <c:pt idx="46">
                  <c:v>0.48284547198630795</c:v>
                </c:pt>
                <c:pt idx="47">
                  <c:v>0.43491575089809087</c:v>
                </c:pt>
                <c:pt idx="48">
                  <c:v>0.55246565103797574</c:v>
                </c:pt>
                <c:pt idx="49">
                  <c:v>0.51588636785581199</c:v>
                </c:pt>
                <c:pt idx="50">
                  <c:v>0.4099371492345773</c:v>
                </c:pt>
                <c:pt idx="51">
                  <c:v>0.47288432626603782</c:v>
                </c:pt>
                <c:pt idx="52">
                  <c:v>0.40893724968151618</c:v>
                </c:pt>
                <c:pt idx="53">
                  <c:v>0.43449636679648118</c:v>
                </c:pt>
                <c:pt idx="54">
                  <c:v>0.4428771068900112</c:v>
                </c:pt>
                <c:pt idx="55">
                  <c:v>0.480462023656193</c:v>
                </c:pt>
                <c:pt idx="56">
                  <c:v>0.49411371249538832</c:v>
                </c:pt>
                <c:pt idx="57">
                  <c:v>0.45153771318196678</c:v>
                </c:pt>
                <c:pt idx="58">
                  <c:v>0.48144640814914791</c:v>
                </c:pt>
                <c:pt idx="59">
                  <c:v>0.43799123998497064</c:v>
                </c:pt>
                <c:pt idx="60">
                  <c:v>0.53418527665487658</c:v>
                </c:pt>
                <c:pt idx="61">
                  <c:v>0.50622788629204762</c:v>
                </c:pt>
                <c:pt idx="62">
                  <c:v>0.43959229491306245</c:v>
                </c:pt>
                <c:pt idx="63">
                  <c:v>0.4823011509339904</c:v>
                </c:pt>
                <c:pt idx="64">
                  <c:v>0.44101065264709821</c:v>
                </c:pt>
                <c:pt idx="65">
                  <c:v>0.40400558040463264</c:v>
                </c:pt>
                <c:pt idx="66">
                  <c:v>0.47645050931978794</c:v>
                </c:pt>
                <c:pt idx="67">
                  <c:v>0.49441212520045508</c:v>
                </c:pt>
                <c:pt idx="68">
                  <c:v>0.5037795254721561</c:v>
                </c:pt>
                <c:pt idx="69">
                  <c:v>0.49585979457566293</c:v>
                </c:pt>
                <c:pt idx="70">
                  <c:v>0.45714329653436919</c:v>
                </c:pt>
                <c:pt idx="71">
                  <c:v>0.4355508814339159</c:v>
                </c:pt>
                <c:pt idx="72">
                  <c:v>0.52484087210064456</c:v>
                </c:pt>
                <c:pt idx="73">
                  <c:v>0.47969167951553704</c:v>
                </c:pt>
                <c:pt idx="74">
                  <c:v>0.44313286521477452</c:v>
                </c:pt>
                <c:pt idx="75">
                  <c:v>0.49665339826137767</c:v>
                </c:pt>
                <c:pt idx="76">
                  <c:v>0.4210744990486241</c:v>
                </c:pt>
                <c:pt idx="77">
                  <c:v>0.48664069825308087</c:v>
                </c:pt>
                <c:pt idx="78">
                  <c:v>0.47380775347542181</c:v>
                </c:pt>
                <c:pt idx="79">
                  <c:v>0.45925283604104589</c:v>
                </c:pt>
                <c:pt idx="80">
                  <c:v>0.56120543376127907</c:v>
                </c:pt>
                <c:pt idx="81">
                  <c:v>0.46360144871425973</c:v>
                </c:pt>
                <c:pt idx="82">
                  <c:v>0.49033533234536431</c:v>
                </c:pt>
                <c:pt idx="83">
                  <c:v>0.54318453523957877</c:v>
                </c:pt>
                <c:pt idx="84">
                  <c:v>0.46126327455028454</c:v>
                </c:pt>
                <c:pt idx="85">
                  <c:v>0.52796089775977162</c:v>
                </c:pt>
                <c:pt idx="86">
                  <c:v>0.47278071767285773</c:v>
                </c:pt>
                <c:pt idx="87">
                  <c:v>0.49693571357066679</c:v>
                </c:pt>
                <c:pt idx="88">
                  <c:v>0.39222264564099962</c:v>
                </c:pt>
                <c:pt idx="89">
                  <c:v>0.50193327880436345</c:v>
                </c:pt>
                <c:pt idx="90">
                  <c:v>0.42684856051725356</c:v>
                </c:pt>
                <c:pt idx="91">
                  <c:v>0.51703598305439957</c:v>
                </c:pt>
                <c:pt idx="92">
                  <c:v>0.53552085273668426</c:v>
                </c:pt>
                <c:pt idx="93">
                  <c:v>0.52580387974948584</c:v>
                </c:pt>
                <c:pt idx="94">
                  <c:v>0.53752473544897739</c:v>
                </c:pt>
                <c:pt idx="95">
                  <c:v>0.49318217998948616</c:v>
                </c:pt>
                <c:pt idx="96">
                  <c:v>0.5335612711219504</c:v>
                </c:pt>
                <c:pt idx="97">
                  <c:v>0.54430977584320472</c:v>
                </c:pt>
                <c:pt idx="98">
                  <c:v>0.50962386917665714</c:v>
                </c:pt>
                <c:pt idx="99">
                  <c:v>0.4639960792884133</c:v>
                </c:pt>
                <c:pt idx="100">
                  <c:v>0.43661420050138555</c:v>
                </c:pt>
                <c:pt idx="101">
                  <c:v>0.49901303785681544</c:v>
                </c:pt>
                <c:pt idx="102">
                  <c:v>0.49716216079529046</c:v>
                </c:pt>
                <c:pt idx="103">
                  <c:v>0.44514547810735522</c:v>
                </c:pt>
                <c:pt idx="104">
                  <c:v>0.58814964977612283</c:v>
                </c:pt>
                <c:pt idx="105">
                  <c:v>0.54118972414731925</c:v>
                </c:pt>
                <c:pt idx="106">
                  <c:v>0.54118972414731925</c:v>
                </c:pt>
                <c:pt idx="107">
                  <c:v>0.52835712188001904</c:v>
                </c:pt>
                <c:pt idx="108">
                  <c:v>0.54207798478797797</c:v>
                </c:pt>
                <c:pt idx="109">
                  <c:v>0.54585130973960616</c:v>
                </c:pt>
                <c:pt idx="110">
                  <c:v>0.52156578310499524</c:v>
                </c:pt>
                <c:pt idx="111">
                  <c:v>0.51576915552088387</c:v>
                </c:pt>
                <c:pt idx="112">
                  <c:v>0.46509152901552375</c:v>
                </c:pt>
                <c:pt idx="113">
                  <c:v>0.50384111614464933</c:v>
                </c:pt>
                <c:pt idx="114">
                  <c:v>0.52613057748966752</c:v>
                </c:pt>
                <c:pt idx="115">
                  <c:v>0.57241920147490621</c:v>
                </c:pt>
                <c:pt idx="116">
                  <c:v>0.60028845241823292</c:v>
                </c:pt>
                <c:pt idx="117">
                  <c:v>0.54923015770764128</c:v>
                </c:pt>
                <c:pt idx="118">
                  <c:v>0.57522437815710181</c:v>
                </c:pt>
                <c:pt idx="119">
                  <c:v>0.54733198876660283</c:v>
                </c:pt>
                <c:pt idx="120">
                  <c:v>0.58583344304072482</c:v>
                </c:pt>
                <c:pt idx="121">
                  <c:v>0.56799699810970394</c:v>
                </c:pt>
                <c:pt idx="122">
                  <c:v>0.53548380479077906</c:v>
                </c:pt>
                <c:pt idx="123">
                  <c:v>0.53465257177758296</c:v>
                </c:pt>
                <c:pt idx="124">
                  <c:v>0.52073135203278753</c:v>
                </c:pt>
                <c:pt idx="125">
                  <c:v>0.52802784720340012</c:v>
                </c:pt>
              </c:numCache>
            </c:numRef>
          </c:val>
          <c:smooth val="0"/>
          <c:extLst>
            <c:ext xmlns:c16="http://schemas.microsoft.com/office/drawing/2014/chart" uri="{C3380CC4-5D6E-409C-BE32-E72D297353CC}">
              <c16:uniqueId val="{00000001-0A6B-4D74-BD39-2622E8F00488}"/>
            </c:ext>
          </c:extLst>
        </c:ser>
        <c:ser>
          <c:idx val="2"/>
          <c:order val="2"/>
          <c:tx>
            <c:v>VP - MPD</c:v>
          </c:tx>
          <c:spPr>
            <a:ln w="28575" cap="rnd">
              <a:solidFill>
                <a:schemeClr val="accent3"/>
              </a:solidFill>
              <a:round/>
            </a:ln>
            <a:effectLst/>
          </c:spPr>
          <c:marker>
            <c:symbol val="none"/>
          </c:marker>
          <c:cat>
            <c:numRef>
              <c:f>Load!$A$6:$A$131</c:f>
              <c:numCache>
                <c:formatCode>mmm\-yy</c:formatCode>
                <c:ptCount val="126"/>
                <c:pt idx="0">
                  <c:v>46203</c:v>
                </c:pt>
                <c:pt idx="1">
                  <c:v>46173</c:v>
                </c:pt>
                <c:pt idx="2">
                  <c:v>46142</c:v>
                </c:pt>
                <c:pt idx="3">
                  <c:v>46112</c:v>
                </c:pt>
                <c:pt idx="4">
                  <c:v>46081</c:v>
                </c:pt>
                <c:pt idx="5">
                  <c:v>46053</c:v>
                </c:pt>
                <c:pt idx="6">
                  <c:v>46022</c:v>
                </c:pt>
                <c:pt idx="7">
                  <c:v>45991</c:v>
                </c:pt>
                <c:pt idx="8">
                  <c:v>45961</c:v>
                </c:pt>
                <c:pt idx="9">
                  <c:v>45930</c:v>
                </c:pt>
                <c:pt idx="10">
                  <c:v>45900</c:v>
                </c:pt>
                <c:pt idx="11">
                  <c:v>45869</c:v>
                </c:pt>
                <c:pt idx="12">
                  <c:v>45838</c:v>
                </c:pt>
                <c:pt idx="13">
                  <c:v>45808</c:v>
                </c:pt>
                <c:pt idx="14">
                  <c:v>45777</c:v>
                </c:pt>
                <c:pt idx="15">
                  <c:v>45747</c:v>
                </c:pt>
                <c:pt idx="16">
                  <c:v>45716</c:v>
                </c:pt>
                <c:pt idx="17">
                  <c:v>45688</c:v>
                </c:pt>
                <c:pt idx="18">
                  <c:v>45657</c:v>
                </c:pt>
                <c:pt idx="19">
                  <c:v>45626</c:v>
                </c:pt>
                <c:pt idx="20">
                  <c:v>45596</c:v>
                </c:pt>
                <c:pt idx="21">
                  <c:v>45565</c:v>
                </c:pt>
                <c:pt idx="22">
                  <c:v>45535</c:v>
                </c:pt>
                <c:pt idx="23">
                  <c:v>45504</c:v>
                </c:pt>
                <c:pt idx="24">
                  <c:v>45473</c:v>
                </c:pt>
                <c:pt idx="25">
                  <c:v>45443</c:v>
                </c:pt>
                <c:pt idx="26">
                  <c:v>45412</c:v>
                </c:pt>
                <c:pt idx="27">
                  <c:v>45382</c:v>
                </c:pt>
                <c:pt idx="28">
                  <c:v>45351</c:v>
                </c:pt>
                <c:pt idx="29">
                  <c:v>45322</c:v>
                </c:pt>
                <c:pt idx="30">
                  <c:v>45291</c:v>
                </c:pt>
                <c:pt idx="31">
                  <c:v>45260</c:v>
                </c:pt>
                <c:pt idx="32">
                  <c:v>45230</c:v>
                </c:pt>
                <c:pt idx="33">
                  <c:v>45199</c:v>
                </c:pt>
                <c:pt idx="34">
                  <c:v>45169</c:v>
                </c:pt>
                <c:pt idx="35">
                  <c:v>45138</c:v>
                </c:pt>
                <c:pt idx="36">
                  <c:v>45107</c:v>
                </c:pt>
                <c:pt idx="37">
                  <c:v>45077</c:v>
                </c:pt>
                <c:pt idx="38">
                  <c:v>45046</c:v>
                </c:pt>
                <c:pt idx="39">
                  <c:v>45016</c:v>
                </c:pt>
                <c:pt idx="40">
                  <c:v>44985</c:v>
                </c:pt>
                <c:pt idx="41">
                  <c:v>44957</c:v>
                </c:pt>
                <c:pt idx="42">
                  <c:v>44926</c:v>
                </c:pt>
                <c:pt idx="43">
                  <c:v>44895</c:v>
                </c:pt>
                <c:pt idx="44">
                  <c:v>44865</c:v>
                </c:pt>
                <c:pt idx="45">
                  <c:v>44834</c:v>
                </c:pt>
                <c:pt idx="46">
                  <c:v>44804</c:v>
                </c:pt>
                <c:pt idx="47">
                  <c:v>44773</c:v>
                </c:pt>
                <c:pt idx="48">
                  <c:v>44742</c:v>
                </c:pt>
                <c:pt idx="49">
                  <c:v>44712</c:v>
                </c:pt>
                <c:pt idx="50">
                  <c:v>44681</c:v>
                </c:pt>
                <c:pt idx="51">
                  <c:v>44651</c:v>
                </c:pt>
                <c:pt idx="52">
                  <c:v>44620</c:v>
                </c:pt>
                <c:pt idx="53">
                  <c:v>44592</c:v>
                </c:pt>
                <c:pt idx="54">
                  <c:v>44561</c:v>
                </c:pt>
                <c:pt idx="55">
                  <c:v>44530</c:v>
                </c:pt>
                <c:pt idx="56">
                  <c:v>44500</c:v>
                </c:pt>
                <c:pt idx="57">
                  <c:v>44469</c:v>
                </c:pt>
                <c:pt idx="58">
                  <c:v>44439</c:v>
                </c:pt>
                <c:pt idx="59">
                  <c:v>44378</c:v>
                </c:pt>
                <c:pt idx="60">
                  <c:v>44348</c:v>
                </c:pt>
                <c:pt idx="61">
                  <c:v>44317</c:v>
                </c:pt>
                <c:pt idx="62">
                  <c:v>44287</c:v>
                </c:pt>
                <c:pt idx="63">
                  <c:v>44256</c:v>
                </c:pt>
                <c:pt idx="64">
                  <c:v>44228</c:v>
                </c:pt>
                <c:pt idx="65">
                  <c:v>44197</c:v>
                </c:pt>
                <c:pt idx="66">
                  <c:v>44196</c:v>
                </c:pt>
                <c:pt idx="67">
                  <c:v>44165</c:v>
                </c:pt>
                <c:pt idx="68">
                  <c:v>44135</c:v>
                </c:pt>
                <c:pt idx="69">
                  <c:v>44075</c:v>
                </c:pt>
                <c:pt idx="70">
                  <c:v>44044</c:v>
                </c:pt>
                <c:pt idx="71">
                  <c:v>44013</c:v>
                </c:pt>
                <c:pt idx="72">
                  <c:v>43983</c:v>
                </c:pt>
                <c:pt idx="73">
                  <c:v>43952</c:v>
                </c:pt>
                <c:pt idx="74">
                  <c:v>43922</c:v>
                </c:pt>
                <c:pt idx="75">
                  <c:v>43891</c:v>
                </c:pt>
                <c:pt idx="76">
                  <c:v>43862</c:v>
                </c:pt>
                <c:pt idx="77">
                  <c:v>43831</c:v>
                </c:pt>
                <c:pt idx="78">
                  <c:v>43800</c:v>
                </c:pt>
                <c:pt idx="79">
                  <c:v>43770</c:v>
                </c:pt>
                <c:pt idx="80">
                  <c:v>43739</c:v>
                </c:pt>
                <c:pt idx="81">
                  <c:v>43709</c:v>
                </c:pt>
                <c:pt idx="82">
                  <c:v>43678</c:v>
                </c:pt>
                <c:pt idx="83">
                  <c:v>43647</c:v>
                </c:pt>
                <c:pt idx="84">
                  <c:v>43617</c:v>
                </c:pt>
                <c:pt idx="85">
                  <c:v>43586</c:v>
                </c:pt>
                <c:pt idx="86">
                  <c:v>43556</c:v>
                </c:pt>
                <c:pt idx="87">
                  <c:v>43525</c:v>
                </c:pt>
                <c:pt idx="88">
                  <c:v>43497</c:v>
                </c:pt>
                <c:pt idx="89">
                  <c:v>43466</c:v>
                </c:pt>
                <c:pt idx="90">
                  <c:v>43435</c:v>
                </c:pt>
                <c:pt idx="91">
                  <c:v>43405</c:v>
                </c:pt>
                <c:pt idx="92">
                  <c:v>43404</c:v>
                </c:pt>
                <c:pt idx="93">
                  <c:v>43361</c:v>
                </c:pt>
                <c:pt idx="94">
                  <c:v>43330</c:v>
                </c:pt>
                <c:pt idx="95">
                  <c:v>43282</c:v>
                </c:pt>
                <c:pt idx="96">
                  <c:v>43252</c:v>
                </c:pt>
                <c:pt idx="97">
                  <c:v>43221</c:v>
                </c:pt>
                <c:pt idx="98">
                  <c:v>43191</c:v>
                </c:pt>
                <c:pt idx="99">
                  <c:v>43160</c:v>
                </c:pt>
                <c:pt idx="100">
                  <c:v>43149</c:v>
                </c:pt>
                <c:pt idx="101">
                  <c:v>43101</c:v>
                </c:pt>
                <c:pt idx="102">
                  <c:v>43070</c:v>
                </c:pt>
                <c:pt idx="103">
                  <c:v>43040</c:v>
                </c:pt>
                <c:pt idx="104">
                  <c:v>43009</c:v>
                </c:pt>
                <c:pt idx="105">
                  <c:v>42979</c:v>
                </c:pt>
                <c:pt idx="106">
                  <c:v>42948</c:v>
                </c:pt>
                <c:pt idx="107">
                  <c:v>42917</c:v>
                </c:pt>
                <c:pt idx="108">
                  <c:v>42887</c:v>
                </c:pt>
                <c:pt idx="109">
                  <c:v>42856</c:v>
                </c:pt>
                <c:pt idx="110">
                  <c:v>42826</c:v>
                </c:pt>
                <c:pt idx="111">
                  <c:v>42795</c:v>
                </c:pt>
                <c:pt idx="112">
                  <c:v>42767</c:v>
                </c:pt>
                <c:pt idx="113">
                  <c:v>42736</c:v>
                </c:pt>
                <c:pt idx="114">
                  <c:v>42705</c:v>
                </c:pt>
                <c:pt idx="115">
                  <c:v>42675</c:v>
                </c:pt>
                <c:pt idx="116">
                  <c:v>42644</c:v>
                </c:pt>
                <c:pt idx="117">
                  <c:v>42614</c:v>
                </c:pt>
                <c:pt idx="118">
                  <c:v>42583</c:v>
                </c:pt>
                <c:pt idx="119">
                  <c:v>42552</c:v>
                </c:pt>
                <c:pt idx="120">
                  <c:v>42522</c:v>
                </c:pt>
                <c:pt idx="121">
                  <c:v>42491</c:v>
                </c:pt>
                <c:pt idx="122">
                  <c:v>42461</c:v>
                </c:pt>
                <c:pt idx="123">
                  <c:v>42430</c:v>
                </c:pt>
                <c:pt idx="124">
                  <c:v>42401</c:v>
                </c:pt>
                <c:pt idx="125">
                  <c:v>42370</c:v>
                </c:pt>
              </c:numCache>
            </c:numRef>
          </c:cat>
          <c:val>
            <c:numRef>
              <c:f>Load!$AJ$6:$AJ$131</c:f>
              <c:numCache>
                <c:formatCode>0.0%</c:formatCode>
                <c:ptCount val="126"/>
                <c:pt idx="0">
                  <c:v>0.39503541841757717</c:v>
                </c:pt>
                <c:pt idx="1">
                  <c:v>0.38763570906227141</c:v>
                </c:pt>
                <c:pt idx="2">
                  <c:v>0.37047108291159953</c:v>
                </c:pt>
                <c:pt idx="3">
                  <c:v>0.33865311672511272</c:v>
                </c:pt>
                <c:pt idx="4">
                  <c:v>0.3221418175937904</c:v>
                </c:pt>
                <c:pt idx="5">
                  <c:v>0.30381786629204199</c:v>
                </c:pt>
                <c:pt idx="6">
                  <c:v>0.32744500846023694</c:v>
                </c:pt>
                <c:pt idx="7">
                  <c:v>0.4066142729046891</c:v>
                </c:pt>
                <c:pt idx="8">
                  <c:v>0.4019330504479019</c:v>
                </c:pt>
                <c:pt idx="9">
                  <c:v>0.41160296948034103</c:v>
                </c:pt>
                <c:pt idx="10">
                  <c:v>0.37890969310077732</c:v>
                </c:pt>
                <c:pt idx="11">
                  <c:v>0.36070447024510627</c:v>
                </c:pt>
                <c:pt idx="12">
                  <c:v>0.41253360791716714</c:v>
                </c:pt>
                <c:pt idx="13">
                  <c:v>0.39271621177244331</c:v>
                </c:pt>
                <c:pt idx="14">
                  <c:v>0.36106177225182551</c:v>
                </c:pt>
                <c:pt idx="15">
                  <c:v>0.32443536338869849</c:v>
                </c:pt>
                <c:pt idx="16">
                  <c:v>0.3081195914867077</c:v>
                </c:pt>
                <c:pt idx="17">
                  <c:v>0.29957961652824772</c:v>
                </c:pt>
                <c:pt idx="18">
                  <c:v>0.33026689129278247</c:v>
                </c:pt>
                <c:pt idx="19">
                  <c:v>0.37509632055480641</c:v>
                </c:pt>
                <c:pt idx="20">
                  <c:v>0.40556444536210184</c:v>
                </c:pt>
                <c:pt idx="21">
                  <c:v>0.23374970697565386</c:v>
                </c:pt>
                <c:pt idx="22">
                  <c:v>0.37709049795072319</c:v>
                </c:pt>
                <c:pt idx="23">
                  <c:v>0.43789251844046367</c:v>
                </c:pt>
                <c:pt idx="24">
                  <c:v>0.40088214344419476</c:v>
                </c:pt>
                <c:pt idx="25">
                  <c:v>0.32078788962393473</c:v>
                </c:pt>
                <c:pt idx="26">
                  <c:v>0.35742150333016176</c:v>
                </c:pt>
                <c:pt idx="27">
                  <c:v>0.34174379398520061</c:v>
                </c:pt>
                <c:pt idx="28">
                  <c:v>0.34195331188649669</c:v>
                </c:pt>
                <c:pt idx="29">
                  <c:v>0.38448063548224848</c:v>
                </c:pt>
                <c:pt idx="30">
                  <c:v>0.29299999999999998</c:v>
                </c:pt>
                <c:pt idx="31">
                  <c:v>0.3</c:v>
                </c:pt>
                <c:pt idx="32">
                  <c:v>0.46700000000000003</c:v>
                </c:pt>
                <c:pt idx="33">
                  <c:v>0.33451394783830463</c:v>
                </c:pt>
                <c:pt idx="34">
                  <c:v>0.40549203974783632</c:v>
                </c:pt>
                <c:pt idx="35">
                  <c:v>0.37652685798381169</c:v>
                </c:pt>
                <c:pt idx="36">
                  <c:v>0.38900000000000001</c:v>
                </c:pt>
                <c:pt idx="37">
                  <c:v>0.37480117858725981</c:v>
                </c:pt>
                <c:pt idx="38">
                  <c:v>0.20866867628552196</c:v>
                </c:pt>
                <c:pt idx="39">
                  <c:v>0.42201962075779109</c:v>
                </c:pt>
                <c:pt idx="40">
                  <c:v>0.3502356606486659</c:v>
                </c:pt>
                <c:pt idx="41">
                  <c:v>0.20170535677858922</c:v>
                </c:pt>
                <c:pt idx="42">
                  <c:v>0.21877203808180534</c:v>
                </c:pt>
                <c:pt idx="43">
                  <c:v>0.15628192032686414</c:v>
                </c:pt>
                <c:pt idx="44">
                  <c:v>0.39524061077151412</c:v>
                </c:pt>
                <c:pt idx="45">
                  <c:v>0.35828045136916958</c:v>
                </c:pt>
                <c:pt idx="46">
                  <c:v>0.501</c:v>
                </c:pt>
                <c:pt idx="47">
                  <c:v>0.42966349580906027</c:v>
                </c:pt>
                <c:pt idx="48">
                  <c:v>0.42098223299010701</c:v>
                </c:pt>
                <c:pt idx="49">
                  <c:v>0.39155195812330357</c:v>
                </c:pt>
                <c:pt idx="50">
                  <c:v>0.45882963825468509</c:v>
                </c:pt>
                <c:pt idx="51">
                  <c:v>0.34169461044191746</c:v>
                </c:pt>
                <c:pt idx="52">
                  <c:v>0.34169461044191746</c:v>
                </c:pt>
                <c:pt idx="53">
                  <c:v>0.31794512506864103</c:v>
                </c:pt>
                <c:pt idx="54">
                  <c:v>0.22700000000000001</c:v>
                </c:pt>
                <c:pt idx="55">
                  <c:v>0.18271320381955877</c:v>
                </c:pt>
                <c:pt idx="56">
                  <c:v>0.27286724273369994</c:v>
                </c:pt>
                <c:pt idx="57">
                  <c:v>0.33253879577901918</c:v>
                </c:pt>
                <c:pt idx="58">
                  <c:v>0.45400000000000001</c:v>
                </c:pt>
                <c:pt idx="59">
                  <c:v>0.39572472429237243</c:v>
                </c:pt>
                <c:pt idx="60">
                  <c:v>0.44308600923787445</c:v>
                </c:pt>
                <c:pt idx="61">
                  <c:v>0.38745682039400764</c:v>
                </c:pt>
                <c:pt idx="62">
                  <c:v>0.37965917110158143</c:v>
                </c:pt>
                <c:pt idx="63">
                  <c:v>0.38326745096388198</c:v>
                </c:pt>
                <c:pt idx="64">
                  <c:v>0.35497372828057117</c:v>
                </c:pt>
                <c:pt idx="65">
                  <c:v>0.32798270832747844</c:v>
                </c:pt>
                <c:pt idx="66">
                  <c:v>0.33182683865175761</c:v>
                </c:pt>
                <c:pt idx="67">
                  <c:v>0.38328255887560414</c:v>
                </c:pt>
                <c:pt idx="68">
                  <c:v>0.41483725625036377</c:v>
                </c:pt>
                <c:pt idx="69">
                  <c:v>0.38400000000000001</c:v>
                </c:pt>
                <c:pt idx="70">
                  <c:v>0.38285723003064193</c:v>
                </c:pt>
                <c:pt idx="71">
                  <c:v>0.38317352670246857</c:v>
                </c:pt>
                <c:pt idx="72">
                  <c:v>0.41399999999999998</c:v>
                </c:pt>
                <c:pt idx="73">
                  <c:v>0.36199999999999999</c:v>
                </c:pt>
                <c:pt idx="74">
                  <c:v>0.36437345581413189</c:v>
                </c:pt>
                <c:pt idx="75">
                  <c:v>0.379</c:v>
                </c:pt>
                <c:pt idx="76">
                  <c:v>0.33097832148806944</c:v>
                </c:pt>
                <c:pt idx="77">
                  <c:v>0.37159412648104023</c:v>
                </c:pt>
                <c:pt idx="78">
                  <c:v>0.36771296555334743</c:v>
                </c:pt>
                <c:pt idx="79">
                  <c:v>0.37</c:v>
                </c:pt>
                <c:pt idx="80">
                  <c:v>0.42</c:v>
                </c:pt>
                <c:pt idx="81">
                  <c:v>0.41099999999999998</c:v>
                </c:pt>
                <c:pt idx="82">
                  <c:v>0.41499999999999998</c:v>
                </c:pt>
                <c:pt idx="83">
                  <c:v>0.42055996450597644</c:v>
                </c:pt>
                <c:pt idx="84">
                  <c:v>0.40799999999999997</c:v>
                </c:pt>
                <c:pt idx="85">
                  <c:v>0.36979186921124041</c:v>
                </c:pt>
                <c:pt idx="86">
                  <c:v>0.38794090440075951</c:v>
                </c:pt>
                <c:pt idx="87">
                  <c:v>0.38100000000000001</c:v>
                </c:pt>
                <c:pt idx="88">
                  <c:v>0.33975317963440749</c:v>
                </c:pt>
                <c:pt idx="89">
                  <c:v>0.34933350699963683</c:v>
                </c:pt>
                <c:pt idx="90">
                  <c:v>0.35492123375736295</c:v>
                </c:pt>
                <c:pt idx="91">
                  <c:v>0.37110775668632562</c:v>
                </c:pt>
                <c:pt idx="92">
                  <c:v>0.43545506689915087</c:v>
                </c:pt>
                <c:pt idx="93">
                  <c:v>0.39671890866067372</c:v>
                </c:pt>
                <c:pt idx="94">
                  <c:v>0.40193306258944683</c:v>
                </c:pt>
                <c:pt idx="95">
                  <c:v>0.43737101512613208</c:v>
                </c:pt>
                <c:pt idx="96">
                  <c:v>0.42709236497169378</c:v>
                </c:pt>
                <c:pt idx="97">
                  <c:v>0.40882734323391967</c:v>
                </c:pt>
                <c:pt idx="98">
                  <c:v>0.39013057014079267</c:v>
                </c:pt>
                <c:pt idx="99">
                  <c:v>0.39176483354841019</c:v>
                </c:pt>
                <c:pt idx="100">
                  <c:v>0.34618952841577538</c:v>
                </c:pt>
                <c:pt idx="101">
                  <c:v>0.33628846582060729</c:v>
                </c:pt>
                <c:pt idx="102">
                  <c:v>0.36089335242154791</c:v>
                </c:pt>
                <c:pt idx="103">
                  <c:v>0.40602399001409023</c:v>
                </c:pt>
                <c:pt idx="104">
                  <c:v>0.43858788519190617</c:v>
                </c:pt>
                <c:pt idx="105">
                  <c:v>0.41248596691339223</c:v>
                </c:pt>
                <c:pt idx="106">
                  <c:v>0.42774227586875313</c:v>
                </c:pt>
                <c:pt idx="107">
                  <c:v>0.42675936160785932</c:v>
                </c:pt>
                <c:pt idx="108">
                  <c:v>0.42694013517893853</c:v>
                </c:pt>
                <c:pt idx="109">
                  <c:v>0.42253765358699963</c:v>
                </c:pt>
                <c:pt idx="110">
                  <c:v>0.38193051993471672</c:v>
                </c:pt>
                <c:pt idx="111">
                  <c:v>0.382281130101151</c:v>
                </c:pt>
                <c:pt idx="112">
                  <c:v>0.36878911382819984</c:v>
                </c:pt>
                <c:pt idx="113">
                  <c:v>0.35180366646954458</c:v>
                </c:pt>
                <c:pt idx="114">
                  <c:v>0.31947901591895805</c:v>
                </c:pt>
                <c:pt idx="115">
                  <c:v>0.36401691604233305</c:v>
                </c:pt>
                <c:pt idx="116">
                  <c:v>0.56624017643043423</c:v>
                </c:pt>
                <c:pt idx="117">
                  <c:v>0.40205727817657061</c:v>
                </c:pt>
                <c:pt idx="118">
                  <c:v>0.3854633528000363</c:v>
                </c:pt>
                <c:pt idx="119">
                  <c:v>0.32204699066623749</c:v>
                </c:pt>
                <c:pt idx="120">
                  <c:v>0.40413852419620055</c:v>
                </c:pt>
                <c:pt idx="121">
                  <c:v>0.39162387999597309</c:v>
                </c:pt>
                <c:pt idx="122">
                  <c:v>0.35576322546320926</c:v>
                </c:pt>
                <c:pt idx="123">
                  <c:v>0.34780205764815914</c:v>
                </c:pt>
                <c:pt idx="124">
                  <c:v>0.35862218370883886</c:v>
                </c:pt>
                <c:pt idx="125">
                  <c:v>0.32203590577737368</c:v>
                </c:pt>
              </c:numCache>
            </c:numRef>
          </c:val>
          <c:smooth val="0"/>
          <c:extLst>
            <c:ext xmlns:c16="http://schemas.microsoft.com/office/drawing/2014/chart" uri="{C3380CC4-5D6E-409C-BE32-E72D297353CC}">
              <c16:uniqueId val="{00000002-0A6B-4D74-BD39-2622E8F00488}"/>
            </c:ext>
          </c:extLst>
        </c:ser>
        <c:ser>
          <c:idx val="3"/>
          <c:order val="3"/>
          <c:tx>
            <c:v>Statewide</c:v>
          </c:tx>
          <c:spPr>
            <a:ln w="28575" cap="rnd">
              <a:solidFill>
                <a:schemeClr val="accent4"/>
              </a:solidFill>
              <a:round/>
            </a:ln>
            <a:effectLst/>
          </c:spPr>
          <c:marker>
            <c:symbol val="none"/>
          </c:marker>
          <c:cat>
            <c:numRef>
              <c:f>Load!$A$6:$A$131</c:f>
              <c:numCache>
                <c:formatCode>mmm\-yy</c:formatCode>
                <c:ptCount val="126"/>
                <c:pt idx="0">
                  <c:v>46203</c:v>
                </c:pt>
                <c:pt idx="1">
                  <c:v>46173</c:v>
                </c:pt>
                <c:pt idx="2">
                  <c:v>46142</c:v>
                </c:pt>
                <c:pt idx="3">
                  <c:v>46112</c:v>
                </c:pt>
                <c:pt idx="4">
                  <c:v>46081</c:v>
                </c:pt>
                <c:pt idx="5">
                  <c:v>46053</c:v>
                </c:pt>
                <c:pt idx="6">
                  <c:v>46022</c:v>
                </c:pt>
                <c:pt idx="7">
                  <c:v>45991</c:v>
                </c:pt>
                <c:pt idx="8">
                  <c:v>45961</c:v>
                </c:pt>
                <c:pt idx="9">
                  <c:v>45930</c:v>
                </c:pt>
                <c:pt idx="10">
                  <c:v>45900</c:v>
                </c:pt>
                <c:pt idx="11">
                  <c:v>45869</c:v>
                </c:pt>
                <c:pt idx="12">
                  <c:v>45838</c:v>
                </c:pt>
                <c:pt idx="13">
                  <c:v>45808</c:v>
                </c:pt>
                <c:pt idx="14">
                  <c:v>45777</c:v>
                </c:pt>
                <c:pt idx="15">
                  <c:v>45747</c:v>
                </c:pt>
                <c:pt idx="16">
                  <c:v>45716</c:v>
                </c:pt>
                <c:pt idx="17">
                  <c:v>45688</c:v>
                </c:pt>
                <c:pt idx="18">
                  <c:v>45657</c:v>
                </c:pt>
                <c:pt idx="19">
                  <c:v>45626</c:v>
                </c:pt>
                <c:pt idx="20">
                  <c:v>45596</c:v>
                </c:pt>
                <c:pt idx="21">
                  <c:v>45565</c:v>
                </c:pt>
                <c:pt idx="22">
                  <c:v>45535</c:v>
                </c:pt>
                <c:pt idx="23">
                  <c:v>45504</c:v>
                </c:pt>
                <c:pt idx="24">
                  <c:v>45473</c:v>
                </c:pt>
                <c:pt idx="25">
                  <c:v>45443</c:v>
                </c:pt>
                <c:pt idx="26">
                  <c:v>45412</c:v>
                </c:pt>
                <c:pt idx="27">
                  <c:v>45382</c:v>
                </c:pt>
                <c:pt idx="28">
                  <c:v>45351</c:v>
                </c:pt>
                <c:pt idx="29">
                  <c:v>45322</c:v>
                </c:pt>
                <c:pt idx="30">
                  <c:v>45291</c:v>
                </c:pt>
                <c:pt idx="31">
                  <c:v>45260</c:v>
                </c:pt>
                <c:pt idx="32">
                  <c:v>45230</c:v>
                </c:pt>
                <c:pt idx="33">
                  <c:v>45199</c:v>
                </c:pt>
                <c:pt idx="34">
                  <c:v>45169</c:v>
                </c:pt>
                <c:pt idx="35">
                  <c:v>45138</c:v>
                </c:pt>
                <c:pt idx="36">
                  <c:v>45107</c:v>
                </c:pt>
                <c:pt idx="37">
                  <c:v>45077</c:v>
                </c:pt>
                <c:pt idx="38">
                  <c:v>45046</c:v>
                </c:pt>
                <c:pt idx="39">
                  <c:v>45016</c:v>
                </c:pt>
                <c:pt idx="40">
                  <c:v>44985</c:v>
                </c:pt>
                <c:pt idx="41">
                  <c:v>44957</c:v>
                </c:pt>
                <c:pt idx="42">
                  <c:v>44926</c:v>
                </c:pt>
                <c:pt idx="43">
                  <c:v>44895</c:v>
                </c:pt>
                <c:pt idx="44">
                  <c:v>44865</c:v>
                </c:pt>
                <c:pt idx="45">
                  <c:v>44834</c:v>
                </c:pt>
                <c:pt idx="46">
                  <c:v>44804</c:v>
                </c:pt>
                <c:pt idx="47">
                  <c:v>44773</c:v>
                </c:pt>
                <c:pt idx="48">
                  <c:v>44742</c:v>
                </c:pt>
                <c:pt idx="49">
                  <c:v>44712</c:v>
                </c:pt>
                <c:pt idx="50">
                  <c:v>44681</c:v>
                </c:pt>
                <c:pt idx="51">
                  <c:v>44651</c:v>
                </c:pt>
                <c:pt idx="52">
                  <c:v>44620</c:v>
                </c:pt>
                <c:pt idx="53">
                  <c:v>44592</c:v>
                </c:pt>
                <c:pt idx="54">
                  <c:v>44561</c:v>
                </c:pt>
                <c:pt idx="55">
                  <c:v>44530</c:v>
                </c:pt>
                <c:pt idx="56">
                  <c:v>44500</c:v>
                </c:pt>
                <c:pt idx="57">
                  <c:v>44469</c:v>
                </c:pt>
                <c:pt idx="58">
                  <c:v>44439</c:v>
                </c:pt>
                <c:pt idx="59">
                  <c:v>44378</c:v>
                </c:pt>
                <c:pt idx="60">
                  <c:v>44348</c:v>
                </c:pt>
                <c:pt idx="61">
                  <c:v>44317</c:v>
                </c:pt>
                <c:pt idx="62">
                  <c:v>44287</c:v>
                </c:pt>
                <c:pt idx="63">
                  <c:v>44256</c:v>
                </c:pt>
                <c:pt idx="64">
                  <c:v>44228</c:v>
                </c:pt>
                <c:pt idx="65">
                  <c:v>44197</c:v>
                </c:pt>
                <c:pt idx="66">
                  <c:v>44196</c:v>
                </c:pt>
                <c:pt idx="67">
                  <c:v>44165</c:v>
                </c:pt>
                <c:pt idx="68">
                  <c:v>44135</c:v>
                </c:pt>
                <c:pt idx="69">
                  <c:v>44075</c:v>
                </c:pt>
                <c:pt idx="70">
                  <c:v>44044</c:v>
                </c:pt>
                <c:pt idx="71">
                  <c:v>44013</c:v>
                </c:pt>
                <c:pt idx="72">
                  <c:v>43983</c:v>
                </c:pt>
                <c:pt idx="73">
                  <c:v>43952</c:v>
                </c:pt>
                <c:pt idx="74">
                  <c:v>43922</c:v>
                </c:pt>
                <c:pt idx="75">
                  <c:v>43891</c:v>
                </c:pt>
                <c:pt idx="76">
                  <c:v>43862</c:v>
                </c:pt>
                <c:pt idx="77">
                  <c:v>43831</c:v>
                </c:pt>
                <c:pt idx="78">
                  <c:v>43800</c:v>
                </c:pt>
                <c:pt idx="79">
                  <c:v>43770</c:v>
                </c:pt>
                <c:pt idx="80">
                  <c:v>43739</c:v>
                </c:pt>
                <c:pt idx="81">
                  <c:v>43709</c:v>
                </c:pt>
                <c:pt idx="82">
                  <c:v>43678</c:v>
                </c:pt>
                <c:pt idx="83">
                  <c:v>43647</c:v>
                </c:pt>
                <c:pt idx="84">
                  <c:v>43617</c:v>
                </c:pt>
                <c:pt idx="85">
                  <c:v>43586</c:v>
                </c:pt>
                <c:pt idx="86">
                  <c:v>43556</c:v>
                </c:pt>
                <c:pt idx="87">
                  <c:v>43525</c:v>
                </c:pt>
                <c:pt idx="88">
                  <c:v>43497</c:v>
                </c:pt>
                <c:pt idx="89">
                  <c:v>43466</c:v>
                </c:pt>
                <c:pt idx="90">
                  <c:v>43435</c:v>
                </c:pt>
                <c:pt idx="91">
                  <c:v>43405</c:v>
                </c:pt>
                <c:pt idx="92">
                  <c:v>43404</c:v>
                </c:pt>
                <c:pt idx="93">
                  <c:v>43361</c:v>
                </c:pt>
                <c:pt idx="94">
                  <c:v>43330</c:v>
                </c:pt>
                <c:pt idx="95">
                  <c:v>43282</c:v>
                </c:pt>
                <c:pt idx="96">
                  <c:v>43252</c:v>
                </c:pt>
                <c:pt idx="97">
                  <c:v>43221</c:v>
                </c:pt>
                <c:pt idx="98">
                  <c:v>43191</c:v>
                </c:pt>
                <c:pt idx="99">
                  <c:v>43160</c:v>
                </c:pt>
                <c:pt idx="100">
                  <c:v>43149</c:v>
                </c:pt>
                <c:pt idx="101">
                  <c:v>43101</c:v>
                </c:pt>
                <c:pt idx="102">
                  <c:v>43070</c:v>
                </c:pt>
                <c:pt idx="103">
                  <c:v>43040</c:v>
                </c:pt>
                <c:pt idx="104">
                  <c:v>43009</c:v>
                </c:pt>
                <c:pt idx="105">
                  <c:v>42979</c:v>
                </c:pt>
                <c:pt idx="106">
                  <c:v>42948</c:v>
                </c:pt>
                <c:pt idx="107">
                  <c:v>42917</c:v>
                </c:pt>
                <c:pt idx="108">
                  <c:v>42887</c:v>
                </c:pt>
                <c:pt idx="109">
                  <c:v>42856</c:v>
                </c:pt>
                <c:pt idx="110">
                  <c:v>42826</c:v>
                </c:pt>
                <c:pt idx="111">
                  <c:v>42795</c:v>
                </c:pt>
                <c:pt idx="112">
                  <c:v>42767</c:v>
                </c:pt>
                <c:pt idx="113">
                  <c:v>42736</c:v>
                </c:pt>
                <c:pt idx="114">
                  <c:v>42705</c:v>
                </c:pt>
                <c:pt idx="115">
                  <c:v>42675</c:v>
                </c:pt>
                <c:pt idx="116">
                  <c:v>42644</c:v>
                </c:pt>
                <c:pt idx="117">
                  <c:v>42614</c:v>
                </c:pt>
                <c:pt idx="118">
                  <c:v>42583</c:v>
                </c:pt>
                <c:pt idx="119">
                  <c:v>42552</c:v>
                </c:pt>
                <c:pt idx="120">
                  <c:v>42522</c:v>
                </c:pt>
                <c:pt idx="121">
                  <c:v>42491</c:v>
                </c:pt>
                <c:pt idx="122">
                  <c:v>42461</c:v>
                </c:pt>
                <c:pt idx="123">
                  <c:v>42430</c:v>
                </c:pt>
                <c:pt idx="124">
                  <c:v>42401</c:v>
                </c:pt>
                <c:pt idx="125">
                  <c:v>42370</c:v>
                </c:pt>
              </c:numCache>
            </c:numRef>
          </c:cat>
          <c:val>
            <c:numRef>
              <c:f>Load!$AM$6:$AM$131</c:f>
              <c:numCache>
                <c:formatCode>0.0%</c:formatCode>
                <c:ptCount val="126"/>
                <c:pt idx="0">
                  <c:v>0.4804040091709782</c:v>
                </c:pt>
                <c:pt idx="1">
                  <c:v>0.45807723539709327</c:v>
                </c:pt>
                <c:pt idx="2">
                  <c:v>0.45361388748589659</c:v>
                </c:pt>
                <c:pt idx="3">
                  <c:v>0.4142223122526576</c:v>
                </c:pt>
                <c:pt idx="4">
                  <c:v>0.40306676529714885</c:v>
                </c:pt>
                <c:pt idx="5">
                  <c:v>0.38148215893879528</c:v>
                </c:pt>
                <c:pt idx="6">
                  <c:v>0.42208545216663973</c:v>
                </c:pt>
                <c:pt idx="7">
                  <c:v>0.44460292966336085</c:v>
                </c:pt>
                <c:pt idx="8">
                  <c:v>0.49257639783808183</c:v>
                </c:pt>
                <c:pt idx="9">
                  <c:v>0.4685381917997033</c:v>
                </c:pt>
                <c:pt idx="10">
                  <c:v>0.46856779631390727</c:v>
                </c:pt>
                <c:pt idx="11">
                  <c:v>0.44210083705880981</c:v>
                </c:pt>
                <c:pt idx="12">
                  <c:v>0.4994709797228854</c:v>
                </c:pt>
                <c:pt idx="13">
                  <c:v>0.43392766574225428</c:v>
                </c:pt>
                <c:pt idx="14">
                  <c:v>0.44014900626734582</c:v>
                </c:pt>
                <c:pt idx="15">
                  <c:v>0.41117636202435592</c:v>
                </c:pt>
                <c:pt idx="16">
                  <c:v>0.4030591792046907</c:v>
                </c:pt>
                <c:pt idx="17">
                  <c:v>0.42752352212972877</c:v>
                </c:pt>
                <c:pt idx="18">
                  <c:v>0.41194869899794845</c:v>
                </c:pt>
                <c:pt idx="19">
                  <c:v>0.45953863191956124</c:v>
                </c:pt>
                <c:pt idx="20">
                  <c:v>0.48741546946057024</c:v>
                </c:pt>
                <c:pt idx="21">
                  <c:v>0.48577226549040059</c:v>
                </c:pt>
                <c:pt idx="22">
                  <c:v>0.46437567980352329</c:v>
                </c:pt>
                <c:pt idx="23">
                  <c:v>0.46532086549134599</c:v>
                </c:pt>
                <c:pt idx="24">
                  <c:v>0.4928299550186982</c:v>
                </c:pt>
                <c:pt idx="25">
                  <c:v>0.49955714289244701</c:v>
                </c:pt>
                <c:pt idx="26">
                  <c:v>0.45912464841607403</c:v>
                </c:pt>
                <c:pt idx="27">
                  <c:v>0.44293993531858744</c:v>
                </c:pt>
                <c:pt idx="28">
                  <c:v>0.45348698380214814</c:v>
                </c:pt>
                <c:pt idx="29">
                  <c:v>0.45207888470582136</c:v>
                </c:pt>
                <c:pt idx="30">
                  <c:v>0.45171646854829889</c:v>
                </c:pt>
                <c:pt idx="31">
                  <c:v>0.4312123187098244</c:v>
                </c:pt>
                <c:pt idx="32">
                  <c:v>0.50156346228368487</c:v>
                </c:pt>
                <c:pt idx="33">
                  <c:v>0.49484625650405933</c:v>
                </c:pt>
                <c:pt idx="34">
                  <c:v>0.4583347626103107</c:v>
                </c:pt>
                <c:pt idx="35">
                  <c:v>0.45234271952152483</c:v>
                </c:pt>
                <c:pt idx="36">
                  <c:v>0.49162005305067547</c:v>
                </c:pt>
                <c:pt idx="37">
                  <c:v>0.47321455795579009</c:v>
                </c:pt>
                <c:pt idx="38">
                  <c:v>0.42437451443306262</c:v>
                </c:pt>
                <c:pt idx="39">
                  <c:v>0.42395916554555868</c:v>
                </c:pt>
                <c:pt idx="40">
                  <c:v>0.42910922461548207</c:v>
                </c:pt>
                <c:pt idx="41">
                  <c:v>0.39299057586204078</c:v>
                </c:pt>
                <c:pt idx="42">
                  <c:v>0.42223371772972518</c:v>
                </c:pt>
                <c:pt idx="43">
                  <c:v>0.46734363033218235</c:v>
                </c:pt>
                <c:pt idx="44">
                  <c:v>0.48008505288983844</c:v>
                </c:pt>
                <c:pt idx="45">
                  <c:v>0.59223150900642763</c:v>
                </c:pt>
                <c:pt idx="46">
                  <c:v>0.47099393973391152</c:v>
                </c:pt>
                <c:pt idx="47">
                  <c:v>0.43001416067700804</c:v>
                </c:pt>
                <c:pt idx="48">
                  <c:v>0.53503250154752746</c:v>
                </c:pt>
                <c:pt idx="49">
                  <c:v>0.49308080887942685</c:v>
                </c:pt>
                <c:pt idx="50">
                  <c:v>0.40044721834735264</c:v>
                </c:pt>
                <c:pt idx="51">
                  <c:v>0.4469397656555601</c:v>
                </c:pt>
                <c:pt idx="52">
                  <c:v>0.39199804463900095</c:v>
                </c:pt>
                <c:pt idx="53">
                  <c:v>0.41422834387788932</c:v>
                </c:pt>
                <c:pt idx="54">
                  <c:v>0.41861367471014921</c:v>
                </c:pt>
                <c:pt idx="55">
                  <c:v>0.45426060182845945</c:v>
                </c:pt>
                <c:pt idx="56">
                  <c:v>0.46971481833110496</c:v>
                </c:pt>
                <c:pt idx="57">
                  <c:v>0.43255248603399926</c:v>
                </c:pt>
                <c:pt idx="58">
                  <c:v>0.46502408653026361</c:v>
                </c:pt>
                <c:pt idx="59">
                  <c:v>0.4251164605206828</c:v>
                </c:pt>
                <c:pt idx="60">
                  <c:v>0.51152183369040771</c:v>
                </c:pt>
                <c:pt idx="61">
                  <c:v>0.48280355778552903</c:v>
                </c:pt>
                <c:pt idx="62">
                  <c:v>0.42483335557338986</c:v>
                </c:pt>
                <c:pt idx="63">
                  <c:v>0.45764734717922034</c:v>
                </c:pt>
                <c:pt idx="64">
                  <c:v>0.42142693261773584</c:v>
                </c:pt>
                <c:pt idx="65">
                  <c:v>0.38949883727257839</c:v>
                </c:pt>
                <c:pt idx="66">
                  <c:v>0.45254263222294205</c:v>
                </c:pt>
                <c:pt idx="67">
                  <c:v>0.47678643939810766</c:v>
                </c:pt>
                <c:pt idx="68">
                  <c:v>0.48288628339636086</c:v>
                </c:pt>
                <c:pt idx="69">
                  <c:v>0.47692988938081593</c:v>
                </c:pt>
                <c:pt idx="70">
                  <c:v>0.44046635247966487</c:v>
                </c:pt>
                <c:pt idx="71">
                  <c:v>0.42122853161905915</c:v>
                </c:pt>
                <c:pt idx="72">
                  <c:v>0.50307964978390562</c:v>
                </c:pt>
                <c:pt idx="73">
                  <c:v>0.45840076548726361</c:v>
                </c:pt>
                <c:pt idx="74">
                  <c:v>0.42676304149990757</c:v>
                </c:pt>
                <c:pt idx="75">
                  <c:v>0.47256249741257456</c:v>
                </c:pt>
                <c:pt idx="76">
                  <c:v>0.40543144755402399</c:v>
                </c:pt>
                <c:pt idx="77">
                  <c:v>0.4643833096670113</c:v>
                </c:pt>
                <c:pt idx="78">
                  <c:v>0.44908484601977</c:v>
                </c:pt>
                <c:pt idx="79">
                  <c:v>0.433935611805573</c:v>
                </c:pt>
                <c:pt idx="80">
                  <c:v>0.52911676301886179</c:v>
                </c:pt>
                <c:pt idx="81">
                  <c:v>0.44902939423166588</c:v>
                </c:pt>
                <c:pt idx="82">
                  <c:v>0.47569254785250464</c:v>
                </c:pt>
                <c:pt idx="83">
                  <c:v>0.51561964683043393</c:v>
                </c:pt>
                <c:pt idx="84">
                  <c:v>0.44764220455563564</c:v>
                </c:pt>
                <c:pt idx="85">
                  <c:v>0.5006671649336929</c:v>
                </c:pt>
                <c:pt idx="86">
                  <c:v>0.45535053570663619</c:v>
                </c:pt>
                <c:pt idx="87">
                  <c:v>0.47521177370014056</c:v>
                </c:pt>
                <c:pt idx="88">
                  <c:v>0.38355434586563592</c:v>
                </c:pt>
                <c:pt idx="89">
                  <c:v>0.47591552653702651</c:v>
                </c:pt>
                <c:pt idx="90">
                  <c:v>0.40998598957940879</c:v>
                </c:pt>
                <c:pt idx="91">
                  <c:v>0.48791105834398985</c:v>
                </c:pt>
                <c:pt idx="92">
                  <c:v>0.50832543100989724</c:v>
                </c:pt>
                <c:pt idx="93">
                  <c:v>0.50401313668342063</c:v>
                </c:pt>
                <c:pt idx="94">
                  <c:v>0.51265005728460367</c:v>
                </c:pt>
                <c:pt idx="95">
                  <c:v>0.47406506530015918</c:v>
                </c:pt>
                <c:pt idx="96">
                  <c:v>0.51025232855561908</c:v>
                </c:pt>
                <c:pt idx="97">
                  <c:v>0.51478071639581535</c:v>
                </c:pt>
                <c:pt idx="98">
                  <c:v>0.48660545598323118</c:v>
                </c:pt>
                <c:pt idx="99">
                  <c:v>0.44681140409343151</c:v>
                </c:pt>
                <c:pt idx="100">
                  <c:v>0.42321284211777849</c:v>
                </c:pt>
                <c:pt idx="101">
                  <c:v>0.47549985999819006</c:v>
                </c:pt>
                <c:pt idx="102">
                  <c:v>0.46715881217904903</c:v>
                </c:pt>
                <c:pt idx="103">
                  <c:v>0.43294118834632073</c:v>
                </c:pt>
                <c:pt idx="104">
                  <c:v>0.55944755348109076</c:v>
                </c:pt>
                <c:pt idx="105">
                  <c:v>0.51847920088420829</c:v>
                </c:pt>
                <c:pt idx="106">
                  <c:v>0.52143107508753517</c:v>
                </c:pt>
                <c:pt idx="107">
                  <c:v>0.50710993122699577</c:v>
                </c:pt>
                <c:pt idx="108">
                  <c:v>0.51840219142693855</c:v>
                </c:pt>
                <c:pt idx="109">
                  <c:v>0.52208258329122847</c:v>
                </c:pt>
                <c:pt idx="110">
                  <c:v>0.49735362962453322</c:v>
                </c:pt>
                <c:pt idx="111">
                  <c:v>0.49016048152208097</c:v>
                </c:pt>
                <c:pt idx="112">
                  <c:v>0.44939655158426622</c:v>
                </c:pt>
                <c:pt idx="113">
                  <c:v>0.46853772360758233</c:v>
                </c:pt>
                <c:pt idx="114">
                  <c:v>0.49884028069874525</c:v>
                </c:pt>
                <c:pt idx="115">
                  <c:v>0.53572128724364154</c:v>
                </c:pt>
                <c:pt idx="116">
                  <c:v>0.5697205400449411</c:v>
                </c:pt>
                <c:pt idx="117">
                  <c:v>0.51797730730098301</c:v>
                </c:pt>
                <c:pt idx="118">
                  <c:v>0.54859129536087348</c:v>
                </c:pt>
                <c:pt idx="119">
                  <c:v>0.51434781699579113</c:v>
                </c:pt>
                <c:pt idx="120">
                  <c:v>0.55270821323871699</c:v>
                </c:pt>
                <c:pt idx="121">
                  <c:v>0.53627291041668668</c:v>
                </c:pt>
                <c:pt idx="122">
                  <c:v>0.50909676974913998</c:v>
                </c:pt>
                <c:pt idx="123">
                  <c:v>0.50857183647033877</c:v>
                </c:pt>
                <c:pt idx="124">
                  <c:v>0.49686598821440003</c:v>
                </c:pt>
                <c:pt idx="125">
                  <c:v>0.49862130186124681</c:v>
                </c:pt>
              </c:numCache>
            </c:numRef>
          </c:val>
          <c:smooth val="0"/>
          <c:extLst>
            <c:ext xmlns:c16="http://schemas.microsoft.com/office/drawing/2014/chart" uri="{C3380CC4-5D6E-409C-BE32-E72D297353CC}">
              <c16:uniqueId val="{00000003-0A6B-4D74-BD39-2622E8F00488}"/>
            </c:ext>
          </c:extLst>
        </c:ser>
        <c:dLbls>
          <c:showLegendKey val="0"/>
          <c:showVal val="0"/>
          <c:showCatName val="0"/>
          <c:showSerName val="0"/>
          <c:showPercent val="0"/>
          <c:showBubbleSize val="0"/>
        </c:dLbls>
        <c:smooth val="0"/>
        <c:axId val="491851408"/>
        <c:axId val="490618976"/>
      </c:lineChart>
      <c:dateAx>
        <c:axId val="4918514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0618976"/>
        <c:crosses val="autoZero"/>
        <c:auto val="1"/>
        <c:lblOffset val="100"/>
        <c:baseTimeUnit val="days"/>
      </c:dateAx>
      <c:valAx>
        <c:axId val="4906189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185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Percentage of Customers Served by Competitive</a:t>
            </a:r>
            <a:r>
              <a:rPr lang="en-US" baseline="0"/>
              <a:t> Energy Providers</a:t>
            </a:r>
          </a:p>
          <a:p>
            <a:pPr>
              <a:defRPr/>
            </a:pPr>
            <a:r>
              <a:rPr lang="en-US" baseline="0"/>
              <a:t>January 2016 - June 2026</a:t>
            </a:r>
          </a:p>
          <a:p>
            <a:pPr>
              <a:defRPr/>
            </a:pPr>
            <a:r>
              <a:rPr lang="en-US" baseline="0"/>
              <a:t>Presented by Maine Public Utilities Commission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VP-BHD</c:v>
          </c:tx>
          <c:spPr>
            <a:ln w="28575" cap="rnd">
              <a:solidFill>
                <a:schemeClr val="accent1"/>
              </a:solidFill>
              <a:round/>
            </a:ln>
            <a:effectLst/>
          </c:spPr>
          <c:marker>
            <c:symbol val="none"/>
          </c:marker>
          <c:cat>
            <c:numRef>
              <c:f>Customers!$A$9:$A$130</c:f>
              <c:numCache>
                <c:formatCode>[$-409]mmm\-yy;@</c:formatCode>
                <c:ptCount val="122"/>
                <c:pt idx="0">
                  <c:v>46081</c:v>
                </c:pt>
                <c:pt idx="1">
                  <c:v>46053</c:v>
                </c:pt>
                <c:pt idx="2">
                  <c:v>46022</c:v>
                </c:pt>
                <c:pt idx="3">
                  <c:v>45991</c:v>
                </c:pt>
                <c:pt idx="4">
                  <c:v>45961</c:v>
                </c:pt>
                <c:pt idx="5">
                  <c:v>45930</c:v>
                </c:pt>
                <c:pt idx="6">
                  <c:v>45900</c:v>
                </c:pt>
                <c:pt idx="7">
                  <c:v>45869</c:v>
                </c:pt>
                <c:pt idx="8">
                  <c:v>45838</c:v>
                </c:pt>
                <c:pt idx="9">
                  <c:v>45808</c:v>
                </c:pt>
                <c:pt idx="10">
                  <c:v>45777</c:v>
                </c:pt>
                <c:pt idx="11">
                  <c:v>45747</c:v>
                </c:pt>
                <c:pt idx="12">
                  <c:v>45716</c:v>
                </c:pt>
                <c:pt idx="13">
                  <c:v>45688</c:v>
                </c:pt>
                <c:pt idx="14">
                  <c:v>45657</c:v>
                </c:pt>
                <c:pt idx="15">
                  <c:v>45626</c:v>
                </c:pt>
                <c:pt idx="16">
                  <c:v>45596</c:v>
                </c:pt>
                <c:pt idx="17">
                  <c:v>45565</c:v>
                </c:pt>
                <c:pt idx="18">
                  <c:v>45535</c:v>
                </c:pt>
                <c:pt idx="19">
                  <c:v>45504</c:v>
                </c:pt>
                <c:pt idx="20">
                  <c:v>45473</c:v>
                </c:pt>
                <c:pt idx="21">
                  <c:v>45443</c:v>
                </c:pt>
                <c:pt idx="22">
                  <c:v>45412</c:v>
                </c:pt>
                <c:pt idx="23">
                  <c:v>45382</c:v>
                </c:pt>
                <c:pt idx="24">
                  <c:v>45351</c:v>
                </c:pt>
                <c:pt idx="25">
                  <c:v>45322</c:v>
                </c:pt>
                <c:pt idx="26">
                  <c:v>45291</c:v>
                </c:pt>
                <c:pt idx="27">
                  <c:v>45260</c:v>
                </c:pt>
                <c:pt idx="28">
                  <c:v>45230</c:v>
                </c:pt>
                <c:pt idx="29">
                  <c:v>45199</c:v>
                </c:pt>
                <c:pt idx="30">
                  <c:v>45169</c:v>
                </c:pt>
                <c:pt idx="31">
                  <c:v>45138</c:v>
                </c:pt>
                <c:pt idx="32">
                  <c:v>45107</c:v>
                </c:pt>
                <c:pt idx="33">
                  <c:v>45077</c:v>
                </c:pt>
                <c:pt idx="34">
                  <c:v>45046</c:v>
                </c:pt>
                <c:pt idx="35">
                  <c:v>45016</c:v>
                </c:pt>
                <c:pt idx="36">
                  <c:v>44985</c:v>
                </c:pt>
                <c:pt idx="37">
                  <c:v>44957</c:v>
                </c:pt>
                <c:pt idx="38">
                  <c:v>44926</c:v>
                </c:pt>
                <c:pt idx="39">
                  <c:v>44895</c:v>
                </c:pt>
                <c:pt idx="40">
                  <c:v>44865</c:v>
                </c:pt>
                <c:pt idx="41">
                  <c:v>44834</c:v>
                </c:pt>
                <c:pt idx="42">
                  <c:v>44804</c:v>
                </c:pt>
                <c:pt idx="43">
                  <c:v>44773</c:v>
                </c:pt>
                <c:pt idx="44">
                  <c:v>44742</c:v>
                </c:pt>
                <c:pt idx="45">
                  <c:v>44712</c:v>
                </c:pt>
                <c:pt idx="46">
                  <c:v>44681</c:v>
                </c:pt>
                <c:pt idx="47">
                  <c:v>44641</c:v>
                </c:pt>
                <c:pt idx="48">
                  <c:v>44620</c:v>
                </c:pt>
                <c:pt idx="49">
                  <c:v>44592</c:v>
                </c:pt>
                <c:pt idx="50">
                  <c:v>44561</c:v>
                </c:pt>
                <c:pt idx="51">
                  <c:v>44530</c:v>
                </c:pt>
                <c:pt idx="52">
                  <c:v>44500</c:v>
                </c:pt>
                <c:pt idx="53">
                  <c:v>44469</c:v>
                </c:pt>
                <c:pt idx="54">
                  <c:v>44439</c:v>
                </c:pt>
                <c:pt idx="55">
                  <c:v>44378</c:v>
                </c:pt>
                <c:pt idx="56">
                  <c:v>44348</c:v>
                </c:pt>
                <c:pt idx="57">
                  <c:v>44317</c:v>
                </c:pt>
                <c:pt idx="58">
                  <c:v>44287</c:v>
                </c:pt>
                <c:pt idx="59">
                  <c:v>44256</c:v>
                </c:pt>
                <c:pt idx="60">
                  <c:v>44228</c:v>
                </c:pt>
                <c:pt idx="61">
                  <c:v>44197</c:v>
                </c:pt>
                <c:pt idx="62" formatCode="mmm\-yy">
                  <c:v>44196</c:v>
                </c:pt>
                <c:pt idx="63" formatCode="mmm\-yy">
                  <c:v>44165</c:v>
                </c:pt>
                <c:pt idx="64" formatCode="mmm\-yy">
                  <c:v>44135</c:v>
                </c:pt>
                <c:pt idx="65" formatCode="mmm\-yy">
                  <c:v>44104</c:v>
                </c:pt>
                <c:pt idx="66" formatCode="mmm\-yy">
                  <c:v>44044</c:v>
                </c:pt>
                <c:pt idx="67" formatCode="mmm\-yy">
                  <c:v>44013</c:v>
                </c:pt>
                <c:pt idx="68" formatCode="mmm\-yy">
                  <c:v>43983</c:v>
                </c:pt>
                <c:pt idx="69" formatCode="mmm\-yy">
                  <c:v>43952</c:v>
                </c:pt>
                <c:pt idx="70" formatCode="mmm\-yy">
                  <c:v>43922</c:v>
                </c:pt>
                <c:pt idx="71" formatCode="mmm\-yy">
                  <c:v>43891</c:v>
                </c:pt>
                <c:pt idx="72" formatCode="mmm\-yy">
                  <c:v>43862</c:v>
                </c:pt>
                <c:pt idx="73" formatCode="mmm\-yy">
                  <c:v>43831</c:v>
                </c:pt>
                <c:pt idx="74">
                  <c:v>43800</c:v>
                </c:pt>
                <c:pt idx="75">
                  <c:v>43770</c:v>
                </c:pt>
                <c:pt idx="76">
                  <c:v>43739</c:v>
                </c:pt>
                <c:pt idx="77">
                  <c:v>43709</c:v>
                </c:pt>
                <c:pt idx="78">
                  <c:v>43678</c:v>
                </c:pt>
                <c:pt idx="79">
                  <c:v>43647</c:v>
                </c:pt>
                <c:pt idx="80">
                  <c:v>43617</c:v>
                </c:pt>
                <c:pt idx="81">
                  <c:v>43586</c:v>
                </c:pt>
                <c:pt idx="82">
                  <c:v>43556</c:v>
                </c:pt>
                <c:pt idx="83">
                  <c:v>43525</c:v>
                </c:pt>
                <c:pt idx="84">
                  <c:v>43497</c:v>
                </c:pt>
                <c:pt idx="85">
                  <c:v>43466</c:v>
                </c:pt>
                <c:pt idx="86">
                  <c:v>43435</c:v>
                </c:pt>
                <c:pt idx="87">
                  <c:v>43405</c:v>
                </c:pt>
                <c:pt idx="88">
                  <c:v>43404</c:v>
                </c:pt>
                <c:pt idx="89">
                  <c:v>43344</c:v>
                </c:pt>
                <c:pt idx="90">
                  <c:v>43313</c:v>
                </c:pt>
                <c:pt idx="91">
                  <c:v>43282</c:v>
                </c:pt>
                <c:pt idx="92">
                  <c:v>43252</c:v>
                </c:pt>
                <c:pt idx="93">
                  <c:v>43221</c:v>
                </c:pt>
                <c:pt idx="94">
                  <c:v>43191</c:v>
                </c:pt>
                <c:pt idx="95">
                  <c:v>43160</c:v>
                </c:pt>
                <c:pt idx="96">
                  <c:v>43132</c:v>
                </c:pt>
                <c:pt idx="97">
                  <c:v>43101</c:v>
                </c:pt>
                <c:pt idx="98">
                  <c:v>43070</c:v>
                </c:pt>
                <c:pt idx="99">
                  <c:v>43040</c:v>
                </c:pt>
                <c:pt idx="100">
                  <c:v>43009</c:v>
                </c:pt>
                <c:pt idx="101">
                  <c:v>42979</c:v>
                </c:pt>
                <c:pt idx="102">
                  <c:v>42948</c:v>
                </c:pt>
                <c:pt idx="103">
                  <c:v>42917</c:v>
                </c:pt>
                <c:pt idx="104">
                  <c:v>42887</c:v>
                </c:pt>
                <c:pt idx="105">
                  <c:v>42856</c:v>
                </c:pt>
                <c:pt idx="106">
                  <c:v>42826</c:v>
                </c:pt>
                <c:pt idx="107">
                  <c:v>42795</c:v>
                </c:pt>
                <c:pt idx="108">
                  <c:v>42767</c:v>
                </c:pt>
                <c:pt idx="109">
                  <c:v>42736</c:v>
                </c:pt>
                <c:pt idx="110">
                  <c:v>42705</c:v>
                </c:pt>
                <c:pt idx="111">
                  <c:v>42675</c:v>
                </c:pt>
                <c:pt idx="112">
                  <c:v>42644</c:v>
                </c:pt>
                <c:pt idx="113">
                  <c:v>42614</c:v>
                </c:pt>
                <c:pt idx="114">
                  <c:v>42583</c:v>
                </c:pt>
                <c:pt idx="115">
                  <c:v>42552</c:v>
                </c:pt>
                <c:pt idx="116">
                  <c:v>42522</c:v>
                </c:pt>
                <c:pt idx="117">
                  <c:v>42491</c:v>
                </c:pt>
                <c:pt idx="118">
                  <c:v>42461</c:v>
                </c:pt>
                <c:pt idx="119">
                  <c:v>42430</c:v>
                </c:pt>
                <c:pt idx="120">
                  <c:v>42401</c:v>
                </c:pt>
                <c:pt idx="121">
                  <c:v>42370</c:v>
                </c:pt>
              </c:numCache>
            </c:numRef>
          </c:cat>
          <c:val>
            <c:numRef>
              <c:f>Customers!$L$5:$L$130</c:f>
              <c:numCache>
                <c:formatCode>0.0%</c:formatCode>
                <c:ptCount val="126"/>
                <c:pt idx="0">
                  <c:v>7.6662241608192683E-2</c:v>
                </c:pt>
                <c:pt idx="1">
                  <c:v>7.7068611807613402E-2</c:v>
                </c:pt>
                <c:pt idx="2">
                  <c:v>7.4961271663067278E-2</c:v>
                </c:pt>
                <c:pt idx="3">
                  <c:v>7.468349588831516E-2</c:v>
                </c:pt>
                <c:pt idx="4">
                  <c:v>7.5926988864653891E-2</c:v>
                </c:pt>
                <c:pt idx="5">
                  <c:v>7.6549163700386572E-2</c:v>
                </c:pt>
                <c:pt idx="6">
                  <c:v>7.7335720899622734E-2</c:v>
                </c:pt>
                <c:pt idx="7">
                  <c:v>7.8518620457655758E-2</c:v>
                </c:pt>
                <c:pt idx="8">
                  <c:v>7.9473181904943693E-2</c:v>
                </c:pt>
                <c:pt idx="9">
                  <c:v>7.9923229830694359E-2</c:v>
                </c:pt>
                <c:pt idx="10">
                  <c:v>8.0365985586079755E-2</c:v>
                </c:pt>
                <c:pt idx="11">
                  <c:v>8.2807444905416208E-2</c:v>
                </c:pt>
                <c:pt idx="12">
                  <c:v>8.4328443513050105E-2</c:v>
                </c:pt>
                <c:pt idx="13">
                  <c:v>8.568046433480983E-2</c:v>
                </c:pt>
                <c:pt idx="14">
                  <c:v>8.6742203550949068E-2</c:v>
                </c:pt>
                <c:pt idx="15">
                  <c:v>8.4729616569483815E-2</c:v>
                </c:pt>
                <c:pt idx="16">
                  <c:v>8.5145470617625577E-2</c:v>
                </c:pt>
                <c:pt idx="17">
                  <c:v>8.5620492950166827E-2</c:v>
                </c:pt>
                <c:pt idx="18">
                  <c:v>8.6932779572373484E-2</c:v>
                </c:pt>
                <c:pt idx="19">
                  <c:v>8.6725473156401167E-2</c:v>
                </c:pt>
                <c:pt idx="20">
                  <c:v>8.8798673890688073E-2</c:v>
                </c:pt>
                <c:pt idx="21">
                  <c:v>9.0573720303698257E-2</c:v>
                </c:pt>
                <c:pt idx="22">
                  <c:v>9.2041342483150101E-2</c:v>
                </c:pt>
                <c:pt idx="23">
                  <c:v>9.2152468082827829E-2</c:v>
                </c:pt>
                <c:pt idx="24">
                  <c:v>9.2282251705315371E-2</c:v>
                </c:pt>
                <c:pt idx="25">
                  <c:v>9.2299315136780913E-2</c:v>
                </c:pt>
                <c:pt idx="26">
                  <c:v>9.2210101694393337E-2</c:v>
                </c:pt>
                <c:pt idx="27">
                  <c:v>9.2678598981638632E-2</c:v>
                </c:pt>
                <c:pt idx="28">
                  <c:v>9.2923941834693768E-2</c:v>
                </c:pt>
                <c:pt idx="29">
                  <c:v>9.2731345589371239E-2</c:v>
                </c:pt>
                <c:pt idx="30">
                  <c:v>9.2999999999999999E-2</c:v>
                </c:pt>
                <c:pt idx="31">
                  <c:v>9.1999999999999998E-2</c:v>
                </c:pt>
                <c:pt idx="32">
                  <c:v>9.0999999999999998E-2</c:v>
                </c:pt>
                <c:pt idx="33">
                  <c:v>9.0358897852149775E-2</c:v>
                </c:pt>
                <c:pt idx="34">
                  <c:v>8.9807056653086331E-2</c:v>
                </c:pt>
                <c:pt idx="35">
                  <c:v>8.9456918176082242E-2</c:v>
                </c:pt>
                <c:pt idx="36">
                  <c:v>8.7999999999999995E-2</c:v>
                </c:pt>
                <c:pt idx="37">
                  <c:v>8.6648143860461532E-2</c:v>
                </c:pt>
                <c:pt idx="38">
                  <c:v>8.4316548990462037E-2</c:v>
                </c:pt>
                <c:pt idx="39">
                  <c:v>8.1949893183142358E-2</c:v>
                </c:pt>
                <c:pt idx="40">
                  <c:v>8.1223759912921786E-2</c:v>
                </c:pt>
                <c:pt idx="41">
                  <c:v>8.330676206400435E-2</c:v>
                </c:pt>
                <c:pt idx="42">
                  <c:v>8.4415533889930672E-2</c:v>
                </c:pt>
                <c:pt idx="43">
                  <c:v>8.5671369979220341E-2</c:v>
                </c:pt>
                <c:pt idx="44">
                  <c:v>8.6525913497390014E-2</c:v>
                </c:pt>
                <c:pt idx="45">
                  <c:v>8.675049554013875E-2</c:v>
                </c:pt>
                <c:pt idx="46">
                  <c:v>8.3000000000000004E-2</c:v>
                </c:pt>
                <c:pt idx="47">
                  <c:v>8.3000000000000004E-2</c:v>
                </c:pt>
                <c:pt idx="48">
                  <c:v>8.571449229256442E-2</c:v>
                </c:pt>
                <c:pt idx="49">
                  <c:v>8.6855668234833608E-2</c:v>
                </c:pt>
                <c:pt idx="50">
                  <c:v>8.7678398403065641E-2</c:v>
                </c:pt>
                <c:pt idx="51">
                  <c:v>8.7608725817406349E-2</c:v>
                </c:pt>
                <c:pt idx="52">
                  <c:v>8.6400000000000005E-2</c:v>
                </c:pt>
                <c:pt idx="53">
                  <c:v>8.4904763645669581E-2</c:v>
                </c:pt>
                <c:pt idx="54">
                  <c:v>8.4805394707908821E-2</c:v>
                </c:pt>
                <c:pt idx="55">
                  <c:v>8.5381933253245043E-2</c:v>
                </c:pt>
                <c:pt idx="56">
                  <c:v>8.7360173242517575E-2</c:v>
                </c:pt>
                <c:pt idx="57">
                  <c:v>8.8120342418806785E-2</c:v>
                </c:pt>
                <c:pt idx="58">
                  <c:v>8.7999999999999995E-2</c:v>
                </c:pt>
                <c:pt idx="59">
                  <c:v>8.9127691084312732E-2</c:v>
                </c:pt>
                <c:pt idx="60">
                  <c:v>8.9228584188062343E-2</c:v>
                </c:pt>
                <c:pt idx="61">
                  <c:v>8.9087367221670891E-2</c:v>
                </c:pt>
                <c:pt idx="62">
                  <c:v>8.925122731494449E-2</c:v>
                </c:pt>
                <c:pt idx="63">
                  <c:v>9.0562659089563721E-2</c:v>
                </c:pt>
                <c:pt idx="64">
                  <c:v>8.9444415570916272E-2</c:v>
                </c:pt>
                <c:pt idx="65">
                  <c:v>8.8847119656468701E-2</c:v>
                </c:pt>
                <c:pt idx="66">
                  <c:v>8.7994421530518382E-2</c:v>
                </c:pt>
                <c:pt idx="67">
                  <c:v>8.6838857414759635E-2</c:v>
                </c:pt>
                <c:pt idx="68">
                  <c:v>8.6537035389042158E-2</c:v>
                </c:pt>
                <c:pt idx="69">
                  <c:v>8.5999999999999993E-2</c:v>
                </c:pt>
                <c:pt idx="70">
                  <c:v>8.6021505376344093E-2</c:v>
                </c:pt>
                <c:pt idx="71">
                  <c:v>8.4898956251387964E-2</c:v>
                </c:pt>
                <c:pt idx="72">
                  <c:v>8.5000000000000006E-2</c:v>
                </c:pt>
                <c:pt idx="73">
                  <c:v>8.5999999999999993E-2</c:v>
                </c:pt>
                <c:pt idx="74">
                  <c:v>8.9452953373467051E-2</c:v>
                </c:pt>
                <c:pt idx="75">
                  <c:v>0.09</c:v>
                </c:pt>
                <c:pt idx="76">
                  <c:v>9.0462447871130475E-2</c:v>
                </c:pt>
                <c:pt idx="77">
                  <c:v>9.1226494700904992E-2</c:v>
                </c:pt>
                <c:pt idx="78">
                  <c:v>9.2533221819533495E-2</c:v>
                </c:pt>
                <c:pt idx="79">
                  <c:v>9.4E-2</c:v>
                </c:pt>
                <c:pt idx="80">
                  <c:v>9.1999999999999998E-2</c:v>
                </c:pt>
                <c:pt idx="81">
                  <c:v>9.1999999999999998E-2</c:v>
                </c:pt>
                <c:pt idx="82">
                  <c:v>9.2999999999999999E-2</c:v>
                </c:pt>
                <c:pt idx="83">
                  <c:v>9.408686954179972E-2</c:v>
                </c:pt>
                <c:pt idx="84">
                  <c:v>9.5000000000000001E-2</c:v>
                </c:pt>
                <c:pt idx="85">
                  <c:v>9.5979728685763724E-2</c:v>
                </c:pt>
                <c:pt idx="86">
                  <c:v>9.7573659536154489E-2</c:v>
                </c:pt>
                <c:pt idx="87">
                  <c:v>9.8000000000000004E-2</c:v>
                </c:pt>
                <c:pt idx="88">
                  <c:v>8.844043392228132E-2</c:v>
                </c:pt>
                <c:pt idx="89">
                  <c:v>8.8805446378439082E-2</c:v>
                </c:pt>
                <c:pt idx="90">
                  <c:v>9.9379026986646746E-2</c:v>
                </c:pt>
                <c:pt idx="91">
                  <c:v>9.9505235479906029E-2</c:v>
                </c:pt>
                <c:pt idx="92">
                  <c:v>9.7225776929818444E-2</c:v>
                </c:pt>
                <c:pt idx="93">
                  <c:v>9.5121309649068508E-2</c:v>
                </c:pt>
                <c:pt idx="94">
                  <c:v>9.6388989860710442E-2</c:v>
                </c:pt>
                <c:pt idx="95">
                  <c:v>9.8223769392391122E-2</c:v>
                </c:pt>
                <c:pt idx="96">
                  <c:v>9.6893273153102852E-2</c:v>
                </c:pt>
                <c:pt idx="97">
                  <c:v>8.6230757269475974E-2</c:v>
                </c:pt>
                <c:pt idx="98">
                  <c:v>8.5858467316042714E-2</c:v>
                </c:pt>
                <c:pt idx="99">
                  <c:v>9.2173462335867318E-2</c:v>
                </c:pt>
                <c:pt idx="100">
                  <c:v>9.3264818656106613E-2</c:v>
                </c:pt>
                <c:pt idx="101">
                  <c:v>9.4349554532455499E-2</c:v>
                </c:pt>
                <c:pt idx="102">
                  <c:v>9.4725096846687562E-2</c:v>
                </c:pt>
                <c:pt idx="103">
                  <c:v>9.4773371438441667E-2</c:v>
                </c:pt>
                <c:pt idx="104">
                  <c:v>9.603580863389434E-2</c:v>
                </c:pt>
                <c:pt idx="105">
                  <c:v>9.6796113471632098E-2</c:v>
                </c:pt>
                <c:pt idx="106">
                  <c:v>9.7562308274726214E-2</c:v>
                </c:pt>
                <c:pt idx="107">
                  <c:v>9.9730310728942742E-2</c:v>
                </c:pt>
                <c:pt idx="108">
                  <c:v>0.10005865561334219</c:v>
                </c:pt>
                <c:pt idx="109">
                  <c:v>9.7032016464726187E-2</c:v>
                </c:pt>
                <c:pt idx="110">
                  <c:v>9.4436127744510975E-2</c:v>
                </c:pt>
                <c:pt idx="111">
                  <c:v>9.506318770675827E-2</c:v>
                </c:pt>
                <c:pt idx="112">
                  <c:v>9.3299251415008222E-2</c:v>
                </c:pt>
                <c:pt idx="113">
                  <c:v>9.2691678706952677E-2</c:v>
                </c:pt>
                <c:pt idx="114">
                  <c:v>9.3741080206780625E-2</c:v>
                </c:pt>
                <c:pt idx="115">
                  <c:v>9.2480204826703327E-2</c:v>
                </c:pt>
                <c:pt idx="116">
                  <c:v>9.2423538307642619E-2</c:v>
                </c:pt>
                <c:pt idx="117">
                  <c:v>9.2629607478988948E-2</c:v>
                </c:pt>
                <c:pt idx="118">
                  <c:v>9.3310786896850059E-2</c:v>
                </c:pt>
                <c:pt idx="119">
                  <c:v>9.2869694032732111E-2</c:v>
                </c:pt>
                <c:pt idx="120">
                  <c:v>9.1288910776269494E-2</c:v>
                </c:pt>
                <c:pt idx="121">
                  <c:v>9.0880127439267225E-2</c:v>
                </c:pt>
                <c:pt idx="122">
                  <c:v>9.1416658679191035E-2</c:v>
                </c:pt>
                <c:pt idx="123">
                  <c:v>9.1180019015811881E-2</c:v>
                </c:pt>
                <c:pt idx="124">
                  <c:v>9.0782525204032641E-2</c:v>
                </c:pt>
                <c:pt idx="125">
                  <c:v>8.8743027505289479E-2</c:v>
                </c:pt>
              </c:numCache>
            </c:numRef>
          </c:val>
          <c:smooth val="0"/>
          <c:extLst>
            <c:ext xmlns:c16="http://schemas.microsoft.com/office/drawing/2014/chart" uri="{C3380CC4-5D6E-409C-BE32-E72D297353CC}">
              <c16:uniqueId val="{00000000-B8B7-4163-A5F1-E6598AF8E31C}"/>
            </c:ext>
          </c:extLst>
        </c:ser>
        <c:ser>
          <c:idx val="1"/>
          <c:order val="1"/>
          <c:tx>
            <c:v>CMP</c:v>
          </c:tx>
          <c:spPr>
            <a:ln w="28575" cap="rnd">
              <a:solidFill>
                <a:schemeClr val="accent2"/>
              </a:solidFill>
              <a:round/>
            </a:ln>
            <a:effectLst/>
          </c:spPr>
          <c:marker>
            <c:symbol val="none"/>
          </c:marker>
          <c:cat>
            <c:numRef>
              <c:f>Customers!$A$9:$A$130</c:f>
              <c:numCache>
                <c:formatCode>[$-409]mmm\-yy;@</c:formatCode>
                <c:ptCount val="122"/>
                <c:pt idx="0">
                  <c:v>46081</c:v>
                </c:pt>
                <c:pt idx="1">
                  <c:v>46053</c:v>
                </c:pt>
                <c:pt idx="2">
                  <c:v>46022</c:v>
                </c:pt>
                <c:pt idx="3">
                  <c:v>45991</c:v>
                </c:pt>
                <c:pt idx="4">
                  <c:v>45961</c:v>
                </c:pt>
                <c:pt idx="5">
                  <c:v>45930</c:v>
                </c:pt>
                <c:pt idx="6">
                  <c:v>45900</c:v>
                </c:pt>
                <c:pt idx="7">
                  <c:v>45869</c:v>
                </c:pt>
                <c:pt idx="8">
                  <c:v>45838</c:v>
                </c:pt>
                <c:pt idx="9">
                  <c:v>45808</c:v>
                </c:pt>
                <c:pt idx="10">
                  <c:v>45777</c:v>
                </c:pt>
                <c:pt idx="11">
                  <c:v>45747</c:v>
                </c:pt>
                <c:pt idx="12">
                  <c:v>45716</c:v>
                </c:pt>
                <c:pt idx="13">
                  <c:v>45688</c:v>
                </c:pt>
                <c:pt idx="14">
                  <c:v>45657</c:v>
                </c:pt>
                <c:pt idx="15">
                  <c:v>45626</c:v>
                </c:pt>
                <c:pt idx="16">
                  <c:v>45596</c:v>
                </c:pt>
                <c:pt idx="17">
                  <c:v>45565</c:v>
                </c:pt>
                <c:pt idx="18">
                  <c:v>45535</c:v>
                </c:pt>
                <c:pt idx="19">
                  <c:v>45504</c:v>
                </c:pt>
                <c:pt idx="20">
                  <c:v>45473</c:v>
                </c:pt>
                <c:pt idx="21">
                  <c:v>45443</c:v>
                </c:pt>
                <c:pt idx="22">
                  <c:v>45412</c:v>
                </c:pt>
                <c:pt idx="23">
                  <c:v>45382</c:v>
                </c:pt>
                <c:pt idx="24">
                  <c:v>45351</c:v>
                </c:pt>
                <c:pt idx="25">
                  <c:v>45322</c:v>
                </c:pt>
                <c:pt idx="26">
                  <c:v>45291</c:v>
                </c:pt>
                <c:pt idx="27">
                  <c:v>45260</c:v>
                </c:pt>
                <c:pt idx="28">
                  <c:v>45230</c:v>
                </c:pt>
                <c:pt idx="29">
                  <c:v>45199</c:v>
                </c:pt>
                <c:pt idx="30">
                  <c:v>45169</c:v>
                </c:pt>
                <c:pt idx="31">
                  <c:v>45138</c:v>
                </c:pt>
                <c:pt idx="32">
                  <c:v>45107</c:v>
                </c:pt>
                <c:pt idx="33">
                  <c:v>45077</c:v>
                </c:pt>
                <c:pt idx="34">
                  <c:v>45046</c:v>
                </c:pt>
                <c:pt idx="35">
                  <c:v>45016</c:v>
                </c:pt>
                <c:pt idx="36">
                  <c:v>44985</c:v>
                </c:pt>
                <c:pt idx="37">
                  <c:v>44957</c:v>
                </c:pt>
                <c:pt idx="38">
                  <c:v>44926</c:v>
                </c:pt>
                <c:pt idx="39">
                  <c:v>44895</c:v>
                </c:pt>
                <c:pt idx="40">
                  <c:v>44865</c:v>
                </c:pt>
                <c:pt idx="41">
                  <c:v>44834</c:v>
                </c:pt>
                <c:pt idx="42">
                  <c:v>44804</c:v>
                </c:pt>
                <c:pt idx="43">
                  <c:v>44773</c:v>
                </c:pt>
                <c:pt idx="44">
                  <c:v>44742</c:v>
                </c:pt>
                <c:pt idx="45">
                  <c:v>44712</c:v>
                </c:pt>
                <c:pt idx="46">
                  <c:v>44681</c:v>
                </c:pt>
                <c:pt idx="47">
                  <c:v>44641</c:v>
                </c:pt>
                <c:pt idx="48">
                  <c:v>44620</c:v>
                </c:pt>
                <c:pt idx="49">
                  <c:v>44592</c:v>
                </c:pt>
                <c:pt idx="50">
                  <c:v>44561</c:v>
                </c:pt>
                <c:pt idx="51">
                  <c:v>44530</c:v>
                </c:pt>
                <c:pt idx="52">
                  <c:v>44500</c:v>
                </c:pt>
                <c:pt idx="53">
                  <c:v>44469</c:v>
                </c:pt>
                <c:pt idx="54">
                  <c:v>44439</c:v>
                </c:pt>
                <c:pt idx="55">
                  <c:v>44378</c:v>
                </c:pt>
                <c:pt idx="56">
                  <c:v>44348</c:v>
                </c:pt>
                <c:pt idx="57">
                  <c:v>44317</c:v>
                </c:pt>
                <c:pt idx="58">
                  <c:v>44287</c:v>
                </c:pt>
                <c:pt idx="59">
                  <c:v>44256</c:v>
                </c:pt>
                <c:pt idx="60">
                  <c:v>44228</c:v>
                </c:pt>
                <c:pt idx="61">
                  <c:v>44197</c:v>
                </c:pt>
                <c:pt idx="62" formatCode="mmm\-yy">
                  <c:v>44196</c:v>
                </c:pt>
                <c:pt idx="63" formatCode="mmm\-yy">
                  <c:v>44165</c:v>
                </c:pt>
                <c:pt idx="64" formatCode="mmm\-yy">
                  <c:v>44135</c:v>
                </c:pt>
                <c:pt idx="65" formatCode="mmm\-yy">
                  <c:v>44104</c:v>
                </c:pt>
                <c:pt idx="66" formatCode="mmm\-yy">
                  <c:v>44044</c:v>
                </c:pt>
                <c:pt idx="67" formatCode="mmm\-yy">
                  <c:v>44013</c:v>
                </c:pt>
                <c:pt idx="68" formatCode="mmm\-yy">
                  <c:v>43983</c:v>
                </c:pt>
                <c:pt idx="69" formatCode="mmm\-yy">
                  <c:v>43952</c:v>
                </c:pt>
                <c:pt idx="70" formatCode="mmm\-yy">
                  <c:v>43922</c:v>
                </c:pt>
                <c:pt idx="71" formatCode="mmm\-yy">
                  <c:v>43891</c:v>
                </c:pt>
                <c:pt idx="72" formatCode="mmm\-yy">
                  <c:v>43862</c:v>
                </c:pt>
                <c:pt idx="73" formatCode="mmm\-yy">
                  <c:v>43831</c:v>
                </c:pt>
                <c:pt idx="74">
                  <c:v>43800</c:v>
                </c:pt>
                <c:pt idx="75">
                  <c:v>43770</c:v>
                </c:pt>
                <c:pt idx="76">
                  <c:v>43739</c:v>
                </c:pt>
                <c:pt idx="77">
                  <c:v>43709</c:v>
                </c:pt>
                <c:pt idx="78">
                  <c:v>43678</c:v>
                </c:pt>
                <c:pt idx="79">
                  <c:v>43647</c:v>
                </c:pt>
                <c:pt idx="80">
                  <c:v>43617</c:v>
                </c:pt>
                <c:pt idx="81">
                  <c:v>43586</c:v>
                </c:pt>
                <c:pt idx="82">
                  <c:v>43556</c:v>
                </c:pt>
                <c:pt idx="83">
                  <c:v>43525</c:v>
                </c:pt>
                <c:pt idx="84">
                  <c:v>43497</c:v>
                </c:pt>
                <c:pt idx="85">
                  <c:v>43466</c:v>
                </c:pt>
                <c:pt idx="86">
                  <c:v>43435</c:v>
                </c:pt>
                <c:pt idx="87">
                  <c:v>43405</c:v>
                </c:pt>
                <c:pt idx="88">
                  <c:v>43404</c:v>
                </c:pt>
                <c:pt idx="89">
                  <c:v>43344</c:v>
                </c:pt>
                <c:pt idx="90">
                  <c:v>43313</c:v>
                </c:pt>
                <c:pt idx="91">
                  <c:v>43282</c:v>
                </c:pt>
                <c:pt idx="92">
                  <c:v>43252</c:v>
                </c:pt>
                <c:pt idx="93">
                  <c:v>43221</c:v>
                </c:pt>
                <c:pt idx="94">
                  <c:v>43191</c:v>
                </c:pt>
                <c:pt idx="95">
                  <c:v>43160</c:v>
                </c:pt>
                <c:pt idx="96">
                  <c:v>43132</c:v>
                </c:pt>
                <c:pt idx="97">
                  <c:v>43101</c:v>
                </c:pt>
                <c:pt idx="98">
                  <c:v>43070</c:v>
                </c:pt>
                <c:pt idx="99">
                  <c:v>43040</c:v>
                </c:pt>
                <c:pt idx="100">
                  <c:v>43009</c:v>
                </c:pt>
                <c:pt idx="101">
                  <c:v>42979</c:v>
                </c:pt>
                <c:pt idx="102">
                  <c:v>42948</c:v>
                </c:pt>
                <c:pt idx="103">
                  <c:v>42917</c:v>
                </c:pt>
                <c:pt idx="104">
                  <c:v>42887</c:v>
                </c:pt>
                <c:pt idx="105">
                  <c:v>42856</c:v>
                </c:pt>
                <c:pt idx="106">
                  <c:v>42826</c:v>
                </c:pt>
                <c:pt idx="107">
                  <c:v>42795</c:v>
                </c:pt>
                <c:pt idx="108">
                  <c:v>42767</c:v>
                </c:pt>
                <c:pt idx="109">
                  <c:v>42736</c:v>
                </c:pt>
                <c:pt idx="110">
                  <c:v>42705</c:v>
                </c:pt>
                <c:pt idx="111">
                  <c:v>42675</c:v>
                </c:pt>
                <c:pt idx="112">
                  <c:v>42644</c:v>
                </c:pt>
                <c:pt idx="113">
                  <c:v>42614</c:v>
                </c:pt>
                <c:pt idx="114">
                  <c:v>42583</c:v>
                </c:pt>
                <c:pt idx="115">
                  <c:v>42552</c:v>
                </c:pt>
                <c:pt idx="116">
                  <c:v>42522</c:v>
                </c:pt>
                <c:pt idx="117">
                  <c:v>42491</c:v>
                </c:pt>
                <c:pt idx="118">
                  <c:v>42461</c:v>
                </c:pt>
                <c:pt idx="119">
                  <c:v>42430</c:v>
                </c:pt>
                <c:pt idx="120">
                  <c:v>42401</c:v>
                </c:pt>
                <c:pt idx="121">
                  <c:v>42370</c:v>
                </c:pt>
              </c:numCache>
            </c:numRef>
          </c:cat>
          <c:val>
            <c:numRef>
              <c:f>Customers!$X$5:$X$130</c:f>
              <c:numCache>
                <c:formatCode>0.0%</c:formatCode>
                <c:ptCount val="126"/>
                <c:pt idx="0">
                  <c:v>9.98527392839961E-2</c:v>
                </c:pt>
                <c:pt idx="1">
                  <c:v>9.9663041016569448E-2</c:v>
                </c:pt>
                <c:pt idx="2">
                  <c:v>9.8586919828724737E-2</c:v>
                </c:pt>
                <c:pt idx="3">
                  <c:v>9.6329646724998275E-2</c:v>
                </c:pt>
                <c:pt idx="4">
                  <c:v>9.826017002988674E-2</c:v>
                </c:pt>
                <c:pt idx="5">
                  <c:v>0.10088066078377184</c:v>
                </c:pt>
                <c:pt idx="6">
                  <c:v>0.10329707556688048</c:v>
                </c:pt>
                <c:pt idx="7">
                  <c:v>0.10478633263133562</c:v>
                </c:pt>
                <c:pt idx="8">
                  <c:v>0.10524383988113137</c:v>
                </c:pt>
                <c:pt idx="9">
                  <c:v>0.10613083752873946</c:v>
                </c:pt>
                <c:pt idx="10">
                  <c:v>0.10663711493554981</c:v>
                </c:pt>
                <c:pt idx="11">
                  <c:v>0.10781463609290365</c:v>
                </c:pt>
                <c:pt idx="12">
                  <c:v>0.11007385401995479</c:v>
                </c:pt>
                <c:pt idx="13">
                  <c:v>0.11052487771267007</c:v>
                </c:pt>
                <c:pt idx="14">
                  <c:v>0.11197422364498605</c:v>
                </c:pt>
                <c:pt idx="15">
                  <c:v>0.11331316008420654</c:v>
                </c:pt>
                <c:pt idx="16">
                  <c:v>0.11570765290034159</c:v>
                </c:pt>
                <c:pt idx="17">
                  <c:v>0.11794047808208803</c:v>
                </c:pt>
                <c:pt idx="18">
                  <c:v>0.12008801422728292</c:v>
                </c:pt>
                <c:pt idx="19">
                  <c:v>0.12333308906747437</c:v>
                </c:pt>
                <c:pt idx="20">
                  <c:v>0.12640380505347509</c:v>
                </c:pt>
                <c:pt idx="21">
                  <c:v>0.12873328544633425</c:v>
                </c:pt>
                <c:pt idx="22">
                  <c:v>0.130062739370818</c:v>
                </c:pt>
                <c:pt idx="23">
                  <c:v>0.13092351281543008</c:v>
                </c:pt>
                <c:pt idx="24">
                  <c:v>0.13114108311917314</c:v>
                </c:pt>
                <c:pt idx="25">
                  <c:v>0.13123902421541805</c:v>
                </c:pt>
                <c:pt idx="26">
                  <c:v>0.13106719178471357</c:v>
                </c:pt>
                <c:pt idx="27">
                  <c:v>0.13191588644368848</c:v>
                </c:pt>
                <c:pt idx="28">
                  <c:v>0.1345129654176907</c:v>
                </c:pt>
                <c:pt idx="29">
                  <c:v>0.13878722049514963</c:v>
                </c:pt>
                <c:pt idx="30">
                  <c:v>0.1391490197263088</c:v>
                </c:pt>
                <c:pt idx="31">
                  <c:v>0.1368151364200115</c:v>
                </c:pt>
                <c:pt idx="32">
                  <c:v>0.13523452157598498</c:v>
                </c:pt>
                <c:pt idx="33">
                  <c:v>0.13230902101946865</c:v>
                </c:pt>
                <c:pt idx="34">
                  <c:v>0.13001637232070504</c:v>
                </c:pt>
                <c:pt idx="35">
                  <c:v>0.12716781177742884</c:v>
                </c:pt>
                <c:pt idx="36">
                  <c:v>0.12280119482243611</c:v>
                </c:pt>
                <c:pt idx="37">
                  <c:v>0.11743123687769788</c:v>
                </c:pt>
                <c:pt idx="38">
                  <c:v>0.1111999234273643</c:v>
                </c:pt>
                <c:pt idx="39">
                  <c:v>0.10874335482411492</c:v>
                </c:pt>
                <c:pt idx="40">
                  <c:v>0.11095190309057716</c:v>
                </c:pt>
                <c:pt idx="41">
                  <c:v>0.11315068410292392</c:v>
                </c:pt>
                <c:pt idx="42">
                  <c:v>0.11559875079135731</c:v>
                </c:pt>
                <c:pt idx="43">
                  <c:v>0.11784544628807553</c:v>
                </c:pt>
                <c:pt idx="44">
                  <c:v>0.1182758544520494</c:v>
                </c:pt>
                <c:pt idx="45">
                  <c:v>0.11863158038947655</c:v>
                </c:pt>
                <c:pt idx="46">
                  <c:v>0.11926850349523102</c:v>
                </c:pt>
                <c:pt idx="47">
                  <c:v>0.11981322398539891</c:v>
                </c:pt>
                <c:pt idx="48">
                  <c:v>0.12105073515885238</c:v>
                </c:pt>
                <c:pt idx="49">
                  <c:v>0.12146318515439809</c:v>
                </c:pt>
                <c:pt idx="50">
                  <c:v>0.12002940189924714</c:v>
                </c:pt>
                <c:pt idx="51">
                  <c:v>0.11861180082094523</c:v>
                </c:pt>
                <c:pt idx="52">
                  <c:v>0.11801146749468691</c:v>
                </c:pt>
                <c:pt idx="53">
                  <c:v>0.11884871326956994</c:v>
                </c:pt>
                <c:pt idx="54">
                  <c:v>0.1206493256320957</c:v>
                </c:pt>
                <c:pt idx="55">
                  <c:v>0.12277224534484008</c:v>
                </c:pt>
                <c:pt idx="56">
                  <c:v>0.12495377685144721</c:v>
                </c:pt>
                <c:pt idx="57">
                  <c:v>0.12611829102350181</c:v>
                </c:pt>
                <c:pt idx="58">
                  <c:v>0.12691559417941684</c:v>
                </c:pt>
                <c:pt idx="59">
                  <c:v>0.1272248000545165</c:v>
                </c:pt>
                <c:pt idx="60">
                  <c:v>0.12760923634353794</c:v>
                </c:pt>
                <c:pt idx="61">
                  <c:v>0.12683392838348756</c:v>
                </c:pt>
                <c:pt idx="62">
                  <c:v>0.12761090497968502</c:v>
                </c:pt>
                <c:pt idx="63">
                  <c:v>0.12855580374335671</c:v>
                </c:pt>
                <c:pt idx="64">
                  <c:v>0.12875838675161555</c:v>
                </c:pt>
                <c:pt idx="65">
                  <c:v>0.1302473535929552</c:v>
                </c:pt>
                <c:pt idx="66">
                  <c:v>0.13129128517199484</c:v>
                </c:pt>
                <c:pt idx="67">
                  <c:v>0.13108521041428428</c:v>
                </c:pt>
                <c:pt idx="68">
                  <c:v>0.13228906819776004</c:v>
                </c:pt>
                <c:pt idx="69">
                  <c:v>0.13253049486275564</c:v>
                </c:pt>
                <c:pt idx="70">
                  <c:v>0.13344869311553736</c:v>
                </c:pt>
                <c:pt idx="71">
                  <c:v>0.13438163465478067</c:v>
                </c:pt>
                <c:pt idx="72">
                  <c:v>0.13372563328235504</c:v>
                </c:pt>
                <c:pt idx="73">
                  <c:v>0.13391001249780921</c:v>
                </c:pt>
                <c:pt idx="74">
                  <c:v>0.1350107034525094</c:v>
                </c:pt>
                <c:pt idx="75">
                  <c:v>0.1360252098350789</c:v>
                </c:pt>
                <c:pt idx="76">
                  <c:v>0.1370282187558314</c:v>
                </c:pt>
                <c:pt idx="77">
                  <c:v>0.13802626264831411</c:v>
                </c:pt>
                <c:pt idx="78">
                  <c:v>0.14069016521588532</c:v>
                </c:pt>
                <c:pt idx="79">
                  <c:v>0.14139078333379351</c:v>
                </c:pt>
                <c:pt idx="80">
                  <c:v>0.14258448411361851</c:v>
                </c:pt>
                <c:pt idx="81">
                  <c:v>0.14181914628875297</c:v>
                </c:pt>
                <c:pt idx="82">
                  <c:v>0.14671138275544665</c:v>
                </c:pt>
                <c:pt idx="83">
                  <c:v>0.14905391963196796</c:v>
                </c:pt>
                <c:pt idx="84">
                  <c:v>0.14719137705075172</c:v>
                </c:pt>
                <c:pt idx="85">
                  <c:v>0.1507258853453336</c:v>
                </c:pt>
                <c:pt idx="86">
                  <c:v>0.15047569757786486</c:v>
                </c:pt>
                <c:pt idx="87">
                  <c:v>0.15211305725718763</c:v>
                </c:pt>
                <c:pt idx="88">
                  <c:v>0.15133610983799295</c:v>
                </c:pt>
                <c:pt idx="89">
                  <c:v>0.15561254299059812</c:v>
                </c:pt>
                <c:pt idx="90">
                  <c:v>0.15592926346993602</c:v>
                </c:pt>
                <c:pt idx="91">
                  <c:v>0.159748147974768</c:v>
                </c:pt>
                <c:pt idx="92">
                  <c:v>0.1635510093461795</c:v>
                </c:pt>
                <c:pt idx="93">
                  <c:v>0.16547490104835258</c:v>
                </c:pt>
                <c:pt idx="94">
                  <c:v>0.16751617345504391</c:v>
                </c:pt>
                <c:pt idx="95">
                  <c:v>0.16828686121739905</c:v>
                </c:pt>
                <c:pt idx="96">
                  <c:v>0.15634314719001952</c:v>
                </c:pt>
                <c:pt idx="97">
                  <c:v>0.168090059635807</c:v>
                </c:pt>
                <c:pt idx="98">
                  <c:v>0.16697397023934435</c:v>
                </c:pt>
                <c:pt idx="99">
                  <c:v>0.17090216616606424</c:v>
                </c:pt>
                <c:pt idx="100">
                  <c:v>0.17141430039238167</c:v>
                </c:pt>
                <c:pt idx="101">
                  <c:v>0.19165997145108071</c:v>
                </c:pt>
                <c:pt idx="102">
                  <c:v>0.17246514719971845</c:v>
                </c:pt>
                <c:pt idx="103">
                  <c:v>0.17817812346266507</c:v>
                </c:pt>
                <c:pt idx="104">
                  <c:v>0.17826505206872342</c:v>
                </c:pt>
                <c:pt idx="105">
                  <c:v>0.18046870415686697</c:v>
                </c:pt>
                <c:pt idx="106">
                  <c:v>0.18046870415686697</c:v>
                </c:pt>
                <c:pt idx="107">
                  <c:v>0.18610191673602156</c:v>
                </c:pt>
                <c:pt idx="108">
                  <c:v>0.18847277269418902</c:v>
                </c:pt>
                <c:pt idx="109">
                  <c:v>0.19023231801755291</c:v>
                </c:pt>
                <c:pt idx="110">
                  <c:v>0.18887052236310303</c:v>
                </c:pt>
                <c:pt idx="111">
                  <c:v>0.19135066904675557</c:v>
                </c:pt>
                <c:pt idx="112">
                  <c:v>0.17348393658313646</c:v>
                </c:pt>
                <c:pt idx="113">
                  <c:v>0.19903321289451112</c:v>
                </c:pt>
                <c:pt idx="114">
                  <c:v>0.20416434027865898</c:v>
                </c:pt>
                <c:pt idx="115">
                  <c:v>0.19663167560573491</c:v>
                </c:pt>
                <c:pt idx="116">
                  <c:v>0.20786421126407367</c:v>
                </c:pt>
                <c:pt idx="117">
                  <c:v>0.20056851647929524</c:v>
                </c:pt>
                <c:pt idx="118">
                  <c:v>0.24513767308610537</c:v>
                </c:pt>
                <c:pt idx="119">
                  <c:v>0.19996293371581442</c:v>
                </c:pt>
                <c:pt idx="120">
                  <c:v>0.20277557926037959</c:v>
                </c:pt>
                <c:pt idx="121">
                  <c:v>0.21179587884434078</c:v>
                </c:pt>
                <c:pt idx="122">
                  <c:v>0.20207381585984266</c:v>
                </c:pt>
                <c:pt idx="123">
                  <c:v>0.21314199588306895</c:v>
                </c:pt>
                <c:pt idx="124">
                  <c:v>0.20358726170528785</c:v>
                </c:pt>
                <c:pt idx="125">
                  <c:v>0.21441318833694969</c:v>
                </c:pt>
              </c:numCache>
            </c:numRef>
          </c:val>
          <c:smooth val="0"/>
          <c:extLst>
            <c:ext xmlns:c16="http://schemas.microsoft.com/office/drawing/2014/chart" uri="{C3380CC4-5D6E-409C-BE32-E72D297353CC}">
              <c16:uniqueId val="{00000001-B8B7-4163-A5F1-E6598AF8E31C}"/>
            </c:ext>
          </c:extLst>
        </c:ser>
        <c:ser>
          <c:idx val="2"/>
          <c:order val="2"/>
          <c:tx>
            <c:v>VP-MPD</c:v>
          </c:tx>
          <c:spPr>
            <a:ln w="28575" cap="rnd">
              <a:solidFill>
                <a:schemeClr val="accent3"/>
              </a:solidFill>
              <a:round/>
            </a:ln>
            <a:effectLst/>
          </c:spPr>
          <c:marker>
            <c:symbol val="none"/>
          </c:marker>
          <c:cat>
            <c:numRef>
              <c:f>Customers!$A$9:$A$130</c:f>
              <c:numCache>
                <c:formatCode>[$-409]mmm\-yy;@</c:formatCode>
                <c:ptCount val="122"/>
                <c:pt idx="0">
                  <c:v>46081</c:v>
                </c:pt>
                <c:pt idx="1">
                  <c:v>46053</c:v>
                </c:pt>
                <c:pt idx="2">
                  <c:v>46022</c:v>
                </c:pt>
                <c:pt idx="3">
                  <c:v>45991</c:v>
                </c:pt>
                <c:pt idx="4">
                  <c:v>45961</c:v>
                </c:pt>
                <c:pt idx="5">
                  <c:v>45930</c:v>
                </c:pt>
                <c:pt idx="6">
                  <c:v>45900</c:v>
                </c:pt>
                <c:pt idx="7">
                  <c:v>45869</c:v>
                </c:pt>
                <c:pt idx="8">
                  <c:v>45838</c:v>
                </c:pt>
                <c:pt idx="9">
                  <c:v>45808</c:v>
                </c:pt>
                <c:pt idx="10">
                  <c:v>45777</c:v>
                </c:pt>
                <c:pt idx="11">
                  <c:v>45747</c:v>
                </c:pt>
                <c:pt idx="12">
                  <c:v>45716</c:v>
                </c:pt>
                <c:pt idx="13">
                  <c:v>45688</c:v>
                </c:pt>
                <c:pt idx="14">
                  <c:v>45657</c:v>
                </c:pt>
                <c:pt idx="15">
                  <c:v>45626</c:v>
                </c:pt>
                <c:pt idx="16">
                  <c:v>45596</c:v>
                </c:pt>
                <c:pt idx="17">
                  <c:v>45565</c:v>
                </c:pt>
                <c:pt idx="18">
                  <c:v>45535</c:v>
                </c:pt>
                <c:pt idx="19">
                  <c:v>45504</c:v>
                </c:pt>
                <c:pt idx="20">
                  <c:v>45473</c:v>
                </c:pt>
                <c:pt idx="21">
                  <c:v>45443</c:v>
                </c:pt>
                <c:pt idx="22">
                  <c:v>45412</c:v>
                </c:pt>
                <c:pt idx="23">
                  <c:v>45382</c:v>
                </c:pt>
                <c:pt idx="24">
                  <c:v>45351</c:v>
                </c:pt>
                <c:pt idx="25">
                  <c:v>45322</c:v>
                </c:pt>
                <c:pt idx="26">
                  <c:v>45291</c:v>
                </c:pt>
                <c:pt idx="27">
                  <c:v>45260</c:v>
                </c:pt>
                <c:pt idx="28">
                  <c:v>45230</c:v>
                </c:pt>
                <c:pt idx="29">
                  <c:v>45199</c:v>
                </c:pt>
                <c:pt idx="30">
                  <c:v>45169</c:v>
                </c:pt>
                <c:pt idx="31">
                  <c:v>45138</c:v>
                </c:pt>
                <c:pt idx="32">
                  <c:v>45107</c:v>
                </c:pt>
                <c:pt idx="33">
                  <c:v>45077</c:v>
                </c:pt>
                <c:pt idx="34">
                  <c:v>45046</c:v>
                </c:pt>
                <c:pt idx="35">
                  <c:v>45016</c:v>
                </c:pt>
                <c:pt idx="36">
                  <c:v>44985</c:v>
                </c:pt>
                <c:pt idx="37">
                  <c:v>44957</c:v>
                </c:pt>
                <c:pt idx="38">
                  <c:v>44926</c:v>
                </c:pt>
                <c:pt idx="39">
                  <c:v>44895</c:v>
                </c:pt>
                <c:pt idx="40">
                  <c:v>44865</c:v>
                </c:pt>
                <c:pt idx="41">
                  <c:v>44834</c:v>
                </c:pt>
                <c:pt idx="42">
                  <c:v>44804</c:v>
                </c:pt>
                <c:pt idx="43">
                  <c:v>44773</c:v>
                </c:pt>
                <c:pt idx="44">
                  <c:v>44742</c:v>
                </c:pt>
                <c:pt idx="45">
                  <c:v>44712</c:v>
                </c:pt>
                <c:pt idx="46">
                  <c:v>44681</c:v>
                </c:pt>
                <c:pt idx="47">
                  <c:v>44641</c:v>
                </c:pt>
                <c:pt idx="48">
                  <c:v>44620</c:v>
                </c:pt>
                <c:pt idx="49">
                  <c:v>44592</c:v>
                </c:pt>
                <c:pt idx="50">
                  <c:v>44561</c:v>
                </c:pt>
                <c:pt idx="51">
                  <c:v>44530</c:v>
                </c:pt>
                <c:pt idx="52">
                  <c:v>44500</c:v>
                </c:pt>
                <c:pt idx="53">
                  <c:v>44469</c:v>
                </c:pt>
                <c:pt idx="54">
                  <c:v>44439</c:v>
                </c:pt>
                <c:pt idx="55">
                  <c:v>44378</c:v>
                </c:pt>
                <c:pt idx="56">
                  <c:v>44348</c:v>
                </c:pt>
                <c:pt idx="57">
                  <c:v>44317</c:v>
                </c:pt>
                <c:pt idx="58">
                  <c:v>44287</c:v>
                </c:pt>
                <c:pt idx="59">
                  <c:v>44256</c:v>
                </c:pt>
                <c:pt idx="60">
                  <c:v>44228</c:v>
                </c:pt>
                <c:pt idx="61">
                  <c:v>44197</c:v>
                </c:pt>
                <c:pt idx="62" formatCode="mmm\-yy">
                  <c:v>44196</c:v>
                </c:pt>
                <c:pt idx="63" formatCode="mmm\-yy">
                  <c:v>44165</c:v>
                </c:pt>
                <c:pt idx="64" formatCode="mmm\-yy">
                  <c:v>44135</c:v>
                </c:pt>
                <c:pt idx="65" formatCode="mmm\-yy">
                  <c:v>44104</c:v>
                </c:pt>
                <c:pt idx="66" formatCode="mmm\-yy">
                  <c:v>44044</c:v>
                </c:pt>
                <c:pt idx="67" formatCode="mmm\-yy">
                  <c:v>44013</c:v>
                </c:pt>
                <c:pt idx="68" formatCode="mmm\-yy">
                  <c:v>43983</c:v>
                </c:pt>
                <c:pt idx="69" formatCode="mmm\-yy">
                  <c:v>43952</c:v>
                </c:pt>
                <c:pt idx="70" formatCode="mmm\-yy">
                  <c:v>43922</c:v>
                </c:pt>
                <c:pt idx="71" formatCode="mmm\-yy">
                  <c:v>43891</c:v>
                </c:pt>
                <c:pt idx="72" formatCode="mmm\-yy">
                  <c:v>43862</c:v>
                </c:pt>
                <c:pt idx="73" formatCode="mmm\-yy">
                  <c:v>43831</c:v>
                </c:pt>
                <c:pt idx="74">
                  <c:v>43800</c:v>
                </c:pt>
                <c:pt idx="75">
                  <c:v>43770</c:v>
                </c:pt>
                <c:pt idx="76">
                  <c:v>43739</c:v>
                </c:pt>
                <c:pt idx="77">
                  <c:v>43709</c:v>
                </c:pt>
                <c:pt idx="78">
                  <c:v>43678</c:v>
                </c:pt>
                <c:pt idx="79">
                  <c:v>43647</c:v>
                </c:pt>
                <c:pt idx="80">
                  <c:v>43617</c:v>
                </c:pt>
                <c:pt idx="81">
                  <c:v>43586</c:v>
                </c:pt>
                <c:pt idx="82">
                  <c:v>43556</c:v>
                </c:pt>
                <c:pt idx="83">
                  <c:v>43525</c:v>
                </c:pt>
                <c:pt idx="84">
                  <c:v>43497</c:v>
                </c:pt>
                <c:pt idx="85">
                  <c:v>43466</c:v>
                </c:pt>
                <c:pt idx="86">
                  <c:v>43435</c:v>
                </c:pt>
                <c:pt idx="87">
                  <c:v>43405</c:v>
                </c:pt>
                <c:pt idx="88">
                  <c:v>43404</c:v>
                </c:pt>
                <c:pt idx="89">
                  <c:v>43344</c:v>
                </c:pt>
                <c:pt idx="90">
                  <c:v>43313</c:v>
                </c:pt>
                <c:pt idx="91">
                  <c:v>43282</c:v>
                </c:pt>
                <c:pt idx="92">
                  <c:v>43252</c:v>
                </c:pt>
                <c:pt idx="93">
                  <c:v>43221</c:v>
                </c:pt>
                <c:pt idx="94">
                  <c:v>43191</c:v>
                </c:pt>
                <c:pt idx="95">
                  <c:v>43160</c:v>
                </c:pt>
                <c:pt idx="96">
                  <c:v>43132</c:v>
                </c:pt>
                <c:pt idx="97">
                  <c:v>43101</c:v>
                </c:pt>
                <c:pt idx="98">
                  <c:v>43070</c:v>
                </c:pt>
                <c:pt idx="99">
                  <c:v>43040</c:v>
                </c:pt>
                <c:pt idx="100">
                  <c:v>43009</c:v>
                </c:pt>
                <c:pt idx="101">
                  <c:v>42979</c:v>
                </c:pt>
                <c:pt idx="102">
                  <c:v>42948</c:v>
                </c:pt>
                <c:pt idx="103">
                  <c:v>42917</c:v>
                </c:pt>
                <c:pt idx="104">
                  <c:v>42887</c:v>
                </c:pt>
                <c:pt idx="105">
                  <c:v>42856</c:v>
                </c:pt>
                <c:pt idx="106">
                  <c:v>42826</c:v>
                </c:pt>
                <c:pt idx="107">
                  <c:v>42795</c:v>
                </c:pt>
                <c:pt idx="108">
                  <c:v>42767</c:v>
                </c:pt>
                <c:pt idx="109">
                  <c:v>42736</c:v>
                </c:pt>
                <c:pt idx="110">
                  <c:v>42705</c:v>
                </c:pt>
                <c:pt idx="111">
                  <c:v>42675</c:v>
                </c:pt>
                <c:pt idx="112">
                  <c:v>42644</c:v>
                </c:pt>
                <c:pt idx="113">
                  <c:v>42614</c:v>
                </c:pt>
                <c:pt idx="114">
                  <c:v>42583</c:v>
                </c:pt>
                <c:pt idx="115">
                  <c:v>42552</c:v>
                </c:pt>
                <c:pt idx="116">
                  <c:v>42522</c:v>
                </c:pt>
                <c:pt idx="117">
                  <c:v>42491</c:v>
                </c:pt>
                <c:pt idx="118">
                  <c:v>42461</c:v>
                </c:pt>
                <c:pt idx="119">
                  <c:v>42430</c:v>
                </c:pt>
                <c:pt idx="120">
                  <c:v>42401</c:v>
                </c:pt>
                <c:pt idx="121">
                  <c:v>42370</c:v>
                </c:pt>
              </c:numCache>
            </c:numRef>
          </c:cat>
          <c:val>
            <c:numRef>
              <c:f>Customers!$AJ$5:$AJ$130</c:f>
              <c:numCache>
                <c:formatCode>0.0%</c:formatCode>
                <c:ptCount val="126"/>
                <c:pt idx="0">
                  <c:v>6.4715968803584272E-3</c:v>
                </c:pt>
                <c:pt idx="1">
                  <c:v>6.4719548622635247E-3</c:v>
                </c:pt>
                <c:pt idx="2">
                  <c:v>6.5208946112436869E-3</c:v>
                </c:pt>
                <c:pt idx="3">
                  <c:v>6.4978340553148951E-3</c:v>
                </c:pt>
                <c:pt idx="4">
                  <c:v>6.521256521256521E-3</c:v>
                </c:pt>
                <c:pt idx="5">
                  <c:v>6.5158320856208065E-3</c:v>
                </c:pt>
                <c:pt idx="6">
                  <c:v>6.4877453698569372E-3</c:v>
                </c:pt>
                <c:pt idx="7">
                  <c:v>6.4232121598050886E-3</c:v>
                </c:pt>
                <c:pt idx="8">
                  <c:v>6.3646677920137255E-3</c:v>
                </c:pt>
                <c:pt idx="9">
                  <c:v>6.53270487058629E-3</c:v>
                </c:pt>
                <c:pt idx="10">
                  <c:v>6.5553902936153806E-3</c:v>
                </c:pt>
                <c:pt idx="11">
                  <c:v>6.5474552957359008E-3</c:v>
                </c:pt>
                <c:pt idx="12">
                  <c:v>6.6015678723696878E-3</c:v>
                </c:pt>
                <c:pt idx="13">
                  <c:v>6.6584124363736419E-3</c:v>
                </c:pt>
                <c:pt idx="14">
                  <c:v>6.7017843845665901E-3</c:v>
                </c:pt>
                <c:pt idx="15">
                  <c:v>6.4551724137931034E-3</c:v>
                </c:pt>
                <c:pt idx="16">
                  <c:v>6.4544601974954484E-3</c:v>
                </c:pt>
                <c:pt idx="17">
                  <c:v>6.5058580289455549E-3</c:v>
                </c:pt>
                <c:pt idx="18">
                  <c:v>8.0500647864803019E-3</c:v>
                </c:pt>
                <c:pt idx="19">
                  <c:v>8.022496071458109E-3</c:v>
                </c:pt>
                <c:pt idx="20">
                  <c:v>7.9669193659545143E-3</c:v>
                </c:pt>
                <c:pt idx="21">
                  <c:v>7.9624392520798448E-3</c:v>
                </c:pt>
                <c:pt idx="22">
                  <c:v>8.658008658008658E-3</c:v>
                </c:pt>
                <c:pt idx="23">
                  <c:v>8.5762823323103903E-3</c:v>
                </c:pt>
                <c:pt idx="24">
                  <c:v>9.0714755536066647E-3</c:v>
                </c:pt>
                <c:pt idx="25">
                  <c:v>9.8646352825121943E-3</c:v>
                </c:pt>
                <c:pt idx="26">
                  <c:v>1.086568802304843E-2</c:v>
                </c:pt>
                <c:pt idx="27">
                  <c:v>1.116935151897692E-2</c:v>
                </c:pt>
                <c:pt idx="28">
                  <c:v>1.1086109434169366E-2</c:v>
                </c:pt>
                <c:pt idx="29">
                  <c:v>1.1114160263446762E-2</c:v>
                </c:pt>
                <c:pt idx="30">
                  <c:v>0.01</c:v>
                </c:pt>
                <c:pt idx="31">
                  <c:v>0.01</c:v>
                </c:pt>
                <c:pt idx="32">
                  <c:v>0.01</c:v>
                </c:pt>
                <c:pt idx="33">
                  <c:v>1.0116240815878934E-2</c:v>
                </c:pt>
                <c:pt idx="34">
                  <c:v>1.0492575749274013E-2</c:v>
                </c:pt>
                <c:pt idx="35">
                  <c:v>1.0615245357544505E-2</c:v>
                </c:pt>
                <c:pt idx="36">
                  <c:v>1.0999999999999999E-2</c:v>
                </c:pt>
                <c:pt idx="37">
                  <c:v>1.1386084284460052E-2</c:v>
                </c:pt>
                <c:pt idx="38">
                  <c:v>1.0552929537210069E-2</c:v>
                </c:pt>
                <c:pt idx="39">
                  <c:v>1.0587976458940652E-2</c:v>
                </c:pt>
                <c:pt idx="40">
                  <c:v>1.1082693947144074E-2</c:v>
                </c:pt>
                <c:pt idx="41">
                  <c:v>1.1326149109302837E-2</c:v>
                </c:pt>
                <c:pt idx="42">
                  <c:v>8.6399031450348079E-3</c:v>
                </c:pt>
                <c:pt idx="43">
                  <c:v>8.8001540026950466E-3</c:v>
                </c:pt>
                <c:pt idx="44">
                  <c:v>9.0305883648577959E-3</c:v>
                </c:pt>
                <c:pt idx="45">
                  <c:v>9.9453281683562732E-3</c:v>
                </c:pt>
                <c:pt idx="46">
                  <c:v>0.01</c:v>
                </c:pt>
                <c:pt idx="47">
                  <c:v>0.01</c:v>
                </c:pt>
                <c:pt idx="48">
                  <c:v>1.4005897219882055E-2</c:v>
                </c:pt>
                <c:pt idx="49">
                  <c:v>1.5108767303889254E-2</c:v>
                </c:pt>
                <c:pt idx="50">
                  <c:v>1.4505389980976538E-2</c:v>
                </c:pt>
                <c:pt idx="51">
                  <c:v>1.4395520219762804E-2</c:v>
                </c:pt>
                <c:pt idx="52">
                  <c:v>1.4482029598308669E-2</c:v>
                </c:pt>
                <c:pt idx="53">
                  <c:v>1.4492370348821833E-2</c:v>
                </c:pt>
                <c:pt idx="54">
                  <c:v>1.3845268006700167E-2</c:v>
                </c:pt>
                <c:pt idx="55">
                  <c:v>1.3880901343650337E-2</c:v>
                </c:pt>
                <c:pt idx="56">
                  <c:v>1.3918321429505795E-2</c:v>
                </c:pt>
                <c:pt idx="57">
                  <c:v>1.4129015408722904E-2</c:v>
                </c:pt>
                <c:pt idx="58">
                  <c:v>1.5102819367144835E-2</c:v>
                </c:pt>
                <c:pt idx="59">
                  <c:v>1.227729100641828E-2</c:v>
                </c:pt>
                <c:pt idx="60">
                  <c:v>1.193205358375915E-2</c:v>
                </c:pt>
                <c:pt idx="61">
                  <c:v>1.1948224361101892E-2</c:v>
                </c:pt>
                <c:pt idx="62">
                  <c:v>1.2035496394897394E-2</c:v>
                </c:pt>
                <c:pt idx="63">
                  <c:v>1.2395256070462881E-2</c:v>
                </c:pt>
                <c:pt idx="64">
                  <c:v>1.2402893115456738E-2</c:v>
                </c:pt>
                <c:pt idx="65">
                  <c:v>1.2368153343684745E-2</c:v>
                </c:pt>
                <c:pt idx="66">
                  <c:v>1.2170441629009453E-2</c:v>
                </c:pt>
                <c:pt idx="67">
                  <c:v>1.2397247436206389E-2</c:v>
                </c:pt>
                <c:pt idx="68">
                  <c:v>1.2465559211406255E-2</c:v>
                </c:pt>
                <c:pt idx="69">
                  <c:v>1.2E-2</c:v>
                </c:pt>
                <c:pt idx="70">
                  <c:v>1.2261769356673231E-2</c:v>
                </c:pt>
                <c:pt idx="71">
                  <c:v>1.3009922822491731E-2</c:v>
                </c:pt>
                <c:pt idx="72">
                  <c:v>1.2E-2</c:v>
                </c:pt>
                <c:pt idx="73">
                  <c:v>1.2999999999999999E-2</c:v>
                </c:pt>
                <c:pt idx="74">
                  <c:v>1.2804269887052862E-2</c:v>
                </c:pt>
                <c:pt idx="75">
                  <c:v>1.4E-2</c:v>
                </c:pt>
                <c:pt idx="76">
                  <c:v>1.355799810299615E-2</c:v>
                </c:pt>
                <c:pt idx="77">
                  <c:v>1.3588927953568837E-2</c:v>
                </c:pt>
                <c:pt idx="78">
                  <c:v>1.3547793605218409E-2</c:v>
                </c:pt>
                <c:pt idx="79">
                  <c:v>1.2999999999999999E-2</c:v>
                </c:pt>
                <c:pt idx="80">
                  <c:v>1.2999999999999999E-2</c:v>
                </c:pt>
                <c:pt idx="81">
                  <c:v>1.2999999999999999E-2</c:v>
                </c:pt>
                <c:pt idx="82">
                  <c:v>1.2999999999999999E-2</c:v>
                </c:pt>
                <c:pt idx="83">
                  <c:v>1.2807749226422709E-2</c:v>
                </c:pt>
                <c:pt idx="84">
                  <c:v>1.2999999999999999E-2</c:v>
                </c:pt>
                <c:pt idx="85">
                  <c:v>1.274501895619908E-2</c:v>
                </c:pt>
                <c:pt idx="86">
                  <c:v>1.2914184033862661E-2</c:v>
                </c:pt>
                <c:pt idx="87">
                  <c:v>1.2999999999999999E-2</c:v>
                </c:pt>
                <c:pt idx="88">
                  <c:v>1.2636400377205981E-2</c:v>
                </c:pt>
                <c:pt idx="89">
                  <c:v>1.2118600705571863E-2</c:v>
                </c:pt>
                <c:pt idx="90">
                  <c:v>1.2199062853449669E-2</c:v>
                </c:pt>
                <c:pt idx="91">
                  <c:v>1.2210866057019903E-2</c:v>
                </c:pt>
                <c:pt idx="92">
                  <c:v>1.2202644353259849E-2</c:v>
                </c:pt>
                <c:pt idx="93">
                  <c:v>1.2228151564720711E-2</c:v>
                </c:pt>
                <c:pt idx="94">
                  <c:v>1.2258254875137469E-2</c:v>
                </c:pt>
                <c:pt idx="95">
                  <c:v>1.2297943182428441E-2</c:v>
                </c:pt>
                <c:pt idx="96">
                  <c:v>1.3465665236051503E-2</c:v>
                </c:pt>
                <c:pt idx="97">
                  <c:v>1.3294023050120611E-2</c:v>
                </c:pt>
                <c:pt idx="98">
                  <c:v>1.332294716484461E-2</c:v>
                </c:pt>
                <c:pt idx="99">
                  <c:v>1.3317938941546063E-2</c:v>
                </c:pt>
                <c:pt idx="100">
                  <c:v>1.3311505327285903E-2</c:v>
                </c:pt>
                <c:pt idx="101">
                  <c:v>1.344749838952115E-2</c:v>
                </c:pt>
                <c:pt idx="102">
                  <c:v>1.3521489510114289E-2</c:v>
                </c:pt>
                <c:pt idx="103">
                  <c:v>1.3381962509050927E-2</c:v>
                </c:pt>
                <c:pt idx="104">
                  <c:v>1.3317969880486629E-2</c:v>
                </c:pt>
                <c:pt idx="105">
                  <c:v>1.3345457463025862E-2</c:v>
                </c:pt>
                <c:pt idx="106">
                  <c:v>1.3381962509050927E-2</c:v>
                </c:pt>
                <c:pt idx="107">
                  <c:v>1.3373713550600344E-2</c:v>
                </c:pt>
                <c:pt idx="108">
                  <c:v>1.3462776228277193E-2</c:v>
                </c:pt>
                <c:pt idx="109">
                  <c:v>1.3534561469466674E-2</c:v>
                </c:pt>
                <c:pt idx="110">
                  <c:v>1.3562240998869813E-2</c:v>
                </c:pt>
                <c:pt idx="111">
                  <c:v>1.3534603379614681E-2</c:v>
                </c:pt>
                <c:pt idx="112">
                  <c:v>1.3667303397992952E-2</c:v>
                </c:pt>
                <c:pt idx="113">
                  <c:v>1.366583272805531E-2</c:v>
                </c:pt>
                <c:pt idx="114">
                  <c:v>1.4659880176024601E-2</c:v>
                </c:pt>
                <c:pt idx="115">
                  <c:v>1.4762295298817429E-2</c:v>
                </c:pt>
                <c:pt idx="116">
                  <c:v>1.3377839879935828E-2</c:v>
                </c:pt>
                <c:pt idx="117">
                  <c:v>1.3940845601098043E-2</c:v>
                </c:pt>
                <c:pt idx="118">
                  <c:v>1.4903757537456881E-2</c:v>
                </c:pt>
                <c:pt idx="119">
                  <c:v>8.9603225716125782E-3</c:v>
                </c:pt>
                <c:pt idx="120">
                  <c:v>8.6961189543185349E-3</c:v>
                </c:pt>
                <c:pt idx="121">
                  <c:v>9.7635634367743297E-3</c:v>
                </c:pt>
                <c:pt idx="122">
                  <c:v>8.8461110492934238E-3</c:v>
                </c:pt>
                <c:pt idx="123">
                  <c:v>9.0628561897083768E-3</c:v>
                </c:pt>
                <c:pt idx="124">
                  <c:v>8.8940771005308651E-3</c:v>
                </c:pt>
                <c:pt idx="125">
                  <c:v>8.8972918867819602E-3</c:v>
                </c:pt>
              </c:numCache>
            </c:numRef>
          </c:val>
          <c:smooth val="0"/>
          <c:extLst>
            <c:ext xmlns:c16="http://schemas.microsoft.com/office/drawing/2014/chart" uri="{C3380CC4-5D6E-409C-BE32-E72D297353CC}">
              <c16:uniqueId val="{00000002-B8B7-4163-A5F1-E6598AF8E31C}"/>
            </c:ext>
          </c:extLst>
        </c:ser>
        <c:ser>
          <c:idx val="3"/>
          <c:order val="3"/>
          <c:tx>
            <c:v>Statewide</c:v>
          </c:tx>
          <c:spPr>
            <a:ln w="28575" cap="rnd">
              <a:solidFill>
                <a:schemeClr val="accent4"/>
              </a:solidFill>
              <a:round/>
            </a:ln>
            <a:effectLst/>
          </c:spPr>
          <c:marker>
            <c:symbol val="none"/>
          </c:marker>
          <c:cat>
            <c:numRef>
              <c:f>Customers!$A$9:$A$130</c:f>
              <c:numCache>
                <c:formatCode>[$-409]mmm\-yy;@</c:formatCode>
                <c:ptCount val="122"/>
                <c:pt idx="0">
                  <c:v>46081</c:v>
                </c:pt>
                <c:pt idx="1">
                  <c:v>46053</c:v>
                </c:pt>
                <c:pt idx="2">
                  <c:v>46022</c:v>
                </c:pt>
                <c:pt idx="3">
                  <c:v>45991</c:v>
                </c:pt>
                <c:pt idx="4">
                  <c:v>45961</c:v>
                </c:pt>
                <c:pt idx="5">
                  <c:v>45930</c:v>
                </c:pt>
                <c:pt idx="6">
                  <c:v>45900</c:v>
                </c:pt>
                <c:pt idx="7">
                  <c:v>45869</c:v>
                </c:pt>
                <c:pt idx="8">
                  <c:v>45838</c:v>
                </c:pt>
                <c:pt idx="9">
                  <c:v>45808</c:v>
                </c:pt>
                <c:pt idx="10">
                  <c:v>45777</c:v>
                </c:pt>
                <c:pt idx="11">
                  <c:v>45747</c:v>
                </c:pt>
                <c:pt idx="12">
                  <c:v>45716</c:v>
                </c:pt>
                <c:pt idx="13">
                  <c:v>45688</c:v>
                </c:pt>
                <c:pt idx="14">
                  <c:v>45657</c:v>
                </c:pt>
                <c:pt idx="15">
                  <c:v>45626</c:v>
                </c:pt>
                <c:pt idx="16">
                  <c:v>45596</c:v>
                </c:pt>
                <c:pt idx="17">
                  <c:v>45565</c:v>
                </c:pt>
                <c:pt idx="18">
                  <c:v>45535</c:v>
                </c:pt>
                <c:pt idx="19">
                  <c:v>45504</c:v>
                </c:pt>
                <c:pt idx="20">
                  <c:v>45473</c:v>
                </c:pt>
                <c:pt idx="21">
                  <c:v>45443</c:v>
                </c:pt>
                <c:pt idx="22">
                  <c:v>45412</c:v>
                </c:pt>
                <c:pt idx="23">
                  <c:v>45382</c:v>
                </c:pt>
                <c:pt idx="24">
                  <c:v>45351</c:v>
                </c:pt>
                <c:pt idx="25">
                  <c:v>45322</c:v>
                </c:pt>
                <c:pt idx="26">
                  <c:v>45291</c:v>
                </c:pt>
                <c:pt idx="27">
                  <c:v>45260</c:v>
                </c:pt>
                <c:pt idx="28">
                  <c:v>45230</c:v>
                </c:pt>
                <c:pt idx="29">
                  <c:v>45199</c:v>
                </c:pt>
                <c:pt idx="30">
                  <c:v>45169</c:v>
                </c:pt>
                <c:pt idx="31">
                  <c:v>45138</c:v>
                </c:pt>
                <c:pt idx="32">
                  <c:v>45107</c:v>
                </c:pt>
                <c:pt idx="33">
                  <c:v>45077</c:v>
                </c:pt>
                <c:pt idx="34">
                  <c:v>45046</c:v>
                </c:pt>
                <c:pt idx="35">
                  <c:v>45016</c:v>
                </c:pt>
                <c:pt idx="36">
                  <c:v>44985</c:v>
                </c:pt>
                <c:pt idx="37">
                  <c:v>44957</c:v>
                </c:pt>
                <c:pt idx="38">
                  <c:v>44926</c:v>
                </c:pt>
                <c:pt idx="39">
                  <c:v>44895</c:v>
                </c:pt>
                <c:pt idx="40">
                  <c:v>44865</c:v>
                </c:pt>
                <c:pt idx="41">
                  <c:v>44834</c:v>
                </c:pt>
                <c:pt idx="42">
                  <c:v>44804</c:v>
                </c:pt>
                <c:pt idx="43">
                  <c:v>44773</c:v>
                </c:pt>
                <c:pt idx="44">
                  <c:v>44742</c:v>
                </c:pt>
                <c:pt idx="45">
                  <c:v>44712</c:v>
                </c:pt>
                <c:pt idx="46">
                  <c:v>44681</c:v>
                </c:pt>
                <c:pt idx="47">
                  <c:v>44641</c:v>
                </c:pt>
                <c:pt idx="48">
                  <c:v>44620</c:v>
                </c:pt>
                <c:pt idx="49">
                  <c:v>44592</c:v>
                </c:pt>
                <c:pt idx="50">
                  <c:v>44561</c:v>
                </c:pt>
                <c:pt idx="51">
                  <c:v>44530</c:v>
                </c:pt>
                <c:pt idx="52">
                  <c:v>44500</c:v>
                </c:pt>
                <c:pt idx="53">
                  <c:v>44469</c:v>
                </c:pt>
                <c:pt idx="54">
                  <c:v>44439</c:v>
                </c:pt>
                <c:pt idx="55">
                  <c:v>44378</c:v>
                </c:pt>
                <c:pt idx="56">
                  <c:v>44348</c:v>
                </c:pt>
                <c:pt idx="57">
                  <c:v>44317</c:v>
                </c:pt>
                <c:pt idx="58">
                  <c:v>44287</c:v>
                </c:pt>
                <c:pt idx="59">
                  <c:v>44256</c:v>
                </c:pt>
                <c:pt idx="60">
                  <c:v>44228</c:v>
                </c:pt>
                <c:pt idx="61">
                  <c:v>44197</c:v>
                </c:pt>
                <c:pt idx="62" formatCode="mmm\-yy">
                  <c:v>44196</c:v>
                </c:pt>
                <c:pt idx="63" formatCode="mmm\-yy">
                  <c:v>44165</c:v>
                </c:pt>
                <c:pt idx="64" formatCode="mmm\-yy">
                  <c:v>44135</c:v>
                </c:pt>
                <c:pt idx="65" formatCode="mmm\-yy">
                  <c:v>44104</c:v>
                </c:pt>
                <c:pt idx="66" formatCode="mmm\-yy">
                  <c:v>44044</c:v>
                </c:pt>
                <c:pt idx="67" formatCode="mmm\-yy">
                  <c:v>44013</c:v>
                </c:pt>
                <c:pt idx="68" formatCode="mmm\-yy">
                  <c:v>43983</c:v>
                </c:pt>
                <c:pt idx="69" formatCode="mmm\-yy">
                  <c:v>43952</c:v>
                </c:pt>
                <c:pt idx="70" formatCode="mmm\-yy">
                  <c:v>43922</c:v>
                </c:pt>
                <c:pt idx="71" formatCode="mmm\-yy">
                  <c:v>43891</c:v>
                </c:pt>
                <c:pt idx="72" formatCode="mmm\-yy">
                  <c:v>43862</c:v>
                </c:pt>
                <c:pt idx="73" formatCode="mmm\-yy">
                  <c:v>43831</c:v>
                </c:pt>
                <c:pt idx="74">
                  <c:v>43800</c:v>
                </c:pt>
                <c:pt idx="75">
                  <c:v>43770</c:v>
                </c:pt>
                <c:pt idx="76">
                  <c:v>43739</c:v>
                </c:pt>
                <c:pt idx="77">
                  <c:v>43709</c:v>
                </c:pt>
                <c:pt idx="78">
                  <c:v>43678</c:v>
                </c:pt>
                <c:pt idx="79">
                  <c:v>43647</c:v>
                </c:pt>
                <c:pt idx="80">
                  <c:v>43617</c:v>
                </c:pt>
                <c:pt idx="81">
                  <c:v>43586</c:v>
                </c:pt>
                <c:pt idx="82">
                  <c:v>43556</c:v>
                </c:pt>
                <c:pt idx="83">
                  <c:v>43525</c:v>
                </c:pt>
                <c:pt idx="84">
                  <c:v>43497</c:v>
                </c:pt>
                <c:pt idx="85">
                  <c:v>43466</c:v>
                </c:pt>
                <c:pt idx="86">
                  <c:v>43435</c:v>
                </c:pt>
                <c:pt idx="87">
                  <c:v>43405</c:v>
                </c:pt>
                <c:pt idx="88">
                  <c:v>43404</c:v>
                </c:pt>
                <c:pt idx="89">
                  <c:v>43344</c:v>
                </c:pt>
                <c:pt idx="90">
                  <c:v>43313</c:v>
                </c:pt>
                <c:pt idx="91">
                  <c:v>43282</c:v>
                </c:pt>
                <c:pt idx="92">
                  <c:v>43252</c:v>
                </c:pt>
                <c:pt idx="93">
                  <c:v>43221</c:v>
                </c:pt>
                <c:pt idx="94">
                  <c:v>43191</c:v>
                </c:pt>
                <c:pt idx="95">
                  <c:v>43160</c:v>
                </c:pt>
                <c:pt idx="96">
                  <c:v>43132</c:v>
                </c:pt>
                <c:pt idx="97">
                  <c:v>43101</c:v>
                </c:pt>
                <c:pt idx="98">
                  <c:v>43070</c:v>
                </c:pt>
                <c:pt idx="99">
                  <c:v>43040</c:v>
                </c:pt>
                <c:pt idx="100">
                  <c:v>43009</c:v>
                </c:pt>
                <c:pt idx="101">
                  <c:v>42979</c:v>
                </c:pt>
                <c:pt idx="102">
                  <c:v>42948</c:v>
                </c:pt>
                <c:pt idx="103">
                  <c:v>42917</c:v>
                </c:pt>
                <c:pt idx="104">
                  <c:v>42887</c:v>
                </c:pt>
                <c:pt idx="105">
                  <c:v>42856</c:v>
                </c:pt>
                <c:pt idx="106">
                  <c:v>42826</c:v>
                </c:pt>
                <c:pt idx="107">
                  <c:v>42795</c:v>
                </c:pt>
                <c:pt idx="108">
                  <c:v>42767</c:v>
                </c:pt>
                <c:pt idx="109">
                  <c:v>42736</c:v>
                </c:pt>
                <c:pt idx="110">
                  <c:v>42705</c:v>
                </c:pt>
                <c:pt idx="111">
                  <c:v>42675</c:v>
                </c:pt>
                <c:pt idx="112">
                  <c:v>42644</c:v>
                </c:pt>
                <c:pt idx="113">
                  <c:v>42614</c:v>
                </c:pt>
                <c:pt idx="114">
                  <c:v>42583</c:v>
                </c:pt>
                <c:pt idx="115">
                  <c:v>42552</c:v>
                </c:pt>
                <c:pt idx="116">
                  <c:v>42522</c:v>
                </c:pt>
                <c:pt idx="117">
                  <c:v>42491</c:v>
                </c:pt>
                <c:pt idx="118">
                  <c:v>42461</c:v>
                </c:pt>
                <c:pt idx="119">
                  <c:v>42430</c:v>
                </c:pt>
                <c:pt idx="120">
                  <c:v>42401</c:v>
                </c:pt>
                <c:pt idx="121">
                  <c:v>42370</c:v>
                </c:pt>
              </c:numCache>
            </c:numRef>
          </c:cat>
          <c:val>
            <c:numRef>
              <c:f>Customers!$AO$5:$AO$130</c:f>
              <c:numCache>
                <c:formatCode>0.0%</c:formatCode>
                <c:ptCount val="126"/>
                <c:pt idx="0">
                  <c:v>9.2281766648975541E-2</c:v>
                </c:pt>
                <c:pt idx="1">
                  <c:v>9.1939439250515675E-2</c:v>
                </c:pt>
                <c:pt idx="2">
                  <c:v>9.0973942500916935E-2</c:v>
                </c:pt>
                <c:pt idx="3">
                  <c:v>8.9156712004730923E-2</c:v>
                </c:pt>
                <c:pt idx="4">
                  <c:v>9.0640310863321513E-2</c:v>
                </c:pt>
                <c:pt idx="5">
                  <c:v>9.3076200684886021E-2</c:v>
                </c:pt>
                <c:pt idx="6">
                  <c:v>9.5156560401097337E-2</c:v>
                </c:pt>
                <c:pt idx="7">
                  <c:v>9.5532925426058304E-2</c:v>
                </c:pt>
                <c:pt idx="8">
                  <c:v>9.7025693429275653E-2</c:v>
                </c:pt>
                <c:pt idx="9">
                  <c:v>9.777169501667822E-2</c:v>
                </c:pt>
                <c:pt idx="10">
                  <c:v>9.8218117450418391E-2</c:v>
                </c:pt>
                <c:pt idx="11">
                  <c:v>9.9564151457368563E-2</c:v>
                </c:pt>
                <c:pt idx="12">
                  <c:v>0.10160899481688378</c:v>
                </c:pt>
                <c:pt idx="13">
                  <c:v>0.10216498413819929</c:v>
                </c:pt>
                <c:pt idx="14">
                  <c:v>0.10350117468683957</c:v>
                </c:pt>
                <c:pt idx="15">
                  <c:v>0.10429279521652834</c:v>
                </c:pt>
                <c:pt idx="16">
                  <c:v>0.10591049698932747</c:v>
                </c:pt>
                <c:pt idx="17">
                  <c:v>0.1081205313975145</c:v>
                </c:pt>
                <c:pt idx="18">
                  <c:v>0.11011048815415445</c:v>
                </c:pt>
                <c:pt idx="19">
                  <c:v>0.11187369376041949</c:v>
                </c:pt>
                <c:pt idx="20">
                  <c:v>0.11544192144943084</c:v>
                </c:pt>
                <c:pt idx="21">
                  <c:v>0.11717119448037948</c:v>
                </c:pt>
                <c:pt idx="22">
                  <c:v>0.11884768222981219</c:v>
                </c:pt>
                <c:pt idx="23">
                  <c:v>0.1195491628229938</c:v>
                </c:pt>
                <c:pt idx="24">
                  <c:v>0.11932941422900112</c:v>
                </c:pt>
                <c:pt idx="25">
                  <c:v>0.11987457877139315</c:v>
                </c:pt>
                <c:pt idx="26">
                  <c:v>0.11977785920066671</c:v>
                </c:pt>
                <c:pt idx="27">
                  <c:v>0.12049267882066332</c:v>
                </c:pt>
                <c:pt idx="28">
                  <c:v>0.12218791464229775</c:v>
                </c:pt>
                <c:pt idx="29">
                  <c:v>0.12605009749512525</c:v>
                </c:pt>
                <c:pt idx="30">
                  <c:v>0.12626079016562533</c:v>
                </c:pt>
                <c:pt idx="31">
                  <c:v>0.12382854298867736</c:v>
                </c:pt>
                <c:pt idx="32">
                  <c:v>0.12280587926433501</c:v>
                </c:pt>
                <c:pt idx="33">
                  <c:v>0.11993458340615715</c:v>
                </c:pt>
                <c:pt idx="34">
                  <c:v>0.11848187953192046</c:v>
                </c:pt>
                <c:pt idx="35">
                  <c:v>0.11576721712629671</c:v>
                </c:pt>
                <c:pt idx="36">
                  <c:v>0.11250239709381774</c:v>
                </c:pt>
                <c:pt idx="37">
                  <c:v>0.10796853839443639</c:v>
                </c:pt>
                <c:pt idx="38">
                  <c:v>0.10182519587580101</c:v>
                </c:pt>
                <c:pt idx="39">
                  <c:v>0.10026902948939942</c:v>
                </c:pt>
                <c:pt idx="40">
                  <c:v>0.10121769377208262</c:v>
                </c:pt>
                <c:pt idx="41">
                  <c:v>0.10402352756077045</c:v>
                </c:pt>
                <c:pt idx="42">
                  <c:v>0.10603063796781075</c:v>
                </c:pt>
                <c:pt idx="43">
                  <c:v>0.10759564155456283</c:v>
                </c:pt>
                <c:pt idx="44">
                  <c:v>0.10819235030136884</c:v>
                </c:pt>
                <c:pt idx="45">
                  <c:v>0.1088154906356841</c:v>
                </c:pt>
                <c:pt idx="46">
                  <c:v>0.10939578795912133</c:v>
                </c:pt>
                <c:pt idx="47">
                  <c:v>0.10932839129814532</c:v>
                </c:pt>
                <c:pt idx="48">
                  <c:v>0.11031591972097295</c:v>
                </c:pt>
                <c:pt idx="49">
                  <c:v>0.11088614526629031</c:v>
                </c:pt>
                <c:pt idx="50">
                  <c:v>0.10946254071661238</c:v>
                </c:pt>
                <c:pt idx="51">
                  <c:v>0.10875371152024592</c:v>
                </c:pt>
                <c:pt idx="52">
                  <c:v>0.10725768898152871</c:v>
                </c:pt>
                <c:pt idx="53">
                  <c:v>0.10848719705817063</c:v>
                </c:pt>
                <c:pt idx="54">
                  <c:v>0.10982440644261353</c:v>
                </c:pt>
                <c:pt idx="55">
                  <c:v>0.11112451388758002</c:v>
                </c:pt>
                <c:pt idx="56">
                  <c:v>0.11321953434042399</c:v>
                </c:pt>
                <c:pt idx="57">
                  <c:v>0.11460530079361617</c:v>
                </c:pt>
                <c:pt idx="58">
                  <c:v>0.11531206241490141</c:v>
                </c:pt>
                <c:pt idx="59">
                  <c:v>0.11559701474342252</c:v>
                </c:pt>
                <c:pt idx="60">
                  <c:v>0.11616622458860046</c:v>
                </c:pt>
                <c:pt idx="61">
                  <c:v>0.11507294381009539</c:v>
                </c:pt>
                <c:pt idx="62">
                  <c:v>0.11615822771661356</c:v>
                </c:pt>
                <c:pt idx="63">
                  <c:v>0.11702592475844249</c:v>
                </c:pt>
                <c:pt idx="64">
                  <c:v>0.11651068966612663</c:v>
                </c:pt>
                <c:pt idx="65">
                  <c:v>0.1176297233201581</c:v>
                </c:pt>
                <c:pt idx="66">
                  <c:v>0.11891319430872063</c:v>
                </c:pt>
                <c:pt idx="67">
                  <c:v>0.11739737945216314</c:v>
                </c:pt>
                <c:pt idx="68">
                  <c:v>0.1192716737567845</c:v>
                </c:pt>
                <c:pt idx="69">
                  <c:v>0.1195193117038324</c:v>
                </c:pt>
                <c:pt idx="70">
                  <c:v>0.12022055034525404</c:v>
                </c:pt>
                <c:pt idx="71">
                  <c:v>0.12078865877010815</c:v>
                </c:pt>
                <c:pt idx="72">
                  <c:v>0.12032132161618145</c:v>
                </c:pt>
                <c:pt idx="73">
                  <c:v>0.11995344047992121</c:v>
                </c:pt>
                <c:pt idx="74">
                  <c:v>0.12204358282562028</c:v>
                </c:pt>
                <c:pt idx="75">
                  <c:v>0.12321635578037728</c:v>
                </c:pt>
                <c:pt idx="76">
                  <c:v>0.12298734837475482</c:v>
                </c:pt>
                <c:pt idx="77">
                  <c:v>0.1249978295973469</c:v>
                </c:pt>
                <c:pt idx="78">
                  <c:v>0.1273147343918285</c:v>
                </c:pt>
                <c:pt idx="79">
                  <c:v>0.12680241242360613</c:v>
                </c:pt>
                <c:pt idx="80">
                  <c:v>0.12859257462381773</c:v>
                </c:pt>
                <c:pt idx="81">
                  <c:v>0.12757272104675052</c:v>
                </c:pt>
                <c:pt idx="82">
                  <c:v>0.13206090957370248</c:v>
                </c:pt>
                <c:pt idx="83">
                  <c:v>0.13393658770366645</c:v>
                </c:pt>
                <c:pt idx="84">
                  <c:v>0.13196569063020541</c:v>
                </c:pt>
                <c:pt idx="85">
                  <c:v>0.13555759705031595</c:v>
                </c:pt>
                <c:pt idx="86">
                  <c:v>0.13512744300093754</c:v>
                </c:pt>
                <c:pt idx="87">
                  <c:v>0.13694873705507979</c:v>
                </c:pt>
                <c:pt idx="88">
                  <c:v>0.1332868608703994</c:v>
                </c:pt>
                <c:pt idx="89">
                  <c:v>0.13734805773467784</c:v>
                </c:pt>
                <c:pt idx="90">
                  <c:v>0.14000934650263974</c:v>
                </c:pt>
                <c:pt idx="91">
                  <c:v>0.14242886411688083</c:v>
                </c:pt>
                <c:pt idx="92">
                  <c:v>0.14574429518162216</c:v>
                </c:pt>
                <c:pt idx="93">
                  <c:v>0.1461130018997959</c:v>
                </c:pt>
                <c:pt idx="94">
                  <c:v>0.14869479916750505</c:v>
                </c:pt>
                <c:pt idx="95">
                  <c:v>0.14959445201288285</c:v>
                </c:pt>
                <c:pt idx="96">
                  <c:v>0.14086175257977646</c:v>
                </c:pt>
                <c:pt idx="97">
                  <c:v>0.14753174373006167</c:v>
                </c:pt>
                <c:pt idx="98">
                  <c:v>0.14659105450334542</c:v>
                </c:pt>
                <c:pt idx="99">
                  <c:v>0.15086332431870189</c:v>
                </c:pt>
                <c:pt idx="100">
                  <c:v>0.15060711085652423</c:v>
                </c:pt>
                <c:pt idx="101">
                  <c:v>0.16804192948110777</c:v>
                </c:pt>
                <c:pt idx="102">
                  <c:v>0.15214047729489208</c:v>
                </c:pt>
                <c:pt idx="103">
                  <c:v>0.15686294449797503</c:v>
                </c:pt>
                <c:pt idx="104">
                  <c:v>0.15735074973802518</c:v>
                </c:pt>
                <c:pt idx="105">
                  <c:v>0.15915926479641193</c:v>
                </c:pt>
                <c:pt idx="106">
                  <c:v>0.15929663835245725</c:v>
                </c:pt>
                <c:pt idx="107">
                  <c:v>0.16409280253230488</c:v>
                </c:pt>
                <c:pt idx="108">
                  <c:v>0.16602740898602864</c:v>
                </c:pt>
                <c:pt idx="109">
                  <c:v>0.16683354082679969</c:v>
                </c:pt>
                <c:pt idx="110">
                  <c:v>0.16539277917546877</c:v>
                </c:pt>
                <c:pt idx="111">
                  <c:v>0.16792348606792573</c:v>
                </c:pt>
                <c:pt idx="112">
                  <c:v>0.15303765715975487</c:v>
                </c:pt>
                <c:pt idx="113">
                  <c:v>0.17348039018098271</c:v>
                </c:pt>
                <c:pt idx="114">
                  <c:v>0.17763070097470207</c:v>
                </c:pt>
                <c:pt idx="115">
                  <c:v>0.17115816001199086</c:v>
                </c:pt>
                <c:pt idx="116">
                  <c:v>0.17971559841511053</c:v>
                </c:pt>
                <c:pt idx="117">
                  <c:v>0.17439548197313873</c:v>
                </c:pt>
                <c:pt idx="118">
                  <c:v>0.20978747753402352</c:v>
                </c:pt>
                <c:pt idx="119">
                  <c:v>0.17389788694626193</c:v>
                </c:pt>
                <c:pt idx="120">
                  <c:v>0.17576364165204944</c:v>
                </c:pt>
                <c:pt idx="121">
                  <c:v>0.18289934696428864</c:v>
                </c:pt>
                <c:pt idx="122">
                  <c:v>0.17547305903838187</c:v>
                </c:pt>
                <c:pt idx="123">
                  <c:v>0.18448316518378968</c:v>
                </c:pt>
                <c:pt idx="124">
                  <c:v>0.17656796945618802</c:v>
                </c:pt>
                <c:pt idx="125">
                  <c:v>0.18497827357183499</c:v>
                </c:pt>
              </c:numCache>
            </c:numRef>
          </c:val>
          <c:smooth val="0"/>
          <c:extLst>
            <c:ext xmlns:c16="http://schemas.microsoft.com/office/drawing/2014/chart" uri="{C3380CC4-5D6E-409C-BE32-E72D297353CC}">
              <c16:uniqueId val="{00000003-B8B7-4163-A5F1-E6598AF8E31C}"/>
            </c:ext>
          </c:extLst>
        </c:ser>
        <c:dLbls>
          <c:showLegendKey val="0"/>
          <c:showVal val="0"/>
          <c:showCatName val="0"/>
          <c:showSerName val="0"/>
          <c:showPercent val="0"/>
          <c:showBubbleSize val="0"/>
        </c:dLbls>
        <c:smooth val="0"/>
        <c:axId val="780007856"/>
        <c:axId val="780011696"/>
      </c:lineChart>
      <c:dateAx>
        <c:axId val="780007856"/>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0011696"/>
        <c:crosses val="autoZero"/>
        <c:auto val="1"/>
        <c:lblOffset val="100"/>
        <c:baseTimeUnit val="days"/>
      </c:dateAx>
      <c:valAx>
        <c:axId val="7800116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000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57149</xdr:colOff>
      <xdr:row>4</xdr:row>
      <xdr:rowOff>9525</xdr:rowOff>
    </xdr:from>
    <xdr:to>
      <xdr:col>14</xdr:col>
      <xdr:colOff>552450</xdr:colOff>
      <xdr:row>38</xdr:row>
      <xdr:rowOff>104775</xdr:rowOff>
    </xdr:to>
    <xdr:graphicFrame macro="">
      <xdr:nvGraphicFramePr>
        <xdr:cNvPr id="5" name="Chart 4" descr="Line graph showing percentage of load served by CEPs across the last 10 years for each of the utilities and statewide.">
          <a:extLst>
            <a:ext uri="{FF2B5EF4-FFF2-40B4-BE49-F238E27FC236}">
              <a16:creationId xmlns:a16="http://schemas.microsoft.com/office/drawing/2014/main" id="{E489109D-E6FF-4D17-90AE-0415EABEC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40</xdr:row>
      <xdr:rowOff>85725</xdr:rowOff>
    </xdr:from>
    <xdr:to>
      <xdr:col>14</xdr:col>
      <xdr:colOff>561975</xdr:colOff>
      <xdr:row>75</xdr:row>
      <xdr:rowOff>0</xdr:rowOff>
    </xdr:to>
    <xdr:graphicFrame macro="">
      <xdr:nvGraphicFramePr>
        <xdr:cNvPr id="6" name="Chart 5" descr="Line graph showing percentage of customers served by CEPs across the last 10 years for each of the utilities and statewide.">
          <a:extLst>
            <a:ext uri="{FF2B5EF4-FFF2-40B4-BE49-F238E27FC236}">
              <a16:creationId xmlns:a16="http://schemas.microsoft.com/office/drawing/2014/main" id="{98224B32-0D09-4B8F-8490-6C24A7E8F3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61C66-4E54-40A8-8D3E-BAA5DA49E2C1}">
  <dimension ref="A1"/>
  <sheetViews>
    <sheetView showGridLines="0" tabSelected="1" workbookViewId="0">
      <selection activeCell="A4" sqref="A4"/>
    </sheetView>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U319"/>
  <sheetViews>
    <sheetView zoomScale="80" zoomScaleNormal="80" workbookViewId="0">
      <pane xSplit="1" ySplit="5" topLeftCell="B6" activePane="bottomRight" state="frozen"/>
      <selection pane="topRight" activeCell="B1" sqref="B1"/>
      <selection pane="bottomLeft" activeCell="A6" sqref="A6"/>
      <selection pane="bottomRight"/>
    </sheetView>
  </sheetViews>
  <sheetFormatPr defaultRowHeight="12.75" x14ac:dyDescent="0.2"/>
  <cols>
    <col min="1" max="1" width="11.85546875" customWidth="1"/>
    <col min="2" max="2" width="11.7109375" customWidth="1"/>
    <col min="3" max="3" width="15.7109375" style="85" customWidth="1"/>
    <col min="4" max="4" width="13.85546875" style="166" customWidth="1"/>
    <col min="5" max="5" width="11.7109375" customWidth="1"/>
    <col min="6" max="6" width="15.7109375" style="166" customWidth="1"/>
    <col min="7" max="7" width="11.5703125" style="166" customWidth="1"/>
    <col min="8" max="8" width="11.7109375" customWidth="1"/>
    <col min="9" max="9" width="15.7109375" style="166" customWidth="1"/>
    <col min="10" max="10" width="11.5703125" style="166" customWidth="1"/>
    <col min="11" max="11" width="15.7109375" customWidth="1"/>
    <col min="12" max="12" width="11.7109375" customWidth="1"/>
    <col min="13" max="13" width="15.85546875" customWidth="1"/>
    <col min="14" max="14" width="11.7109375" customWidth="1"/>
    <col min="15" max="15" width="15.7109375" customWidth="1"/>
    <col min="16" max="16" width="22.42578125" customWidth="1"/>
    <col min="17" max="37" width="12.7109375" customWidth="1"/>
    <col min="38" max="38" width="9.42578125" bestFit="1" customWidth="1"/>
    <col min="39" max="39" width="21.42578125" customWidth="1"/>
    <col min="40" max="40" width="15.85546875" bestFit="1" customWidth="1"/>
    <col min="41" max="41" width="12.42578125" bestFit="1" customWidth="1"/>
    <col min="42" max="42" width="8.7109375" customWidth="1"/>
    <col min="43" max="43" width="8" customWidth="1"/>
    <col min="44" max="44" width="16.140625" bestFit="1" customWidth="1"/>
    <col min="45" max="45" width="8.7109375" customWidth="1"/>
    <col min="46" max="46" width="10.42578125" customWidth="1"/>
  </cols>
  <sheetData>
    <row r="1" spans="1:47" ht="15" x14ac:dyDescent="0.2">
      <c r="A1" s="112" t="s">
        <v>11</v>
      </c>
      <c r="C1" s="152"/>
      <c r="D1" s="156"/>
      <c r="E1" s="74"/>
      <c r="F1" s="156"/>
      <c r="G1" s="157"/>
      <c r="H1" s="72"/>
      <c r="I1" s="157"/>
      <c r="J1" s="157"/>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row>
    <row r="2" spans="1:47" ht="15.75" thickBot="1" x14ac:dyDescent="0.25">
      <c r="A2" s="112" t="s">
        <v>41</v>
      </c>
      <c r="B2" s="73"/>
      <c r="C2" s="151"/>
      <c r="D2" s="157"/>
      <c r="E2" s="72"/>
      <c r="F2" s="157"/>
      <c r="G2" s="157"/>
      <c r="H2" s="72"/>
      <c r="I2" s="157"/>
      <c r="J2" s="157"/>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row>
    <row r="3" spans="1:47" ht="19.5" thickTop="1" thickBot="1" x14ac:dyDescent="0.3">
      <c r="A3" s="185" t="s">
        <v>0</v>
      </c>
      <c r="B3" s="201" t="s">
        <v>49</v>
      </c>
      <c r="C3" s="202"/>
      <c r="D3" s="202"/>
      <c r="E3" s="202"/>
      <c r="F3" s="202"/>
      <c r="G3" s="202"/>
      <c r="H3" s="202"/>
      <c r="I3" s="202"/>
      <c r="J3" s="202"/>
      <c r="K3" s="193"/>
      <c r="L3" s="193"/>
      <c r="M3" s="193"/>
      <c r="N3" s="201" t="s">
        <v>12</v>
      </c>
      <c r="O3" s="202"/>
      <c r="P3" s="202"/>
      <c r="Q3" s="202"/>
      <c r="R3" s="202"/>
      <c r="S3" s="202"/>
      <c r="T3" s="202"/>
      <c r="U3" s="202"/>
      <c r="V3" s="202"/>
      <c r="W3" s="193"/>
      <c r="X3" s="193"/>
      <c r="Y3" s="193"/>
      <c r="Z3" s="194" t="s">
        <v>50</v>
      </c>
      <c r="AA3" s="195"/>
      <c r="AB3" s="195"/>
      <c r="AC3" s="195"/>
      <c r="AD3" s="195"/>
      <c r="AE3" s="195"/>
      <c r="AF3" s="195"/>
      <c r="AG3" s="195"/>
      <c r="AH3" s="195"/>
      <c r="AI3" s="196"/>
      <c r="AJ3" s="196"/>
      <c r="AK3" s="197"/>
      <c r="AL3" s="198" t="s">
        <v>2</v>
      </c>
      <c r="AM3" s="199"/>
      <c r="AN3" s="199"/>
      <c r="AO3" s="199"/>
      <c r="AP3" s="199"/>
      <c r="AQ3" s="200"/>
    </row>
    <row r="4" spans="1:47" x14ac:dyDescent="0.2">
      <c r="A4" s="186"/>
      <c r="B4" s="188" t="s">
        <v>5</v>
      </c>
      <c r="C4" s="189"/>
      <c r="D4" s="189"/>
      <c r="E4" s="190" t="s">
        <v>6</v>
      </c>
      <c r="F4" s="189"/>
      <c r="G4" s="191"/>
      <c r="H4" s="189" t="s">
        <v>7</v>
      </c>
      <c r="I4" s="189"/>
      <c r="J4" s="192"/>
      <c r="K4" s="188" t="s">
        <v>55</v>
      </c>
      <c r="L4" s="189"/>
      <c r="M4" s="192"/>
      <c r="N4" s="188" t="s">
        <v>5</v>
      </c>
      <c r="O4" s="189"/>
      <c r="P4" s="189"/>
      <c r="Q4" s="190" t="s">
        <v>6</v>
      </c>
      <c r="R4" s="189"/>
      <c r="S4" s="191"/>
      <c r="T4" s="189" t="s">
        <v>7</v>
      </c>
      <c r="U4" s="189"/>
      <c r="V4" s="192"/>
      <c r="W4" s="188" t="s">
        <v>17</v>
      </c>
      <c r="X4" s="189"/>
      <c r="Y4" s="192"/>
      <c r="Z4" s="188" t="s">
        <v>5</v>
      </c>
      <c r="AA4" s="189"/>
      <c r="AB4" s="189"/>
      <c r="AC4" s="190" t="s">
        <v>6</v>
      </c>
      <c r="AD4" s="189"/>
      <c r="AE4" s="191"/>
      <c r="AF4" s="189" t="s">
        <v>7</v>
      </c>
      <c r="AG4" s="189"/>
      <c r="AH4" s="192"/>
      <c r="AI4" s="188" t="s">
        <v>54</v>
      </c>
      <c r="AJ4" s="193"/>
      <c r="AK4" s="192"/>
      <c r="AL4" s="66"/>
      <c r="AQ4" s="67"/>
    </row>
    <row r="5" spans="1:47" ht="24.75" customHeight="1" x14ac:dyDescent="0.2">
      <c r="A5" s="187"/>
      <c r="B5" s="116" t="s">
        <v>13</v>
      </c>
      <c r="C5" s="150" t="s">
        <v>45</v>
      </c>
      <c r="D5" s="158" t="s">
        <v>43</v>
      </c>
      <c r="E5" s="117" t="s">
        <v>13</v>
      </c>
      <c r="F5" s="168" t="s">
        <v>45</v>
      </c>
      <c r="G5" s="169" t="s">
        <v>43</v>
      </c>
      <c r="H5" s="117" t="s">
        <v>13</v>
      </c>
      <c r="I5" s="168" t="s">
        <v>45</v>
      </c>
      <c r="J5" s="177" t="s">
        <v>43</v>
      </c>
      <c r="K5" s="116" t="s">
        <v>45</v>
      </c>
      <c r="L5" s="117" t="s">
        <v>13</v>
      </c>
      <c r="M5" s="117" t="s">
        <v>44</v>
      </c>
      <c r="N5" s="116" t="s">
        <v>13</v>
      </c>
      <c r="O5" s="119" t="s">
        <v>46</v>
      </c>
      <c r="P5" s="118" t="s">
        <v>43</v>
      </c>
      <c r="Q5" s="117" t="s">
        <v>13</v>
      </c>
      <c r="R5" s="119" t="s">
        <v>46</v>
      </c>
      <c r="S5" s="118" t="s">
        <v>43</v>
      </c>
      <c r="T5" s="4" t="s">
        <v>13</v>
      </c>
      <c r="U5" s="119" t="s">
        <v>46</v>
      </c>
      <c r="V5" s="119" t="s">
        <v>43</v>
      </c>
      <c r="W5" s="116" t="s">
        <v>16</v>
      </c>
      <c r="X5" s="117" t="s">
        <v>13</v>
      </c>
      <c r="Y5" s="117" t="s">
        <v>44</v>
      </c>
      <c r="Z5" s="116" t="s">
        <v>13</v>
      </c>
      <c r="AA5" s="117" t="s">
        <v>45</v>
      </c>
      <c r="AB5" s="118" t="s">
        <v>43</v>
      </c>
      <c r="AC5" s="117" t="s">
        <v>13</v>
      </c>
      <c r="AD5" s="117" t="s">
        <v>45</v>
      </c>
      <c r="AE5" s="135" t="s">
        <v>43</v>
      </c>
      <c r="AF5" s="4" t="s">
        <v>13</v>
      </c>
      <c r="AG5" s="117" t="s">
        <v>45</v>
      </c>
      <c r="AH5" s="119" t="s">
        <v>43</v>
      </c>
      <c r="AI5" s="116" t="s">
        <v>45</v>
      </c>
      <c r="AJ5" s="117" t="s">
        <v>13</v>
      </c>
      <c r="AK5" s="117" t="s">
        <v>44</v>
      </c>
      <c r="AL5" s="120" t="s">
        <v>18</v>
      </c>
      <c r="AM5" s="117" t="s">
        <v>13</v>
      </c>
      <c r="AN5" s="117" t="s">
        <v>44</v>
      </c>
      <c r="AO5" s="117" t="s">
        <v>19</v>
      </c>
      <c r="AP5" s="117" t="s">
        <v>20</v>
      </c>
      <c r="AQ5" s="121" t="s">
        <v>21</v>
      </c>
      <c r="AS5" s="4" t="s">
        <v>56</v>
      </c>
      <c r="AT5" s="4" t="s">
        <v>57</v>
      </c>
      <c r="AU5" s="4" t="s">
        <v>58</v>
      </c>
    </row>
    <row r="6" spans="1:47" ht="24" customHeight="1" x14ac:dyDescent="0.2">
      <c r="A6" s="133">
        <v>46203</v>
      </c>
      <c r="B6" s="20">
        <v>8.7876322213181438E-2</v>
      </c>
      <c r="C6" s="41">
        <v>154.28571428571428</v>
      </c>
      <c r="D6" s="159">
        <v>1755.7142857142858</v>
      </c>
      <c r="E6" s="20">
        <v>0.69365598430346631</v>
      </c>
      <c r="F6" s="161">
        <v>757.57142857142856</v>
      </c>
      <c r="G6" s="159">
        <v>1092.1428571428571</v>
      </c>
      <c r="H6" s="20">
        <v>0.8700702323068612</v>
      </c>
      <c r="I6" s="161">
        <v>460.14285714285717</v>
      </c>
      <c r="J6" s="159">
        <v>528.85714285714289</v>
      </c>
      <c r="K6" s="52">
        <v>1372</v>
      </c>
      <c r="L6" s="6">
        <v>0.40631213775013747</v>
      </c>
      <c r="M6" s="21">
        <v>3376.7142857142858</v>
      </c>
      <c r="N6" s="20">
        <v>0.11449524424011701</v>
      </c>
      <c r="O6" s="3">
        <v>1338.6271666666669</v>
      </c>
      <c r="P6" s="130">
        <v>11691.552566666667</v>
      </c>
      <c r="Q6" s="32">
        <v>0.71637704466146213</v>
      </c>
      <c r="R6" s="3">
        <v>3860.6021000000001</v>
      </c>
      <c r="S6" s="3">
        <v>5389.0645000000004</v>
      </c>
      <c r="T6" s="32">
        <v>0.9775131222756831</v>
      </c>
      <c r="U6" s="3">
        <v>6590.0980333333337</v>
      </c>
      <c r="V6" s="3">
        <v>6741.6977666666671</v>
      </c>
      <c r="W6" s="52">
        <v>11789.327300000001</v>
      </c>
      <c r="X6" s="6">
        <v>0.49488588252153409</v>
      </c>
      <c r="Y6" s="19">
        <v>23822.314833333337</v>
      </c>
      <c r="Z6" s="20">
        <v>1.7447362195410456E-2</v>
      </c>
      <c r="AA6" s="3">
        <v>9.8333333333333339</v>
      </c>
      <c r="AB6" s="3">
        <v>563.6</v>
      </c>
      <c r="AC6" s="32">
        <v>0.34712596820220137</v>
      </c>
      <c r="AD6" s="3">
        <v>56.766666666666666</v>
      </c>
      <c r="AE6" s="3">
        <v>163.53333333333333</v>
      </c>
      <c r="AF6" s="32">
        <v>0.97052686489306217</v>
      </c>
      <c r="AG6" s="3">
        <v>372.1</v>
      </c>
      <c r="AH6" s="3">
        <v>383.4</v>
      </c>
      <c r="AI6" s="52">
        <v>438.7</v>
      </c>
      <c r="AJ6" s="6">
        <v>0.39503541841757717</v>
      </c>
      <c r="AK6" s="21">
        <v>1110.5333333333333</v>
      </c>
      <c r="AL6" s="69">
        <f t="shared" ref="AL6:AL9" si="0">+AI6+W6+K6</f>
        <v>13600.027300000002</v>
      </c>
      <c r="AM6" s="6">
        <f t="shared" ref="AM6:AM9" si="1">AL6/AN6</f>
        <v>0.4804040091709782</v>
      </c>
      <c r="AN6" s="3">
        <f t="shared" ref="AN6:AN9" si="2">+AK6+Y6+M6</f>
        <v>28309.562452380957</v>
      </c>
      <c r="AO6" s="6">
        <f t="shared" ref="AO6:AO9" si="3">(+AA6+O6+C6)/(D6+P6+AB6)</f>
        <v>0.10725576298159906</v>
      </c>
      <c r="AP6" s="6">
        <f t="shared" ref="AP6:AP9" si="4">(+AD6+R6+F6)/(G6+S6+AE6)</f>
        <v>0.70355494864361201</v>
      </c>
      <c r="AQ6" s="70">
        <f t="shared" ref="AQ6:AQ9" si="5">(AG6+U6+I6)/(AH6+V6+J6)</f>
        <v>0.96973930186609514</v>
      </c>
      <c r="AS6" s="184">
        <f t="shared" ref="AS6:AS9" si="6">M6/$AN6</f>
        <v>0.11927822238136675</v>
      </c>
      <c r="AT6" s="184">
        <f t="shared" ref="AT6:AT9" si="7">AK6/AN6</f>
        <v>3.9228205494215705E-2</v>
      </c>
      <c r="AU6" s="184">
        <f t="shared" ref="AU6:AU9" si="8">Y6/AN6</f>
        <v>0.84149357212441755</v>
      </c>
    </row>
    <row r="7" spans="1:47" ht="24" customHeight="1" x14ac:dyDescent="0.2">
      <c r="A7" s="133">
        <v>46173</v>
      </c>
      <c r="B7" s="20">
        <v>8.5086685743140877E-2</v>
      </c>
      <c r="C7" s="41">
        <v>144.42857142857142</v>
      </c>
      <c r="D7" s="159">
        <v>1697.4285714285713</v>
      </c>
      <c r="E7" s="20">
        <v>0.71276595744680848</v>
      </c>
      <c r="F7" s="161">
        <v>679.57142857142856</v>
      </c>
      <c r="G7" s="159">
        <v>953.42857142857144</v>
      </c>
      <c r="H7" s="20">
        <v>0.85018726591760307</v>
      </c>
      <c r="I7" s="161">
        <v>389.14285714285717</v>
      </c>
      <c r="J7" s="159">
        <v>457.71428571428572</v>
      </c>
      <c r="K7" s="52">
        <v>1213.1428571428571</v>
      </c>
      <c r="L7" s="6">
        <v>0.39025735294117647</v>
      </c>
      <c r="M7" s="21">
        <v>3108.5714285714284</v>
      </c>
      <c r="N7" s="20">
        <v>0.11317672215593971</v>
      </c>
      <c r="O7" s="3">
        <v>1242.4802580645162</v>
      </c>
      <c r="P7" s="130">
        <v>10978.231516129032</v>
      </c>
      <c r="Q7" s="32">
        <v>0.71822484979560353</v>
      </c>
      <c r="R7" s="3">
        <v>3418.5596774193546</v>
      </c>
      <c r="S7" s="3">
        <v>4759.7346129032258</v>
      </c>
      <c r="T7" s="32">
        <v>0.95814718146755429</v>
      </c>
      <c r="U7" s="3">
        <v>5441.0868064516135</v>
      </c>
      <c r="V7" s="3">
        <v>5678.758870967743</v>
      </c>
      <c r="W7" s="52">
        <v>10102.126741935484</v>
      </c>
      <c r="X7" s="6">
        <v>0.47169334909681498</v>
      </c>
      <c r="Y7" s="19">
        <v>21416.724999999999</v>
      </c>
      <c r="Z7" s="20">
        <v>1.8674894446248782E-2</v>
      </c>
      <c r="AA7" s="3">
        <v>11.129032258064516</v>
      </c>
      <c r="AB7" s="3">
        <v>595.93548387096769</v>
      </c>
      <c r="AC7" s="32">
        <v>0.3344044988953605</v>
      </c>
      <c r="AD7" s="3">
        <v>53.70967741935484</v>
      </c>
      <c r="AE7" s="3">
        <v>160.61290322580646</v>
      </c>
      <c r="AF7" s="32">
        <v>0.97281216428394346</v>
      </c>
      <c r="AG7" s="3">
        <v>379.74193548387098</v>
      </c>
      <c r="AH7" s="3">
        <v>390.35483870967744</v>
      </c>
      <c r="AI7" s="52">
        <v>444.58064516129031</v>
      </c>
      <c r="AJ7" s="6">
        <v>0.38763570906227141</v>
      </c>
      <c r="AK7" s="21">
        <v>1146.9032258064517</v>
      </c>
      <c r="AL7" s="69">
        <f t="shared" si="0"/>
        <v>11759.850244239631</v>
      </c>
      <c r="AM7" s="6">
        <f t="shared" si="1"/>
        <v>0.45807723539709327</v>
      </c>
      <c r="AN7" s="3">
        <f t="shared" si="2"/>
        <v>25672.199654377877</v>
      </c>
      <c r="AO7" s="6">
        <f t="shared" si="3"/>
        <v>0.10534060160489547</v>
      </c>
      <c r="AP7" s="6">
        <f t="shared" si="4"/>
        <v>0.70684355711225788</v>
      </c>
      <c r="AQ7" s="70">
        <f t="shared" si="5"/>
        <v>0.95145323324943121</v>
      </c>
      <c r="AS7" s="184">
        <f t="shared" si="6"/>
        <v>0.12108706968712454</v>
      </c>
      <c r="AT7" s="184">
        <f t="shared" si="7"/>
        <v>4.4674910652265455E-2</v>
      </c>
      <c r="AU7" s="184">
        <f t="shared" si="8"/>
        <v>0.83423801966061006</v>
      </c>
    </row>
    <row r="8" spans="1:47" ht="24" customHeight="1" x14ac:dyDescent="0.2">
      <c r="A8" s="133">
        <v>46142</v>
      </c>
      <c r="B8" s="20">
        <v>8.3448371065709556E-2</v>
      </c>
      <c r="C8" s="41">
        <v>172.71428571428572</v>
      </c>
      <c r="D8" s="159">
        <v>2069.7142857142858</v>
      </c>
      <c r="E8" s="20">
        <v>0.70116358658453104</v>
      </c>
      <c r="F8" s="161">
        <v>731.71428571428567</v>
      </c>
      <c r="G8" s="159">
        <v>1043.5714285714287</v>
      </c>
      <c r="H8" s="20">
        <v>0.88261851015801351</v>
      </c>
      <c r="I8" s="161">
        <v>446.85714285714283</v>
      </c>
      <c r="J8" s="159">
        <v>506.28571428571428</v>
      </c>
      <c r="K8" s="52">
        <v>1351.2857142857142</v>
      </c>
      <c r="L8" s="6">
        <v>0.37332754469747798</v>
      </c>
      <c r="M8" s="21">
        <v>3619.5714285714284</v>
      </c>
      <c r="N8" s="20">
        <v>0.10740989729799957</v>
      </c>
      <c r="O8" s="3">
        <v>1465.2676666666669</v>
      </c>
      <c r="P8" s="130">
        <v>13641.831</v>
      </c>
      <c r="Q8" s="32">
        <v>0.7199649425021365</v>
      </c>
      <c r="R8" s="3">
        <v>3907.6391000000003</v>
      </c>
      <c r="S8" s="3">
        <v>5427.5408000000007</v>
      </c>
      <c r="T8" s="32">
        <v>0.9684175334365519</v>
      </c>
      <c r="U8" s="3">
        <v>6918.6434333333336</v>
      </c>
      <c r="V8" s="3">
        <v>7144.2773333333334</v>
      </c>
      <c r="W8" s="52">
        <v>12291.550200000001</v>
      </c>
      <c r="X8" s="6">
        <v>0.46889886018845195</v>
      </c>
      <c r="Y8" s="19">
        <v>26213.649133333332</v>
      </c>
      <c r="Z8" s="20">
        <v>1.8594463603318113E-2</v>
      </c>
      <c r="AA8" s="3">
        <v>13.3</v>
      </c>
      <c r="AB8" s="3">
        <v>715.26666666666665</v>
      </c>
      <c r="AC8" s="32">
        <v>0.32121326299924641</v>
      </c>
      <c r="AD8" s="3">
        <v>56.833333333333336</v>
      </c>
      <c r="AE8" s="3">
        <v>176.93333333333334</v>
      </c>
      <c r="AF8" s="32">
        <v>0.97366998687360051</v>
      </c>
      <c r="AG8" s="3">
        <v>420.33333333333331</v>
      </c>
      <c r="AH8" s="3">
        <v>431.7</v>
      </c>
      <c r="AI8" s="52">
        <v>490.46666666666664</v>
      </c>
      <c r="AJ8" s="6">
        <v>0.37047108291159953</v>
      </c>
      <c r="AK8" s="21">
        <v>1323.9</v>
      </c>
      <c r="AL8" s="69">
        <f t="shared" si="0"/>
        <v>14133.302580952382</v>
      </c>
      <c r="AM8" s="6">
        <f t="shared" si="1"/>
        <v>0.45361388748589659</v>
      </c>
      <c r="AN8" s="3">
        <f t="shared" si="2"/>
        <v>31157.120561904761</v>
      </c>
      <c r="AO8" s="6">
        <f t="shared" si="3"/>
        <v>0.10052358042253053</v>
      </c>
      <c r="AP8" s="6">
        <f t="shared" si="4"/>
        <v>0.7064011031991323</v>
      </c>
      <c r="AQ8" s="70">
        <f t="shared" si="5"/>
        <v>0.96332349784352</v>
      </c>
      <c r="AS8" s="184">
        <f t="shared" si="6"/>
        <v>0.11617156410136988</v>
      </c>
      <c r="AT8" s="184">
        <f t="shared" si="7"/>
        <v>4.2491089552694684E-2</v>
      </c>
      <c r="AU8" s="184">
        <f t="shared" si="8"/>
        <v>0.84133734634593538</v>
      </c>
    </row>
    <row r="9" spans="1:47" ht="24" customHeight="1" x14ac:dyDescent="0.2">
      <c r="A9" s="133">
        <v>46112</v>
      </c>
      <c r="B9" s="20">
        <v>8.2994600497482252E-2</v>
      </c>
      <c r="C9" s="41">
        <v>195.42857142857142</v>
      </c>
      <c r="D9" s="159">
        <v>2354.7142857142858</v>
      </c>
      <c r="E9" s="20">
        <v>0.698920207544524</v>
      </c>
      <c r="F9" s="161">
        <v>712</v>
      </c>
      <c r="G9" s="159">
        <v>1018.7142857142857</v>
      </c>
      <c r="H9" s="20">
        <v>0.88092417061611372</v>
      </c>
      <c r="I9" s="161">
        <v>424.85714285714283</v>
      </c>
      <c r="J9" s="159">
        <v>482.28571428571428</v>
      </c>
      <c r="K9" s="52">
        <v>1332.2857142857142</v>
      </c>
      <c r="L9" s="6">
        <v>0.34553538347536122</v>
      </c>
      <c r="M9" s="21">
        <v>3855.7142857142858</v>
      </c>
      <c r="N9" s="20">
        <v>9.9060810149359552E-2</v>
      </c>
      <c r="O9" s="3">
        <v>1491.0345483870967</v>
      </c>
      <c r="P9" s="130">
        <v>15051.709612903227</v>
      </c>
      <c r="Q9" s="32">
        <v>0.70608873464252497</v>
      </c>
      <c r="R9" s="3">
        <v>3833.2182580645162</v>
      </c>
      <c r="S9" s="3">
        <v>5428.8052903225807</v>
      </c>
      <c r="T9" s="32">
        <v>0.96129091124632848</v>
      </c>
      <c r="U9" s="3">
        <v>6196.2229677419355</v>
      </c>
      <c r="V9" s="3">
        <v>6445.7313548387101</v>
      </c>
      <c r="W9" s="52">
        <v>11520.475774193548</v>
      </c>
      <c r="X9" s="6">
        <v>0.42785301982979229</v>
      </c>
      <c r="Y9" s="19">
        <v>26926.246258064515</v>
      </c>
      <c r="Z9" s="20">
        <v>1.2601146325016858E-2</v>
      </c>
      <c r="AA9" s="3">
        <v>9.6451612903225801</v>
      </c>
      <c r="AB9" s="3">
        <v>765.41935483870964</v>
      </c>
      <c r="AC9" s="32">
        <v>0.27891774105683675</v>
      </c>
      <c r="AD9" s="3">
        <v>49.548387096774192</v>
      </c>
      <c r="AE9" s="3">
        <v>177.64516129032259</v>
      </c>
      <c r="AF9" s="32">
        <v>0.97453484705140325</v>
      </c>
      <c r="AG9" s="3">
        <v>398.74193548387098</v>
      </c>
      <c r="AH9" s="3">
        <v>409.16129032258067</v>
      </c>
      <c r="AI9" s="52">
        <v>457.93548387096774</v>
      </c>
      <c r="AJ9" s="6">
        <v>0.33865311672511272</v>
      </c>
      <c r="AK9" s="21">
        <v>1352.2258064516129</v>
      </c>
      <c r="AL9" s="69">
        <f t="shared" si="0"/>
        <v>13310.69697235023</v>
      </c>
      <c r="AM9" s="6">
        <f t="shared" si="1"/>
        <v>0.4142223122526576</v>
      </c>
      <c r="AN9" s="3">
        <f t="shared" si="2"/>
        <v>32134.186350230415</v>
      </c>
      <c r="AO9" s="6">
        <f t="shared" si="3"/>
        <v>9.3337162193680989E-2</v>
      </c>
      <c r="AP9" s="6">
        <f t="shared" si="4"/>
        <v>0.69353243690284017</v>
      </c>
      <c r="AQ9" s="70">
        <f t="shared" si="5"/>
        <v>0.95674681767065917</v>
      </c>
      <c r="AS9" s="184">
        <f t="shared" si="6"/>
        <v>0.11998792325689736</v>
      </c>
      <c r="AT9" s="184">
        <f t="shared" si="7"/>
        <v>4.2080598889721599E-2</v>
      </c>
      <c r="AU9" s="184">
        <f t="shared" si="8"/>
        <v>0.83793147785338096</v>
      </c>
    </row>
    <row r="10" spans="1:47" ht="24" customHeight="1" x14ac:dyDescent="0.2">
      <c r="A10" s="133">
        <v>46081</v>
      </c>
      <c r="B10" s="20">
        <v>8.3090963795005524E-2</v>
      </c>
      <c r="C10" s="41">
        <v>236.71428571428572</v>
      </c>
      <c r="D10" s="159">
        <v>2848.8571428571427</v>
      </c>
      <c r="E10" s="20">
        <v>0.68266369047619047</v>
      </c>
      <c r="F10" s="161">
        <v>786.42857142857144</v>
      </c>
      <c r="G10" s="159">
        <v>1152</v>
      </c>
      <c r="H10" s="20">
        <v>0.88510836634817058</v>
      </c>
      <c r="I10" s="161">
        <v>542.57142857142856</v>
      </c>
      <c r="J10" s="159">
        <v>613</v>
      </c>
      <c r="K10" s="52">
        <v>1565.7142857142858</v>
      </c>
      <c r="L10" s="6">
        <v>0.33935040406229683</v>
      </c>
      <c r="M10" s="21">
        <v>4613.8571428571431</v>
      </c>
      <c r="N10" s="20">
        <v>9.8511657705655981E-2</v>
      </c>
      <c r="O10" s="3">
        <v>1706.6387142857143</v>
      </c>
      <c r="P10" s="130">
        <v>17324.231</v>
      </c>
      <c r="Q10" s="32">
        <v>0.71084721349121138</v>
      </c>
      <c r="R10" s="3">
        <v>4119.4018214285716</v>
      </c>
      <c r="S10" s="3">
        <v>5795.0593928571434</v>
      </c>
      <c r="T10" s="32">
        <v>0.95976701045919055</v>
      </c>
      <c r="U10" s="3">
        <v>6774.6350714285718</v>
      </c>
      <c r="V10" s="3">
        <v>7058.624642857143</v>
      </c>
      <c r="W10" s="52">
        <v>12600.675607142857</v>
      </c>
      <c r="X10" s="6">
        <v>0.41754626163638181</v>
      </c>
      <c r="Y10" s="19">
        <v>30177.915035714286</v>
      </c>
      <c r="Z10" s="20">
        <v>2.7292315058654537E-2</v>
      </c>
      <c r="AA10" s="3">
        <v>28.5</v>
      </c>
      <c r="AB10" s="3">
        <v>1044.25</v>
      </c>
      <c r="AC10" s="32">
        <v>0.2669138090824838</v>
      </c>
      <c r="AD10" s="3">
        <v>61.714285714285715</v>
      </c>
      <c r="AE10" s="3">
        <v>231.21428571428572</v>
      </c>
      <c r="AF10" s="32">
        <v>0.97470746420524745</v>
      </c>
      <c r="AG10" s="3">
        <v>478.96428571428572</v>
      </c>
      <c r="AH10" s="3">
        <v>491.39285714285717</v>
      </c>
      <c r="AI10" s="52">
        <v>569.17857142857144</v>
      </c>
      <c r="AJ10" s="6">
        <v>0.3221418175937904</v>
      </c>
      <c r="AK10" s="21">
        <v>1766.8571428571429</v>
      </c>
      <c r="AL10" s="69">
        <f t="shared" ref="AL10" si="9">+AI10+W10+K10</f>
        <v>14735.568464285714</v>
      </c>
      <c r="AM10" s="6">
        <f t="shared" ref="AM10" si="10">AL10/AN10</f>
        <v>0.40306676529714885</v>
      </c>
      <c r="AN10" s="3">
        <f t="shared" ref="AN10" si="11">+AK10+Y10+M10</f>
        <v>36558.629321428569</v>
      </c>
      <c r="AO10" s="6">
        <f t="shared" ref="AO10" si="12">(+AA10+O10+C10)/(D10+P10+AB10)</f>
        <v>9.2935927528865273E-2</v>
      </c>
      <c r="AP10" s="6">
        <f t="shared" ref="AP10" si="13">(+AD10+R10+F10)/(G10+S10+AE10)</f>
        <v>0.69202497717529698</v>
      </c>
      <c r="AQ10" s="70">
        <f t="shared" ref="AQ10" si="14">(AG10+U10+I10)/(AH10+V10+J10)</f>
        <v>0.95505991328749273</v>
      </c>
      <c r="AS10" s="184">
        <f>M10/$AN10</f>
        <v>0.12620432517563684</v>
      </c>
      <c r="AT10" s="184">
        <f t="shared" ref="AT10" si="15">AK10/AN10</f>
        <v>4.8329414303875794E-2</v>
      </c>
      <c r="AU10" s="184">
        <f t="shared" ref="AU10" si="16">Y10/AN10</f>
        <v>0.82546626052048744</v>
      </c>
    </row>
    <row r="11" spans="1:47" ht="24" customHeight="1" x14ac:dyDescent="0.2">
      <c r="A11" s="133">
        <v>46053</v>
      </c>
      <c r="B11" s="20">
        <v>8.2933740191804703E-2</v>
      </c>
      <c r="C11" s="41">
        <v>217.42857142857142</v>
      </c>
      <c r="D11" s="159">
        <v>2621.7142857142858</v>
      </c>
      <c r="E11" s="20">
        <v>0.70614369129220611</v>
      </c>
      <c r="F11" s="161">
        <v>794.71428571428567</v>
      </c>
      <c r="G11" s="159">
        <v>1125.4285714285713</v>
      </c>
      <c r="H11" s="20">
        <v>0.891588785046729</v>
      </c>
      <c r="I11" s="161">
        <v>477</v>
      </c>
      <c r="J11" s="159">
        <v>535</v>
      </c>
      <c r="K11" s="52">
        <v>1489.1428571428571</v>
      </c>
      <c r="L11" s="6">
        <v>0.34775646371976648</v>
      </c>
      <c r="M11" s="21">
        <v>4282.1428571428569</v>
      </c>
      <c r="N11" s="20">
        <v>0.10345284990245808</v>
      </c>
      <c r="O11" s="3">
        <v>1823.4294838709677</v>
      </c>
      <c r="P11" s="130">
        <v>17625.705677419355</v>
      </c>
      <c r="Q11" s="32">
        <v>0.70737382842371699</v>
      </c>
      <c r="R11" s="3">
        <v>4054.1948064516132</v>
      </c>
      <c r="S11" s="3">
        <v>5731.3327741935491</v>
      </c>
      <c r="T11" s="32">
        <v>0.96312927199211917</v>
      </c>
      <c r="U11" s="3">
        <v>5461.6298387096776</v>
      </c>
      <c r="V11" s="3">
        <v>5670.7131612903231</v>
      </c>
      <c r="W11" s="52">
        <v>11339.254129032259</v>
      </c>
      <c r="X11" s="6">
        <v>0.39063494411299177</v>
      </c>
      <c r="Y11" s="19">
        <v>29027.751612903226</v>
      </c>
      <c r="Z11" s="20">
        <v>2.1864756175864284E-2</v>
      </c>
      <c r="AA11" s="3">
        <v>20.870967741935484</v>
      </c>
      <c r="AB11" s="3">
        <v>954.54838709677415</v>
      </c>
      <c r="AC11" s="32">
        <v>0.28751617076326003</v>
      </c>
      <c r="AD11" s="3">
        <v>57.354838709677416</v>
      </c>
      <c r="AE11" s="3">
        <v>199.48387096774192</v>
      </c>
      <c r="AF11" s="32">
        <v>0.97244437405970396</v>
      </c>
      <c r="AG11" s="3">
        <v>396.16129032258067</v>
      </c>
      <c r="AH11" s="3">
        <v>407.38709677419354</v>
      </c>
      <c r="AI11" s="52">
        <v>474.38709677419359</v>
      </c>
      <c r="AJ11" s="6">
        <v>0.30381786629204199</v>
      </c>
      <c r="AK11" s="21">
        <v>1561.4193548387098</v>
      </c>
      <c r="AL11" s="69">
        <f t="shared" ref="AL11" si="17">+AI11+W11+K11</f>
        <v>13302.784082949309</v>
      </c>
      <c r="AM11" s="6">
        <f t="shared" ref="AM11" si="18">AL11/AN11</f>
        <v>0.38148215893879528</v>
      </c>
      <c r="AN11" s="3">
        <f t="shared" ref="AN11" si="19">+AK11+Y11+M11</f>
        <v>34871.31382488479</v>
      </c>
      <c r="AO11" s="6">
        <f t="shared" ref="AO11" si="20">(+AA11+O11+C11)/(D11+P11+AB11)</f>
        <v>9.7242340380112327E-2</v>
      </c>
      <c r="AP11" s="6">
        <f t="shared" ref="AP11" si="21">(+AD11+R11+F11)/(G11+S11+AE11)</f>
        <v>0.69530802576709094</v>
      </c>
      <c r="AQ11" s="70">
        <f t="shared" ref="AQ11" si="22">(AG11+U11+I11)/(AH11+V11+J11)</f>
        <v>0.95791548318160358</v>
      </c>
      <c r="AS11" s="184">
        <f t="shared" ref="AS11" si="23">M11/$AN11</f>
        <v>0.12279843766847245</v>
      </c>
      <c r="AT11" s="184">
        <f t="shared" ref="AT11" si="24">AK11/AN11</f>
        <v>4.4776613886123591E-2</v>
      </c>
      <c r="AU11" s="184">
        <f t="shared" ref="AU11" si="25">Y11/AN11</f>
        <v>0.83242494844540404</v>
      </c>
    </row>
    <row r="12" spans="1:47" ht="24" customHeight="1" x14ac:dyDescent="0.2">
      <c r="A12" s="133">
        <v>46022</v>
      </c>
      <c r="B12" s="20">
        <v>8.5096379877762113E-2</v>
      </c>
      <c r="C12" s="41">
        <v>206.85714285714286</v>
      </c>
      <c r="D12" s="159">
        <v>2430.8571428571427</v>
      </c>
      <c r="E12" s="20">
        <v>0.69900332225913619</v>
      </c>
      <c r="F12" s="161">
        <v>751.42857142857144</v>
      </c>
      <c r="G12" s="159">
        <v>1075</v>
      </c>
      <c r="H12" s="20">
        <v>0.88098285129255194</v>
      </c>
      <c r="I12" s="161">
        <v>491.71428571428572</v>
      </c>
      <c r="J12" s="159">
        <v>558.14285714285711</v>
      </c>
      <c r="K12" s="52">
        <v>1450</v>
      </c>
      <c r="L12" s="6">
        <v>0.35679133858267714</v>
      </c>
      <c r="M12" s="21">
        <v>4064</v>
      </c>
      <c r="N12" s="20">
        <v>0.10902405446836337</v>
      </c>
      <c r="O12" s="3">
        <v>1811.3770967741934</v>
      </c>
      <c r="P12" s="130">
        <v>16614.471967741938</v>
      </c>
      <c r="Q12" s="32">
        <v>0.70177079477530768</v>
      </c>
      <c r="R12" s="3">
        <v>4084.5669032258065</v>
      </c>
      <c r="S12" s="3">
        <v>5820.3717419354834</v>
      </c>
      <c r="T12" s="32">
        <v>0.9573829256742955</v>
      </c>
      <c r="U12" s="3">
        <v>7107.7978387096773</v>
      </c>
      <c r="V12" s="3">
        <v>7424.1953225806446</v>
      </c>
      <c r="W12" s="52">
        <v>13003.741838709677</v>
      </c>
      <c r="X12" s="6">
        <v>0.43550436518272234</v>
      </c>
      <c r="Y12" s="19">
        <v>29859.039032258064</v>
      </c>
      <c r="Z12" s="20">
        <v>2.2790055248618785E-2</v>
      </c>
      <c r="AA12" s="3">
        <v>19.161290322580644</v>
      </c>
      <c r="AB12" s="3">
        <v>840.77419354838707</v>
      </c>
      <c r="AC12" s="32">
        <v>0.29028834247302321</v>
      </c>
      <c r="AD12" s="3">
        <v>52.935483870967744</v>
      </c>
      <c r="AE12" s="3">
        <v>182.35483870967741</v>
      </c>
      <c r="AF12" s="32">
        <v>0.97390545685279195</v>
      </c>
      <c r="AG12" s="3">
        <v>396.09677419354841</v>
      </c>
      <c r="AH12" s="3">
        <v>406.70967741935482</v>
      </c>
      <c r="AI12" s="52">
        <v>468.19354838709683</v>
      </c>
      <c r="AJ12" s="6">
        <v>0.32744500846023694</v>
      </c>
      <c r="AK12" s="21">
        <v>1429.8387096774193</v>
      </c>
      <c r="AL12" s="69">
        <f t="shared" ref="AL12:AL13" si="26">+AI12+W12+K12</f>
        <v>14921.935387096773</v>
      </c>
      <c r="AM12" s="6">
        <f t="shared" ref="AM12:AM13" si="27">AL12/AN12</f>
        <v>0.42208545216663973</v>
      </c>
      <c r="AN12" s="3">
        <f t="shared" ref="AN12:AN13" si="28">+AK12+Y12+M12</f>
        <v>35352.877741935488</v>
      </c>
      <c r="AO12" s="6">
        <f t="shared" ref="AO12:AO13" si="29">(+AA12+O12+C12)/(D12+P12+AB12)</f>
        <v>0.10245323072062065</v>
      </c>
      <c r="AP12" s="6">
        <f t="shared" ref="AP12:AP13" si="30">(+AD12+R12+F12)/(G12+S12+AE12)</f>
        <v>0.69074877403355439</v>
      </c>
      <c r="AQ12" s="70">
        <f t="shared" ref="AQ12:AQ13" si="31">(AG12+U12+I12)/(AH12+V12+J12)</f>
        <v>0.95310088043062569</v>
      </c>
      <c r="AS12" s="184">
        <f t="shared" ref="AS12:AS13" si="32">M12/$AN12</f>
        <v>0.11495528114191661</v>
      </c>
      <c r="AT12" s="184">
        <f t="shared" ref="AT12:AT13" si="33">AK12/AN12</f>
        <v>4.0444761530158219E-2</v>
      </c>
      <c r="AU12" s="184">
        <f t="shared" ref="AU12:AU13" si="34">Y12/AN12</f>
        <v>0.84459995732792503</v>
      </c>
    </row>
    <row r="13" spans="1:47" ht="24" customHeight="1" x14ac:dyDescent="0.2">
      <c r="A13" s="133">
        <v>45991</v>
      </c>
      <c r="B13" s="20">
        <v>8.9806474627664321E-2</v>
      </c>
      <c r="C13" s="41">
        <v>143.85714285714286</v>
      </c>
      <c r="D13" s="159">
        <v>1601.8571428571429</v>
      </c>
      <c r="E13" s="20">
        <v>0.71623584083647984</v>
      </c>
      <c r="F13" s="161">
        <v>704.57142857142856</v>
      </c>
      <c r="G13" s="159">
        <v>983.71428571428567</v>
      </c>
      <c r="H13" s="20">
        <v>0.86299831555306017</v>
      </c>
      <c r="I13" s="161">
        <v>439.14285714285717</v>
      </c>
      <c r="J13" s="159">
        <v>508.85714285714283</v>
      </c>
      <c r="K13" s="52">
        <v>1287.5714285714287</v>
      </c>
      <c r="L13" s="6">
        <v>0.4160934398227229</v>
      </c>
      <c r="M13" s="21">
        <v>3094.4285714285716</v>
      </c>
      <c r="N13" s="20">
        <v>0.11466184674465342</v>
      </c>
      <c r="O13" s="3">
        <v>1182.1114</v>
      </c>
      <c r="P13" s="130">
        <v>10309.544400000001</v>
      </c>
      <c r="Q13" s="32">
        <v>0.72455111142433071</v>
      </c>
      <c r="R13" s="3">
        <v>3062.3837666666668</v>
      </c>
      <c r="S13" s="3">
        <v>4226.5945333333329</v>
      </c>
      <c r="T13" s="32">
        <v>0.97104092666363606</v>
      </c>
      <c r="U13" s="3">
        <v>4343.0848666666661</v>
      </c>
      <c r="V13" s="3">
        <v>4472.6074333333327</v>
      </c>
      <c r="W13" s="52">
        <v>8587.5800333333318</v>
      </c>
      <c r="X13" s="6">
        <v>0.4517699309404396</v>
      </c>
      <c r="Y13" s="19">
        <v>19008.746366666666</v>
      </c>
      <c r="Z13" s="20">
        <v>2.7533960292580983E-2</v>
      </c>
      <c r="AA13" s="3">
        <v>17.566666666666666</v>
      </c>
      <c r="AB13" s="3">
        <v>638</v>
      </c>
      <c r="AC13" s="32">
        <v>0.33095818488655537</v>
      </c>
      <c r="AD13" s="3">
        <v>58.833333333333336</v>
      </c>
      <c r="AE13" s="3">
        <v>177.76666666666668</v>
      </c>
      <c r="AF13" s="32">
        <v>0.97627370769802901</v>
      </c>
      <c r="AG13" s="3">
        <v>437.53333333333336</v>
      </c>
      <c r="AH13" s="3">
        <v>448.16666666666669</v>
      </c>
      <c r="AI13" s="52">
        <v>513.93333333333339</v>
      </c>
      <c r="AJ13" s="6">
        <v>0.4066142729046891</v>
      </c>
      <c r="AK13" s="21">
        <v>1263.9333333333334</v>
      </c>
      <c r="AL13" s="69">
        <f t="shared" si="26"/>
        <v>10389.084795238095</v>
      </c>
      <c r="AM13" s="6">
        <f t="shared" si="27"/>
        <v>0.44460292966336085</v>
      </c>
      <c r="AN13" s="3">
        <f t="shared" si="28"/>
        <v>23367.108271428573</v>
      </c>
      <c r="AO13" s="6">
        <f t="shared" si="29"/>
        <v>0.10705970359905502</v>
      </c>
      <c r="AP13" s="6">
        <f t="shared" si="30"/>
        <v>0.71004731442886471</v>
      </c>
      <c r="AQ13" s="70">
        <f t="shared" si="31"/>
        <v>0.96134724876751487</v>
      </c>
      <c r="AS13" s="184">
        <f t="shared" si="32"/>
        <v>0.13242668007886071</v>
      </c>
      <c r="AT13" s="184">
        <f t="shared" si="33"/>
        <v>5.4090275897714299E-2</v>
      </c>
      <c r="AU13" s="184">
        <f t="shared" si="34"/>
        <v>0.81348304402342486</v>
      </c>
    </row>
    <row r="14" spans="1:47" ht="24" customHeight="1" x14ac:dyDescent="0.2">
      <c r="A14" s="133">
        <v>45961</v>
      </c>
      <c r="B14" s="20">
        <v>8.9786848819027237E-2</v>
      </c>
      <c r="C14" s="41">
        <v>155.85714285714286</v>
      </c>
      <c r="D14" s="159">
        <v>1735.8571428571429</v>
      </c>
      <c r="E14" s="20">
        <v>0.70926947396744244</v>
      </c>
      <c r="F14" s="161">
        <v>753.14285714285711</v>
      </c>
      <c r="G14" s="159">
        <v>1061.8571428571429</v>
      </c>
      <c r="H14" s="20">
        <v>0.88124352331606215</v>
      </c>
      <c r="I14" s="161">
        <v>607.42857142857144</v>
      </c>
      <c r="J14" s="159">
        <v>689.28571428571433</v>
      </c>
      <c r="K14" s="52">
        <v>1516.4285714285716</v>
      </c>
      <c r="L14" s="6">
        <v>0.43488057683641285</v>
      </c>
      <c r="M14" s="21">
        <v>3487</v>
      </c>
      <c r="N14" s="20">
        <v>0.11804786856920306</v>
      </c>
      <c r="O14" s="3">
        <v>1319.3471290322582</v>
      </c>
      <c r="P14" s="130">
        <v>11176.374</v>
      </c>
      <c r="Q14" s="32">
        <v>0.71329902372664222</v>
      </c>
      <c r="R14" s="3">
        <v>3842.5766774193548</v>
      </c>
      <c r="S14" s="3">
        <v>5387.0488387096775</v>
      </c>
      <c r="T14" s="32">
        <v>0.96119486427236345</v>
      </c>
      <c r="U14" s="3">
        <v>6763.0517741935491</v>
      </c>
      <c r="V14" s="3">
        <v>7036.0881290322586</v>
      </c>
      <c r="W14" s="52">
        <v>11924.975580645161</v>
      </c>
      <c r="X14" s="6">
        <v>0.50530604625432096</v>
      </c>
      <c r="Y14" s="19">
        <v>23599.510967741935</v>
      </c>
      <c r="Z14" s="20">
        <v>1.7774115708316166E-2</v>
      </c>
      <c r="AA14" s="3">
        <v>9.741935483870968</v>
      </c>
      <c r="AB14" s="3">
        <v>548.09677419354841</v>
      </c>
      <c r="AC14" s="32">
        <v>0.32795918367346938</v>
      </c>
      <c r="AD14" s="3">
        <v>51.838709677419352</v>
      </c>
      <c r="AE14" s="3">
        <v>158.06451612903226</v>
      </c>
      <c r="AF14" s="32">
        <v>0.97393109173931092</v>
      </c>
      <c r="AG14" s="3">
        <v>378.41935483870969</v>
      </c>
      <c r="AH14" s="3">
        <v>388.54838709677421</v>
      </c>
      <c r="AI14" s="52">
        <v>440</v>
      </c>
      <c r="AJ14" s="6">
        <v>0.4019330504479019</v>
      </c>
      <c r="AK14" s="21">
        <v>1094.7096774193549</v>
      </c>
      <c r="AL14" s="69">
        <f t="shared" ref="AL14:AL18" si="35">+AI14+W14+K14</f>
        <v>13881.404152073734</v>
      </c>
      <c r="AM14" s="6">
        <f t="shared" ref="AM14:AM18" si="36">AL14/AN14</f>
        <v>0.49257639783808183</v>
      </c>
      <c r="AN14" s="3">
        <f t="shared" ref="AN14:AN18" si="37">+AK14+Y14+M14</f>
        <v>28181.220645161291</v>
      </c>
      <c r="AO14" s="6">
        <f t="shared" ref="AO14:AO18" si="38">(+AA14+O14+C14)/(D14+P14+AB14)</f>
        <v>0.11032021036368929</v>
      </c>
      <c r="AP14" s="6">
        <f t="shared" ref="AP14:AP18" si="39">(+AD14+R14+F14)/(G14+S14+AE14)</f>
        <v>0.70343257107935386</v>
      </c>
      <c r="AQ14" s="70">
        <f t="shared" ref="AQ14:AQ18" si="40">(AG14+U14+I14)/(AH14+V14+J14)</f>
        <v>0.95501281382934089</v>
      </c>
      <c r="AS14" s="184">
        <f t="shared" ref="AS14:AS18" si="41">M14/$AN14</f>
        <v>0.12373488160452401</v>
      </c>
      <c r="AT14" s="184">
        <f t="shared" ref="AT14:AT18" si="42">AK14/AN14</f>
        <v>3.8845360575512057E-2</v>
      </c>
      <c r="AU14" s="184">
        <f t="shared" ref="AU14:AU18" si="43">Y14/AN14</f>
        <v>0.83741975781996392</v>
      </c>
    </row>
    <row r="15" spans="1:47" ht="24" customHeight="1" x14ac:dyDescent="0.2">
      <c r="A15" s="133">
        <v>45930</v>
      </c>
      <c r="B15" s="20">
        <v>8.8228806705389309E-2</v>
      </c>
      <c r="C15" s="41">
        <v>171.42857142857142</v>
      </c>
      <c r="D15" s="159">
        <v>1943</v>
      </c>
      <c r="E15" s="20">
        <v>0.71198524892440074</v>
      </c>
      <c r="F15" s="161">
        <v>827.42857142857144</v>
      </c>
      <c r="G15" s="159">
        <v>1162.1428571428571</v>
      </c>
      <c r="H15" s="20">
        <v>0.88014669111518595</v>
      </c>
      <c r="I15" s="161">
        <v>754.28571428571433</v>
      </c>
      <c r="J15" s="159">
        <v>857</v>
      </c>
      <c r="K15" s="52">
        <v>1753.1428571428573</v>
      </c>
      <c r="L15" s="6">
        <v>0.44247340904993698</v>
      </c>
      <c r="M15" s="21">
        <v>3962.1428571428569</v>
      </c>
      <c r="N15" s="20">
        <v>0.1195039031531434</v>
      </c>
      <c r="O15" s="3">
        <v>1486.0547333333334</v>
      </c>
      <c r="P15" s="130">
        <v>12435.1983</v>
      </c>
      <c r="Q15" s="32">
        <v>0.71498203593120169</v>
      </c>
      <c r="R15" s="3">
        <v>4200.0655666666662</v>
      </c>
      <c r="S15" s="3">
        <v>5874.3651666666665</v>
      </c>
      <c r="T15" s="32">
        <v>0.95968959564504452</v>
      </c>
      <c r="U15" s="3">
        <v>5988.7006000000001</v>
      </c>
      <c r="V15" s="3">
        <v>6240.2475000000004</v>
      </c>
      <c r="W15" s="52">
        <v>11674.820899999999</v>
      </c>
      <c r="X15" s="6">
        <v>0.47555644790307672</v>
      </c>
      <c r="Y15" s="19">
        <v>24549.810966666668</v>
      </c>
      <c r="Z15" s="20">
        <v>1.4528663137740738E-2</v>
      </c>
      <c r="AA15" s="3">
        <v>8.6</v>
      </c>
      <c r="AB15" s="3">
        <v>591.93333333333328</v>
      </c>
      <c r="AC15" s="32">
        <v>0.34271952575027786</v>
      </c>
      <c r="AD15" s="3">
        <v>61.666666666666664</v>
      </c>
      <c r="AE15" s="3">
        <v>179.93333333333334</v>
      </c>
      <c r="AF15" s="32">
        <v>0.97336158619645841</v>
      </c>
      <c r="AG15" s="3">
        <v>428.73333333333335</v>
      </c>
      <c r="AH15" s="3">
        <v>440.46666666666664</v>
      </c>
      <c r="AI15" s="52">
        <v>499.00000000000006</v>
      </c>
      <c r="AJ15" s="6">
        <v>0.41160296948034103</v>
      </c>
      <c r="AK15" s="21">
        <v>1212.3333333333333</v>
      </c>
      <c r="AL15" s="69">
        <f t="shared" si="35"/>
        <v>13926.963757142856</v>
      </c>
      <c r="AM15" s="6">
        <f t="shared" si="36"/>
        <v>0.4685381917997033</v>
      </c>
      <c r="AN15" s="3">
        <f t="shared" si="37"/>
        <v>29724.287157142855</v>
      </c>
      <c r="AO15" s="6">
        <f t="shared" si="38"/>
        <v>0.1112938313148904</v>
      </c>
      <c r="AP15" s="6">
        <f t="shared" si="39"/>
        <v>0.70521750997458565</v>
      </c>
      <c r="AQ15" s="70">
        <f t="shared" si="40"/>
        <v>0.95144489284747336</v>
      </c>
      <c r="AS15" s="184">
        <f t="shared" si="41"/>
        <v>0.13329648028887178</v>
      </c>
      <c r="AT15" s="184">
        <f t="shared" si="42"/>
        <v>4.0785951465349274E-2</v>
      </c>
      <c r="AU15" s="184">
        <f t="shared" si="43"/>
        <v>0.825917568245779</v>
      </c>
    </row>
    <row r="16" spans="1:47" ht="24" customHeight="1" x14ac:dyDescent="0.2">
      <c r="A16" s="133">
        <v>45900</v>
      </c>
      <c r="B16" s="20">
        <v>8.8597788576660341E-2</v>
      </c>
      <c r="C16" s="41">
        <v>179.71428571428572</v>
      </c>
      <c r="D16" s="159">
        <v>2028.4285714285713</v>
      </c>
      <c r="E16" s="20">
        <v>0.70777680689052558</v>
      </c>
      <c r="F16" s="161">
        <v>810</v>
      </c>
      <c r="G16" s="159">
        <v>1144.4285714285713</v>
      </c>
      <c r="H16" s="20">
        <v>0.85475896168108767</v>
      </c>
      <c r="I16" s="161">
        <v>592.71428571428567</v>
      </c>
      <c r="J16" s="159">
        <v>693.42857142857144</v>
      </c>
      <c r="K16" s="52">
        <v>1582.4285714285716</v>
      </c>
      <c r="L16" s="6">
        <v>0.40928909252143075</v>
      </c>
      <c r="M16" s="21">
        <v>3866.2857142857138</v>
      </c>
      <c r="N16" s="20">
        <v>0.11667875860130783</v>
      </c>
      <c r="O16" s="3">
        <v>1689.1107419354839</v>
      </c>
      <c r="P16" s="130">
        <v>14476.59164516129</v>
      </c>
      <c r="Q16" s="32">
        <v>0.70595157113120477</v>
      </c>
      <c r="R16" s="3">
        <v>4241.2846451612904</v>
      </c>
      <c r="S16" s="3">
        <v>6007.8974516129038</v>
      </c>
      <c r="T16" s="32">
        <v>0.96411863055892422</v>
      </c>
      <c r="U16" s="3">
        <v>7792.7928709677426</v>
      </c>
      <c r="V16" s="3">
        <v>8082.8153548387108</v>
      </c>
      <c r="W16" s="52">
        <v>13723.188258064518</v>
      </c>
      <c r="X16" s="6">
        <v>0.48038092923008385</v>
      </c>
      <c r="Y16" s="19">
        <v>28567.304451612905</v>
      </c>
      <c r="Z16" s="20">
        <v>1.5026065624041707E-2</v>
      </c>
      <c r="AA16" s="3">
        <v>9.4838709677419359</v>
      </c>
      <c r="AB16" s="3">
        <v>631.16129032258061</v>
      </c>
      <c r="AC16" s="32">
        <v>0.36846705121482254</v>
      </c>
      <c r="AD16" s="3">
        <v>68</v>
      </c>
      <c r="AE16" s="3">
        <v>184.54838709677421</v>
      </c>
      <c r="AF16" s="32">
        <v>0.96971691902567481</v>
      </c>
      <c r="AG16" s="3">
        <v>380.12903225806451</v>
      </c>
      <c r="AH16" s="3">
        <v>392</v>
      </c>
      <c r="AI16" s="52">
        <v>457.61290322580646</v>
      </c>
      <c r="AJ16" s="6">
        <v>0.37890969310077732</v>
      </c>
      <c r="AK16" s="21">
        <v>1207.7096774193546</v>
      </c>
      <c r="AL16" s="69">
        <f t="shared" si="35"/>
        <v>15763.229732718897</v>
      </c>
      <c r="AM16" s="6">
        <f t="shared" si="36"/>
        <v>0.46856779631390727</v>
      </c>
      <c r="AN16" s="3">
        <f t="shared" si="37"/>
        <v>33641.299843317975</v>
      </c>
      <c r="AO16" s="6">
        <f t="shared" si="38"/>
        <v>0.10961070281963541</v>
      </c>
      <c r="AP16" s="6">
        <f t="shared" si="39"/>
        <v>0.69774734566634444</v>
      </c>
      <c r="AQ16" s="70">
        <f t="shared" si="40"/>
        <v>0.9560867118539782</v>
      </c>
      <c r="AS16" s="184">
        <f t="shared" si="41"/>
        <v>0.11492676359988085</v>
      </c>
      <c r="AT16" s="184">
        <f t="shared" si="42"/>
        <v>3.5899613957967702E-2</v>
      </c>
      <c r="AU16" s="184">
        <f t="shared" si="43"/>
        <v>0.84917362244215144</v>
      </c>
    </row>
    <row r="17" spans="1:47" ht="24" customHeight="1" x14ac:dyDescent="0.2">
      <c r="A17" s="133">
        <v>45869</v>
      </c>
      <c r="B17" s="20">
        <v>8.74247491638796E-2</v>
      </c>
      <c r="C17" s="41">
        <v>186.71428571428572</v>
      </c>
      <c r="D17" s="159">
        <v>2135.7142857142858</v>
      </c>
      <c r="E17" s="20">
        <v>0.69372403727405418</v>
      </c>
      <c r="F17" s="161">
        <v>882.71428571428567</v>
      </c>
      <c r="G17" s="159">
        <v>1272.4285714285713</v>
      </c>
      <c r="H17" s="20">
        <v>0.85106911984087519</v>
      </c>
      <c r="I17" s="161">
        <v>489</v>
      </c>
      <c r="J17" s="159">
        <v>574.57142857142856</v>
      </c>
      <c r="K17" s="52">
        <v>1558.4285714285713</v>
      </c>
      <c r="L17" s="6">
        <v>0.39129810968829581</v>
      </c>
      <c r="M17" s="21">
        <v>3982.7142857142858</v>
      </c>
      <c r="N17" s="20">
        <v>0.11739211746055452</v>
      </c>
      <c r="O17" s="3">
        <v>1619.6586129032257</v>
      </c>
      <c r="P17" s="130">
        <v>13796.996322580644</v>
      </c>
      <c r="Q17" s="32">
        <v>0.7027033463842669</v>
      </c>
      <c r="R17" s="3">
        <v>4100.2772903225805</v>
      </c>
      <c r="S17" s="3">
        <v>5835.0046451612898</v>
      </c>
      <c r="T17" s="32">
        <v>0.96529893825227575</v>
      </c>
      <c r="U17" s="3">
        <v>6006.106870967742</v>
      </c>
      <c r="V17" s="3">
        <v>6222.0174838709681</v>
      </c>
      <c r="W17" s="52">
        <v>11726.042774193549</v>
      </c>
      <c r="X17" s="6">
        <v>0.45354817070852754</v>
      </c>
      <c r="Y17" s="19">
        <v>25854.018451612901</v>
      </c>
      <c r="Z17" s="20">
        <v>1.7100680908571132E-2</v>
      </c>
      <c r="AA17" s="3">
        <v>10.612903225806452</v>
      </c>
      <c r="AB17" s="3">
        <v>620.61290322580646</v>
      </c>
      <c r="AC17" s="32">
        <v>0.33840445269016695</v>
      </c>
      <c r="AD17" s="3">
        <v>58.838709677419352</v>
      </c>
      <c r="AE17" s="3">
        <v>173.87096774193549</v>
      </c>
      <c r="AF17" s="32">
        <v>0.97098558346178254</v>
      </c>
      <c r="AG17" s="3">
        <v>345.45161290322579</v>
      </c>
      <c r="AH17" s="3">
        <v>355.77419354838707</v>
      </c>
      <c r="AI17" s="52">
        <v>414.90322580645159</v>
      </c>
      <c r="AJ17" s="6">
        <v>0.36070447024510627</v>
      </c>
      <c r="AK17" s="21">
        <v>1150.258064516129</v>
      </c>
      <c r="AL17" s="69">
        <f t="shared" si="35"/>
        <v>13699.374571428571</v>
      </c>
      <c r="AM17" s="6">
        <f t="shared" si="36"/>
        <v>0.44210083705880981</v>
      </c>
      <c r="AN17" s="3">
        <f t="shared" si="37"/>
        <v>30986.990801843316</v>
      </c>
      <c r="AO17" s="6">
        <f t="shared" si="38"/>
        <v>0.10976561900567805</v>
      </c>
      <c r="AP17" s="6">
        <f t="shared" si="39"/>
        <v>0.69243505807153316</v>
      </c>
      <c r="AQ17" s="70">
        <f t="shared" si="40"/>
        <v>0.9564053701554035</v>
      </c>
      <c r="AS17" s="184">
        <f t="shared" si="41"/>
        <v>0.12852859160100719</v>
      </c>
      <c r="AT17" s="184">
        <f t="shared" si="42"/>
        <v>3.7120676604961066E-2</v>
      </c>
      <c r="AU17" s="184">
        <f t="shared" si="43"/>
        <v>0.83435073179403174</v>
      </c>
    </row>
    <row r="18" spans="1:47" ht="24" customHeight="1" x14ac:dyDescent="0.2">
      <c r="A18" s="133">
        <v>45838</v>
      </c>
      <c r="B18" s="20">
        <v>9.4292389853137509E-2</v>
      </c>
      <c r="C18" s="41">
        <v>161.42857142857142</v>
      </c>
      <c r="D18" s="159">
        <v>1712</v>
      </c>
      <c r="E18" s="20">
        <v>0.71392792542089878</v>
      </c>
      <c r="F18" s="161">
        <v>733</v>
      </c>
      <c r="G18" s="159">
        <v>1026.7142857142858</v>
      </c>
      <c r="H18" s="20">
        <v>0.838874059694249</v>
      </c>
      <c r="I18" s="161">
        <v>493.85714285714283</v>
      </c>
      <c r="J18" s="159">
        <v>588.71428571428567</v>
      </c>
      <c r="K18" s="52">
        <v>1388.2857142857142</v>
      </c>
      <c r="L18" s="6">
        <v>0.41722479821397901</v>
      </c>
      <c r="M18" s="21">
        <v>3327.4285714285716</v>
      </c>
      <c r="N18" s="20">
        <v>0.13658042724873032</v>
      </c>
      <c r="O18" s="3">
        <v>1614.2097333333334</v>
      </c>
      <c r="P18" s="130">
        <v>11818.748600000001</v>
      </c>
      <c r="Q18" s="32">
        <v>0.71777496430205734</v>
      </c>
      <c r="R18" s="3">
        <v>3904.3243333333335</v>
      </c>
      <c r="S18" s="3">
        <v>5439.4824666666664</v>
      </c>
      <c r="T18" s="32">
        <v>0.96479009150037287</v>
      </c>
      <c r="U18" s="3">
        <v>7208.0245999999997</v>
      </c>
      <c r="V18" s="3">
        <v>7471.0806666666667</v>
      </c>
      <c r="W18" s="52">
        <v>12726.558666666668</v>
      </c>
      <c r="X18" s="6">
        <v>0.51463456823637277</v>
      </c>
      <c r="Y18" s="19">
        <v>24729.311733333336</v>
      </c>
      <c r="Z18" s="20">
        <v>1.8126712129160113E-2</v>
      </c>
      <c r="AA18" s="3">
        <v>10.366666666666667</v>
      </c>
      <c r="AB18" s="3">
        <v>571.9</v>
      </c>
      <c r="AC18" s="32">
        <v>0.34310110615175621</v>
      </c>
      <c r="AD18" s="3">
        <v>58.93333333333333</v>
      </c>
      <c r="AE18" s="3">
        <v>171.76666666666668</v>
      </c>
      <c r="AF18" s="32">
        <v>0.9756560227631994</v>
      </c>
      <c r="AG18" s="3">
        <v>411.46666666666664</v>
      </c>
      <c r="AH18" s="3">
        <v>421.73333333333335</v>
      </c>
      <c r="AI18" s="52">
        <v>480.76666666666665</v>
      </c>
      <c r="AJ18" s="6">
        <v>0.41253360791716714</v>
      </c>
      <c r="AK18" s="21">
        <v>1165.4000000000001</v>
      </c>
      <c r="AL18" s="69">
        <f t="shared" si="35"/>
        <v>14595.611047619048</v>
      </c>
      <c r="AM18" s="6">
        <f t="shared" si="36"/>
        <v>0.4994709797228854</v>
      </c>
      <c r="AN18" s="3">
        <f t="shared" si="37"/>
        <v>29222.14030476191</v>
      </c>
      <c r="AO18" s="6">
        <f t="shared" si="38"/>
        <v>0.12664323008293429</v>
      </c>
      <c r="AP18" s="6">
        <f t="shared" si="39"/>
        <v>0.70748471635001287</v>
      </c>
      <c r="AQ18" s="70">
        <f t="shared" si="40"/>
        <v>0.95659038515374462</v>
      </c>
      <c r="AS18" s="184">
        <f t="shared" si="41"/>
        <v>0.11386669616689057</v>
      </c>
      <c r="AT18" s="184">
        <f t="shared" si="42"/>
        <v>3.9880720161010644E-2</v>
      </c>
      <c r="AU18" s="184">
        <f t="shared" si="43"/>
        <v>0.84625258367209866</v>
      </c>
    </row>
    <row r="19" spans="1:47" ht="24" customHeight="1" x14ac:dyDescent="0.2">
      <c r="A19" s="133">
        <v>45808</v>
      </c>
      <c r="B19" s="20">
        <v>9.6272545090180364E-2</v>
      </c>
      <c r="C19" s="41">
        <v>171.57142857142858</v>
      </c>
      <c r="D19" s="159">
        <v>1782.1428571428571</v>
      </c>
      <c r="E19" s="20">
        <v>0.72227125625183886</v>
      </c>
      <c r="F19" s="161">
        <v>701.42857142857144</v>
      </c>
      <c r="G19" s="159">
        <v>971.14285714285711</v>
      </c>
      <c r="H19" s="20">
        <v>0.85553278688524603</v>
      </c>
      <c r="I19" s="161">
        <v>477.14285714285717</v>
      </c>
      <c r="J19" s="159">
        <v>557.71428571428567</v>
      </c>
      <c r="K19" s="52">
        <v>1350.1428571428571</v>
      </c>
      <c r="L19" s="6">
        <v>0.40777494930318847</v>
      </c>
      <c r="M19" s="21">
        <v>3311</v>
      </c>
      <c r="N19" s="20">
        <v>0.12371797407833163</v>
      </c>
      <c r="O19" s="3">
        <v>1368.7954193548387</v>
      </c>
      <c r="P19" s="130">
        <v>11063.836354838711</v>
      </c>
      <c r="Q19" s="32">
        <v>0.72248173522733672</v>
      </c>
      <c r="R19" s="3">
        <v>3555.7545483870967</v>
      </c>
      <c r="S19" s="3">
        <v>4921.5839999999998</v>
      </c>
      <c r="T19" s="32">
        <v>0.95149662825253545</v>
      </c>
      <c r="U19" s="3">
        <v>3947.1651935483869</v>
      </c>
      <c r="V19" s="3">
        <v>4148.3753870967739</v>
      </c>
      <c r="W19" s="52">
        <v>8871.7151612903217</v>
      </c>
      <c r="X19" s="6">
        <v>0.4406379837663672</v>
      </c>
      <c r="Y19" s="19">
        <v>20133.795741935486</v>
      </c>
      <c r="Z19" s="20">
        <v>1.8276197685735913E-2</v>
      </c>
      <c r="AA19" s="3">
        <v>10.903225806451612</v>
      </c>
      <c r="AB19" s="3">
        <v>596.58064516129036</v>
      </c>
      <c r="AC19" s="32">
        <v>0.30179414542020772</v>
      </c>
      <c r="AD19" s="3">
        <v>51.548387096774192</v>
      </c>
      <c r="AE19" s="3">
        <v>170.80645161290323</v>
      </c>
      <c r="AF19" s="32">
        <v>0.97575375895457761</v>
      </c>
      <c r="AG19" s="3">
        <v>399.83870967741933</v>
      </c>
      <c r="AH19" s="3">
        <v>409.77419354838707</v>
      </c>
      <c r="AI19" s="52">
        <v>462.29032258064512</v>
      </c>
      <c r="AJ19" s="6">
        <v>0.39271621177244331</v>
      </c>
      <c r="AK19" s="21">
        <v>1177.1612903225805</v>
      </c>
      <c r="AL19" s="69">
        <f t="shared" ref="AL19" si="44">+AI19+W19+K19</f>
        <v>10684.148341013824</v>
      </c>
      <c r="AM19" s="6">
        <f t="shared" ref="AM19" si="45">AL19/AN19</f>
        <v>0.43392766574225428</v>
      </c>
      <c r="AN19" s="3">
        <f t="shared" ref="AN19" si="46">+AK19+Y19+M19</f>
        <v>24621.957032258066</v>
      </c>
      <c r="AO19" s="6">
        <f t="shared" ref="AO19" si="47">(+AA19+O19+C19)/(D19+P19+AB19)</f>
        <v>0.11539990077919823</v>
      </c>
      <c r="AP19" s="6">
        <f t="shared" ref="AP19" si="48">(+AD19+R19+F19)/(G19+S19+AE19)</f>
        <v>0.71059748293797964</v>
      </c>
      <c r="AQ19" s="70">
        <f t="shared" ref="AQ19" si="49">(AG19+U19+I19)/(AH19+V19+J19)</f>
        <v>0.94297793811343633</v>
      </c>
      <c r="AS19" s="184">
        <f t="shared" ref="AS19" si="50">M19/$AN19</f>
        <v>0.13447346998705853</v>
      </c>
      <c r="AT19" s="184">
        <f t="shared" ref="AT19" si="51">AK19/AN19</f>
        <v>4.7809412094267784E-2</v>
      </c>
      <c r="AU19" s="184">
        <f t="shared" ref="AU19" si="52">Y19/AN19</f>
        <v>0.81771711791867374</v>
      </c>
    </row>
    <row r="20" spans="1:47" ht="24" customHeight="1" x14ac:dyDescent="0.2">
      <c r="A20" s="133">
        <v>45777</v>
      </c>
      <c r="B20" s="20">
        <v>8.9717000066903071E-2</v>
      </c>
      <c r="C20" s="41">
        <v>191.57142857142858</v>
      </c>
      <c r="D20" s="159">
        <v>2135.2857142857142</v>
      </c>
      <c r="E20" s="20">
        <v>0.72243660418963618</v>
      </c>
      <c r="F20" s="161">
        <v>748.85714285714289</v>
      </c>
      <c r="G20" s="159">
        <v>1036.5714285714287</v>
      </c>
      <c r="H20" s="20">
        <v>0.86154949784791957</v>
      </c>
      <c r="I20" s="161">
        <v>514.71428571428567</v>
      </c>
      <c r="J20" s="159">
        <v>597.42857142857144</v>
      </c>
      <c r="K20" s="52">
        <v>1455.1428571428571</v>
      </c>
      <c r="L20" s="6">
        <v>0.38605268144779231</v>
      </c>
      <c r="M20" s="21">
        <v>3769.2857142857142</v>
      </c>
      <c r="N20" s="20">
        <v>0.1206070755267913</v>
      </c>
      <c r="O20" s="3">
        <v>1575.5658000000001</v>
      </c>
      <c r="P20" s="130">
        <v>13063.626600000001</v>
      </c>
      <c r="Q20" s="32">
        <v>0.72082309914532872</v>
      </c>
      <c r="R20" s="3">
        <v>3691.6795000000002</v>
      </c>
      <c r="S20" s="3">
        <v>5121.4778000000006</v>
      </c>
      <c r="T20" s="32">
        <v>0.96361214710476839</v>
      </c>
      <c r="U20" s="3">
        <v>5610.2881666666672</v>
      </c>
      <c r="V20" s="3">
        <v>5822.1434666666673</v>
      </c>
      <c r="W20" s="52">
        <v>10877.533466666668</v>
      </c>
      <c r="X20" s="6">
        <v>0.45309372932204317</v>
      </c>
      <c r="Y20" s="19">
        <v>24007.247866666672</v>
      </c>
      <c r="Z20" s="20">
        <v>1.8073646730067155E-2</v>
      </c>
      <c r="AA20" s="3">
        <v>13.366666666666667</v>
      </c>
      <c r="AB20" s="3">
        <v>739.56666666666672</v>
      </c>
      <c r="AC20" s="32">
        <v>0.31464344039194336</v>
      </c>
      <c r="AD20" s="3">
        <v>57.8</v>
      </c>
      <c r="AE20" s="3">
        <v>183.7</v>
      </c>
      <c r="AF20" s="32">
        <v>0.97374980526561761</v>
      </c>
      <c r="AG20" s="3">
        <v>416.7</v>
      </c>
      <c r="AH20" s="3">
        <v>427.93333333333334</v>
      </c>
      <c r="AI20" s="52">
        <v>487.86666666666667</v>
      </c>
      <c r="AJ20" s="6">
        <v>0.36106177225182551</v>
      </c>
      <c r="AK20" s="21">
        <v>1351.2</v>
      </c>
      <c r="AL20" s="69">
        <f t="shared" ref="AL20" si="53">+AI20+W20+K20</f>
        <v>12820.542990476191</v>
      </c>
      <c r="AM20" s="6">
        <f t="shared" ref="AM20" si="54">AL20/AN20</f>
        <v>0.44014900626734582</v>
      </c>
      <c r="AN20" s="3">
        <f t="shared" ref="AN20" si="55">+AK20+Y20+M20</f>
        <v>29127.733580952387</v>
      </c>
      <c r="AO20" s="6">
        <f t="shared" ref="AO20" si="56">(+AA20+O20+C20)/(D20+P20+AB20)</f>
        <v>0.11171102947564346</v>
      </c>
      <c r="AP20" s="6">
        <f t="shared" ref="AP20" si="57">(+AD20+R20+F20)/(G20+S20+AE20)</f>
        <v>0.70932111641860984</v>
      </c>
      <c r="AQ20" s="70">
        <f t="shared" ref="AQ20" si="58">(AG20+U20+I20)/(AH20+V20+J20)</f>
        <v>0.95534097420009456</v>
      </c>
      <c r="AS20" s="184">
        <f t="shared" ref="AS20" si="59">M20/$AN20</f>
        <v>0.12940538967132609</v>
      </c>
      <c r="AT20" s="184">
        <f t="shared" ref="AT20" si="60">AK20/AN20</f>
        <v>4.6388779142212275E-2</v>
      </c>
      <c r="AU20" s="184">
        <f t="shared" ref="AU20" si="61">Y20/AN20</f>
        <v>0.82420583118646162</v>
      </c>
    </row>
    <row r="21" spans="1:47" ht="24" customHeight="1" x14ac:dyDescent="0.2">
      <c r="A21" s="133">
        <v>45747</v>
      </c>
      <c r="B21" s="20">
        <v>8.9931630923859057E-2</v>
      </c>
      <c r="C21" s="41">
        <v>219.85714285714286</v>
      </c>
      <c r="D21" s="159">
        <v>2444.7142857142858</v>
      </c>
      <c r="E21" s="20">
        <v>0.72056641942009447</v>
      </c>
      <c r="F21" s="161">
        <v>763.28571428571433</v>
      </c>
      <c r="G21" s="159">
        <v>1059.2857142857142</v>
      </c>
      <c r="H21" s="20">
        <v>0.85183033120278906</v>
      </c>
      <c r="I21" s="161">
        <v>418.85714285714283</v>
      </c>
      <c r="J21" s="159">
        <v>491.71428571428572</v>
      </c>
      <c r="K21" s="52">
        <v>1402</v>
      </c>
      <c r="L21" s="6">
        <v>0.35087593850554166</v>
      </c>
      <c r="M21" s="21">
        <v>3995.7142857142858</v>
      </c>
      <c r="N21" s="20">
        <v>0.11813935106256301</v>
      </c>
      <c r="O21" s="3">
        <v>1777.7485806451612</v>
      </c>
      <c r="P21" s="130">
        <v>15047.895258064516</v>
      </c>
      <c r="Q21" s="32">
        <v>0.6924250292048777</v>
      </c>
      <c r="R21" s="3">
        <v>3527.4356129032258</v>
      </c>
      <c r="S21" s="3">
        <v>5094.3213548387102</v>
      </c>
      <c r="T21" s="32">
        <v>0.96786722457540153</v>
      </c>
      <c r="U21" s="3">
        <v>5815.8536451612908</v>
      </c>
      <c r="V21" s="3">
        <v>6008.9374838709682</v>
      </c>
      <c r="W21" s="52">
        <v>11121.037838709679</v>
      </c>
      <c r="X21" s="6">
        <v>0.42525992533849527</v>
      </c>
      <c r="Y21" s="19">
        <v>26151.154096774197</v>
      </c>
      <c r="Z21" s="20">
        <v>2.2122403144300955E-2</v>
      </c>
      <c r="AA21" s="3">
        <v>19.06451612903226</v>
      </c>
      <c r="AB21" s="3">
        <v>861.77419354838707</v>
      </c>
      <c r="AC21" s="32">
        <v>0.29200920749753373</v>
      </c>
      <c r="AD21" s="3">
        <v>57.29032258064516</v>
      </c>
      <c r="AE21" s="3">
        <v>196.19354838709677</v>
      </c>
      <c r="AF21" s="32">
        <v>0.97491941190345144</v>
      </c>
      <c r="AG21" s="3">
        <v>400</v>
      </c>
      <c r="AH21" s="3">
        <v>410.29032258064518</v>
      </c>
      <c r="AI21" s="52">
        <v>476.35483870967744</v>
      </c>
      <c r="AJ21" s="6">
        <v>0.32443536338869849</v>
      </c>
      <c r="AK21" s="21">
        <v>1468.258064516129</v>
      </c>
      <c r="AL21" s="69">
        <f t="shared" ref="AL21" si="62">+AI21+W21+K21</f>
        <v>12999.392677419357</v>
      </c>
      <c r="AM21" s="6">
        <f t="shared" ref="AM21" si="63">AL21/AN21</f>
        <v>0.41117636202435592</v>
      </c>
      <c r="AN21" s="3">
        <f t="shared" ref="AN21" si="64">+AK21+Y21+M21</f>
        <v>31615.126447004612</v>
      </c>
      <c r="AO21" s="6">
        <f t="shared" ref="AO21" si="65">(+AA21+O21+C21)/(D21+P21+AB21)</f>
        <v>0.10987403709611057</v>
      </c>
      <c r="AP21" s="6">
        <f t="shared" ref="AP21" si="66">(+AD21+R21+F21)/(G21+S21+AE21)</f>
        <v>0.68474774432737484</v>
      </c>
      <c r="AQ21" s="70">
        <f t="shared" ref="AQ21" si="67">(AG21+U21+I21)/(AH21+V21+J21)</f>
        <v>0.96002986272152468</v>
      </c>
      <c r="AS21" s="184">
        <f t="shared" ref="AS21" si="68">M21/$AN21</f>
        <v>0.1263861554503718</v>
      </c>
      <c r="AT21" s="184">
        <f t="shared" ref="AT21" si="69">AK21/AN21</f>
        <v>4.6441631887106996E-2</v>
      </c>
      <c r="AU21" s="184">
        <f t="shared" ref="AU21" si="70">Y21/AN21</f>
        <v>0.82717221266252117</v>
      </c>
    </row>
    <row r="22" spans="1:47" ht="24" customHeight="1" x14ac:dyDescent="0.2">
      <c r="A22" s="133">
        <v>45716</v>
      </c>
      <c r="B22" s="20">
        <v>8.6787758148793234E-2</v>
      </c>
      <c r="C22" s="41">
        <v>249.14285714285714</v>
      </c>
      <c r="D22" s="159">
        <v>2870.7142857142858</v>
      </c>
      <c r="E22" s="20">
        <v>0.71177829099307155</v>
      </c>
      <c r="F22" s="161">
        <v>880.57142857142856</v>
      </c>
      <c r="G22" s="159">
        <v>1237.1428571428571</v>
      </c>
      <c r="H22" s="20">
        <v>0.83784431137724547</v>
      </c>
      <c r="I22" s="161">
        <v>499.71428571428572</v>
      </c>
      <c r="J22" s="159">
        <v>596.42857142857144</v>
      </c>
      <c r="K22" s="52">
        <v>1629.4285714285716</v>
      </c>
      <c r="L22" s="6">
        <v>0.34637109019131496</v>
      </c>
      <c r="M22" s="21">
        <v>4704.2857142857138</v>
      </c>
      <c r="N22" s="20">
        <v>0.11877707655983108</v>
      </c>
      <c r="O22" s="3">
        <v>2123.1373928571429</v>
      </c>
      <c r="P22" s="130">
        <v>17874.975999999999</v>
      </c>
      <c r="Q22" s="32">
        <v>0.72683051803434562</v>
      </c>
      <c r="R22" s="3">
        <v>4532.3071071428576</v>
      </c>
      <c r="S22" s="3">
        <v>6235.7138214285715</v>
      </c>
      <c r="T22" s="32">
        <v>0.96464040173890375</v>
      </c>
      <c r="U22" s="3">
        <v>6017.5877142857144</v>
      </c>
      <c r="V22" s="3">
        <v>6238.1667857142857</v>
      </c>
      <c r="W22" s="52">
        <v>12673.032214285715</v>
      </c>
      <c r="X22" s="6">
        <v>0.41757857234407342</v>
      </c>
      <c r="Y22" s="19">
        <v>30348.856607142858</v>
      </c>
      <c r="Z22" s="20">
        <v>2.1427632443801758E-2</v>
      </c>
      <c r="AA22" s="3">
        <v>23.285714285714285</v>
      </c>
      <c r="AB22" s="3">
        <v>1086.7142857142858</v>
      </c>
      <c r="AC22" s="32">
        <v>0.28732676096585225</v>
      </c>
      <c r="AD22" s="3">
        <v>71.821428571428569</v>
      </c>
      <c r="AE22" s="3">
        <v>249.96428571428572</v>
      </c>
      <c r="AF22" s="32">
        <v>0.94704992435703483</v>
      </c>
      <c r="AG22" s="3">
        <v>469.5</v>
      </c>
      <c r="AH22" s="3">
        <v>495.75</v>
      </c>
      <c r="AI22" s="52">
        <v>564.60714285714289</v>
      </c>
      <c r="AJ22" s="6">
        <v>0.3081195914867077</v>
      </c>
      <c r="AK22" s="21">
        <v>1832.4285714285716</v>
      </c>
      <c r="AL22" s="69">
        <f t="shared" ref="AL22" si="71">+AI22+W22+K22</f>
        <v>14867.067928571429</v>
      </c>
      <c r="AM22" s="6">
        <f t="shared" ref="AM22" si="72">AL22/AN22</f>
        <v>0.4030591792046907</v>
      </c>
      <c r="AN22" s="3">
        <f t="shared" ref="AN22" si="73">+AK22+Y22+M22</f>
        <v>36885.57089285714</v>
      </c>
      <c r="AO22" s="6">
        <f t="shared" ref="AO22" si="74">(+AA22+O22+C22)/(D22+P22+AB22)</f>
        <v>0.10972524608767655</v>
      </c>
      <c r="AP22" s="6">
        <f t="shared" ref="AP22" si="75">(+AD22+R22+F22)/(G22+S22+AE22)</f>
        <v>0.71019385139831426</v>
      </c>
      <c r="AQ22" s="70">
        <f t="shared" ref="AQ22" si="76">(AG22+U22+I22)/(AH22+V22+J22)</f>
        <v>0.9531340829926791</v>
      </c>
      <c r="AS22" s="184">
        <f t="shared" ref="AS22" si="77">M22/$AN22</f>
        <v>0.12753728898355468</v>
      </c>
      <c r="AT22" s="184">
        <f t="shared" ref="AT22" si="78">AK22/AN22</f>
        <v>4.9678736890132282E-2</v>
      </c>
      <c r="AU22" s="184">
        <f t="shared" ref="AU22" si="79">Y22/AN22</f>
        <v>0.8227839741263131</v>
      </c>
    </row>
    <row r="23" spans="1:47" ht="24" customHeight="1" x14ac:dyDescent="0.2">
      <c r="A23" s="133">
        <v>45688</v>
      </c>
      <c r="B23" s="20">
        <v>8.706949256164663E-2</v>
      </c>
      <c r="C23" s="41">
        <v>244.14285714285714</v>
      </c>
      <c r="D23" s="159">
        <v>2804</v>
      </c>
      <c r="E23" s="20">
        <v>0.70708343836652388</v>
      </c>
      <c r="F23" s="161">
        <v>801.42857142857144</v>
      </c>
      <c r="G23" s="159">
        <v>1133.4285714285713</v>
      </c>
      <c r="H23" s="20">
        <v>0.85493072534637315</v>
      </c>
      <c r="I23" s="161">
        <v>449.57142857142856</v>
      </c>
      <c r="J23" s="159">
        <v>525.85714285714289</v>
      </c>
      <c r="K23" s="52">
        <v>1495.1428571428573</v>
      </c>
      <c r="L23" s="6">
        <v>0.33498703709630967</v>
      </c>
      <c r="M23" s="21">
        <v>4463.2857142857138</v>
      </c>
      <c r="N23" s="20">
        <v>0.12087238234327584</v>
      </c>
      <c r="O23" s="3">
        <v>2051.7023225806452</v>
      </c>
      <c r="P23" s="130">
        <v>16974.12</v>
      </c>
      <c r="Q23" s="32">
        <v>0.71075466039447921</v>
      </c>
      <c r="R23" s="3">
        <v>4078.0610645161291</v>
      </c>
      <c r="S23" s="3">
        <v>5737.6494193548388</v>
      </c>
      <c r="T23" s="32">
        <v>0.97196976855288786</v>
      </c>
      <c r="U23" s="3">
        <v>7487.9108064516131</v>
      </c>
      <c r="V23" s="3">
        <v>7703.851548387097</v>
      </c>
      <c r="W23" s="52">
        <v>13617.674193548388</v>
      </c>
      <c r="X23" s="6">
        <v>0.44771974926932973</v>
      </c>
      <c r="Y23" s="19">
        <v>30415.620967741936</v>
      </c>
      <c r="Z23" s="20">
        <v>2.4860391576397769E-2</v>
      </c>
      <c r="AA23" s="3">
        <v>23.838709677419356</v>
      </c>
      <c r="AB23" s="3">
        <v>958.90322580645159</v>
      </c>
      <c r="AC23" s="32">
        <v>0.29915771129828639</v>
      </c>
      <c r="AD23" s="3">
        <v>66.451612903225808</v>
      </c>
      <c r="AE23" s="3">
        <v>222.12903225806451</v>
      </c>
      <c r="AF23" s="32">
        <v>0.9717765160865629</v>
      </c>
      <c r="AG23" s="3">
        <v>380.96774193548384</v>
      </c>
      <c r="AH23" s="3">
        <v>392.03225806451616</v>
      </c>
      <c r="AI23" s="52">
        <v>471.25806451612897</v>
      </c>
      <c r="AJ23" s="6">
        <v>0.29957961652824772</v>
      </c>
      <c r="AK23" s="21">
        <v>1573.0645161290322</v>
      </c>
      <c r="AL23" s="69">
        <f t="shared" ref="AL23" si="80">+AI23+W23+K23</f>
        <v>15584.075115207374</v>
      </c>
      <c r="AM23" s="6">
        <f t="shared" ref="AM23" si="81">AL23/AN23</f>
        <v>0.42752352212972877</v>
      </c>
      <c r="AN23" s="3">
        <f t="shared" ref="AN23" si="82">+AK23+Y23+M23</f>
        <v>36451.97119815668</v>
      </c>
      <c r="AO23" s="6">
        <f t="shared" ref="AO23" si="83">(+AA23+O23+C23)/(D23+P23+AB23)</f>
        <v>0.11186195164762906</v>
      </c>
      <c r="AP23" s="6">
        <f t="shared" ref="AP23" si="84">(+AD23+R23+F23)/(G23+S23+AE23)</f>
        <v>0.6972785698741909</v>
      </c>
      <c r="AQ23" s="70">
        <f t="shared" ref="AQ23" si="85">(AG23+U23+I23)/(AH23+V23+J23)</f>
        <v>0.96482253710318833</v>
      </c>
      <c r="AS23" s="184">
        <f t="shared" ref="AS23" si="86">M23/$AN23</f>
        <v>0.12244291783351939</v>
      </c>
      <c r="AT23" s="184">
        <f t="shared" ref="AT23" si="87">AK23/AN23</f>
        <v>4.3154443077376835E-2</v>
      </c>
      <c r="AU23" s="184">
        <f t="shared" ref="AU23" si="88">Y23/AN23</f>
        <v>0.83440263908910384</v>
      </c>
    </row>
    <row r="24" spans="1:47" ht="24" customHeight="1" x14ac:dyDescent="0.2">
      <c r="A24" s="133">
        <v>45657</v>
      </c>
      <c r="B24" s="20">
        <v>9.0330712442230357E-2</v>
      </c>
      <c r="C24" s="41">
        <v>215</v>
      </c>
      <c r="D24" s="159">
        <v>2380.1428571428573</v>
      </c>
      <c r="E24" s="20">
        <v>0.69748008878443657</v>
      </c>
      <c r="F24" s="161">
        <v>763.14285714285711</v>
      </c>
      <c r="G24" s="159">
        <v>1094.1428571428571</v>
      </c>
      <c r="H24" s="20">
        <v>0.87459427559752134</v>
      </c>
      <c r="I24" s="161">
        <v>423.42857142857144</v>
      </c>
      <c r="J24" s="159">
        <v>484.14285714285717</v>
      </c>
      <c r="K24" s="52">
        <v>1401.5714285714284</v>
      </c>
      <c r="L24" s="6">
        <v>0.35407268396549851</v>
      </c>
      <c r="M24" s="21">
        <v>3958.4285714285716</v>
      </c>
      <c r="N24" s="20">
        <v>0.12976569179939321</v>
      </c>
      <c r="O24" s="3">
        <v>1953.2610967741934</v>
      </c>
      <c r="P24" s="130">
        <v>15052.215032258064</v>
      </c>
      <c r="Q24" s="32">
        <v>0.72458868373767149</v>
      </c>
      <c r="R24" s="3">
        <v>4011.1282258064516</v>
      </c>
      <c r="S24" s="3">
        <v>5535.7312580645157</v>
      </c>
      <c r="T24" s="32">
        <v>0.97509542728313536</v>
      </c>
      <c r="U24" s="3">
        <v>4960.3528709677421</v>
      </c>
      <c r="V24" s="3">
        <v>5087.0435161290325</v>
      </c>
      <c r="W24" s="52">
        <v>10924.742193548387</v>
      </c>
      <c r="X24" s="6">
        <v>0.42550132544953212</v>
      </c>
      <c r="Y24" s="19">
        <v>25674.989806451613</v>
      </c>
      <c r="Z24" s="20">
        <v>2.4823101931535665E-2</v>
      </c>
      <c r="AA24" s="3">
        <v>20.93548387096774</v>
      </c>
      <c r="AB24" s="3">
        <v>843.38709677419354</v>
      </c>
      <c r="AC24" s="32">
        <v>0.31048513302034431</v>
      </c>
      <c r="AD24" s="3">
        <v>64</v>
      </c>
      <c r="AE24" s="3">
        <v>206.12903225806451</v>
      </c>
      <c r="AF24" s="32">
        <v>0.97527232249344042</v>
      </c>
      <c r="AG24" s="3">
        <v>395.67741935483872</v>
      </c>
      <c r="AH24" s="3">
        <v>405.70967741935482</v>
      </c>
      <c r="AI24" s="52">
        <v>480.61290322580646</v>
      </c>
      <c r="AJ24" s="6">
        <v>0.33026689129278247</v>
      </c>
      <c r="AK24" s="21">
        <v>1455.2258064516127</v>
      </c>
      <c r="AL24" s="69">
        <f t="shared" ref="AL24" si="89">+AI24+W24+K24</f>
        <v>12806.926525345621</v>
      </c>
      <c r="AM24" s="6">
        <f t="shared" ref="AM24" si="90">AL24/AN24</f>
        <v>0.41194869899794845</v>
      </c>
      <c r="AN24" s="3">
        <f t="shared" ref="AN24" si="91">+AK24+Y24+M24</f>
        <v>31088.644184331799</v>
      </c>
      <c r="AO24" s="6">
        <f t="shared" ref="AO24" si="92">(+AA24+O24+C24)/(D24+P24+AB24)</f>
        <v>0.11978699540298919</v>
      </c>
      <c r="AP24" s="6">
        <f t="shared" ref="AP24" si="93">(+AD24+R24+F24)/(G24+S24+AE24)</f>
        <v>0.70776314442499622</v>
      </c>
      <c r="AQ24" s="70">
        <f t="shared" ref="AQ24" si="94">(AG24+U24+I24)/(AH24+V24+J24)</f>
        <v>0.96696660151597291</v>
      </c>
      <c r="AS24" s="184">
        <f t="shared" ref="AS24" si="95">M24/$AN24</f>
        <v>0.12732715354063459</v>
      </c>
      <c r="AT24" s="184">
        <f t="shared" ref="AT24" si="96">AK24/AN24</f>
        <v>4.680891832475037E-2</v>
      </c>
      <c r="AU24" s="184">
        <f t="shared" ref="AU24" si="97">Y24/AN24</f>
        <v>0.82586392813461496</v>
      </c>
    </row>
    <row r="25" spans="1:47" ht="24" customHeight="1" x14ac:dyDescent="0.2">
      <c r="A25" s="133">
        <v>45626</v>
      </c>
      <c r="B25" s="20">
        <v>9.9455793043615431E-2</v>
      </c>
      <c r="C25" s="41">
        <v>180.14285714285714</v>
      </c>
      <c r="D25" s="159">
        <v>1811.2857142857142</v>
      </c>
      <c r="E25" s="20">
        <v>0.68798235942668129</v>
      </c>
      <c r="F25" s="161">
        <v>713.14285714285711</v>
      </c>
      <c r="G25" s="159">
        <v>1036.5714285714287</v>
      </c>
      <c r="H25" s="20">
        <v>0.85541586073500964</v>
      </c>
      <c r="I25" s="161">
        <v>505.42857142857144</v>
      </c>
      <c r="J25" s="159">
        <v>590.85714285714289</v>
      </c>
      <c r="K25" s="52">
        <v>1398.7142857142858</v>
      </c>
      <c r="L25" s="6">
        <v>0.40675501640978773</v>
      </c>
      <c r="M25" s="21">
        <v>3438.7142857142858</v>
      </c>
      <c r="N25" s="20">
        <v>0.13523426625294227</v>
      </c>
      <c r="O25" s="3">
        <v>1431.3684333333333</v>
      </c>
      <c r="P25" s="130">
        <v>10584.362033333333</v>
      </c>
      <c r="Q25" s="32">
        <v>0.72499057201426265</v>
      </c>
      <c r="R25" s="3">
        <v>3267.8325333333332</v>
      </c>
      <c r="S25" s="3">
        <v>4507.4138333333331</v>
      </c>
      <c r="T25" s="32">
        <v>0.97385093172869608</v>
      </c>
      <c r="U25" s="3">
        <v>4798.9868666666662</v>
      </c>
      <c r="V25" s="3">
        <v>4927.8454333333329</v>
      </c>
      <c r="W25" s="52">
        <v>9498.1878333333334</v>
      </c>
      <c r="X25" s="6">
        <v>0.47444393133117529</v>
      </c>
      <c r="Y25" s="19">
        <v>20019.621299999999</v>
      </c>
      <c r="Z25" s="20">
        <v>2.8188162784374152E-2</v>
      </c>
      <c r="AA25" s="3">
        <v>20.733333333333334</v>
      </c>
      <c r="AB25" s="3">
        <v>735.5333333333333</v>
      </c>
      <c r="AC25" s="32">
        <v>0.33009399394615263</v>
      </c>
      <c r="AD25" s="3">
        <v>69.066666666666663</v>
      </c>
      <c r="AE25" s="3">
        <v>209.23333333333332</v>
      </c>
      <c r="AF25" s="32">
        <v>0.97709518392112249</v>
      </c>
      <c r="AG25" s="3">
        <v>429.43333333333334</v>
      </c>
      <c r="AH25" s="3">
        <v>439.5</v>
      </c>
      <c r="AI25" s="52">
        <v>519.23333333333335</v>
      </c>
      <c r="AJ25" s="6">
        <v>0.37509632055480641</v>
      </c>
      <c r="AK25" s="21">
        <v>1384.2666666666667</v>
      </c>
      <c r="AL25" s="69">
        <f t="shared" ref="AL25:AL26" si="98">+AI25+W25+K25</f>
        <v>11416.135452380953</v>
      </c>
      <c r="AM25" s="6">
        <f t="shared" ref="AM25:AM26" si="99">AL25/AN25</f>
        <v>0.45953863191956124</v>
      </c>
      <c r="AN25" s="3">
        <f t="shared" ref="AN25:AN26" si="100">+AK25+Y25+M25</f>
        <v>24842.602252380952</v>
      </c>
      <c r="AO25" s="6">
        <f t="shared" ref="AO25:AO26" si="101">(+AA25+O25+C25)/(D25+P25+AB25)</f>
        <v>0.12430295597531583</v>
      </c>
      <c r="AP25" s="6">
        <f t="shared" ref="AP25:AP26" si="102">(+AD25+R25+F25)/(G25+S25+AE25)</f>
        <v>0.70396109414216457</v>
      </c>
      <c r="AQ25" s="70">
        <f t="shared" ref="AQ25:AQ26" si="103">(AG25+U25+I25)/(AH25+V25+J25)</f>
        <v>0.96234538824536731</v>
      </c>
      <c r="AS25" s="184">
        <f t="shared" ref="AS25:AS26" si="104">M25/$AN25</f>
        <v>0.13842005160247309</v>
      </c>
      <c r="AT25" s="184">
        <f t="shared" ref="AT25:AT26" si="105">AK25/AN25</f>
        <v>5.5721484110385279E-2</v>
      </c>
      <c r="AU25" s="184">
        <f t="shared" ref="AU25:AU26" si="106">Y25/AN25</f>
        <v>0.80585846428714158</v>
      </c>
    </row>
    <row r="26" spans="1:47" ht="24" customHeight="1" x14ac:dyDescent="0.2">
      <c r="A26" s="133">
        <v>45596</v>
      </c>
      <c r="B26" s="20">
        <v>0.10105278766310795</v>
      </c>
      <c r="C26" s="41">
        <v>194.71428571428572</v>
      </c>
      <c r="D26" s="159">
        <v>1926.8571428571429</v>
      </c>
      <c r="E26" s="20">
        <v>0.70234157957401777</v>
      </c>
      <c r="F26" s="161">
        <v>758.42857142857144</v>
      </c>
      <c r="G26" s="159">
        <v>1079.8571428571429</v>
      </c>
      <c r="H26" s="20">
        <v>0.82480037576326903</v>
      </c>
      <c r="I26" s="161">
        <v>501.71428571428572</v>
      </c>
      <c r="J26" s="159">
        <v>608.28571428571433</v>
      </c>
      <c r="K26" s="52">
        <v>1454.8571428571429</v>
      </c>
      <c r="L26" s="6">
        <v>0.40245010867417508</v>
      </c>
      <c r="M26" s="21">
        <v>3615</v>
      </c>
      <c r="N26" s="20">
        <v>0.14301474053021568</v>
      </c>
      <c r="O26" s="3">
        <v>1595.3664220000001</v>
      </c>
      <c r="P26" s="130">
        <v>11155.258654354839</v>
      </c>
      <c r="Q26" s="32">
        <v>0.72240388101601327</v>
      </c>
      <c r="R26" s="3">
        <v>3896.5722252903229</v>
      </c>
      <c r="S26" s="3">
        <v>5393.8971366129035</v>
      </c>
      <c r="T26" s="32">
        <v>0.94772329659489263</v>
      </c>
      <c r="U26" s="3">
        <v>6143.3762041612899</v>
      </c>
      <c r="V26" s="3">
        <v>6482.246691870967</v>
      </c>
      <c r="W26" s="52">
        <v>11635.314851451612</v>
      </c>
      <c r="X26" s="6">
        <v>0.50519350092211646</v>
      </c>
      <c r="Y26" s="19">
        <v>23031.402482838708</v>
      </c>
      <c r="Z26" s="20">
        <v>2.0307239057239058E-2</v>
      </c>
      <c r="AA26" s="3">
        <v>12.451612903225806</v>
      </c>
      <c r="AB26" s="3">
        <v>613.16129032258061</v>
      </c>
      <c r="AC26" s="32">
        <v>0.3247311827956989</v>
      </c>
      <c r="AD26" s="3">
        <v>63.322580645161288</v>
      </c>
      <c r="AE26" s="3">
        <v>195</v>
      </c>
      <c r="AF26" s="32">
        <v>0.9760461549696926</v>
      </c>
      <c r="AG26" s="3">
        <v>431.12903225806451</v>
      </c>
      <c r="AH26" s="3">
        <v>441.70967741935482</v>
      </c>
      <c r="AI26" s="52">
        <v>506.90322580645159</v>
      </c>
      <c r="AJ26" s="6">
        <v>0.40556444536210184</v>
      </c>
      <c r="AK26" s="21">
        <v>1249.8709677419356</v>
      </c>
      <c r="AL26" s="69">
        <f t="shared" si="98"/>
        <v>13597.075220115206</v>
      </c>
      <c r="AM26" s="6">
        <f t="shared" si="99"/>
        <v>0.48741546946057024</v>
      </c>
      <c r="AN26" s="3">
        <f t="shared" si="100"/>
        <v>27896.273450580644</v>
      </c>
      <c r="AO26" s="6">
        <f t="shared" si="101"/>
        <v>0.13161707566020522</v>
      </c>
      <c r="AP26" s="6">
        <f t="shared" si="102"/>
        <v>0.70752695025659462</v>
      </c>
      <c r="AQ26" s="70">
        <f t="shared" si="103"/>
        <v>0.93945726167819954</v>
      </c>
      <c r="AS26" s="184">
        <f t="shared" si="104"/>
        <v>0.12958720118671463</v>
      </c>
      <c r="AT26" s="184">
        <f t="shared" si="105"/>
        <v>4.4804226985949637E-2</v>
      </c>
      <c r="AU26" s="184">
        <f t="shared" si="106"/>
        <v>0.82560857182733571</v>
      </c>
    </row>
    <row r="27" spans="1:47" ht="24" customHeight="1" x14ac:dyDescent="0.2">
      <c r="A27" s="133">
        <v>45565</v>
      </c>
      <c r="B27" s="20">
        <v>0.10129159062192897</v>
      </c>
      <c r="C27" s="41">
        <v>206.14285714285714</v>
      </c>
      <c r="D27" s="159">
        <v>2035.1428571428571</v>
      </c>
      <c r="E27" s="20">
        <v>0.7046175537539654</v>
      </c>
      <c r="F27" s="161">
        <v>856.71428571428567</v>
      </c>
      <c r="G27" s="159">
        <v>1215.8571428571429</v>
      </c>
      <c r="H27" s="20">
        <v>0.86334208223972009</v>
      </c>
      <c r="I27" s="161">
        <v>704.85714285714289</v>
      </c>
      <c r="J27" s="159">
        <v>816.42857142857144</v>
      </c>
      <c r="K27" s="52">
        <v>1767.7142857142858</v>
      </c>
      <c r="L27" s="6">
        <v>0.43460241640910369</v>
      </c>
      <c r="M27" s="21">
        <v>4067.4285714285716</v>
      </c>
      <c r="N27" s="20">
        <v>0.14587631473380849</v>
      </c>
      <c r="O27" s="3">
        <v>1822.7958666666668</v>
      </c>
      <c r="P27" s="130">
        <v>12495.488866666668</v>
      </c>
      <c r="Q27" s="32">
        <v>0.72354624904389075</v>
      </c>
      <c r="R27" s="3">
        <v>4176.0279</v>
      </c>
      <c r="S27" s="3">
        <v>5771.6115666666665</v>
      </c>
      <c r="T27" s="32">
        <v>0.9780426672343896</v>
      </c>
      <c r="U27" s="3">
        <v>6623.6156666666675</v>
      </c>
      <c r="V27" s="3">
        <v>6772.3177000000005</v>
      </c>
      <c r="W27" s="52">
        <v>12622.439433333333</v>
      </c>
      <c r="X27" s="6">
        <v>0.50410274576348513</v>
      </c>
      <c r="Y27" s="19">
        <v>25039.418133333333</v>
      </c>
      <c r="Z27" s="20">
        <v>1.3860977997629722E-2</v>
      </c>
      <c r="AA27" s="3">
        <v>8.9666666666666668</v>
      </c>
      <c r="AB27" s="3">
        <v>646.9</v>
      </c>
      <c r="AC27" s="32">
        <v>0.28799695643903372</v>
      </c>
      <c r="AD27" s="3">
        <v>50.466666666666669</v>
      </c>
      <c r="AE27" s="3">
        <v>175.23333333333332</v>
      </c>
      <c r="AF27" s="32">
        <v>1</v>
      </c>
      <c r="AG27" s="3">
        <v>173.23333333333332</v>
      </c>
      <c r="AH27" s="3">
        <v>173.23333333333332</v>
      </c>
      <c r="AI27" s="52">
        <v>232.66666666666666</v>
      </c>
      <c r="AJ27" s="6">
        <v>0.23374970697565386</v>
      </c>
      <c r="AK27" s="21">
        <v>995.36666666666656</v>
      </c>
      <c r="AL27" s="69">
        <f t="shared" ref="AL27" si="107">+AI27+W27+K27</f>
        <v>14622.820385714285</v>
      </c>
      <c r="AM27" s="6">
        <f t="shared" ref="AM27" si="108">AL27/AN27</f>
        <v>0.48577226549040059</v>
      </c>
      <c r="AN27" s="3">
        <f t="shared" ref="AN27" si="109">+AK27+Y27+M27</f>
        <v>30102.21337142857</v>
      </c>
      <c r="AO27" s="6">
        <f t="shared" ref="AO27" si="110">(+AA27+O27+C27)/(D27+P27+AB27)</f>
        <v>0.13427119953103159</v>
      </c>
      <c r="AP27" s="6">
        <f t="shared" ref="AP27" si="111">(+AD27+R27+F27)/(G27+S27+AE27)</f>
        <v>0.70967755212574801</v>
      </c>
      <c r="AQ27" s="70">
        <f t="shared" ref="AQ27" si="112">(AG27+U27+I27)/(AH27+V27+J27)</f>
        <v>0.96646815952143372</v>
      </c>
      <c r="AS27" s="184">
        <f t="shared" ref="AS27:AS28" si="113">M27/$AN27</f>
        <v>0.13512058137522737</v>
      </c>
      <c r="AT27" s="184">
        <f t="shared" ref="AT27:AT28" si="114">AK27/AN27</f>
        <v>3.3066228532265207E-2</v>
      </c>
      <c r="AU27" s="184">
        <f t="shared" ref="AU27:AU28" si="115">Y27/AN27</f>
        <v>0.83181319009250743</v>
      </c>
    </row>
    <row r="28" spans="1:47" ht="24" customHeight="1" x14ac:dyDescent="0.2">
      <c r="A28" s="133">
        <v>45535</v>
      </c>
      <c r="B28" s="20">
        <v>9.7358121330724065E-2</v>
      </c>
      <c r="C28" s="41">
        <v>227.42857142857142</v>
      </c>
      <c r="D28" s="159">
        <v>2336</v>
      </c>
      <c r="E28" s="20">
        <v>0.70285324542457661</v>
      </c>
      <c r="F28" s="161">
        <v>883.28571428571433</v>
      </c>
      <c r="G28" s="159">
        <v>1256.7142857142858</v>
      </c>
      <c r="H28" s="20">
        <v>0.85599194360523656</v>
      </c>
      <c r="I28" s="161">
        <v>607.14285714285711</v>
      </c>
      <c r="J28" s="159">
        <v>709.28571428571433</v>
      </c>
      <c r="K28" s="52">
        <v>1717.8571428571429</v>
      </c>
      <c r="L28" s="6">
        <v>0.39931593278873612</v>
      </c>
      <c r="M28" s="21">
        <v>4302</v>
      </c>
      <c r="N28" s="20">
        <v>0.14265668262315781</v>
      </c>
      <c r="O28" s="3">
        <v>2125.7220645161292</v>
      </c>
      <c r="P28" s="130">
        <v>14900.963806451613</v>
      </c>
      <c r="Q28" s="32">
        <v>0.71241706658474957</v>
      </c>
      <c r="R28" s="3">
        <v>4400.095645161291</v>
      </c>
      <c r="S28" s="3">
        <v>6176.2917419354844</v>
      </c>
      <c r="T28" s="32">
        <v>0.956242179438345</v>
      </c>
      <c r="U28" s="3">
        <v>7118.1027419354841</v>
      </c>
      <c r="V28" s="3">
        <v>7443.8284516129033</v>
      </c>
      <c r="W28" s="52">
        <v>13643.920451612903</v>
      </c>
      <c r="X28" s="6">
        <v>0.47838015033414938</v>
      </c>
      <c r="Y28" s="19">
        <v>28521.084000000003</v>
      </c>
      <c r="Z28" s="20">
        <v>1.7303859394817902E-2</v>
      </c>
      <c r="AA28" s="3">
        <v>12.32258064516129</v>
      </c>
      <c r="AB28" s="3">
        <v>712.12903225806451</v>
      </c>
      <c r="AC28" s="32">
        <v>0.31370716510903429</v>
      </c>
      <c r="AD28" s="3">
        <v>64.967741935483872</v>
      </c>
      <c r="AE28" s="3">
        <v>207.09677419354838</v>
      </c>
      <c r="AF28" s="32">
        <v>0.97528299183264078</v>
      </c>
      <c r="AG28" s="3">
        <v>439.12903225806451</v>
      </c>
      <c r="AH28" s="3">
        <v>450.25806451612902</v>
      </c>
      <c r="AI28" s="52">
        <v>516.41935483870975</v>
      </c>
      <c r="AJ28" s="6">
        <v>0.37709049795072319</v>
      </c>
      <c r="AK28" s="21">
        <v>1369.483870967742</v>
      </c>
      <c r="AL28" s="69">
        <f t="shared" ref="AL28" si="116">+AI28+W28+K28</f>
        <v>15878.196949308756</v>
      </c>
      <c r="AM28" s="6">
        <f t="shared" ref="AM28" si="117">AL28/AN28</f>
        <v>0.46437567980352329</v>
      </c>
      <c r="AN28" s="3">
        <f t="shared" ref="AN28" si="118">+AK28+Y28+M28</f>
        <v>34192.567870967745</v>
      </c>
      <c r="AO28" s="6">
        <f t="shared" ref="AO28" si="119">(+AA28+O28+C28)/(D28+P28+AB28)</f>
        <v>0.13178789802058383</v>
      </c>
      <c r="AP28" s="6">
        <f t="shared" ref="AP28" si="120">(+AD28+R28+F28)/(G28+S28+AE28)</f>
        <v>0.70003627439307492</v>
      </c>
      <c r="AQ28" s="70">
        <f t="shared" ref="AQ28" si="121">(AG28+U28+I28)/(AH28+V28+J28)</f>
        <v>0.94897377594260168</v>
      </c>
      <c r="AS28" s="184">
        <f t="shared" si="113"/>
        <v>0.12581681540369904</v>
      </c>
      <c r="AT28" s="184">
        <f t="shared" si="114"/>
        <v>4.0052091908854393E-2</v>
      </c>
      <c r="AU28" s="184">
        <f t="shared" si="115"/>
        <v>0.83413109268744656</v>
      </c>
    </row>
    <row r="29" spans="1:47" ht="24" customHeight="1" x14ac:dyDescent="0.2">
      <c r="A29" s="133">
        <v>45504</v>
      </c>
      <c r="B29" s="20">
        <v>9.9715616869365281E-2</v>
      </c>
      <c r="C29" s="41">
        <v>235.42857142857142</v>
      </c>
      <c r="D29" s="159">
        <v>2361</v>
      </c>
      <c r="E29" s="20">
        <v>0.70237823004802202</v>
      </c>
      <c r="F29" s="161">
        <v>877.57142857142856</v>
      </c>
      <c r="G29" s="159">
        <v>1249.4285714285713</v>
      </c>
      <c r="H29" s="20">
        <v>0.84354091610910964</v>
      </c>
      <c r="I29" s="161">
        <v>468.28571428571428</v>
      </c>
      <c r="J29" s="159">
        <v>555.14285714285711</v>
      </c>
      <c r="K29" s="52">
        <v>1581.2857142857142</v>
      </c>
      <c r="L29" s="6">
        <v>0.37960835419596006</v>
      </c>
      <c r="M29" s="21">
        <v>4165.5714285714284</v>
      </c>
      <c r="N29" s="20">
        <v>0.14134284233912459</v>
      </c>
      <c r="O29" s="3">
        <v>1992.6797419354839</v>
      </c>
      <c r="P29" s="130">
        <v>14098.200580645162</v>
      </c>
      <c r="Q29" s="32">
        <v>0.71156497801200769</v>
      </c>
      <c r="R29" s="3">
        <v>4475.9226129032259</v>
      </c>
      <c r="S29" s="3">
        <v>6290.2514193548386</v>
      </c>
      <c r="T29" s="32">
        <v>0.97205908073586422</v>
      </c>
      <c r="U29" s="3">
        <v>6555.8578387096777</v>
      </c>
      <c r="V29" s="3">
        <v>6744.2997741935487</v>
      </c>
      <c r="W29" s="52">
        <v>13024.460193548388</v>
      </c>
      <c r="X29" s="6">
        <v>0.48002724905832023</v>
      </c>
      <c r="Y29" s="19">
        <v>27132.751774193552</v>
      </c>
      <c r="Z29" s="20">
        <v>2.1177781906000368E-2</v>
      </c>
      <c r="AA29" s="3">
        <v>14.709677419354838</v>
      </c>
      <c r="AB29" s="3">
        <v>694.58064516129036</v>
      </c>
      <c r="AC29" s="32">
        <v>0.30676056338028174</v>
      </c>
      <c r="AD29" s="3">
        <v>70.258064516129039</v>
      </c>
      <c r="AE29" s="3">
        <v>229.03225806451613</v>
      </c>
      <c r="AF29" s="32">
        <v>0.96418322882346685</v>
      </c>
      <c r="AG29" s="3">
        <v>585.29032258064512</v>
      </c>
      <c r="AH29" s="3">
        <v>607.0322580645161</v>
      </c>
      <c r="AI29" s="52">
        <v>670.25806451612902</v>
      </c>
      <c r="AJ29" s="6">
        <v>0.43789251844046367</v>
      </c>
      <c r="AK29" s="21">
        <v>1530.6451612903224</v>
      </c>
      <c r="AL29" s="69">
        <f t="shared" ref="AL29:AL32" si="122">+AI29+W29+K29</f>
        <v>15276.00397235023</v>
      </c>
      <c r="AM29" s="6">
        <f t="shared" ref="AM29:AM32" si="123">AL29/AN29</f>
        <v>0.46532086549134599</v>
      </c>
      <c r="AN29" s="3">
        <f t="shared" ref="AN29:AN32" si="124">+AK29+Y29+M29</f>
        <v>32828.968364055305</v>
      </c>
      <c r="AO29" s="6">
        <f t="shared" ref="AO29:AO32" si="125">(+AA29+O29+C29)/(D29+P29+AB29)</f>
        <v>0.13074773201661652</v>
      </c>
      <c r="AP29" s="6">
        <f t="shared" ref="AP29:AP32" si="126">(+AD29+R29+F29)/(G29+S29+AE29)</f>
        <v>0.69815330163568712</v>
      </c>
      <c r="AQ29" s="70">
        <f t="shared" ref="AQ29:AQ32" si="127">(AG29+U29+I29)/(AH29+V29+J29)</f>
        <v>0.9624306637306741</v>
      </c>
      <c r="AS29" s="184">
        <f t="shared" ref="AS29:AS35" si="128">M29/$AN29</f>
        <v>0.12688706456984938</v>
      </c>
      <c r="AT29" s="184">
        <f t="shared" ref="AT29:AT35" si="129">AK29/AN29</f>
        <v>4.6624832809740002E-2</v>
      </c>
      <c r="AU29" s="184">
        <f t="shared" ref="AU29:AU35" si="130">Y29/AN29</f>
        <v>0.8264881026204105</v>
      </c>
    </row>
    <row r="30" spans="1:47" ht="24" customHeight="1" x14ac:dyDescent="0.2">
      <c r="A30" s="133">
        <v>45473</v>
      </c>
      <c r="B30" s="20">
        <v>0.10719754977029097</v>
      </c>
      <c r="C30" s="41">
        <v>180</v>
      </c>
      <c r="D30" s="159">
        <v>1679.1428571428571</v>
      </c>
      <c r="E30" s="20">
        <v>0.69942611190817794</v>
      </c>
      <c r="F30" s="161">
        <v>696.42857142857144</v>
      </c>
      <c r="G30" s="159">
        <v>995.71428571428567</v>
      </c>
      <c r="H30" s="20">
        <v>0.81202077665100181</v>
      </c>
      <c r="I30" s="161">
        <v>469</v>
      </c>
      <c r="J30" s="159">
        <v>577.57142857142856</v>
      </c>
      <c r="K30" s="52">
        <v>1345.4285714285716</v>
      </c>
      <c r="L30" s="6">
        <v>0.41366890675099927</v>
      </c>
      <c r="M30" s="21">
        <v>3252.4285714285716</v>
      </c>
      <c r="N30" s="20">
        <v>0.14695036310430146</v>
      </c>
      <c r="O30" s="3">
        <v>1627.4650322580644</v>
      </c>
      <c r="P30" s="130">
        <v>11074.930322580645</v>
      </c>
      <c r="Q30" s="32">
        <v>0.73020286157170033</v>
      </c>
      <c r="R30" s="3">
        <v>3945.5887419354835</v>
      </c>
      <c r="S30" s="3">
        <v>5403.4145161290317</v>
      </c>
      <c r="T30" s="32">
        <v>0.96568228958554025</v>
      </c>
      <c r="U30" s="3">
        <v>5957.8735161290324</v>
      </c>
      <c r="V30" s="3">
        <v>6169.6000645161294</v>
      </c>
      <c r="W30" s="52">
        <v>11530.927290322579</v>
      </c>
      <c r="X30" s="6">
        <v>0.50913790807925352</v>
      </c>
      <c r="Y30" s="19">
        <v>22647.944903225805</v>
      </c>
      <c r="Z30" s="20">
        <v>2.7206120030169159E-2</v>
      </c>
      <c r="AA30" s="3">
        <v>16.833333333333332</v>
      </c>
      <c r="AB30" s="3">
        <v>618.73333333333335</v>
      </c>
      <c r="AC30" s="32">
        <v>0.32477977786288775</v>
      </c>
      <c r="AD30" s="3">
        <v>56.533333333333331</v>
      </c>
      <c r="AE30" s="3">
        <v>174.06666666666666</v>
      </c>
      <c r="AF30" s="32">
        <v>0.977512187450857</v>
      </c>
      <c r="AG30" s="3">
        <v>414.4</v>
      </c>
      <c r="AH30" s="3">
        <v>423.93333333333334</v>
      </c>
      <c r="AI30" s="52">
        <v>487.76666666666659</v>
      </c>
      <c r="AJ30" s="6">
        <v>0.40088214344419476</v>
      </c>
      <c r="AK30" s="21">
        <v>1216.7333333333333</v>
      </c>
      <c r="AL30" s="69">
        <f t="shared" si="122"/>
        <v>13364.122528417818</v>
      </c>
      <c r="AM30" s="6">
        <f t="shared" si="123"/>
        <v>0.4928299550186982</v>
      </c>
      <c r="AN30" s="3">
        <f t="shared" si="124"/>
        <v>27117.106807987711</v>
      </c>
      <c r="AO30" s="6">
        <f t="shared" si="125"/>
        <v>0.13641851198626134</v>
      </c>
      <c r="AP30" s="6">
        <f t="shared" si="126"/>
        <v>0.71480464398276278</v>
      </c>
      <c r="AQ30" s="70">
        <f t="shared" si="127"/>
        <v>0.95400550985161392</v>
      </c>
      <c r="AS30" s="184">
        <f t="shared" si="128"/>
        <v>0.11994010255070886</v>
      </c>
      <c r="AT30" s="184">
        <f t="shared" si="129"/>
        <v>4.486958516440729E-2</v>
      </c>
      <c r="AU30" s="184">
        <f t="shared" si="130"/>
        <v>0.83519031228488383</v>
      </c>
    </row>
    <row r="31" spans="1:47" ht="24" customHeight="1" x14ac:dyDescent="0.2">
      <c r="A31" s="133">
        <v>45443</v>
      </c>
      <c r="B31" s="20">
        <v>0.10709053618517433</v>
      </c>
      <c r="C31" s="41">
        <v>208.85714285714286</v>
      </c>
      <c r="D31" s="159">
        <v>1950.2857142857142</v>
      </c>
      <c r="E31" s="20">
        <v>0.69752827817343943</v>
      </c>
      <c r="F31" s="161">
        <v>713.57142857142856</v>
      </c>
      <c r="G31" s="159">
        <v>1023</v>
      </c>
      <c r="H31" s="20">
        <v>0.81944059817225146</v>
      </c>
      <c r="I31" s="161">
        <v>422.71428571428572</v>
      </c>
      <c r="J31" s="159">
        <v>515.85714285714289</v>
      </c>
      <c r="K31" s="52">
        <v>1345.1428571428571</v>
      </c>
      <c r="L31" s="6">
        <v>0.38552243694726501</v>
      </c>
      <c r="M31" s="21">
        <v>3489.1428571428569</v>
      </c>
      <c r="N31" s="20">
        <v>0.14542143003564822</v>
      </c>
      <c r="O31" s="3">
        <v>1574.1692903225805</v>
      </c>
      <c r="P31" s="130">
        <v>10824.878354838711</v>
      </c>
      <c r="Q31" s="32">
        <v>0.73563332445834773</v>
      </c>
      <c r="R31" s="3">
        <v>3622.8468064516132</v>
      </c>
      <c r="S31" s="3">
        <v>4924.7997419354842</v>
      </c>
      <c r="T31" s="32">
        <v>0.96504669239747387</v>
      </c>
      <c r="U31" s="3">
        <v>6763.2572580645165</v>
      </c>
      <c r="V31" s="3">
        <v>7008.2176451612904</v>
      </c>
      <c r="W31" s="52">
        <v>11960.273354838711</v>
      </c>
      <c r="X31" s="6">
        <v>0.5255439031122624</v>
      </c>
      <c r="Y31" s="19">
        <v>22757.895741935485</v>
      </c>
      <c r="Z31" s="20">
        <v>2.836986646510456E-2</v>
      </c>
      <c r="AA31" s="3">
        <v>18.161290322580644</v>
      </c>
      <c r="AB31" s="3">
        <v>640.16129032258061</v>
      </c>
      <c r="AC31" s="32">
        <v>0.38864704858088106</v>
      </c>
      <c r="AD31" s="3">
        <v>72</v>
      </c>
      <c r="AE31" s="3">
        <v>185.25806451612902</v>
      </c>
      <c r="AF31" s="32">
        <v>1</v>
      </c>
      <c r="AG31" s="3">
        <v>257.09677419354841</v>
      </c>
      <c r="AH31" s="3">
        <v>257.09677419354841</v>
      </c>
      <c r="AI31" s="52">
        <v>347.25806451612908</v>
      </c>
      <c r="AJ31" s="6">
        <v>0.32078788962393473</v>
      </c>
      <c r="AK31" s="21">
        <v>1082.516129032258</v>
      </c>
      <c r="AL31" s="69">
        <f t="shared" si="122"/>
        <v>13652.674276497697</v>
      </c>
      <c r="AM31" s="6">
        <f t="shared" si="123"/>
        <v>0.49955714289244701</v>
      </c>
      <c r="AN31" s="3">
        <f t="shared" si="124"/>
        <v>27329.554728110597</v>
      </c>
      <c r="AO31" s="6">
        <f t="shared" si="125"/>
        <v>0.13426343940543467</v>
      </c>
      <c r="AP31" s="6">
        <f t="shared" si="126"/>
        <v>0.71879613304568035</v>
      </c>
      <c r="AQ31" s="70">
        <f t="shared" si="127"/>
        <v>0.95654854265370837</v>
      </c>
      <c r="AS31" s="184">
        <f t="shared" si="128"/>
        <v>0.1276692171480569</v>
      </c>
      <c r="AT31" s="184">
        <f t="shared" si="129"/>
        <v>3.9609724336957641E-2</v>
      </c>
      <c r="AU31" s="184">
        <f t="shared" si="130"/>
        <v>0.83272105851498557</v>
      </c>
    </row>
    <row r="32" spans="1:47" ht="24" customHeight="1" x14ac:dyDescent="0.2">
      <c r="A32" s="133">
        <v>45412</v>
      </c>
      <c r="B32" s="20">
        <v>0.10530436484634959</v>
      </c>
      <c r="C32" s="41">
        <v>230.57142857142858</v>
      </c>
      <c r="D32" s="159">
        <v>2189.5714285714284</v>
      </c>
      <c r="E32" s="20">
        <v>0.69960093573689286</v>
      </c>
      <c r="F32" s="161">
        <v>726.28571428571433</v>
      </c>
      <c r="G32" s="159">
        <v>1038.1428571428571</v>
      </c>
      <c r="H32" s="20">
        <v>0.82870959531687449</v>
      </c>
      <c r="I32" s="161">
        <v>465.14285714285717</v>
      </c>
      <c r="J32" s="159">
        <v>561.28571428571433</v>
      </c>
      <c r="K32" s="52">
        <v>1422</v>
      </c>
      <c r="L32" s="6">
        <v>0.37529691211401423</v>
      </c>
      <c r="M32" s="21">
        <v>3789</v>
      </c>
      <c r="N32" s="20">
        <v>0.14115386739696398</v>
      </c>
      <c r="O32" s="3">
        <v>1758.2012</v>
      </c>
      <c r="P32" s="130">
        <v>12455.919433333333</v>
      </c>
      <c r="Q32" s="32">
        <v>0.73251115543550105</v>
      </c>
      <c r="R32" s="3">
        <v>3778.5615666666667</v>
      </c>
      <c r="S32" s="3">
        <v>5158.3672666666662</v>
      </c>
      <c r="T32" s="32">
        <v>0.97306791066003806</v>
      </c>
      <c r="U32" s="3">
        <v>5699.9555666666665</v>
      </c>
      <c r="V32" s="3">
        <v>5857.7160999999996</v>
      </c>
      <c r="W32" s="52">
        <v>11236.718333333334</v>
      </c>
      <c r="X32" s="6">
        <v>0.47872856990854379</v>
      </c>
      <c r="Y32" s="19">
        <v>23472.002799999998</v>
      </c>
      <c r="Z32" s="20">
        <v>2.8112959905161099E-2</v>
      </c>
      <c r="AA32" s="3">
        <v>22.133333333333333</v>
      </c>
      <c r="AB32" s="3">
        <v>787.3</v>
      </c>
      <c r="AC32" s="32">
        <v>0.37665782493368699</v>
      </c>
      <c r="AD32" s="3">
        <v>75.733333333333334</v>
      </c>
      <c r="AE32" s="3">
        <v>201.06666666666666</v>
      </c>
      <c r="AF32" s="32">
        <v>0.97586568730325296</v>
      </c>
      <c r="AG32" s="3">
        <v>403</v>
      </c>
      <c r="AH32" s="3">
        <v>412.96666666666664</v>
      </c>
      <c r="AI32" s="52">
        <v>500.86666666666667</v>
      </c>
      <c r="AJ32" s="6">
        <v>0.35742150333016176</v>
      </c>
      <c r="AK32" s="21">
        <v>1401.3333333333333</v>
      </c>
      <c r="AL32" s="69">
        <f t="shared" si="122"/>
        <v>13159.585000000001</v>
      </c>
      <c r="AM32" s="6">
        <f t="shared" si="123"/>
        <v>0.45912464841607403</v>
      </c>
      <c r="AN32" s="3">
        <f t="shared" si="124"/>
        <v>28662.336133333331</v>
      </c>
      <c r="AO32" s="6">
        <f t="shared" si="125"/>
        <v>0.13030086261770091</v>
      </c>
      <c r="AP32" s="6">
        <f t="shared" si="126"/>
        <v>0.71598681255450303</v>
      </c>
      <c r="AQ32" s="70">
        <f t="shared" si="127"/>
        <v>0.96137715537205271</v>
      </c>
      <c r="AS32" s="184">
        <f t="shared" si="128"/>
        <v>0.13219438856533125</v>
      </c>
      <c r="AT32" s="184">
        <f t="shared" si="129"/>
        <v>4.8891106670946823E-2</v>
      </c>
      <c r="AU32" s="184">
        <f t="shared" si="130"/>
        <v>0.81891450476372196</v>
      </c>
    </row>
    <row r="33" spans="1:47" ht="24" customHeight="1" x14ac:dyDescent="0.2">
      <c r="A33" s="133">
        <v>45382</v>
      </c>
      <c r="B33" s="20">
        <v>0.10164137503871166</v>
      </c>
      <c r="C33" s="41">
        <v>234.42857142857142</v>
      </c>
      <c r="D33" s="159">
        <v>2306.4285714285716</v>
      </c>
      <c r="E33" s="20">
        <v>0.69260432447321307</v>
      </c>
      <c r="F33" s="161">
        <v>718.42857142857144</v>
      </c>
      <c r="G33" s="159">
        <v>1037.2857142857142</v>
      </c>
      <c r="H33" s="20">
        <v>0.80456026058631913</v>
      </c>
      <c r="I33" s="161">
        <v>423.42857142857144</v>
      </c>
      <c r="J33" s="159">
        <v>526.28571428571433</v>
      </c>
      <c r="K33" s="52">
        <v>1376.2857142857142</v>
      </c>
      <c r="L33" s="6">
        <v>0.35562938353636026</v>
      </c>
      <c r="M33" s="21">
        <v>3870</v>
      </c>
      <c r="N33" s="20">
        <v>0.14030978791871052</v>
      </c>
      <c r="O33" s="3">
        <v>1921.1598709677419</v>
      </c>
      <c r="P33" s="130">
        <v>13692.272645161289</v>
      </c>
      <c r="Q33" s="32">
        <v>0.72532630995333514</v>
      </c>
      <c r="R33" s="3">
        <v>3788.9727741935485</v>
      </c>
      <c r="S33" s="3">
        <v>5223.8181935483872</v>
      </c>
      <c r="T33" s="32">
        <v>0.97533617696775166</v>
      </c>
      <c r="U33" s="3">
        <v>5772.0157096774201</v>
      </c>
      <c r="V33" s="3">
        <v>5917.9756129032266</v>
      </c>
      <c r="W33" s="52">
        <v>11482.148354838711</v>
      </c>
      <c r="X33" s="6">
        <v>0.4623547407030868</v>
      </c>
      <c r="Y33" s="19">
        <v>24834.066451612904</v>
      </c>
      <c r="Z33" s="20">
        <v>2.9567382508558979E-2</v>
      </c>
      <c r="AA33" s="3">
        <v>24.516129032258064</v>
      </c>
      <c r="AB33" s="3">
        <v>829.16129032258061</v>
      </c>
      <c r="AC33" s="32">
        <v>0.39586271744240714</v>
      </c>
      <c r="AD33" s="3">
        <v>81.483870967741936</v>
      </c>
      <c r="AE33" s="3">
        <v>205.83870967741936</v>
      </c>
      <c r="AF33" s="32">
        <v>0.97604493639517609</v>
      </c>
      <c r="AG33" s="3">
        <v>381.16129032258067</v>
      </c>
      <c r="AH33" s="3">
        <v>390.51612903225805</v>
      </c>
      <c r="AI33" s="52">
        <v>487.16129032258067</v>
      </c>
      <c r="AJ33" s="6">
        <v>0.34174379398520061</v>
      </c>
      <c r="AK33" s="21">
        <v>1425.516129032258</v>
      </c>
      <c r="AL33" s="69">
        <f t="shared" ref="AL33:AL35" si="131">+AI33+W33+K33</f>
        <v>13345.595359447007</v>
      </c>
      <c r="AM33" s="6">
        <f t="shared" ref="AM33:AM35" si="132">AL33/AN33</f>
        <v>0.44293993531858744</v>
      </c>
      <c r="AN33" s="3">
        <f t="shared" ref="AN33:AN35" si="133">+AK33+Y33+M33</f>
        <v>30129.582580645161</v>
      </c>
      <c r="AO33" s="6">
        <f t="shared" ref="AO33:AO35" si="134">(+AA33+O33+C33)/(D33+P33+AB33)</f>
        <v>0.1295532674178341</v>
      </c>
      <c r="AP33" s="6">
        <f t="shared" ref="AP33:AP35" si="135">(+AD33+R33+F33)/(G33+S33+AE33)</f>
        <v>0.7095911449969946</v>
      </c>
      <c r="AQ33" s="70">
        <f t="shared" ref="AQ33:AQ35" si="136">(AG33+U33+I33)/(AH33+V33+J33)</f>
        <v>0.9622267313827999</v>
      </c>
      <c r="AS33" s="184">
        <f t="shared" si="128"/>
        <v>0.12844519135442772</v>
      </c>
      <c r="AT33" s="184">
        <f t="shared" si="129"/>
        <v>4.7312840302938364E-2</v>
      </c>
      <c r="AU33" s="184">
        <f t="shared" si="130"/>
        <v>0.82424196834263397</v>
      </c>
    </row>
    <row r="34" spans="1:47" ht="24" customHeight="1" x14ac:dyDescent="0.2">
      <c r="A34" s="133">
        <v>45351</v>
      </c>
      <c r="B34" s="20">
        <v>0.10500782472613458</v>
      </c>
      <c r="C34" s="41">
        <v>287.57142857142856</v>
      </c>
      <c r="D34" s="159">
        <v>2738.5714285714284</v>
      </c>
      <c r="E34" s="20">
        <v>0.69025998258489862</v>
      </c>
      <c r="F34" s="161">
        <v>792.71428571428567</v>
      </c>
      <c r="G34" s="159">
        <v>1148.4285714285713</v>
      </c>
      <c r="H34" s="20">
        <v>0.808743169398907</v>
      </c>
      <c r="I34" s="161">
        <v>486.28571428571428</v>
      </c>
      <c r="J34" s="159">
        <v>601.28571428571433</v>
      </c>
      <c r="K34" s="52">
        <v>1566.5714285714284</v>
      </c>
      <c r="L34" s="6">
        <v>0.34903558469667073</v>
      </c>
      <c r="M34" s="21">
        <v>4488.2857142857138</v>
      </c>
      <c r="N34" s="20">
        <v>0.14242193059057204</v>
      </c>
      <c r="O34" s="3">
        <v>2077.6508064516129</v>
      </c>
      <c r="P34" s="130">
        <v>14587.997774193547</v>
      </c>
      <c r="Q34" s="32">
        <v>0.72001150967429628</v>
      </c>
      <c r="R34" s="3">
        <v>3899.9288709677421</v>
      </c>
      <c r="S34" s="3">
        <v>5416.4812903225811</v>
      </c>
      <c r="T34" s="32">
        <v>0.98047599832536081</v>
      </c>
      <c r="U34" s="3">
        <v>6976.0341935483866</v>
      </c>
      <c r="V34" s="3">
        <v>7114.9464193548383</v>
      </c>
      <c r="W34" s="52">
        <v>12953.613870967742</v>
      </c>
      <c r="X34" s="6">
        <v>0.47765074812044916</v>
      </c>
      <c r="Y34" s="19">
        <v>27119.425483870968</v>
      </c>
      <c r="Z34" s="20">
        <v>3.6708236454590294E-2</v>
      </c>
      <c r="AA34" s="3">
        <v>35.931034482758619</v>
      </c>
      <c r="AB34" s="3">
        <v>978.82758620689651</v>
      </c>
      <c r="AC34" s="32">
        <v>0.35127881275655193</v>
      </c>
      <c r="AD34" s="3">
        <v>76.724137931034477</v>
      </c>
      <c r="AE34" s="3">
        <v>218.41379310344828</v>
      </c>
      <c r="AF34" s="32">
        <v>0.96681672959628229</v>
      </c>
      <c r="AG34" s="3">
        <v>459.13793103448273</v>
      </c>
      <c r="AH34" s="3">
        <v>474.89655172413791</v>
      </c>
      <c r="AI34" s="52">
        <v>571.79310344827582</v>
      </c>
      <c r="AJ34" s="6">
        <v>0.34195331188649669</v>
      </c>
      <c r="AK34" s="21">
        <v>1672.1379310344828</v>
      </c>
      <c r="AL34" s="69">
        <f t="shared" si="131"/>
        <v>15091.978402987446</v>
      </c>
      <c r="AM34" s="6">
        <f t="shared" si="132"/>
        <v>0.45348698380214814</v>
      </c>
      <c r="AN34" s="3">
        <f t="shared" si="133"/>
        <v>33279.849129191163</v>
      </c>
      <c r="AO34" s="6">
        <f t="shared" si="134"/>
        <v>0.13117187773566211</v>
      </c>
      <c r="AP34" s="6">
        <f t="shared" si="135"/>
        <v>0.70310183286032402</v>
      </c>
      <c r="AQ34" s="70">
        <f t="shared" si="136"/>
        <v>0.96707769382528019</v>
      </c>
      <c r="AS34" s="184">
        <f t="shared" si="128"/>
        <v>0.13486496578942866</v>
      </c>
      <c r="AT34" s="184">
        <f t="shared" si="129"/>
        <v>5.024475695617802E-2</v>
      </c>
      <c r="AU34" s="184">
        <f t="shared" si="130"/>
        <v>0.81489027725439334</v>
      </c>
    </row>
    <row r="35" spans="1:47" ht="24" customHeight="1" x14ac:dyDescent="0.2">
      <c r="A35" s="133">
        <v>45322</v>
      </c>
      <c r="B35" s="20">
        <v>0.1027551457975986</v>
      </c>
      <c r="C35" s="41">
        <v>273.85714285714283</v>
      </c>
      <c r="D35" s="159">
        <v>2665.1428571428573</v>
      </c>
      <c r="E35" s="20">
        <v>0.69193650793650796</v>
      </c>
      <c r="F35" s="161">
        <v>778.42857142857144</v>
      </c>
      <c r="G35" s="159">
        <v>1125</v>
      </c>
      <c r="H35" s="20">
        <v>0.81407293271700043</v>
      </c>
      <c r="I35" s="161">
        <v>452.85714285714283</v>
      </c>
      <c r="J35" s="159">
        <v>556.28571428571433</v>
      </c>
      <c r="K35" s="52">
        <v>1505.1428571428571</v>
      </c>
      <c r="L35" s="6">
        <v>0.34629416598192275</v>
      </c>
      <c r="M35" s="21">
        <v>4346.4285714285716</v>
      </c>
      <c r="N35" s="20">
        <v>0.14682714340986891</v>
      </c>
      <c r="O35" s="3">
        <v>2245.0771935483872</v>
      </c>
      <c r="P35" s="130">
        <v>15290.614129032259</v>
      </c>
      <c r="Q35" s="32">
        <v>0.71960679195545207</v>
      </c>
      <c r="R35" s="3">
        <v>4133.0059677419358</v>
      </c>
      <c r="S35" s="3">
        <v>5743.4226774193558</v>
      </c>
      <c r="T35" s="32">
        <v>0.97845426334434327</v>
      </c>
      <c r="U35" s="3">
        <v>6908.3750322580645</v>
      </c>
      <c r="V35" s="3">
        <v>7060.4986774193549</v>
      </c>
      <c r="W35" s="52">
        <v>13286.458193548387</v>
      </c>
      <c r="X35" s="6">
        <v>0.4729196608776865</v>
      </c>
      <c r="Y35" s="19">
        <v>28094.535483870968</v>
      </c>
      <c r="Z35" s="20">
        <v>3.0577348622007644E-2</v>
      </c>
      <c r="AA35" s="3">
        <v>29.419354838709676</v>
      </c>
      <c r="AB35" s="3">
        <v>962.12903225806451</v>
      </c>
      <c r="AC35" s="32">
        <v>0.38067366096079508</v>
      </c>
      <c r="AD35" s="3">
        <v>111.19354838709677</v>
      </c>
      <c r="AE35" s="3">
        <v>292.09677419354841</v>
      </c>
      <c r="AF35" s="32">
        <v>0.94849808265871338</v>
      </c>
      <c r="AG35" s="3">
        <v>574.48387096774195</v>
      </c>
      <c r="AH35" s="3">
        <v>605.67741935483866</v>
      </c>
      <c r="AI35" s="52">
        <v>715.09677419354841</v>
      </c>
      <c r="AJ35" s="6">
        <v>0.38448063548224848</v>
      </c>
      <c r="AK35" s="21">
        <v>1859.9032258064517</v>
      </c>
      <c r="AL35" s="69">
        <f t="shared" si="131"/>
        <v>15506.697824884794</v>
      </c>
      <c r="AM35" s="6">
        <f t="shared" si="132"/>
        <v>0.45207888470582136</v>
      </c>
      <c r="AN35" s="3">
        <f t="shared" si="133"/>
        <v>34300.867281105988</v>
      </c>
      <c r="AO35" s="6">
        <f t="shared" si="134"/>
        <v>0.13470604954280718</v>
      </c>
      <c r="AP35" s="6">
        <f t="shared" si="135"/>
        <v>0.70143348139725525</v>
      </c>
      <c r="AQ35" s="70">
        <f t="shared" si="136"/>
        <v>0.96512653125475623</v>
      </c>
      <c r="AS35" s="184">
        <f t="shared" si="128"/>
        <v>0.12671483014724597</v>
      </c>
      <c r="AT35" s="184">
        <f t="shared" si="129"/>
        <v>5.422321279995581E-2</v>
      </c>
      <c r="AU35" s="184">
        <f t="shared" si="130"/>
        <v>0.81906195705279838</v>
      </c>
    </row>
    <row r="36" spans="1:47" ht="24" customHeight="1" x14ac:dyDescent="0.2">
      <c r="A36" s="133">
        <v>45291</v>
      </c>
      <c r="B36" s="20">
        <v>0.10199999999999999</v>
      </c>
      <c r="C36" s="41">
        <v>249</v>
      </c>
      <c r="D36" s="159">
        <v>2432</v>
      </c>
      <c r="E36" s="20">
        <v>0.66700000000000004</v>
      </c>
      <c r="F36" s="161">
        <v>754</v>
      </c>
      <c r="G36" s="159">
        <v>1131</v>
      </c>
      <c r="H36" s="20">
        <v>0.84399999999999997</v>
      </c>
      <c r="I36" s="161">
        <v>486</v>
      </c>
      <c r="J36" s="159">
        <v>575</v>
      </c>
      <c r="K36" s="52">
        <v>1488</v>
      </c>
      <c r="L36" s="6">
        <v>0.36</v>
      </c>
      <c r="M36" s="21">
        <v>4138</v>
      </c>
      <c r="N36" s="20">
        <v>0.15203699339740206</v>
      </c>
      <c r="O36" s="3">
        <v>2131.1017419354839</v>
      </c>
      <c r="P36" s="130">
        <v>14016.99477419355</v>
      </c>
      <c r="Q36" s="32">
        <v>0.7211464746805325</v>
      </c>
      <c r="R36" s="3">
        <v>3959.1151290322582</v>
      </c>
      <c r="S36" s="3">
        <v>5490.0290967741939</v>
      </c>
      <c r="T36" s="32">
        <v>0.97492701968188189</v>
      </c>
      <c r="U36" s="3">
        <v>6234.6332258064513</v>
      </c>
      <c r="V36" s="3">
        <v>6394.9742903225806</v>
      </c>
      <c r="W36" s="52">
        <v>12324.850096774193</v>
      </c>
      <c r="X36" s="6">
        <v>0.47582622854144402</v>
      </c>
      <c r="Y36" s="19">
        <v>25901.998161290325</v>
      </c>
      <c r="Z36" s="20">
        <v>2.7E-2</v>
      </c>
      <c r="AA36" s="3">
        <v>25</v>
      </c>
      <c r="AB36" s="3">
        <v>927</v>
      </c>
      <c r="AC36" s="32">
        <v>0.39100000000000001</v>
      </c>
      <c r="AD36" s="3">
        <v>85</v>
      </c>
      <c r="AE36" s="3">
        <v>217</v>
      </c>
      <c r="AF36" s="32">
        <v>0.86899999999999999</v>
      </c>
      <c r="AG36" s="3">
        <v>341</v>
      </c>
      <c r="AH36" s="3">
        <v>393</v>
      </c>
      <c r="AI36" s="52">
        <v>451</v>
      </c>
      <c r="AJ36" s="6">
        <v>0.29299999999999998</v>
      </c>
      <c r="AK36" s="21">
        <v>1537</v>
      </c>
      <c r="AL36" s="69">
        <f>+AI36+W36+K36</f>
        <v>14263.850096774193</v>
      </c>
      <c r="AM36" s="6">
        <f>AL36/AN36</f>
        <v>0.45171646854829889</v>
      </c>
      <c r="AN36" s="3">
        <f>+AK36+Y36+M36</f>
        <v>31576.998161290325</v>
      </c>
      <c r="AO36" s="6">
        <f>(+AA36+O36+C36)/(D36+P36+AB36)</f>
        <v>0.13841519712629569</v>
      </c>
      <c r="AP36" s="6">
        <f>(+AD36+R36+F36)/(G36+S36+AE36)</f>
        <v>0.70168100502756625</v>
      </c>
      <c r="AQ36" s="70">
        <f>(AG36+U36+I36)/(AH36+V36+J36)</f>
        <v>0.95907345963272039</v>
      </c>
      <c r="AS36" s="184">
        <f>M36/$AN36</f>
        <v>0.13104475539010227</v>
      </c>
      <c r="AT36" s="184">
        <f>AK36/AN36</f>
        <v>4.8674671105506814E-2</v>
      </c>
      <c r="AU36" s="184">
        <f>Y36/AN36</f>
        <v>0.82028057350439088</v>
      </c>
    </row>
    <row r="37" spans="1:47" ht="24" customHeight="1" x14ac:dyDescent="0.2">
      <c r="A37" s="133">
        <v>45260</v>
      </c>
      <c r="B37" s="20">
        <v>0.10299999999999999</v>
      </c>
      <c r="C37" s="41">
        <v>203</v>
      </c>
      <c r="D37" s="159">
        <v>1971</v>
      </c>
      <c r="E37" s="20">
        <v>0.67700000000000005</v>
      </c>
      <c r="F37" s="161">
        <v>676</v>
      </c>
      <c r="G37" s="159">
        <v>997</v>
      </c>
      <c r="H37" s="20">
        <v>0.89</v>
      </c>
      <c r="I37" s="161">
        <v>723</v>
      </c>
      <c r="J37" s="159">
        <v>812</v>
      </c>
      <c r="K37" s="52">
        <v>1601</v>
      </c>
      <c r="L37" s="6">
        <v>0.42399999999999999</v>
      </c>
      <c r="M37" s="21">
        <v>3780</v>
      </c>
      <c r="N37" s="20">
        <v>0.15106497978824093</v>
      </c>
      <c r="O37" s="3">
        <v>1706.0685333333336</v>
      </c>
      <c r="P37" s="130">
        <v>11293.607133333333</v>
      </c>
      <c r="Q37" s="32">
        <v>0.70768670818563684</v>
      </c>
      <c r="R37" s="3">
        <v>3288.116566666667</v>
      </c>
      <c r="S37" s="3">
        <v>4646.2884333333341</v>
      </c>
      <c r="T37" s="32">
        <v>0.95197379698167628</v>
      </c>
      <c r="U37" s="3">
        <v>3777.8204000000001</v>
      </c>
      <c r="V37" s="3">
        <v>3968.4079666666667</v>
      </c>
      <c r="W37" s="52">
        <v>8772.0055000000011</v>
      </c>
      <c r="X37" s="6">
        <v>0.4406204418830893</v>
      </c>
      <c r="Y37" s="19">
        <v>19908.303533333332</v>
      </c>
      <c r="Z37" s="20">
        <v>0.03</v>
      </c>
      <c r="AA37" s="3">
        <v>23</v>
      </c>
      <c r="AB37" s="3">
        <v>771</v>
      </c>
      <c r="AC37" s="32">
        <v>0.432</v>
      </c>
      <c r="AD37" s="3">
        <v>72</v>
      </c>
      <c r="AE37" s="3">
        <v>166</v>
      </c>
      <c r="AF37" s="32">
        <v>1</v>
      </c>
      <c r="AG37" s="3">
        <v>265</v>
      </c>
      <c r="AH37" s="3">
        <v>265</v>
      </c>
      <c r="AI37" s="52">
        <v>360</v>
      </c>
      <c r="AJ37" s="6">
        <v>0.3</v>
      </c>
      <c r="AK37" s="21">
        <v>1202</v>
      </c>
      <c r="AL37" s="69">
        <f>+AI37+W37+K37</f>
        <v>10733.005500000001</v>
      </c>
      <c r="AM37" s="6">
        <f>AL37/AN37</f>
        <v>0.4312123187098244</v>
      </c>
      <c r="AN37" s="3">
        <f>+AK37+Y37+M37</f>
        <v>24890.303533333332</v>
      </c>
      <c r="AO37" s="6">
        <f>(+AA37+O37+C37)/(D37+P37+AB37)</f>
        <v>0.13765478863716843</v>
      </c>
      <c r="AP37" s="6">
        <f>(+AD37+R37+F37)/(G37+S37+AE37)</f>
        <v>0.69476952521546054</v>
      </c>
      <c r="AQ37" s="70">
        <f>(AG37+U37+I37)/(AH37+V37+J37)</f>
        <v>0.94458573647288624</v>
      </c>
      <c r="AS37" s="184">
        <f t="shared" ref="AS37:AS56" si="137">M37/$AN37</f>
        <v>0.15186636815970475</v>
      </c>
      <c r="AT37" s="184">
        <f t="shared" ref="AT37:AT56" si="138">AK37/AN37</f>
        <v>4.8291898023271197E-2</v>
      </c>
      <c r="AU37" s="184">
        <f t="shared" ref="AU37:AU56" si="139">Y37/AN37</f>
        <v>0.79984173381702406</v>
      </c>
    </row>
    <row r="38" spans="1:47" ht="24" customHeight="1" x14ac:dyDescent="0.2">
      <c r="A38" s="133">
        <v>45230</v>
      </c>
      <c r="B38" s="20">
        <v>0.10299999999999999</v>
      </c>
      <c r="C38" s="41">
        <v>209</v>
      </c>
      <c r="D38" s="159">
        <v>2040</v>
      </c>
      <c r="E38" s="20">
        <v>0.67500000000000004</v>
      </c>
      <c r="F38" s="161">
        <v>798</v>
      </c>
      <c r="G38" s="159">
        <v>1182</v>
      </c>
      <c r="H38" s="20">
        <v>0.83599999999999997</v>
      </c>
      <c r="I38" s="161">
        <v>550</v>
      </c>
      <c r="J38" s="159">
        <v>657</v>
      </c>
      <c r="K38" s="52">
        <v>1557</v>
      </c>
      <c r="L38" s="6">
        <v>0.40100000000000002</v>
      </c>
      <c r="M38" s="21">
        <v>3880</v>
      </c>
      <c r="N38" s="20">
        <v>0.15334075983922552</v>
      </c>
      <c r="O38" s="3">
        <v>1669.915870967742</v>
      </c>
      <c r="P38" s="130">
        <v>10890.228225806452</v>
      </c>
      <c r="Q38" s="32">
        <v>0.70904502803453662</v>
      </c>
      <c r="R38" s="3">
        <v>3779.23735483871</v>
      </c>
      <c r="S38" s="3">
        <v>5330.0385806451613</v>
      </c>
      <c r="T38" s="32">
        <v>0.97508081133097291</v>
      </c>
      <c r="U38" s="3">
        <v>6439.6987741935491</v>
      </c>
      <c r="V38" s="3">
        <v>6604.2718709677429</v>
      </c>
      <c r="W38" s="52">
        <v>11888.852000000001</v>
      </c>
      <c r="X38" s="6">
        <v>0.52088027574295792</v>
      </c>
      <c r="Y38" s="19">
        <v>22824.538677419354</v>
      </c>
      <c r="Z38" s="20">
        <v>2.5999999999999999E-2</v>
      </c>
      <c r="AA38" s="3">
        <v>17</v>
      </c>
      <c r="AB38" s="3">
        <v>646</v>
      </c>
      <c r="AC38" s="32">
        <v>0.437</v>
      </c>
      <c r="AD38" s="3">
        <v>107</v>
      </c>
      <c r="AE38" s="3">
        <v>246</v>
      </c>
      <c r="AF38" s="32">
        <v>0.95399999999999996</v>
      </c>
      <c r="AG38" s="3">
        <v>572</v>
      </c>
      <c r="AH38" s="3">
        <v>599</v>
      </c>
      <c r="AI38" s="52">
        <v>696</v>
      </c>
      <c r="AJ38" s="6">
        <v>0.46700000000000003</v>
      </c>
      <c r="AK38" s="21">
        <v>1491</v>
      </c>
      <c r="AL38" s="69">
        <f>+AI38+W38+K38</f>
        <v>14141.852000000001</v>
      </c>
      <c r="AM38" s="6">
        <f t="shared" ref="AM38:AM44" si="140">AL38/AN38</f>
        <v>0.50156346228368487</v>
      </c>
      <c r="AN38" s="3">
        <f>+AK38+Y38+M38</f>
        <v>28195.538677419354</v>
      </c>
      <c r="AO38" s="6">
        <f>(+AA38+O38+C38)/(D38+P38+AB38)</f>
        <v>0.13964967584766139</v>
      </c>
      <c r="AP38" s="6">
        <f>(+AD38+R38+F38)/(G38+S38+AE38)</f>
        <v>0.69313563379975929</v>
      </c>
      <c r="AQ38" s="70">
        <f>(AG38+U38+I38)/(AH38+V38+J38)</f>
        <v>0.96201491479232593</v>
      </c>
      <c r="AS38" s="184">
        <f t="shared" si="137"/>
        <v>0.13761042285414224</v>
      </c>
      <c r="AT38" s="184">
        <f t="shared" si="138"/>
        <v>5.2880706308125282E-2</v>
      </c>
      <c r="AU38" s="184">
        <f t="shared" si="139"/>
        <v>0.80950887083773249</v>
      </c>
    </row>
    <row r="39" spans="1:47" ht="24" customHeight="1" x14ac:dyDescent="0.2">
      <c r="A39" s="133">
        <v>45199</v>
      </c>
      <c r="B39" s="20">
        <v>0.10118197168463437</v>
      </c>
      <c r="C39" s="41">
        <v>222.57142857142858</v>
      </c>
      <c r="D39" s="159">
        <v>2199.7142857142858</v>
      </c>
      <c r="E39" s="20">
        <v>0.66086053754758345</v>
      </c>
      <c r="F39" s="161">
        <v>818.42857142857144</v>
      </c>
      <c r="G39" s="159">
        <v>1238.4285714285713</v>
      </c>
      <c r="H39" s="20">
        <v>0.85597920277296358</v>
      </c>
      <c r="I39" s="161">
        <v>705.57142857142856</v>
      </c>
      <c r="J39" s="159">
        <v>824.28571428571433</v>
      </c>
      <c r="K39" s="52">
        <v>1746.5714285714284</v>
      </c>
      <c r="L39" s="6">
        <v>0.4097596943392432</v>
      </c>
      <c r="M39" s="21">
        <v>4262.4285714285716</v>
      </c>
      <c r="N39" s="20">
        <v>0.14532953485573669</v>
      </c>
      <c r="O39" s="3">
        <v>1821.3822580645162</v>
      </c>
      <c r="P39" s="130">
        <v>12532.774290322581</v>
      </c>
      <c r="Q39" s="32">
        <v>0.70314233847139751</v>
      </c>
      <c r="R39" s="3">
        <v>4117.6090645161294</v>
      </c>
      <c r="S39" s="3">
        <v>5856.01070967742</v>
      </c>
      <c r="T39" s="32">
        <v>0.98111152138855739</v>
      </c>
      <c r="U39" s="3">
        <v>7477.1699354838711</v>
      </c>
      <c r="V39" s="3">
        <v>7621.121322580645</v>
      </c>
      <c r="W39" s="52">
        <v>13416.161258064516</v>
      </c>
      <c r="X39" s="6">
        <v>0.51580967234846209</v>
      </c>
      <c r="Y39" s="19">
        <v>26009.906322580646</v>
      </c>
      <c r="Z39" s="20">
        <v>2.1226874391431356E-2</v>
      </c>
      <c r="AA39" s="3">
        <v>14.533333333333333</v>
      </c>
      <c r="AB39" s="3">
        <v>684.66666666666663</v>
      </c>
      <c r="AC39" s="32">
        <v>0.33627648839556001</v>
      </c>
      <c r="AD39" s="3">
        <v>44.43333333333333</v>
      </c>
      <c r="AE39" s="3">
        <v>132.13333333333333</v>
      </c>
      <c r="AF39" s="32">
        <v>1</v>
      </c>
      <c r="AG39" s="3">
        <v>321.96666666666664</v>
      </c>
      <c r="AH39" s="3">
        <v>321.96666666666664</v>
      </c>
      <c r="AI39" s="52">
        <v>380.93333333333334</v>
      </c>
      <c r="AJ39" s="6">
        <v>0.33451394783830463</v>
      </c>
      <c r="AK39" s="21">
        <v>1138.7666666666667</v>
      </c>
      <c r="AL39" s="69">
        <f t="shared" ref="AL39:AL44" si="141">+AI39+W39+K39</f>
        <v>15543.666019969278</v>
      </c>
      <c r="AM39" s="6">
        <f t="shared" si="140"/>
        <v>0.49484625650405933</v>
      </c>
      <c r="AN39" s="3">
        <f t="shared" ref="AN39:AN44" si="142">+AK39+Y39+M39</f>
        <v>31411.101560675885</v>
      </c>
      <c r="AO39" s="6">
        <f t="shared" ref="AO39:AO44" si="143">(+AA39+O39+C39)/(D39+P39+AB39)</f>
        <v>0.13351925096191122</v>
      </c>
      <c r="AP39" s="6">
        <f t="shared" ref="AP39:AP44" si="144">(+AD39+R39+F39)/(G39+S39+AE39)</f>
        <v>0.68918853168743055</v>
      </c>
      <c r="AQ39" s="70">
        <f t="shared" ref="AQ39:AQ44" si="145">(AG39+U39+I39)/(AH39+V39+J39)</f>
        <v>0.97004055242846421</v>
      </c>
      <c r="AS39" s="184">
        <f t="shared" si="137"/>
        <v>0.13569815637299334</v>
      </c>
      <c r="AT39" s="184">
        <f t="shared" si="138"/>
        <v>3.625363677446794E-2</v>
      </c>
      <c r="AU39" s="184">
        <f t="shared" si="139"/>
        <v>0.82804820685253866</v>
      </c>
    </row>
    <row r="40" spans="1:47" ht="24" customHeight="1" x14ac:dyDescent="0.2">
      <c r="A40" s="133">
        <v>45169</v>
      </c>
      <c r="B40" s="20">
        <v>9.5927438731379142E-2</v>
      </c>
      <c r="C40" s="41">
        <v>228.14285714285714</v>
      </c>
      <c r="D40" s="159">
        <v>2378.2857142857142</v>
      </c>
      <c r="E40" s="20">
        <v>0.67051551201306281</v>
      </c>
      <c r="F40" s="161">
        <v>821.28571428571433</v>
      </c>
      <c r="G40" s="159">
        <v>1224.8571428571429</v>
      </c>
      <c r="H40" s="20">
        <v>0.82917581321093592</v>
      </c>
      <c r="I40" s="161">
        <v>593.57142857142856</v>
      </c>
      <c r="J40" s="159">
        <v>715.85714285714289</v>
      </c>
      <c r="K40" s="52">
        <v>1643</v>
      </c>
      <c r="L40" s="6">
        <v>0.38041213243806438</v>
      </c>
      <c r="M40" s="21">
        <v>4319</v>
      </c>
      <c r="N40" s="20">
        <v>0.13848826758851535</v>
      </c>
      <c r="O40" s="3">
        <v>1906.8958709677418</v>
      </c>
      <c r="P40" s="130">
        <v>13769.367645161288</v>
      </c>
      <c r="Q40" s="32">
        <v>0.69393033610877464</v>
      </c>
      <c r="R40" s="3">
        <v>4401.1914193548382</v>
      </c>
      <c r="S40" s="3">
        <v>6342.4110322580636</v>
      </c>
      <c r="T40" s="32">
        <v>0.97858841559342158</v>
      </c>
      <c r="U40" s="3">
        <v>6256.4415161290326</v>
      </c>
      <c r="V40" s="3">
        <v>6393.3329032258071</v>
      </c>
      <c r="W40" s="52">
        <v>12564.528806451613</v>
      </c>
      <c r="X40" s="6">
        <v>0.47404172467723604</v>
      </c>
      <c r="Y40" s="19">
        <v>26505.11158064516</v>
      </c>
      <c r="Z40" s="20">
        <v>2.7891277313910105E-2</v>
      </c>
      <c r="AA40" s="3">
        <v>20.258064516129032</v>
      </c>
      <c r="AB40" s="3">
        <v>726.32258064516134</v>
      </c>
      <c r="AC40" s="32">
        <v>0.37309484821765959</v>
      </c>
      <c r="AD40" s="3">
        <v>95.548387096774192</v>
      </c>
      <c r="AE40" s="3">
        <v>256.09677419354841</v>
      </c>
      <c r="AF40" s="32">
        <v>0.94155446756425942</v>
      </c>
      <c r="AG40" s="3">
        <v>496.29032258064518</v>
      </c>
      <c r="AH40" s="3">
        <v>527.09677419354841</v>
      </c>
      <c r="AI40" s="52">
        <v>612.09677419354841</v>
      </c>
      <c r="AJ40" s="6">
        <v>0.40549203974783632</v>
      </c>
      <c r="AK40" s="21">
        <v>1509.516129032258</v>
      </c>
      <c r="AL40" s="69">
        <f t="shared" si="141"/>
        <v>14819.625580645163</v>
      </c>
      <c r="AM40" s="6">
        <f t="shared" si="140"/>
        <v>0.4583347626103107</v>
      </c>
      <c r="AN40" s="3">
        <f t="shared" si="142"/>
        <v>32333.627709677417</v>
      </c>
      <c r="AO40" s="6">
        <f t="shared" si="143"/>
        <v>0.12772904265590387</v>
      </c>
      <c r="AP40" s="6">
        <f t="shared" si="144"/>
        <v>0.67976191257793861</v>
      </c>
      <c r="AQ40" s="70">
        <f t="shared" si="145"/>
        <v>0.9620255813040699</v>
      </c>
      <c r="AS40" s="184">
        <f t="shared" si="137"/>
        <v>0.13357610345427859</v>
      </c>
      <c r="AT40" s="184">
        <f t="shared" si="138"/>
        <v>4.668564080053602E-2</v>
      </c>
      <c r="AU40" s="184">
        <f t="shared" si="139"/>
        <v>0.81973825574518544</v>
      </c>
    </row>
    <row r="41" spans="1:47" ht="24" customHeight="1" x14ac:dyDescent="0.2">
      <c r="A41" s="133">
        <v>45138</v>
      </c>
      <c r="B41" s="20">
        <v>9.7151109360640669E-2</v>
      </c>
      <c r="C41" s="41">
        <v>211.42857142857142</v>
      </c>
      <c r="D41" s="159">
        <v>2176.2857142857142</v>
      </c>
      <c r="E41" s="20">
        <v>0.67277908561516542</v>
      </c>
      <c r="F41" s="161">
        <v>775.71428571428567</v>
      </c>
      <c r="G41" s="159">
        <v>1153</v>
      </c>
      <c r="H41" s="20">
        <v>0.83608577766822778</v>
      </c>
      <c r="I41" s="161">
        <v>484.57142857142856</v>
      </c>
      <c r="J41" s="159">
        <v>579.57142857142856</v>
      </c>
      <c r="K41" s="52">
        <v>1471.7142857142858</v>
      </c>
      <c r="L41" s="6">
        <v>0.37650756523645934</v>
      </c>
      <c r="M41" s="21">
        <v>3908.8571428571427</v>
      </c>
      <c r="N41" s="20">
        <v>0.13553743923680989</v>
      </c>
      <c r="O41" s="3">
        <v>1764.3789677419356</v>
      </c>
      <c r="P41" s="130">
        <v>13017.650161290323</v>
      </c>
      <c r="Q41" s="32">
        <v>0.68891870785533782</v>
      </c>
      <c r="R41" s="3">
        <v>3969.258870967742</v>
      </c>
      <c r="S41" s="3">
        <v>5761.5780000000004</v>
      </c>
      <c r="T41" s="32">
        <v>0.97793921036091869</v>
      </c>
      <c r="U41" s="3">
        <v>5874.2762580645158</v>
      </c>
      <c r="V41" s="3">
        <v>6006.7908064516123</v>
      </c>
      <c r="W41" s="52">
        <v>11607.914096774193</v>
      </c>
      <c r="X41" s="6">
        <v>0.46832507115731065</v>
      </c>
      <c r="Y41" s="19">
        <v>24786.018967741937</v>
      </c>
      <c r="Z41" s="20">
        <v>2.8221632083539634E-2</v>
      </c>
      <c r="AA41" s="3">
        <v>20.225806451612904</v>
      </c>
      <c r="AB41" s="3">
        <v>716.67741935483866</v>
      </c>
      <c r="AC41" s="32">
        <v>0.43398430979803043</v>
      </c>
      <c r="AD41" s="3">
        <v>83.870967741935488</v>
      </c>
      <c r="AE41" s="3">
        <v>193.25806451612902</v>
      </c>
      <c r="AF41" s="32">
        <v>0.96513294061455179</v>
      </c>
      <c r="AG41" s="3">
        <v>391.09677419354841</v>
      </c>
      <c r="AH41" s="3">
        <v>405.22580645161293</v>
      </c>
      <c r="AI41" s="52">
        <v>495.19354838709683</v>
      </c>
      <c r="AJ41" s="6">
        <v>0.37652685798381169</v>
      </c>
      <c r="AK41" s="21">
        <v>1315.1612903225805</v>
      </c>
      <c r="AL41" s="69">
        <f t="shared" si="141"/>
        <v>13574.821930875576</v>
      </c>
      <c r="AM41" s="6">
        <f t="shared" si="140"/>
        <v>0.45234271952152483</v>
      </c>
      <c r="AN41" s="3">
        <f t="shared" si="142"/>
        <v>30010.037400921658</v>
      </c>
      <c r="AO41" s="6">
        <f t="shared" si="143"/>
        <v>0.12545294820646899</v>
      </c>
      <c r="AP41" s="6">
        <f t="shared" si="144"/>
        <v>0.67936909076035223</v>
      </c>
      <c r="AQ41" s="70">
        <f t="shared" si="145"/>
        <v>0.9654379549807981</v>
      </c>
      <c r="AS41" s="184">
        <f t="shared" si="137"/>
        <v>0.13025165849133846</v>
      </c>
      <c r="AT41" s="184">
        <f t="shared" si="138"/>
        <v>4.3824047026418893E-2</v>
      </c>
      <c r="AU41" s="184">
        <f t="shared" si="139"/>
        <v>0.82592429448224269</v>
      </c>
    </row>
    <row r="42" spans="1:47" ht="24" customHeight="1" x14ac:dyDescent="0.2">
      <c r="A42" s="133">
        <v>45107</v>
      </c>
      <c r="B42" s="20">
        <v>9.8000000000000004E-2</v>
      </c>
      <c r="C42" s="41">
        <v>199</v>
      </c>
      <c r="D42" s="159">
        <v>2027</v>
      </c>
      <c r="E42" s="20">
        <v>0.66400000000000003</v>
      </c>
      <c r="F42" s="161">
        <v>745</v>
      </c>
      <c r="G42" s="159">
        <v>1122</v>
      </c>
      <c r="H42" s="20">
        <v>0.84199999999999997</v>
      </c>
      <c r="I42" s="161">
        <v>481</v>
      </c>
      <c r="J42" s="159">
        <v>571</v>
      </c>
      <c r="K42" s="52">
        <v>1425</v>
      </c>
      <c r="L42" s="6">
        <v>0.38300000000000001</v>
      </c>
      <c r="M42" s="21">
        <v>3720</v>
      </c>
      <c r="N42" s="20">
        <v>0.13379048099385676</v>
      </c>
      <c r="O42" s="3">
        <v>1481.1288666666667</v>
      </c>
      <c r="P42" s="130">
        <v>11070.510066666666</v>
      </c>
      <c r="Q42" s="32">
        <v>0.69472479084168204</v>
      </c>
      <c r="R42" s="3">
        <v>3806.9172000000003</v>
      </c>
      <c r="S42" s="3">
        <v>5479.7486000000008</v>
      </c>
      <c r="T42" s="32">
        <v>0.97294707416159643</v>
      </c>
      <c r="U42" s="3">
        <v>6846.7494333333334</v>
      </c>
      <c r="V42" s="3">
        <v>7037.124233333333</v>
      </c>
      <c r="W42" s="52">
        <v>12134.7955</v>
      </c>
      <c r="X42" s="6">
        <v>0.51446129277869146</v>
      </c>
      <c r="Y42" s="19">
        <v>23587.382900000001</v>
      </c>
      <c r="Z42" s="20">
        <v>2.7E-2</v>
      </c>
      <c r="AA42" s="3">
        <v>18</v>
      </c>
      <c r="AB42" s="3">
        <v>682</v>
      </c>
      <c r="AC42" s="32">
        <v>0.39</v>
      </c>
      <c r="AD42" s="3">
        <v>81</v>
      </c>
      <c r="AE42" s="3">
        <v>208</v>
      </c>
      <c r="AF42" s="32">
        <v>0.96399999999999997</v>
      </c>
      <c r="AG42" s="3">
        <v>414</v>
      </c>
      <c r="AH42" s="3">
        <v>430</v>
      </c>
      <c r="AI42" s="52">
        <v>514</v>
      </c>
      <c r="AJ42" s="6">
        <v>0.38900000000000001</v>
      </c>
      <c r="AK42" s="21">
        <v>1320</v>
      </c>
      <c r="AL42" s="69">
        <f t="shared" si="141"/>
        <v>14073.7955</v>
      </c>
      <c r="AM42" s="6">
        <f t="shared" si="140"/>
        <v>0.49162005305067547</v>
      </c>
      <c r="AN42" s="3">
        <f t="shared" si="142"/>
        <v>28627.382900000001</v>
      </c>
      <c r="AO42" s="6">
        <f t="shared" si="143"/>
        <v>0.12323579419376648</v>
      </c>
      <c r="AP42" s="6">
        <f t="shared" si="144"/>
        <v>0.68033601122954812</v>
      </c>
      <c r="AQ42" s="70">
        <f t="shared" si="145"/>
        <v>0.96312886049073965</v>
      </c>
      <c r="AS42" s="184">
        <f t="shared" si="137"/>
        <v>0.1299455145094664</v>
      </c>
      <c r="AT42" s="184">
        <f t="shared" si="138"/>
        <v>4.6109698696907425E-2</v>
      </c>
      <c r="AU42" s="184">
        <f t="shared" si="139"/>
        <v>0.82394478679362615</v>
      </c>
    </row>
    <row r="43" spans="1:47" ht="24" customHeight="1" x14ac:dyDescent="0.2">
      <c r="A43" s="133">
        <v>45077</v>
      </c>
      <c r="B43" s="20">
        <v>9.7292663761697262E-2</v>
      </c>
      <c r="C43" s="41">
        <v>194.57142857142858</v>
      </c>
      <c r="D43" s="159">
        <v>1999.8571428571429</v>
      </c>
      <c r="E43" s="20">
        <v>0.67123287671232879</v>
      </c>
      <c r="F43" s="161">
        <v>686</v>
      </c>
      <c r="G43" s="159">
        <v>1022</v>
      </c>
      <c r="H43" s="20">
        <v>0.84664830119375567</v>
      </c>
      <c r="I43" s="161">
        <v>526.85714285714289</v>
      </c>
      <c r="J43" s="159">
        <v>622.28571428571433</v>
      </c>
      <c r="K43" s="52">
        <v>1407.4285714285716</v>
      </c>
      <c r="L43" s="6">
        <v>0.38621662942490892</v>
      </c>
      <c r="M43" s="21">
        <v>3644.1428571428569</v>
      </c>
      <c r="N43" s="20">
        <v>0.12525875024029048</v>
      </c>
      <c r="O43" s="3">
        <v>1390.8100322580644</v>
      </c>
      <c r="P43" s="130">
        <v>11103.495999999999</v>
      </c>
      <c r="Q43" s="32">
        <v>0.68912752076181594</v>
      </c>
      <c r="R43" s="3">
        <v>3604.6661612903226</v>
      </c>
      <c r="S43" s="3">
        <v>5230.7679677419355</v>
      </c>
      <c r="T43" s="32">
        <v>0.97639518510393497</v>
      </c>
      <c r="U43" s="3">
        <v>6156.8787096774195</v>
      </c>
      <c r="V43" s="3">
        <v>6305.7241612903226</v>
      </c>
      <c r="W43" s="52">
        <v>11152.354903225807</v>
      </c>
      <c r="X43" s="6">
        <v>0.4925954395234266</v>
      </c>
      <c r="Y43" s="19">
        <v>22639.988129032259</v>
      </c>
      <c r="Z43" s="20">
        <v>3.5049234669006536E-2</v>
      </c>
      <c r="AA43" s="3">
        <v>23.193548387096776</v>
      </c>
      <c r="AB43" s="3">
        <v>661.74193548387098</v>
      </c>
      <c r="AC43" s="32">
        <v>0.37160473254457588</v>
      </c>
      <c r="AD43" s="3">
        <v>71.935483870967744</v>
      </c>
      <c r="AE43" s="3">
        <v>193.58064516129033</v>
      </c>
      <c r="AF43" s="32">
        <v>0.96527543088881385</v>
      </c>
      <c r="AG43" s="3">
        <v>368.54838709677421</v>
      </c>
      <c r="AH43" s="3">
        <v>381.80645161290323</v>
      </c>
      <c r="AI43" s="52">
        <v>463.67741935483872</v>
      </c>
      <c r="AJ43" s="6">
        <v>0.37480117858725981</v>
      </c>
      <c r="AK43" s="21">
        <v>1237.1290322580644</v>
      </c>
      <c r="AL43" s="69">
        <f t="shared" si="141"/>
        <v>13023.460894009218</v>
      </c>
      <c r="AM43" s="6">
        <f t="shared" si="140"/>
        <v>0.47321455795579009</v>
      </c>
      <c r="AN43" s="3">
        <f t="shared" si="142"/>
        <v>27521.260018433182</v>
      </c>
      <c r="AO43" s="6">
        <f t="shared" si="143"/>
        <v>0.11685898281571895</v>
      </c>
      <c r="AP43" s="6">
        <f t="shared" si="144"/>
        <v>0.67675546377199669</v>
      </c>
      <c r="AQ43" s="70">
        <f t="shared" si="145"/>
        <v>0.9647690070406133</v>
      </c>
      <c r="AS43" s="184">
        <f t="shared" si="137"/>
        <v>0.13241191917456119</v>
      </c>
      <c r="AT43" s="184">
        <f t="shared" si="138"/>
        <v>4.495175843800249E-2</v>
      </c>
      <c r="AU43" s="184">
        <f t="shared" si="139"/>
        <v>0.82263632238743623</v>
      </c>
    </row>
    <row r="44" spans="1:47" ht="24" customHeight="1" x14ac:dyDescent="0.2">
      <c r="A44" s="133">
        <v>45046</v>
      </c>
      <c r="B44" s="20">
        <v>8.973217343653675E-2</v>
      </c>
      <c r="C44" s="41">
        <v>187.14285714285714</v>
      </c>
      <c r="D44" s="159">
        <v>2085.5714285714284</v>
      </c>
      <c r="E44" s="20">
        <v>0.67543271165973429</v>
      </c>
      <c r="F44" s="161">
        <v>719.14285714285711</v>
      </c>
      <c r="G44" s="159">
        <v>1064.7142857142858</v>
      </c>
      <c r="H44" s="20">
        <v>0.88158697863682611</v>
      </c>
      <c r="I44" s="161">
        <v>619</v>
      </c>
      <c r="J44" s="159">
        <v>702.14285714285711</v>
      </c>
      <c r="K44" s="52">
        <v>1525.2857142857142</v>
      </c>
      <c r="L44" s="6">
        <v>0.39592835688063183</v>
      </c>
      <c r="M44" s="21">
        <v>3852.4285714285716</v>
      </c>
      <c r="N44" s="20">
        <v>0.11124000741681557</v>
      </c>
      <c r="O44" s="3">
        <v>1266.4608064516128</v>
      </c>
      <c r="P44" s="130">
        <v>11384.939967741935</v>
      </c>
      <c r="Q44" s="32">
        <v>0.68730289820733115</v>
      </c>
      <c r="R44" s="3">
        <v>3243.3880967741934</v>
      </c>
      <c r="S44" s="3">
        <v>4719.0083225806447</v>
      </c>
      <c r="T44" s="32">
        <v>0.9760431480834364</v>
      </c>
      <c r="U44" s="3">
        <v>4740.7660000000005</v>
      </c>
      <c r="V44" s="3">
        <v>4857.1274838709687</v>
      </c>
      <c r="W44" s="52">
        <v>9250.6149032258072</v>
      </c>
      <c r="X44" s="6">
        <v>0.44132347990530141</v>
      </c>
      <c r="Y44" s="19">
        <v>20961.075774193549</v>
      </c>
      <c r="Z44" s="20">
        <v>2.5843385810672664E-2</v>
      </c>
      <c r="AA44" s="3">
        <v>21.066666666666666</v>
      </c>
      <c r="AB44" s="3">
        <v>815.16666666666663</v>
      </c>
      <c r="AC44" s="32">
        <v>0.3874285714285714</v>
      </c>
      <c r="AD44" s="3">
        <v>67.8</v>
      </c>
      <c r="AE44" s="3">
        <v>175</v>
      </c>
      <c r="AF44" s="32">
        <v>1</v>
      </c>
      <c r="AG44" s="3">
        <v>148.80000000000001</v>
      </c>
      <c r="AH44" s="3">
        <v>148.80000000000001</v>
      </c>
      <c r="AI44" s="52">
        <v>237.66666666666669</v>
      </c>
      <c r="AJ44" s="6">
        <v>0.20866867628552196</v>
      </c>
      <c r="AK44" s="21">
        <v>1138.9666666666667</v>
      </c>
      <c r="AL44" s="69">
        <f t="shared" si="141"/>
        <v>11013.567284178187</v>
      </c>
      <c r="AM44" s="6">
        <f t="shared" si="140"/>
        <v>0.42437451443306262</v>
      </c>
      <c r="AN44" s="3">
        <f t="shared" si="142"/>
        <v>25952.471012288788</v>
      </c>
      <c r="AO44" s="6">
        <f t="shared" si="143"/>
        <v>0.10322718486024153</v>
      </c>
      <c r="AP44" s="6">
        <f t="shared" si="144"/>
        <v>0.67637499156389103</v>
      </c>
      <c r="AQ44" s="70">
        <f t="shared" si="145"/>
        <v>0.96504872415808551</v>
      </c>
      <c r="AS44" s="184">
        <f t="shared" si="137"/>
        <v>0.14844168671277594</v>
      </c>
      <c r="AT44" s="184">
        <f t="shared" si="138"/>
        <v>4.3886636695494356E-2</v>
      </c>
      <c r="AU44" s="184">
        <f t="shared" si="139"/>
        <v>0.80767167659172967</v>
      </c>
    </row>
    <row r="45" spans="1:47" ht="24" customHeight="1" x14ac:dyDescent="0.2">
      <c r="A45" s="133">
        <v>45016</v>
      </c>
      <c r="B45" s="20">
        <v>8.6340273090701428E-2</v>
      </c>
      <c r="C45" s="41">
        <v>237.57142857142858</v>
      </c>
      <c r="D45" s="159">
        <v>2751.5714285714284</v>
      </c>
      <c r="E45" s="20">
        <v>0.66168968520592264</v>
      </c>
      <c r="F45" s="161">
        <v>759.71428571428567</v>
      </c>
      <c r="G45" s="159">
        <v>1148.1428571428571</v>
      </c>
      <c r="H45" s="20">
        <v>0.8913377754997438</v>
      </c>
      <c r="I45" s="161">
        <v>745.28571428571433</v>
      </c>
      <c r="J45" s="159">
        <v>836.14285714285711</v>
      </c>
      <c r="K45" s="52">
        <v>1742.5714285714284</v>
      </c>
      <c r="L45" s="6">
        <v>0.36795270127597957</v>
      </c>
      <c r="M45" s="21">
        <v>4735.8571428571431</v>
      </c>
      <c r="N45" s="20">
        <v>0.10513310486494805</v>
      </c>
      <c r="O45" s="3">
        <v>1554.1318387096774</v>
      </c>
      <c r="P45" s="130">
        <v>14782.516322580646</v>
      </c>
      <c r="Q45" s="32">
        <v>0.65735071873300854</v>
      </c>
      <c r="R45" s="3">
        <v>3691.4207741935488</v>
      </c>
      <c r="S45" s="3">
        <v>5615.6031612903234</v>
      </c>
      <c r="T45" s="32">
        <v>0.97186879233038004</v>
      </c>
      <c r="U45" s="3">
        <v>6512.0014193548386</v>
      </c>
      <c r="V45" s="3">
        <v>6700.494419354839</v>
      </c>
      <c r="W45" s="52">
        <v>11757.554032258064</v>
      </c>
      <c r="X45" s="6">
        <v>0.43388027425485587</v>
      </c>
      <c r="Y45" s="19">
        <v>27098.613903225807</v>
      </c>
      <c r="Z45" s="20">
        <v>3.2437839382680765E-2</v>
      </c>
      <c r="AA45" s="3">
        <v>29.29032258064516</v>
      </c>
      <c r="AB45" s="3">
        <v>902.9677419354839</v>
      </c>
      <c r="AC45" s="32">
        <v>0.33086328269729531</v>
      </c>
      <c r="AD45" s="3">
        <v>86.41935483870968</v>
      </c>
      <c r="AE45" s="3">
        <v>261.19354838709677</v>
      </c>
      <c r="AF45" s="32">
        <v>0.96093496875723228</v>
      </c>
      <c r="AG45" s="3">
        <v>669.70967741935488</v>
      </c>
      <c r="AH45" s="3">
        <v>696.93548387096769</v>
      </c>
      <c r="AI45" s="52">
        <v>785.41935483870964</v>
      </c>
      <c r="AJ45" s="6">
        <v>0.42201962075779109</v>
      </c>
      <c r="AK45" s="21">
        <v>1861.0967741935483</v>
      </c>
      <c r="AL45" s="69">
        <f t="shared" ref="AL45:AL50" si="146">+AI45+W45+K45</f>
        <v>14285.544815668203</v>
      </c>
      <c r="AM45" s="6">
        <f t="shared" ref="AM45:AM51" si="147">AL45/AN45</f>
        <v>0.42395916554555868</v>
      </c>
      <c r="AN45" s="3">
        <f t="shared" ref="AN45:AN50" si="148">+AK45+Y45+M45</f>
        <v>33695.567820276498</v>
      </c>
      <c r="AO45" s="6">
        <f t="shared" ref="AO45:AO50" si="149">(+AA45+O45+C45)/(D45+P45+AB45)</f>
        <v>9.8768135212506145E-2</v>
      </c>
      <c r="AP45" s="6">
        <f t="shared" ref="AP45:AP50" si="150">(+AD45+R45+F45)/(G45+S45+AE45)</f>
        <v>0.64592077577122753</v>
      </c>
      <c r="AQ45" s="70">
        <f t="shared" ref="AQ45:AQ50" si="151">(AG45+U45+I45)/(AH45+V45+J45)</f>
        <v>0.96276513753732484</v>
      </c>
      <c r="AS45" s="184">
        <f t="shared" si="137"/>
        <v>0.14054837028172334</v>
      </c>
      <c r="AT45" s="184">
        <f t="shared" si="138"/>
        <v>5.5232687697092997E-2</v>
      </c>
      <c r="AU45" s="184">
        <f t="shared" si="139"/>
        <v>0.80421894202118371</v>
      </c>
    </row>
    <row r="46" spans="1:47" ht="24" customHeight="1" x14ac:dyDescent="0.2">
      <c r="A46" s="133">
        <v>44985</v>
      </c>
      <c r="B46" s="20">
        <v>8.5659898477157354E-2</v>
      </c>
      <c r="C46" s="41">
        <v>231.42857142857142</v>
      </c>
      <c r="D46" s="159">
        <v>2701.7142857142858</v>
      </c>
      <c r="E46" s="20">
        <v>0.65266142544142292</v>
      </c>
      <c r="F46" s="161">
        <v>723.42857142857144</v>
      </c>
      <c r="G46" s="159">
        <v>1108.4285714285713</v>
      </c>
      <c r="H46" s="20">
        <v>0.78238490134400918</v>
      </c>
      <c r="I46" s="161">
        <v>390.85714285714283</v>
      </c>
      <c r="J46" s="159">
        <v>499.57142857142856</v>
      </c>
      <c r="K46" s="52">
        <v>1345.7142857142858</v>
      </c>
      <c r="L46" s="6">
        <v>0.31225139220365949</v>
      </c>
      <c r="M46" s="21">
        <v>4309.7142857142862</v>
      </c>
      <c r="N46" s="20">
        <v>0.10468529757236855</v>
      </c>
      <c r="O46" s="3">
        <v>1532.75125</v>
      </c>
      <c r="P46" s="130">
        <v>14641.513999999999</v>
      </c>
      <c r="Q46" s="32">
        <v>0.65749387477239818</v>
      </c>
      <c r="R46" s="3">
        <v>3577.5346785714287</v>
      </c>
      <c r="S46" s="3">
        <v>5441.1680714285721</v>
      </c>
      <c r="T46" s="32">
        <v>0.97662906279667061</v>
      </c>
      <c r="U46" s="3">
        <v>7406.1485000000002</v>
      </c>
      <c r="V46" s="3">
        <v>7583.3791785714284</v>
      </c>
      <c r="W46" s="52">
        <v>12516.434428571429</v>
      </c>
      <c r="X46" s="6">
        <v>0.45241114430668838</v>
      </c>
      <c r="Y46" s="19">
        <v>27666.061249999999</v>
      </c>
      <c r="Z46" s="20">
        <v>3.1985473845938965E-2</v>
      </c>
      <c r="AA46" s="3">
        <v>32.714285714285715</v>
      </c>
      <c r="AB46" s="3">
        <v>1022.7857142857143</v>
      </c>
      <c r="AC46" s="32">
        <v>0.39027149321266963</v>
      </c>
      <c r="AD46" s="3">
        <v>98.571428571428569</v>
      </c>
      <c r="AE46" s="3">
        <v>252.57142857142858</v>
      </c>
      <c r="AF46" s="32">
        <v>0.96511627906976738</v>
      </c>
      <c r="AG46" s="3">
        <v>495.03571428571428</v>
      </c>
      <c r="AH46" s="3">
        <v>512.92857142857144</v>
      </c>
      <c r="AI46" s="52">
        <v>626.32142857142856</v>
      </c>
      <c r="AJ46" s="6">
        <v>0.3502356606486659</v>
      </c>
      <c r="AK46" s="21">
        <v>1788.2857142857142</v>
      </c>
      <c r="AL46" s="69">
        <f t="shared" si="146"/>
        <v>14488.470142857144</v>
      </c>
      <c r="AM46" s="6">
        <f t="shared" si="147"/>
        <v>0.42910922461548207</v>
      </c>
      <c r="AN46" s="3">
        <f t="shared" si="148"/>
        <v>33764.061249999999</v>
      </c>
      <c r="AO46" s="6">
        <f t="shared" si="149"/>
        <v>9.7838001601374E-2</v>
      </c>
      <c r="AP46" s="6">
        <f t="shared" si="150"/>
        <v>0.64678417709950087</v>
      </c>
      <c r="AQ46" s="70">
        <f t="shared" si="151"/>
        <v>0.96465308374901249</v>
      </c>
      <c r="AS46" s="184">
        <f t="shared" si="137"/>
        <v>0.12764205863162525</v>
      </c>
      <c r="AT46" s="184">
        <f t="shared" si="138"/>
        <v>5.2964176940820895E-2</v>
      </c>
      <c r="AU46" s="184">
        <f t="shared" si="139"/>
        <v>0.81939376442755385</v>
      </c>
    </row>
    <row r="47" spans="1:47" ht="24" customHeight="1" x14ac:dyDescent="0.2">
      <c r="A47" s="133">
        <v>44957</v>
      </c>
      <c r="B47" s="20">
        <v>8.8650780958473271E-2</v>
      </c>
      <c r="C47" s="41">
        <v>237.57142857142858</v>
      </c>
      <c r="D47" s="159">
        <v>2679.8571428571427</v>
      </c>
      <c r="E47" s="20">
        <v>0.64903846153846156</v>
      </c>
      <c r="F47" s="161">
        <v>713.57142857142856</v>
      </c>
      <c r="G47" s="159">
        <v>1099.4285714285713</v>
      </c>
      <c r="H47" s="20">
        <v>0.86010514018691586</v>
      </c>
      <c r="I47" s="161">
        <v>420.71428571428572</v>
      </c>
      <c r="J47" s="159">
        <v>489.14285714285717</v>
      </c>
      <c r="K47" s="52">
        <v>1371.8571428571429</v>
      </c>
      <c r="L47" s="6">
        <v>0.3213962984035611</v>
      </c>
      <c r="M47" s="21">
        <v>4268.4285714285706</v>
      </c>
      <c r="N47" s="20">
        <v>0.10974400891813738</v>
      </c>
      <c r="O47" s="3">
        <v>1672.3951612903227</v>
      </c>
      <c r="P47" s="130">
        <v>15239.056580645161</v>
      </c>
      <c r="Q47" s="32">
        <v>0.62128426098854184</v>
      </c>
      <c r="R47" s="3">
        <v>3244.154193548387</v>
      </c>
      <c r="S47" s="3">
        <v>5221.6906129032259</v>
      </c>
      <c r="T47" s="32">
        <v>0.97205939751009562</v>
      </c>
      <c r="U47" s="3">
        <v>6265.4562580645161</v>
      </c>
      <c r="V47" s="3">
        <v>6445.5487741935485</v>
      </c>
      <c r="W47" s="52">
        <v>11182.005612903225</v>
      </c>
      <c r="X47" s="6">
        <v>0.41559067165206898</v>
      </c>
      <c r="Y47" s="19">
        <v>26906.295967741935</v>
      </c>
      <c r="Z47" s="20">
        <v>2.1128395635012769E-2</v>
      </c>
      <c r="AA47" s="3">
        <v>20.548387096774192</v>
      </c>
      <c r="AB47" s="3">
        <v>972.54838709677415</v>
      </c>
      <c r="AC47" s="32">
        <v>0.29795010328936916</v>
      </c>
      <c r="AD47" s="3">
        <v>60.483870967741936</v>
      </c>
      <c r="AE47" s="3">
        <v>203</v>
      </c>
      <c r="AF47" s="32">
        <v>0.58632750397456279</v>
      </c>
      <c r="AG47" s="3">
        <v>237.93548387096774</v>
      </c>
      <c r="AH47" s="3">
        <v>405.80645161290323</v>
      </c>
      <c r="AI47" s="52">
        <v>318.9677419354839</v>
      </c>
      <c r="AJ47" s="6">
        <v>0.20170535677858922</v>
      </c>
      <c r="AK47" s="21">
        <v>1581.3548387096773</v>
      </c>
      <c r="AL47" s="69">
        <f t="shared" si="146"/>
        <v>12872.830497695852</v>
      </c>
      <c r="AM47" s="6">
        <f t="shared" si="147"/>
        <v>0.39299057586204078</v>
      </c>
      <c r="AN47" s="3">
        <f t="shared" si="148"/>
        <v>32756.079377880182</v>
      </c>
      <c r="AO47" s="6">
        <f t="shared" si="149"/>
        <v>0.10218981281895634</v>
      </c>
      <c r="AP47" s="6">
        <f t="shared" si="150"/>
        <v>0.61590068782581631</v>
      </c>
      <c r="AQ47" s="70">
        <f t="shared" si="151"/>
        <v>0.94327468645939094</v>
      </c>
      <c r="AS47" s="184">
        <f t="shared" si="137"/>
        <v>0.13030950750201789</v>
      </c>
      <c r="AT47" s="184">
        <f t="shared" si="138"/>
        <v>4.8276682336334448E-2</v>
      </c>
      <c r="AU47" s="184">
        <f t="shared" si="139"/>
        <v>0.82141381016164772</v>
      </c>
    </row>
    <row r="48" spans="1:47" ht="24" customHeight="1" x14ac:dyDescent="0.2">
      <c r="A48" s="133">
        <v>44926</v>
      </c>
      <c r="B48" s="20">
        <v>9.0815273477812167E-2</v>
      </c>
      <c r="C48" s="41">
        <v>226.28571428571428</v>
      </c>
      <c r="D48" s="159">
        <v>2491.7142857142858</v>
      </c>
      <c r="E48" s="20">
        <v>0.66197005912693407</v>
      </c>
      <c r="F48" s="161">
        <v>751.71428571428567</v>
      </c>
      <c r="G48" s="159">
        <v>1135.5714285714287</v>
      </c>
      <c r="H48" s="20">
        <v>0.85830277632268204</v>
      </c>
      <c r="I48" s="161">
        <v>468.14285714285717</v>
      </c>
      <c r="J48" s="159">
        <v>545.42857142857144</v>
      </c>
      <c r="K48" s="52">
        <v>1446.1428571428571</v>
      </c>
      <c r="L48" s="6">
        <v>0.34657126228217328</v>
      </c>
      <c r="M48" s="21">
        <v>4172.7142857142862</v>
      </c>
      <c r="N48" s="20">
        <v>0.11627790155922196</v>
      </c>
      <c r="O48" s="3">
        <v>1683.4375806451612</v>
      </c>
      <c r="P48" s="130">
        <v>14477.70864516129</v>
      </c>
      <c r="Q48" s="32">
        <v>0.62690137627192821</v>
      </c>
      <c r="R48" s="3">
        <v>3302.4398064516131</v>
      </c>
      <c r="S48" s="3">
        <v>5267.8777419354847</v>
      </c>
      <c r="T48" s="32">
        <v>0.97404711406289957</v>
      </c>
      <c r="U48" s="3">
        <v>6998.7560645161293</v>
      </c>
      <c r="V48" s="3">
        <v>7185.2336129032265</v>
      </c>
      <c r="W48" s="52">
        <v>11984.633451612903</v>
      </c>
      <c r="X48" s="6">
        <v>0.44501554173296254</v>
      </c>
      <c r="Y48" s="19">
        <v>26930.82</v>
      </c>
      <c r="Z48" s="20">
        <v>2.0842694687359581E-2</v>
      </c>
      <c r="AA48" s="3">
        <v>19.451612903225808</v>
      </c>
      <c r="AB48" s="3">
        <v>933.25806451612902</v>
      </c>
      <c r="AC48" s="32">
        <v>0.29907252546753843</v>
      </c>
      <c r="AD48" s="3">
        <v>63.451612903225808</v>
      </c>
      <c r="AE48" s="3">
        <v>212.16129032258064</v>
      </c>
      <c r="AF48" s="32">
        <v>0.74554114308877173</v>
      </c>
      <c r="AG48" s="3">
        <v>237.32258064516128</v>
      </c>
      <c r="AH48" s="3">
        <v>318.32258064516128</v>
      </c>
      <c r="AI48" s="52">
        <v>320.22580645161287</v>
      </c>
      <c r="AJ48" s="6">
        <v>0.21877203808180534</v>
      </c>
      <c r="AK48" s="21">
        <v>1463.741935483871</v>
      </c>
      <c r="AL48" s="69">
        <f t="shared" si="146"/>
        <v>13751.002115207373</v>
      </c>
      <c r="AM48" s="6">
        <f t="shared" si="147"/>
        <v>0.42223371772972518</v>
      </c>
      <c r="AN48" s="3">
        <f t="shared" si="148"/>
        <v>32567.276221198157</v>
      </c>
      <c r="AO48" s="6">
        <f t="shared" si="149"/>
        <v>0.10775899477461988</v>
      </c>
      <c r="AP48" s="6">
        <f t="shared" si="150"/>
        <v>0.62240752073435124</v>
      </c>
      <c r="AQ48" s="70">
        <f t="shared" si="151"/>
        <v>0.95716686355613956</v>
      </c>
      <c r="AS48" s="184">
        <f t="shared" si="137"/>
        <v>0.1281259831916263</v>
      </c>
      <c r="AT48" s="184">
        <f t="shared" si="138"/>
        <v>4.4945175198014137E-2</v>
      </c>
      <c r="AU48" s="184">
        <f t="shared" si="139"/>
        <v>0.82692884161035951</v>
      </c>
    </row>
    <row r="49" spans="1:47" ht="24" customHeight="1" x14ac:dyDescent="0.2">
      <c r="A49" s="133">
        <v>44895</v>
      </c>
      <c r="B49" s="20">
        <v>9.6560744787258596E-2</v>
      </c>
      <c r="C49" s="41">
        <v>179.28571428571428</v>
      </c>
      <c r="D49" s="159">
        <v>1856.7142857142858</v>
      </c>
      <c r="E49" s="20">
        <v>0.66905867454622203</v>
      </c>
      <c r="F49" s="161">
        <v>679.28571428571433</v>
      </c>
      <c r="G49" s="159">
        <v>1015.2857142857143</v>
      </c>
      <c r="H49" s="20">
        <v>0.87113062568605937</v>
      </c>
      <c r="I49" s="161">
        <v>566.85714285714289</v>
      </c>
      <c r="J49" s="159">
        <v>650.71428571428567</v>
      </c>
      <c r="K49" s="52">
        <v>1425.4285714285716</v>
      </c>
      <c r="L49" s="6">
        <v>0.40463927977614667</v>
      </c>
      <c r="M49" s="21">
        <v>3522.7142857142858</v>
      </c>
      <c r="N49" s="20">
        <v>0.12058942021817202</v>
      </c>
      <c r="O49" s="3">
        <v>1278.5572666666667</v>
      </c>
      <c r="P49" s="130">
        <v>10602.565833333334</v>
      </c>
      <c r="Q49" s="32">
        <v>0.66279925247842186</v>
      </c>
      <c r="R49" s="3">
        <v>3389.4619666666667</v>
      </c>
      <c r="S49" s="3">
        <v>5113.8590666666669</v>
      </c>
      <c r="T49" s="32">
        <v>0.96477464694468806</v>
      </c>
      <c r="U49" s="3">
        <v>6171.6684333333333</v>
      </c>
      <c r="V49" s="3">
        <v>6397.0051999999996</v>
      </c>
      <c r="W49" s="52">
        <v>10839.687666666667</v>
      </c>
      <c r="X49" s="6">
        <v>0.49018572051681236</v>
      </c>
      <c r="Y49" s="19">
        <v>22113.430100000001</v>
      </c>
      <c r="Z49" s="20">
        <v>2.8831705484598045E-2</v>
      </c>
      <c r="AA49" s="3">
        <v>20.466666666666665</v>
      </c>
      <c r="AB49" s="3">
        <v>709.86666666666667</v>
      </c>
      <c r="AC49" s="32">
        <v>0.46312554872695344</v>
      </c>
      <c r="AD49" s="3">
        <v>70.333333333333329</v>
      </c>
      <c r="AE49" s="3">
        <v>151.86666666666667</v>
      </c>
      <c r="AF49" s="32">
        <v>1</v>
      </c>
      <c r="AG49" s="3">
        <v>52</v>
      </c>
      <c r="AH49" s="3">
        <v>52</v>
      </c>
      <c r="AI49" s="52">
        <v>142.79999999999998</v>
      </c>
      <c r="AJ49" s="6">
        <v>0.15628192032686414</v>
      </c>
      <c r="AK49" s="21">
        <v>913.73333333333335</v>
      </c>
      <c r="AL49" s="69">
        <f t="shared" si="146"/>
        <v>12407.916238095237</v>
      </c>
      <c r="AM49" s="6">
        <f t="shared" si="147"/>
        <v>0.46734363033218235</v>
      </c>
      <c r="AN49" s="3">
        <f t="shared" si="148"/>
        <v>26549.877719047621</v>
      </c>
      <c r="AO49" s="6">
        <f t="shared" si="149"/>
        <v>0.11225553725490386</v>
      </c>
      <c r="AP49" s="6">
        <f t="shared" si="150"/>
        <v>0.65898319861440813</v>
      </c>
      <c r="AQ49" s="70">
        <f t="shared" si="151"/>
        <v>0.95644984141331868</v>
      </c>
      <c r="AS49" s="184">
        <f t="shared" si="137"/>
        <v>0.13268288174400866</v>
      </c>
      <c r="AT49" s="184">
        <f t="shared" si="138"/>
        <v>3.4415726618499475E-2</v>
      </c>
      <c r="AU49" s="184">
        <f t="shared" si="139"/>
        <v>0.83290139163749188</v>
      </c>
    </row>
    <row r="50" spans="1:47" ht="24" customHeight="1" x14ac:dyDescent="0.2">
      <c r="A50" s="133">
        <v>44865</v>
      </c>
      <c r="B50" s="20">
        <v>9.5679230606039181E-2</v>
      </c>
      <c r="C50" s="41">
        <v>193.28571428571428</v>
      </c>
      <c r="D50" s="159">
        <v>2020.1428571428571</v>
      </c>
      <c r="E50" s="20">
        <v>0.66783352781019056</v>
      </c>
      <c r="F50" s="161">
        <v>735.85714285714289</v>
      </c>
      <c r="G50" s="159">
        <v>1101.8571428571429</v>
      </c>
      <c r="H50" s="20">
        <v>0.85535876475930972</v>
      </c>
      <c r="I50" s="161">
        <v>538.14285714285711</v>
      </c>
      <c r="J50" s="159">
        <v>629.14285714285711</v>
      </c>
      <c r="K50" s="52">
        <v>1467.2857142857142</v>
      </c>
      <c r="L50" s="6">
        <v>0.39115698072968241</v>
      </c>
      <c r="M50" s="21">
        <v>3751.1428571428569</v>
      </c>
      <c r="N50" s="20">
        <v>0.12276982358502164</v>
      </c>
      <c r="O50" s="3">
        <v>1251.5262903225807</v>
      </c>
      <c r="P50" s="130">
        <v>10194.087225806452</v>
      </c>
      <c r="Q50" s="32">
        <v>0.64383345785445034</v>
      </c>
      <c r="R50" s="3">
        <v>3163.4974193548387</v>
      </c>
      <c r="S50" s="3">
        <v>4913.5337419354837</v>
      </c>
      <c r="T50" s="32">
        <v>0.97080257673445236</v>
      </c>
      <c r="U50" s="3">
        <v>6489.528838709678</v>
      </c>
      <c r="V50" s="3">
        <v>6684.7050000000008</v>
      </c>
      <c r="W50" s="52">
        <v>10904.552548387099</v>
      </c>
      <c r="X50" s="6">
        <v>0.50038497792886127</v>
      </c>
      <c r="Y50" s="19">
        <v>21792.325967741937</v>
      </c>
      <c r="Z50" s="20">
        <v>2.5187825081872475E-2</v>
      </c>
      <c r="AA50" s="3">
        <v>16.870967741935484</v>
      </c>
      <c r="AB50" s="3">
        <v>669.80645161290317</v>
      </c>
      <c r="AC50" s="32">
        <v>0.41335897884245504</v>
      </c>
      <c r="AD50" s="3">
        <v>76.258064516129039</v>
      </c>
      <c r="AE50" s="3">
        <v>184.48387096774192</v>
      </c>
      <c r="AF50" s="32">
        <v>0.96646571213262999</v>
      </c>
      <c r="AG50" s="3">
        <v>413.70967741935482</v>
      </c>
      <c r="AH50" s="3">
        <v>428.06451612903226</v>
      </c>
      <c r="AI50" s="52">
        <v>506.83870967741933</v>
      </c>
      <c r="AJ50" s="6">
        <v>0.39524061077151412</v>
      </c>
      <c r="AK50" s="21">
        <v>1282.3548387096773</v>
      </c>
      <c r="AL50" s="69">
        <f t="shared" si="146"/>
        <v>12878.676972350231</v>
      </c>
      <c r="AM50" s="6">
        <f t="shared" si="147"/>
        <v>0.48008505288983844</v>
      </c>
      <c r="AN50" s="3">
        <f t="shared" si="148"/>
        <v>26825.82366359447</v>
      </c>
      <c r="AO50" s="6">
        <f t="shared" si="149"/>
        <v>0.11344914836504669</v>
      </c>
      <c r="AP50" s="6">
        <f t="shared" si="150"/>
        <v>0.64124079652324062</v>
      </c>
      <c r="AQ50" s="70">
        <f t="shared" si="151"/>
        <v>0.96118129662154916</v>
      </c>
      <c r="AS50" s="184">
        <f t="shared" si="137"/>
        <v>0.13983327797064293</v>
      </c>
      <c r="AT50" s="184">
        <f t="shared" si="138"/>
        <v>4.7802999631656073E-2</v>
      </c>
      <c r="AU50" s="184">
        <f t="shared" si="139"/>
        <v>0.81236372239770105</v>
      </c>
    </row>
    <row r="51" spans="1:47" ht="24" customHeight="1" x14ac:dyDescent="0.2">
      <c r="A51" s="133">
        <v>44834</v>
      </c>
      <c r="B51" s="20">
        <v>9.1020635805911868E-2</v>
      </c>
      <c r="C51" s="41">
        <v>233.14285714285714</v>
      </c>
      <c r="D51" s="159">
        <v>2561.4285714285716</v>
      </c>
      <c r="E51" s="20">
        <v>0.67044204970310095</v>
      </c>
      <c r="F51" s="161">
        <v>871</v>
      </c>
      <c r="G51" s="159">
        <v>1299.1428571428571</v>
      </c>
      <c r="H51" s="20">
        <v>0.87358870967741942</v>
      </c>
      <c r="I51" s="161">
        <v>619</v>
      </c>
      <c r="J51" s="159">
        <v>708.57142857142856</v>
      </c>
      <c r="K51" s="52">
        <v>1723.1428571428571</v>
      </c>
      <c r="L51" s="6">
        <v>0.37712606303151575</v>
      </c>
      <c r="M51" s="21">
        <v>4569.1428571428569</v>
      </c>
      <c r="N51" s="20">
        <v>0.12066536283308651</v>
      </c>
      <c r="O51" s="3">
        <v>1574.3143</v>
      </c>
      <c r="P51" s="130">
        <v>13046.944566666667</v>
      </c>
      <c r="Q51" s="32">
        <v>0.62981571125698421</v>
      </c>
      <c r="R51" s="3">
        <v>3936.1717000000003</v>
      </c>
      <c r="S51" s="3">
        <v>6249.7197666666671</v>
      </c>
      <c r="T51" s="32">
        <v>0.98165829867205856</v>
      </c>
      <c r="U51" s="3">
        <v>18190.637133333334</v>
      </c>
      <c r="V51" s="3">
        <v>18530.518366666667</v>
      </c>
      <c r="W51" s="52">
        <v>23701.123133333334</v>
      </c>
      <c r="X51" s="6">
        <v>0.62656326592710632</v>
      </c>
      <c r="Y51" s="19">
        <v>37827.182699999998</v>
      </c>
      <c r="Z51" s="20">
        <v>2.4603316099126402E-2</v>
      </c>
      <c r="AA51" s="3">
        <v>18.399999999999999</v>
      </c>
      <c r="AB51" s="3">
        <v>747.86666666666667</v>
      </c>
      <c r="AC51" s="32">
        <v>0.42237982663514578</v>
      </c>
      <c r="AD51" s="3">
        <v>89.333333333333329</v>
      </c>
      <c r="AE51" s="3">
        <v>211.5</v>
      </c>
      <c r="AF51" s="32">
        <v>0.96245093019286565</v>
      </c>
      <c r="AG51" s="3">
        <v>375.93333333333334</v>
      </c>
      <c r="AH51" s="3">
        <v>390.6</v>
      </c>
      <c r="AI51" s="52">
        <v>483.66666666666663</v>
      </c>
      <c r="AJ51" s="6">
        <v>0.35828045136916958</v>
      </c>
      <c r="AK51" s="21">
        <v>1349.9666666666667</v>
      </c>
      <c r="AL51" s="69">
        <f t="shared" ref="AL51:AL56" si="152">+AI51+W51+K51</f>
        <v>25907.932657142861</v>
      </c>
      <c r="AM51" s="6">
        <f t="shared" si="147"/>
        <v>0.59223150900642763</v>
      </c>
      <c r="AN51" s="3">
        <f t="shared" ref="AN51:AN56" si="153">+AK51+Y51+M51</f>
        <v>43746.29222380952</v>
      </c>
      <c r="AO51" s="6">
        <f t="shared" ref="AO51:AO56" si="154">(+AA51+O51+C51)/(D51+P51+AB51)</f>
        <v>0.11163061797438815</v>
      </c>
      <c r="AP51" s="6">
        <f t="shared" ref="AP51:AP56" si="155">(+AD51+R51+F51)/(G51+S51+AE51)</f>
        <v>0.63096343182603287</v>
      </c>
      <c r="AQ51" s="70">
        <f t="shared" ref="AQ51:AQ56" si="156">(AG51+U51+I51)/(AH51+V51+J51)</f>
        <v>0.97737512241894098</v>
      </c>
      <c r="AS51" s="184">
        <f t="shared" si="137"/>
        <v>0.10444640276635921</v>
      </c>
      <c r="AT51" s="184">
        <f t="shared" si="138"/>
        <v>3.0858996226700301E-2</v>
      </c>
      <c r="AU51" s="184">
        <f t="shared" si="139"/>
        <v>0.86469460100694051</v>
      </c>
    </row>
    <row r="52" spans="1:47" ht="38.25" customHeight="1" x14ac:dyDescent="0.2">
      <c r="A52" s="133">
        <v>44804</v>
      </c>
      <c r="B52" s="20">
        <v>9.0999999999999998E-2</v>
      </c>
      <c r="C52" s="41">
        <v>226</v>
      </c>
      <c r="D52" s="159">
        <v>2479</v>
      </c>
      <c r="E52" s="20">
        <v>0.67</v>
      </c>
      <c r="F52" s="161">
        <v>843</v>
      </c>
      <c r="G52" s="159">
        <v>1257</v>
      </c>
      <c r="H52" s="20">
        <v>0.874</v>
      </c>
      <c r="I52" s="161">
        <v>599</v>
      </c>
      <c r="J52" s="159">
        <v>686</v>
      </c>
      <c r="K52" s="52">
        <v>1668</v>
      </c>
      <c r="L52" s="6">
        <v>0.377</v>
      </c>
      <c r="M52" s="21">
        <v>4422</v>
      </c>
      <c r="N52" s="20">
        <v>0.10155389638105389</v>
      </c>
      <c r="O52" s="3">
        <v>1473.5374838709679</v>
      </c>
      <c r="P52" s="130">
        <v>14509.905935483872</v>
      </c>
      <c r="Q52" s="32">
        <v>0.61906340702473517</v>
      </c>
      <c r="R52" s="3">
        <v>4102.6459677419352</v>
      </c>
      <c r="S52" s="3">
        <v>6627.1821612903223</v>
      </c>
      <c r="T52" s="32">
        <v>0.97381619101310868</v>
      </c>
      <c r="U52" s="3">
        <v>9182.9080645161284</v>
      </c>
      <c r="V52" s="3">
        <v>9429.8165806451616</v>
      </c>
      <c r="W52" s="52">
        <v>14759.091516129032</v>
      </c>
      <c r="X52" s="6">
        <v>0.48284547198630795</v>
      </c>
      <c r="Y52" s="19">
        <v>30566.904677419356</v>
      </c>
      <c r="Z52" s="20">
        <v>2.8000000000000001E-2</v>
      </c>
      <c r="AA52" s="3">
        <v>20</v>
      </c>
      <c r="AB52" s="3">
        <v>703</v>
      </c>
      <c r="AC52" s="32">
        <v>0.38100000000000001</v>
      </c>
      <c r="AD52" s="3">
        <v>100</v>
      </c>
      <c r="AE52" s="3">
        <v>263</v>
      </c>
      <c r="AF52" s="32">
        <v>0.97099999999999997</v>
      </c>
      <c r="AG52" s="3">
        <v>752</v>
      </c>
      <c r="AH52" s="3">
        <v>774</v>
      </c>
      <c r="AI52" s="52">
        <v>872</v>
      </c>
      <c r="AJ52" s="6">
        <v>0.501</v>
      </c>
      <c r="AK52" s="21">
        <v>1740</v>
      </c>
      <c r="AL52" s="69">
        <f t="shared" si="152"/>
        <v>17299.091516129032</v>
      </c>
      <c r="AM52" s="6">
        <f t="shared" ref="AM52:AM62" si="157">AL52/AN52</f>
        <v>0.47099393973391152</v>
      </c>
      <c r="AN52" s="3">
        <f t="shared" si="153"/>
        <v>36728.904677419356</v>
      </c>
      <c r="AO52" s="6">
        <f t="shared" si="154"/>
        <v>9.7193456156816196E-2</v>
      </c>
      <c r="AP52" s="6">
        <f t="shared" si="155"/>
        <v>0.61931178999719616</v>
      </c>
      <c r="AQ52" s="70">
        <f t="shared" si="156"/>
        <v>0.96731730846949238</v>
      </c>
      <c r="AS52" s="184">
        <f t="shared" si="137"/>
        <v>0.12039564040467048</v>
      </c>
      <c r="AT52" s="184">
        <f t="shared" si="138"/>
        <v>4.7374132587997879E-2</v>
      </c>
      <c r="AU52" s="184">
        <f t="shared" si="139"/>
        <v>0.83223022700733162</v>
      </c>
    </row>
    <row r="53" spans="1:47" ht="38.25" customHeight="1" x14ac:dyDescent="0.2">
      <c r="A53" s="133">
        <v>44773</v>
      </c>
      <c r="B53" s="20">
        <v>9.603679155958339E-2</v>
      </c>
      <c r="C53" s="41">
        <v>202.85714285714286</v>
      </c>
      <c r="D53" s="159">
        <v>2112.2857142857142</v>
      </c>
      <c r="E53" s="20">
        <v>0.66937805030659481</v>
      </c>
      <c r="F53" s="161">
        <v>764.14285714285711</v>
      </c>
      <c r="G53" s="159">
        <v>1141.5714285714287</v>
      </c>
      <c r="H53" s="20">
        <v>0.88412892696858414</v>
      </c>
      <c r="I53" s="161">
        <v>619.14285714285711</v>
      </c>
      <c r="J53" s="159">
        <v>700.28571428571433</v>
      </c>
      <c r="K53" s="52">
        <v>1586.1428571428571</v>
      </c>
      <c r="L53" s="6">
        <v>0.40113443404747279</v>
      </c>
      <c r="M53" s="21">
        <v>3954.1428571428573</v>
      </c>
      <c r="N53" s="20">
        <v>0.12382964254035675</v>
      </c>
      <c r="O53" s="3">
        <v>1530.6993548387097</v>
      </c>
      <c r="P53" s="130">
        <v>12361.332258064514</v>
      </c>
      <c r="Q53" s="32">
        <v>0.62087304748425176</v>
      </c>
      <c r="R53" s="3">
        <v>3511.9292580645165</v>
      </c>
      <c r="S53" s="3">
        <v>5656.4369677419363</v>
      </c>
      <c r="T53" s="32">
        <v>0.95479040000568616</v>
      </c>
      <c r="U53" s="3">
        <v>5130.6334193548382</v>
      </c>
      <c r="V53" s="3">
        <v>5373.5703870967736</v>
      </c>
      <c r="W53" s="52">
        <v>10173.262032258064</v>
      </c>
      <c r="X53" s="6">
        <v>0.43491575089809087</v>
      </c>
      <c r="Y53" s="19">
        <v>23391.339612903226</v>
      </c>
      <c r="Z53" s="20">
        <v>3.4148925922358152E-2</v>
      </c>
      <c r="AA53" s="3">
        <v>22.870967741935484</v>
      </c>
      <c r="AB53" s="3">
        <v>669.74193548387098</v>
      </c>
      <c r="AC53" s="32">
        <v>0.52071486596263195</v>
      </c>
      <c r="AD53" s="3">
        <v>103.38709677419355</v>
      </c>
      <c r="AE53" s="3">
        <v>198.54838709677421</v>
      </c>
      <c r="AF53" s="32">
        <v>0.98547145140200498</v>
      </c>
      <c r="AG53" s="3">
        <v>437.61290322580646</v>
      </c>
      <c r="AH53" s="3">
        <v>444.06451612903226</v>
      </c>
      <c r="AI53" s="52">
        <v>563.87096774193549</v>
      </c>
      <c r="AJ53" s="6">
        <v>0.42966349580906027</v>
      </c>
      <c r="AK53" s="21">
        <v>1312.3548387096776</v>
      </c>
      <c r="AL53" s="69">
        <f t="shared" si="152"/>
        <v>12323.275857142857</v>
      </c>
      <c r="AM53" s="6">
        <f t="shared" si="157"/>
        <v>0.43001416067700804</v>
      </c>
      <c r="AN53" s="3">
        <f t="shared" si="153"/>
        <v>28657.837308755763</v>
      </c>
      <c r="AO53" s="6">
        <f t="shared" si="154"/>
        <v>0.11598664207466515</v>
      </c>
      <c r="AP53" s="6">
        <f t="shared" si="155"/>
        <v>0.62594492513316069</v>
      </c>
      <c r="AQ53" s="70">
        <f t="shared" si="156"/>
        <v>0.94928882120779612</v>
      </c>
      <c r="AS53" s="184">
        <f t="shared" si="137"/>
        <v>0.13797771320080587</v>
      </c>
      <c r="AT53" s="184">
        <f t="shared" si="138"/>
        <v>4.5793924523003585E-2</v>
      </c>
      <c r="AU53" s="184">
        <f t="shared" si="139"/>
        <v>0.81622836227619044</v>
      </c>
    </row>
    <row r="54" spans="1:47" ht="27.75" customHeight="1" x14ac:dyDescent="0.2">
      <c r="A54" s="133">
        <v>44742</v>
      </c>
      <c r="B54" s="20">
        <v>9.7729588123999428E-2</v>
      </c>
      <c r="C54" s="41">
        <v>191.85714285714286</v>
      </c>
      <c r="D54" s="159">
        <v>1963.1428571428571</v>
      </c>
      <c r="E54" s="20">
        <v>0.67373658025661165</v>
      </c>
      <c r="F54" s="161">
        <v>735.14285714285711</v>
      </c>
      <c r="G54" s="159">
        <v>1091.1428571428571</v>
      </c>
      <c r="H54" s="20">
        <v>0.95197229750075285</v>
      </c>
      <c r="I54" s="161">
        <v>903.28571428571433</v>
      </c>
      <c r="J54" s="159">
        <v>948.85714285714289</v>
      </c>
      <c r="K54" s="52">
        <v>1830.2857142857142</v>
      </c>
      <c r="L54" s="6">
        <v>0.45721219042181144</v>
      </c>
      <c r="M54" s="21">
        <v>4003.1428571428569</v>
      </c>
      <c r="N54" s="20">
        <v>0.12724553084994078</v>
      </c>
      <c r="O54" s="3">
        <v>1404.1837333333335</v>
      </c>
      <c r="P54" s="130">
        <v>11035.230266666667</v>
      </c>
      <c r="Q54" s="32">
        <v>0.63408474732697262</v>
      </c>
      <c r="R54" s="3">
        <v>3511.9526666666666</v>
      </c>
      <c r="S54" s="3">
        <v>5538.6171666666669</v>
      </c>
      <c r="T54" s="32">
        <v>0.9791987269092286</v>
      </c>
      <c r="U54" s="3">
        <v>9730.064699999999</v>
      </c>
      <c r="V54" s="3">
        <v>9936.7619999999988</v>
      </c>
      <c r="W54" s="52">
        <v>14646.201099999998</v>
      </c>
      <c r="X54" s="6">
        <v>0.55246565103797574</v>
      </c>
      <c r="Y54" s="19">
        <v>26510.609433333331</v>
      </c>
      <c r="Z54" s="20">
        <v>3.2336217552533998E-2</v>
      </c>
      <c r="AA54" s="3">
        <v>21.8</v>
      </c>
      <c r="AB54" s="3">
        <v>674.16666666666663</v>
      </c>
      <c r="AC54" s="32">
        <v>0.50620386367205905</v>
      </c>
      <c r="AD54" s="3">
        <v>107.43333333333334</v>
      </c>
      <c r="AE54" s="3">
        <v>212.23333333333332</v>
      </c>
      <c r="AF54" s="32">
        <v>0.98250460405156548</v>
      </c>
      <c r="AG54" s="3">
        <v>426.8</v>
      </c>
      <c r="AH54" s="3">
        <v>434.4</v>
      </c>
      <c r="AI54" s="52">
        <v>556.0333333333333</v>
      </c>
      <c r="AJ54" s="6">
        <v>0.42098223299010701</v>
      </c>
      <c r="AK54" s="21">
        <v>1320.8</v>
      </c>
      <c r="AL54" s="69">
        <f t="shared" si="152"/>
        <v>17032.520147619045</v>
      </c>
      <c r="AM54" s="6">
        <f t="shared" si="157"/>
        <v>0.53503250154752746</v>
      </c>
      <c r="AN54" s="3">
        <f t="shared" si="153"/>
        <v>31834.552290476189</v>
      </c>
      <c r="AO54" s="6">
        <f t="shared" si="154"/>
        <v>0.1183277504386864</v>
      </c>
      <c r="AP54" s="6">
        <f t="shared" si="155"/>
        <v>0.63644154997561431</v>
      </c>
      <c r="AQ54" s="70">
        <f t="shared" si="156"/>
        <v>0.97704343735713517</v>
      </c>
      <c r="AS54" s="184">
        <f t="shared" si="137"/>
        <v>0.12574836362126129</v>
      </c>
      <c r="AT54" s="184">
        <f t="shared" si="138"/>
        <v>4.1489510766424008E-2</v>
      </c>
      <c r="AU54" s="184">
        <f t="shared" si="139"/>
        <v>0.83276212561231466</v>
      </c>
    </row>
    <row r="55" spans="1:47" ht="27.75" customHeight="1" x14ac:dyDescent="0.2">
      <c r="A55" s="133">
        <v>44712</v>
      </c>
      <c r="B55" s="20">
        <v>9.7538218617670286E-2</v>
      </c>
      <c r="C55" s="41">
        <v>194.14285714285714</v>
      </c>
      <c r="D55" s="159">
        <v>1990.4285714285713</v>
      </c>
      <c r="E55" s="20">
        <v>0.68250141803743614</v>
      </c>
      <c r="F55" s="161">
        <v>687.57142857142856</v>
      </c>
      <c r="G55" s="159">
        <v>1007.4285714285714</v>
      </c>
      <c r="H55" s="20">
        <v>0.84631253223310976</v>
      </c>
      <c r="I55" s="161">
        <v>468.85714285714283</v>
      </c>
      <c r="J55" s="159">
        <v>554</v>
      </c>
      <c r="K55" s="52">
        <v>1350.5714285714284</v>
      </c>
      <c r="L55" s="6">
        <v>0.38024373567147962</v>
      </c>
      <c r="M55" s="21">
        <v>3551.8571428571431</v>
      </c>
      <c r="N55" s="20">
        <v>0.12627060859855868</v>
      </c>
      <c r="O55" s="3">
        <v>1350.5705806451613</v>
      </c>
      <c r="P55" s="130">
        <v>10695.842806451614</v>
      </c>
      <c r="Q55" s="32">
        <v>0.64716131464019422</v>
      </c>
      <c r="R55" s="3">
        <v>3346.85135483871</v>
      </c>
      <c r="S55" s="3">
        <v>5171.5874838709678</v>
      </c>
      <c r="T55" s="32">
        <v>0.97293612795870343</v>
      </c>
      <c r="U55" s="3">
        <v>7425.8003548387096</v>
      </c>
      <c r="V55" s="3">
        <v>7632.3616129032262</v>
      </c>
      <c r="W55" s="52">
        <v>12123.222290322581</v>
      </c>
      <c r="X55" s="6">
        <v>0.51588636785581199</v>
      </c>
      <c r="Y55" s="19">
        <v>23499.791903225807</v>
      </c>
      <c r="Z55" s="20">
        <v>3.1431119037004011E-2</v>
      </c>
      <c r="AA55" s="3">
        <v>22.741935483870968</v>
      </c>
      <c r="AB55" s="3">
        <v>723.54838709677415</v>
      </c>
      <c r="AC55" s="32">
        <v>0.47370189884053099</v>
      </c>
      <c r="AD55" s="3">
        <v>90.935483870967744</v>
      </c>
      <c r="AE55" s="3">
        <v>191.96774193548387</v>
      </c>
      <c r="AF55" s="32">
        <v>0.98059458200729643</v>
      </c>
      <c r="AG55" s="3">
        <v>407.51612903225805</v>
      </c>
      <c r="AH55" s="3">
        <v>415.58064516129031</v>
      </c>
      <c r="AI55" s="52">
        <v>521.19354838709671</v>
      </c>
      <c r="AJ55" s="6">
        <v>0.39155195812330357</v>
      </c>
      <c r="AK55" s="21">
        <v>1331.0967741935483</v>
      </c>
      <c r="AL55" s="69">
        <f t="shared" si="152"/>
        <v>13994.987267281107</v>
      </c>
      <c r="AM55" s="6">
        <f t="shared" si="157"/>
        <v>0.49308080887942685</v>
      </c>
      <c r="AN55" s="3">
        <f t="shared" si="153"/>
        <v>28382.745820276497</v>
      </c>
      <c r="AO55" s="6">
        <f t="shared" si="154"/>
        <v>0.11688862346723589</v>
      </c>
      <c r="AP55" s="6">
        <f t="shared" si="155"/>
        <v>0.64752295698373807</v>
      </c>
      <c r="AQ55" s="70">
        <f t="shared" si="156"/>
        <v>0.9651510528270093</v>
      </c>
      <c r="AS55" s="184">
        <f t="shared" si="137"/>
        <v>0.12514142096568096</v>
      </c>
      <c r="AT55" s="184">
        <f t="shared" si="138"/>
        <v>4.689809726734117E-2</v>
      </c>
      <c r="AU55" s="184">
        <f t="shared" si="139"/>
        <v>0.8279604817669779</v>
      </c>
    </row>
    <row r="56" spans="1:47" ht="27.75" customHeight="1" x14ac:dyDescent="0.2">
      <c r="A56" s="133">
        <v>44681</v>
      </c>
      <c r="B56" s="20">
        <v>9.7312703583061905E-2</v>
      </c>
      <c r="C56" s="41">
        <v>273.14285714285717</v>
      </c>
      <c r="D56" s="159">
        <v>2806.8571428571427</v>
      </c>
      <c r="E56" s="20">
        <v>0.66645768025078378</v>
      </c>
      <c r="F56" s="161">
        <v>759.28571428571433</v>
      </c>
      <c r="G56" s="159">
        <v>1139.2857142857142</v>
      </c>
      <c r="H56" s="20">
        <v>0.80176899063475549</v>
      </c>
      <c r="I56" s="161">
        <v>440.28571428571428</v>
      </c>
      <c r="J56" s="159">
        <v>549.14285714285711</v>
      </c>
      <c r="K56" s="52">
        <v>1472.7142857142858</v>
      </c>
      <c r="L56" s="6">
        <v>0.32761305494645188</v>
      </c>
      <c r="M56" s="21">
        <v>4495.2857142857138</v>
      </c>
      <c r="N56" s="20">
        <v>0.12218893695771038</v>
      </c>
      <c r="O56" s="3">
        <v>1476.9041000000002</v>
      </c>
      <c r="P56" s="130">
        <v>12087.052533333333</v>
      </c>
      <c r="Q56" s="32">
        <v>0.63098226138304658</v>
      </c>
      <c r="R56" s="3">
        <v>3246.4813666666669</v>
      </c>
      <c r="S56" s="3">
        <v>5145.1230333333333</v>
      </c>
      <c r="T56" s="32">
        <v>0.96252126604415444</v>
      </c>
      <c r="U56" s="3">
        <v>4077.2002666666667</v>
      </c>
      <c r="V56" s="3">
        <v>4235.9586333333336</v>
      </c>
      <c r="W56" s="52">
        <v>8800.5857333333333</v>
      </c>
      <c r="X56" s="6">
        <v>0.4099371492345773</v>
      </c>
      <c r="Y56" s="19">
        <v>21468.1342</v>
      </c>
      <c r="Z56" s="20">
        <v>3.7754049828693077E-2</v>
      </c>
      <c r="AA56" s="3">
        <v>37.833333333333336</v>
      </c>
      <c r="AB56" s="3">
        <v>1002.1</v>
      </c>
      <c r="AC56" s="32">
        <v>0.43467011642949549</v>
      </c>
      <c r="AD56" s="3">
        <v>123.2</v>
      </c>
      <c r="AE56" s="3">
        <v>283.43333333333334</v>
      </c>
      <c r="AF56" s="32">
        <v>0.97366630647936936</v>
      </c>
      <c r="AG56" s="3">
        <v>810.9666666666667</v>
      </c>
      <c r="AH56" s="3">
        <v>832.9</v>
      </c>
      <c r="AI56" s="52">
        <v>972.00000000000011</v>
      </c>
      <c r="AJ56" s="6">
        <v>0.45882963825468509</v>
      </c>
      <c r="AK56" s="21">
        <v>2118.4333333333334</v>
      </c>
      <c r="AL56" s="69">
        <f t="shared" si="152"/>
        <v>11245.30001904762</v>
      </c>
      <c r="AM56" s="6">
        <f t="shared" si="157"/>
        <v>0.40044721834735264</v>
      </c>
      <c r="AN56" s="3">
        <f t="shared" si="153"/>
        <v>28081.853247619048</v>
      </c>
      <c r="AO56" s="6">
        <f t="shared" si="154"/>
        <v>0.11247352806749555</v>
      </c>
      <c r="AP56" s="6">
        <f t="shared" si="155"/>
        <v>0.62866418377002964</v>
      </c>
      <c r="AQ56" s="70">
        <f t="shared" si="156"/>
        <v>0.94846052580299356</v>
      </c>
      <c r="AS56" s="184">
        <f t="shared" si="137"/>
        <v>0.16007795762791588</v>
      </c>
      <c r="AT56" s="184">
        <f t="shared" si="138"/>
        <v>7.5437803718062912E-2</v>
      </c>
      <c r="AU56" s="184">
        <f t="shared" si="139"/>
        <v>0.76448423865402115</v>
      </c>
    </row>
    <row r="57" spans="1:47" ht="37.15" customHeight="1" x14ac:dyDescent="0.2">
      <c r="A57" s="133">
        <v>44651</v>
      </c>
      <c r="B57" s="20">
        <v>8.8568786802277491E-2</v>
      </c>
      <c r="C57" s="41">
        <v>260</v>
      </c>
      <c r="D57" s="159">
        <v>2935.5714285714284</v>
      </c>
      <c r="E57" s="20">
        <v>0.65700664910299833</v>
      </c>
      <c r="F57" s="161">
        <v>748.14285714285711</v>
      </c>
      <c r="G57" s="159">
        <v>1138.7142857142858</v>
      </c>
      <c r="H57" s="20">
        <v>0.79349269588313409</v>
      </c>
      <c r="I57" s="161">
        <v>512.14285714285711</v>
      </c>
      <c r="J57" s="159">
        <v>645.42857142857144</v>
      </c>
      <c r="K57" s="52">
        <v>1520.2857142857142</v>
      </c>
      <c r="L57" s="6">
        <v>0.32211392941461342</v>
      </c>
      <c r="M57" s="21">
        <v>4719.7142857142862</v>
      </c>
      <c r="N57" s="20">
        <v>0.116314869603733</v>
      </c>
      <c r="O57" s="3">
        <v>1744.9503870967744</v>
      </c>
      <c r="P57" s="130">
        <v>15001.954548387099</v>
      </c>
      <c r="Q57" s="32">
        <v>0.62576041524156212</v>
      </c>
      <c r="R57" s="3">
        <v>3655.1655161290323</v>
      </c>
      <c r="S57" s="3">
        <v>5841.1580967741938</v>
      </c>
      <c r="T57" s="32">
        <v>0.97642528641615334</v>
      </c>
      <c r="U57" s="3">
        <v>8641.2239354838712</v>
      </c>
      <c r="V57" s="3">
        <v>8849.8567741935494</v>
      </c>
      <c r="W57" s="52">
        <v>14041.339838709679</v>
      </c>
      <c r="X57" s="6">
        <v>0.47288432626603782</v>
      </c>
      <c r="Y57" s="19">
        <v>29692.969419354842</v>
      </c>
      <c r="Z57" s="20">
        <v>3.2171666246533906E-2</v>
      </c>
      <c r="AA57" s="3">
        <v>32.935483870967744</v>
      </c>
      <c r="AB57" s="3">
        <v>1023.741935483871</v>
      </c>
      <c r="AC57" s="32">
        <v>0.4488620784206197</v>
      </c>
      <c r="AD57" s="3">
        <v>105.61290322580645</v>
      </c>
      <c r="AE57" s="3">
        <v>235.29032258064515</v>
      </c>
      <c r="AF57" s="32">
        <v>0.97170928855132044</v>
      </c>
      <c r="AG57" s="3">
        <v>449.83870967741933</v>
      </c>
      <c r="AH57" s="3">
        <v>462.93548387096774</v>
      </c>
      <c r="AI57" s="52">
        <v>588.38709677419342</v>
      </c>
      <c r="AJ57" s="6">
        <v>0.34169461044191746</v>
      </c>
      <c r="AK57" s="21">
        <v>1721.9677419354839</v>
      </c>
      <c r="AL57" s="69">
        <f t="shared" ref="AL57:AL62" si="158">+AI57+W57+K57</f>
        <v>16150.012649769586</v>
      </c>
      <c r="AM57" s="6">
        <f t="shared" si="157"/>
        <v>0.4469397656555601</v>
      </c>
      <c r="AN57" s="3">
        <f t="shared" ref="AN57:AN62" si="159">+AK57+Y57+M57</f>
        <v>36134.65144700461</v>
      </c>
      <c r="AO57" s="6">
        <f t="shared" ref="AO57:AO62" si="160">(+AA57+O57+C57)/(D57+P57+AB57)</f>
        <v>0.10747624475209698</v>
      </c>
      <c r="AP57" s="6">
        <f t="shared" ref="AP57:AP62" si="161">(+AD57+R57+F57)/(G57+S57+AE57)</f>
        <v>0.6249230212549306</v>
      </c>
      <c r="AQ57" s="70">
        <f t="shared" ref="AQ57:AQ62" si="162">(AG57+U57+I57)/(AH57+V57+J57)</f>
        <v>0.96434952254347495</v>
      </c>
    </row>
    <row r="58" spans="1:47" ht="37.15" customHeight="1" x14ac:dyDescent="0.2">
      <c r="A58" s="133">
        <v>44620</v>
      </c>
      <c r="B58" s="20">
        <v>8.9218996173756476E-2</v>
      </c>
      <c r="C58" s="41">
        <v>283.14285714285717</v>
      </c>
      <c r="D58" s="159">
        <v>3173.5714285714284</v>
      </c>
      <c r="E58" s="20">
        <v>0.66362287410112997</v>
      </c>
      <c r="F58" s="161">
        <v>830.57142857142856</v>
      </c>
      <c r="G58" s="159">
        <v>1251.5714285714287</v>
      </c>
      <c r="H58" s="20">
        <v>0.8080357142857143</v>
      </c>
      <c r="I58" s="161">
        <v>491.28571428571428</v>
      </c>
      <c r="J58" s="159">
        <v>608</v>
      </c>
      <c r="K58" s="52">
        <v>1605</v>
      </c>
      <c r="L58" s="6">
        <v>0.31888623978201636</v>
      </c>
      <c r="M58" s="21">
        <v>5033.1428571428569</v>
      </c>
      <c r="N58" s="20">
        <v>0.11048240320151895</v>
      </c>
      <c r="O58" s="3">
        <v>1721.355</v>
      </c>
      <c r="P58" s="130">
        <v>15580.354428571429</v>
      </c>
      <c r="Q58" s="32">
        <v>0.61564173187277937</v>
      </c>
      <c r="R58" s="3">
        <v>3421.7863928571428</v>
      </c>
      <c r="S58" s="3">
        <v>5558.0806428571432</v>
      </c>
      <c r="T58" s="32">
        <v>0.96940988765295288</v>
      </c>
      <c r="U58" s="3">
        <v>6055.6952142857144</v>
      </c>
      <c r="V58" s="3">
        <v>6246.7850714285714</v>
      </c>
      <c r="W58" s="52">
        <v>11198.836607142857</v>
      </c>
      <c r="X58" s="6">
        <v>0.40893724968151618</v>
      </c>
      <c r="Y58" s="19">
        <v>27385.220142857142</v>
      </c>
      <c r="Z58" s="20">
        <v>3.2171666246533906E-2</v>
      </c>
      <c r="AA58" s="3">
        <v>36.464285714285715</v>
      </c>
      <c r="AB58" s="3">
        <v>1133.4285714285713</v>
      </c>
      <c r="AC58" s="32">
        <v>0.4488620784206197</v>
      </c>
      <c r="AD58" s="3">
        <v>116.92857142857143</v>
      </c>
      <c r="AE58" s="3">
        <v>260.5</v>
      </c>
      <c r="AF58" s="32">
        <v>0.97170928855132033</v>
      </c>
      <c r="AG58" s="3">
        <v>498.03571428571428</v>
      </c>
      <c r="AH58" s="3">
        <v>512.53571428571433</v>
      </c>
      <c r="AI58" s="52">
        <v>651.42857142857133</v>
      </c>
      <c r="AJ58" s="6">
        <v>0.34169461044191746</v>
      </c>
      <c r="AK58" s="21">
        <v>1906.4642857142858</v>
      </c>
      <c r="AL58" s="69">
        <f t="shared" si="158"/>
        <v>13455.265178571428</v>
      </c>
      <c r="AM58" s="6">
        <f t="shared" si="157"/>
        <v>0.39199804463900095</v>
      </c>
      <c r="AN58" s="3">
        <f t="shared" si="159"/>
        <v>34324.827285714287</v>
      </c>
      <c r="AO58" s="6">
        <f t="shared" si="160"/>
        <v>0.10262612607361025</v>
      </c>
      <c r="AP58" s="6">
        <f t="shared" si="161"/>
        <v>0.61799044047638141</v>
      </c>
      <c r="AQ58" s="70">
        <f t="shared" si="162"/>
        <v>0.95625219096172509</v>
      </c>
    </row>
    <row r="59" spans="1:47" ht="37.15" customHeight="1" x14ac:dyDescent="0.2">
      <c r="A59" s="133">
        <v>44592</v>
      </c>
      <c r="B59" s="20">
        <v>8.9210067281335653E-2</v>
      </c>
      <c r="C59" s="41">
        <v>255.71428571428572</v>
      </c>
      <c r="D59" s="159">
        <v>2866.4285714285716</v>
      </c>
      <c r="E59" s="20">
        <v>0.66359155819537474</v>
      </c>
      <c r="F59" s="161">
        <v>750.14285714285711</v>
      </c>
      <c r="G59" s="159">
        <v>1130.4285714285713</v>
      </c>
      <c r="H59" s="20">
        <v>0.80801248699271599</v>
      </c>
      <c r="I59" s="161">
        <v>443.71428571428572</v>
      </c>
      <c r="J59" s="159">
        <v>549.14285714285711</v>
      </c>
      <c r="K59" s="52">
        <v>1449.5714285714287</v>
      </c>
      <c r="L59" s="6">
        <v>0.31886745019169133</v>
      </c>
      <c r="M59" s="21">
        <v>4546</v>
      </c>
      <c r="N59" s="20">
        <v>0.11403388289525437</v>
      </c>
      <c r="O59" s="3">
        <v>1835.9627741935485</v>
      </c>
      <c r="P59" s="130">
        <v>16100.15135483871</v>
      </c>
      <c r="Q59" s="32">
        <v>0.61823046501306211</v>
      </c>
      <c r="R59" s="3">
        <v>3607.6094516129033</v>
      </c>
      <c r="S59" s="3">
        <v>5835.3796129032253</v>
      </c>
      <c r="T59" s="32">
        <v>0.97613642538192713</v>
      </c>
      <c r="U59" s="3">
        <v>7366.1424516129027</v>
      </c>
      <c r="V59" s="3">
        <v>7546.2222903225802</v>
      </c>
      <c r="W59" s="52">
        <v>12809.714677419353</v>
      </c>
      <c r="X59" s="6">
        <v>0.43449636679648118</v>
      </c>
      <c r="Y59" s="19">
        <v>29481.753258064513</v>
      </c>
      <c r="Z59" s="20">
        <v>3.1281441507363027E-2</v>
      </c>
      <c r="AA59" s="3">
        <v>33.096774193548384</v>
      </c>
      <c r="AB59" s="3">
        <v>1058.0322580645161</v>
      </c>
      <c r="AC59" s="32">
        <v>0.4554193368626358</v>
      </c>
      <c r="AD59" s="3">
        <v>105.45161290322581</v>
      </c>
      <c r="AE59" s="3">
        <v>231.54838709677421</v>
      </c>
      <c r="AF59" s="32">
        <v>0.97366370578151795</v>
      </c>
      <c r="AG59" s="3">
        <v>403.09677419354841</v>
      </c>
      <c r="AH59" s="3">
        <v>414</v>
      </c>
      <c r="AI59" s="52">
        <v>541.64516129032256</v>
      </c>
      <c r="AJ59" s="6">
        <v>0.31794512506864103</v>
      </c>
      <c r="AK59" s="21">
        <v>1703.5806451612902</v>
      </c>
      <c r="AL59" s="69">
        <f t="shared" si="158"/>
        <v>14800.931267281105</v>
      </c>
      <c r="AM59" s="6">
        <f t="shared" si="157"/>
        <v>0.41422834387788932</v>
      </c>
      <c r="AN59" s="3">
        <f t="shared" si="159"/>
        <v>35731.333903225808</v>
      </c>
      <c r="AO59" s="6">
        <f t="shared" si="160"/>
        <v>0.10610811408192494</v>
      </c>
      <c r="AP59" s="6">
        <f t="shared" si="161"/>
        <v>0.62011710512948848</v>
      </c>
      <c r="AQ59" s="70">
        <f t="shared" si="162"/>
        <v>0.96516642184135326</v>
      </c>
    </row>
    <row r="60" spans="1:47" ht="37.15" customHeight="1" x14ac:dyDescent="0.2">
      <c r="A60" s="133">
        <v>44561</v>
      </c>
      <c r="B60" s="20">
        <v>9.2999999999999999E-2</v>
      </c>
      <c r="C60" s="41">
        <v>237</v>
      </c>
      <c r="D60" s="159">
        <v>2561</v>
      </c>
      <c r="E60" s="20">
        <v>0.67100000000000004</v>
      </c>
      <c r="F60" s="161">
        <v>741</v>
      </c>
      <c r="G60" s="159">
        <v>1105</v>
      </c>
      <c r="H60" s="20">
        <v>0.91800000000000004</v>
      </c>
      <c r="I60" s="161">
        <v>280</v>
      </c>
      <c r="J60" s="159">
        <v>305</v>
      </c>
      <c r="K60" s="52">
        <v>1259</v>
      </c>
      <c r="L60" s="6">
        <v>0.317</v>
      </c>
      <c r="M60" s="21">
        <v>3971</v>
      </c>
      <c r="N60" s="20">
        <v>0.12080513623118361</v>
      </c>
      <c r="O60" s="3">
        <v>1779.2608387096773</v>
      </c>
      <c r="P60" s="130">
        <v>14728.354225806452</v>
      </c>
      <c r="Q60" s="32">
        <v>0.62462160418716051</v>
      </c>
      <c r="R60" s="3">
        <v>3517.4957741935486</v>
      </c>
      <c r="S60" s="3">
        <v>5631.4026774193553</v>
      </c>
      <c r="T60" s="32">
        <v>0.97157958864563121</v>
      </c>
      <c r="U60" s="3">
        <v>6836.3334516129025</v>
      </c>
      <c r="V60" s="3">
        <v>7036.3082258064505</v>
      </c>
      <c r="W60" s="52">
        <v>12133.090064516127</v>
      </c>
      <c r="X60" s="6">
        <v>0.4428771068900112</v>
      </c>
      <c r="Y60" s="19">
        <v>27396.065129032257</v>
      </c>
      <c r="Z60" s="20">
        <v>3.1E-2</v>
      </c>
      <c r="AA60" s="3">
        <v>30</v>
      </c>
      <c r="AB60" s="3">
        <v>957</v>
      </c>
      <c r="AC60" s="32">
        <v>0.46</v>
      </c>
      <c r="AD60" s="3">
        <v>97</v>
      </c>
      <c r="AE60" s="3">
        <v>211</v>
      </c>
      <c r="AF60" s="32">
        <v>0.93</v>
      </c>
      <c r="AG60" s="3">
        <v>183</v>
      </c>
      <c r="AH60" s="3">
        <v>197</v>
      </c>
      <c r="AI60" s="52">
        <v>310</v>
      </c>
      <c r="AJ60" s="6">
        <v>0.22700000000000001</v>
      </c>
      <c r="AK60" s="21">
        <v>1365</v>
      </c>
      <c r="AL60" s="69">
        <f t="shared" si="158"/>
        <v>13702.090064516127</v>
      </c>
      <c r="AM60" s="6">
        <f t="shared" si="157"/>
        <v>0.41861367471014921</v>
      </c>
      <c r="AN60" s="3">
        <f t="shared" si="159"/>
        <v>32732.065129032257</v>
      </c>
      <c r="AO60" s="6">
        <f t="shared" si="160"/>
        <v>0.11214628486251679</v>
      </c>
      <c r="AP60" s="6">
        <f t="shared" si="161"/>
        <v>0.62692433077902687</v>
      </c>
      <c r="AQ60" s="70">
        <f t="shared" si="162"/>
        <v>0.96829861992436872</v>
      </c>
    </row>
    <row r="61" spans="1:47" ht="37.15" customHeight="1" x14ac:dyDescent="0.2">
      <c r="A61" s="133">
        <v>44530</v>
      </c>
      <c r="B61" s="20">
        <v>9.9123886756932886E-2</v>
      </c>
      <c r="C61" s="41">
        <v>195.57142857142858</v>
      </c>
      <c r="D61" s="159">
        <v>1973</v>
      </c>
      <c r="E61" s="20">
        <v>0.68200000000000005</v>
      </c>
      <c r="F61" s="161">
        <v>682</v>
      </c>
      <c r="G61" s="159">
        <v>1000</v>
      </c>
      <c r="H61" s="20">
        <v>0.92900172117039592</v>
      </c>
      <c r="I61" s="161">
        <v>308.42857142857144</v>
      </c>
      <c r="J61" s="159">
        <v>332</v>
      </c>
      <c r="K61" s="52">
        <v>1186</v>
      </c>
      <c r="L61" s="6">
        <v>0.35885022692889562</v>
      </c>
      <c r="M61" s="21">
        <v>3305</v>
      </c>
      <c r="N61" s="20">
        <v>0.12452495412689681</v>
      </c>
      <c r="O61" s="3">
        <v>1371.7086999999999</v>
      </c>
      <c r="P61" s="130">
        <v>11015.532666666666</v>
      </c>
      <c r="Q61" s="32">
        <v>0.62984529544091006</v>
      </c>
      <c r="R61" s="3">
        <v>3139.9583666666667</v>
      </c>
      <c r="S61" s="3">
        <v>4985.2851000000001</v>
      </c>
      <c r="T61" s="32">
        <v>0.96716844036407457</v>
      </c>
      <c r="U61" s="3">
        <v>6311.4871666666668</v>
      </c>
      <c r="V61" s="3">
        <v>6525.7372999999998</v>
      </c>
      <c r="W61" s="52">
        <v>10823.154233333335</v>
      </c>
      <c r="X61" s="6">
        <v>0.480462023656193</v>
      </c>
      <c r="Y61" s="19">
        <v>22526.555066666668</v>
      </c>
      <c r="Z61" s="20">
        <v>2.47425438009897E-2</v>
      </c>
      <c r="AA61" s="3">
        <v>18.5</v>
      </c>
      <c r="AB61" s="3">
        <v>747.7</v>
      </c>
      <c r="AC61" s="32">
        <v>0.50194486724167098</v>
      </c>
      <c r="AD61" s="3">
        <v>98.933333333333337</v>
      </c>
      <c r="AE61" s="3">
        <v>197.1</v>
      </c>
      <c r="AF61" s="32">
        <v>1</v>
      </c>
      <c r="AG61" s="3">
        <v>67.533333333333331</v>
      </c>
      <c r="AH61" s="3">
        <v>67.533333333333331</v>
      </c>
      <c r="AI61" s="52">
        <v>184.96666666666667</v>
      </c>
      <c r="AJ61" s="6">
        <v>0.18271320381955877</v>
      </c>
      <c r="AK61" s="21">
        <v>1012.3333333333334</v>
      </c>
      <c r="AL61" s="69">
        <f t="shared" si="158"/>
        <v>12194.120900000002</v>
      </c>
      <c r="AM61" s="6">
        <f t="shared" si="157"/>
        <v>0.45426060182845945</v>
      </c>
      <c r="AN61" s="3">
        <f t="shared" si="159"/>
        <v>26843.8884</v>
      </c>
      <c r="AO61" s="6">
        <f t="shared" si="160"/>
        <v>0.11544505448132056</v>
      </c>
      <c r="AP61" s="6">
        <f t="shared" si="161"/>
        <v>0.63420373150161735</v>
      </c>
      <c r="AQ61" s="70">
        <f t="shared" si="162"/>
        <v>0.96565887825956476</v>
      </c>
    </row>
    <row r="62" spans="1:47" ht="37.15" customHeight="1" x14ac:dyDescent="0.2">
      <c r="A62" s="133">
        <v>44500</v>
      </c>
      <c r="B62" s="20">
        <v>0.1001621462264151</v>
      </c>
      <c r="C62" s="41">
        <v>194.14285714285714</v>
      </c>
      <c r="D62" s="159">
        <v>1938.2857142857142</v>
      </c>
      <c r="E62" s="20">
        <v>0.67796610169491522</v>
      </c>
      <c r="F62" s="161">
        <v>714.28571428571433</v>
      </c>
      <c r="G62" s="159">
        <v>1053.5714285714287</v>
      </c>
      <c r="H62" s="20">
        <v>0.93296563428086554</v>
      </c>
      <c r="I62" s="161">
        <v>314.14285714285717</v>
      </c>
      <c r="J62" s="159">
        <v>336.71428571428572</v>
      </c>
      <c r="K62" s="52">
        <v>1222.5714285714287</v>
      </c>
      <c r="L62" s="6">
        <v>0.36729613733905586</v>
      </c>
      <c r="M62" s="21">
        <v>3328.5714285714284</v>
      </c>
      <c r="N62" s="20">
        <v>0.13199396769012001</v>
      </c>
      <c r="O62" s="3">
        <v>1395.5496451612905</v>
      </c>
      <c r="P62" s="130">
        <v>10572.828967741936</v>
      </c>
      <c r="Q62" s="32">
        <v>0.62597613847618871</v>
      </c>
      <c r="R62" s="3">
        <v>3197.125129032258</v>
      </c>
      <c r="S62" s="3">
        <v>5107.4233225806456</v>
      </c>
      <c r="T62" s="32">
        <v>0.97401296210290655</v>
      </c>
      <c r="U62" s="3">
        <v>6403.7604193548386</v>
      </c>
      <c r="V62" s="3">
        <v>6574.6151935483867</v>
      </c>
      <c r="W62" s="52">
        <v>10996.435193548386</v>
      </c>
      <c r="X62" s="6">
        <v>0.49411371249538832</v>
      </c>
      <c r="Y62" s="19">
        <v>22254.86748387097</v>
      </c>
      <c r="Z62" s="20">
        <v>3.0093041287071139E-2</v>
      </c>
      <c r="AA62" s="3">
        <v>20.032258064516128</v>
      </c>
      <c r="AB62" s="3">
        <v>665.67741935483866</v>
      </c>
      <c r="AC62" s="32">
        <v>0.49095022624434392</v>
      </c>
      <c r="AD62" s="3">
        <v>84</v>
      </c>
      <c r="AE62" s="3">
        <v>171.09677419354838</v>
      </c>
      <c r="AF62" s="32">
        <v>0.92761257434154631</v>
      </c>
      <c r="AG62" s="3">
        <v>176.09677419354838</v>
      </c>
      <c r="AH62" s="3">
        <v>189.83870967741936</v>
      </c>
      <c r="AI62" s="52">
        <v>280.12903225806451</v>
      </c>
      <c r="AJ62" s="6">
        <v>0.27286724273369994</v>
      </c>
      <c r="AK62" s="21">
        <v>1026.6129032258063</v>
      </c>
      <c r="AL62" s="69">
        <f t="shared" si="158"/>
        <v>12499.13565437788</v>
      </c>
      <c r="AM62" s="6">
        <f t="shared" si="157"/>
        <v>0.46971481833110496</v>
      </c>
      <c r="AN62" s="3">
        <f t="shared" si="159"/>
        <v>26610.051815668205</v>
      </c>
      <c r="AO62" s="6">
        <f t="shared" si="160"/>
        <v>0.12216363041804187</v>
      </c>
      <c r="AP62" s="6">
        <f t="shared" si="161"/>
        <v>0.63097806267098955</v>
      </c>
      <c r="AQ62" s="70">
        <f t="shared" si="162"/>
        <v>0.97082618905273821</v>
      </c>
    </row>
    <row r="63" spans="1:47" ht="37.15" customHeight="1" x14ac:dyDescent="0.2">
      <c r="A63" s="133">
        <v>44469</v>
      </c>
      <c r="B63" s="20">
        <v>9.7634794305571135E-2</v>
      </c>
      <c r="C63" s="41">
        <v>248.85714285714286</v>
      </c>
      <c r="D63" s="159">
        <v>2548.8571428571427</v>
      </c>
      <c r="E63" s="20">
        <v>0.67983413356612832</v>
      </c>
      <c r="F63" s="161">
        <v>890</v>
      </c>
      <c r="G63" s="159">
        <v>1309.1428571428571</v>
      </c>
      <c r="H63" s="20">
        <v>0.82449446776039681</v>
      </c>
      <c r="I63" s="161">
        <v>308.71428571428572</v>
      </c>
      <c r="J63" s="159">
        <v>374.42857142857144</v>
      </c>
      <c r="K63" s="52">
        <v>1447.5714285714287</v>
      </c>
      <c r="L63" s="6">
        <v>0.34201910419549741</v>
      </c>
      <c r="M63" s="21">
        <v>4232.4285714285706</v>
      </c>
      <c r="N63" s="20">
        <v>0.13023269910135965</v>
      </c>
      <c r="O63" s="3">
        <v>1831.8731666666667</v>
      </c>
      <c r="P63" s="130">
        <v>14066.153733333333</v>
      </c>
      <c r="Q63" s="32">
        <v>0.62192963208347396</v>
      </c>
      <c r="R63" s="3">
        <v>4103.9685666666674</v>
      </c>
      <c r="S63" s="3">
        <v>6598.7667333333338</v>
      </c>
      <c r="T63" s="32">
        <v>0.9667200559603546</v>
      </c>
      <c r="U63" s="3">
        <v>6370.8682333333336</v>
      </c>
      <c r="V63" s="3">
        <v>6590.1893666666665</v>
      </c>
      <c r="W63" s="52">
        <v>12306.709966666669</v>
      </c>
      <c r="X63" s="6">
        <v>0.45153771318196678</v>
      </c>
      <c r="Y63" s="19">
        <v>27255.109833333332</v>
      </c>
      <c r="Z63" s="20">
        <v>3.0680488212673464E-2</v>
      </c>
      <c r="AA63" s="3">
        <v>24.466666666666665</v>
      </c>
      <c r="AB63" s="3">
        <v>797.4666666666667</v>
      </c>
      <c r="AC63" s="32">
        <v>0.50689043525719735</v>
      </c>
      <c r="AD63" s="3">
        <v>123.83333333333333</v>
      </c>
      <c r="AE63" s="3">
        <v>244.3</v>
      </c>
      <c r="AF63" s="32">
        <v>0.99135446685878958</v>
      </c>
      <c r="AG63" s="3">
        <v>298.13333333333333</v>
      </c>
      <c r="AH63" s="3">
        <v>300.73333333333335</v>
      </c>
      <c r="AI63" s="52">
        <v>446.43333333333328</v>
      </c>
      <c r="AJ63" s="6">
        <v>0.33253879577901918</v>
      </c>
      <c r="AK63" s="21">
        <v>1342.5</v>
      </c>
      <c r="AL63" s="69">
        <f t="shared" ref="AL63:AL72" si="163">+AI63+W63+K63</f>
        <v>14200.714728571431</v>
      </c>
      <c r="AM63" s="6">
        <f t="shared" ref="AM63:AM72" si="164">AL63/AN63</f>
        <v>0.43255248603399926</v>
      </c>
      <c r="AN63" s="3">
        <f t="shared" ref="AN63:AN72" si="165">+AK63+Y63+M63</f>
        <v>32830.038404761901</v>
      </c>
      <c r="AO63" s="6">
        <f t="shared" ref="AO63:AO72" si="166">(+AA63+O63+C63)/(D63+P63+AB63)</f>
        <v>0.12090163338381789</v>
      </c>
      <c r="AP63" s="6">
        <f t="shared" ref="AP63:AP72" si="167">(+AD63+R63+F63)/(G63+S63+AE63)</f>
        <v>0.62778095229284414</v>
      </c>
      <c r="AQ63" s="70">
        <f t="shared" ref="AQ63:AQ72" si="168">(AG63+U63+I63)/(AH63+V63+J63)</f>
        <v>0.96040997767323888</v>
      </c>
    </row>
    <row r="64" spans="1:47" ht="37.15" customHeight="1" x14ac:dyDescent="0.2">
      <c r="A64" s="133">
        <v>44439</v>
      </c>
      <c r="B64" s="20">
        <v>9.8000000000000004E-2</v>
      </c>
      <c r="C64" s="41">
        <v>222</v>
      </c>
      <c r="D64" s="159">
        <v>2265</v>
      </c>
      <c r="E64" s="20">
        <v>0.67400000000000004</v>
      </c>
      <c r="F64" s="161">
        <v>800</v>
      </c>
      <c r="G64" s="159">
        <v>1186</v>
      </c>
      <c r="H64" s="20">
        <v>0.92</v>
      </c>
      <c r="I64" s="161">
        <v>312</v>
      </c>
      <c r="J64" s="159">
        <v>339</v>
      </c>
      <c r="K64" s="52">
        <v>1333</v>
      </c>
      <c r="L64" s="6">
        <v>0.35199999999999998</v>
      </c>
      <c r="M64" s="21">
        <v>3790</v>
      </c>
      <c r="N64" s="20">
        <v>0.13111283311964497</v>
      </c>
      <c r="O64" s="3">
        <v>1733.9497419354839</v>
      </c>
      <c r="P64" s="130">
        <v>13224.866709677419</v>
      </c>
      <c r="Q64" s="32">
        <v>0.61696598795245916</v>
      </c>
      <c r="R64" s="3">
        <v>3647.7293870967742</v>
      </c>
      <c r="S64" s="3">
        <v>5912.3670645161292</v>
      </c>
      <c r="T64" s="32">
        <v>0.97526921543037437</v>
      </c>
      <c r="U64" s="3">
        <v>7567.7106129032263</v>
      </c>
      <c r="V64" s="3">
        <v>7759.6119032258066</v>
      </c>
      <c r="W64" s="52">
        <v>12949.389741935483</v>
      </c>
      <c r="X64" s="6">
        <v>0.48144640814914791</v>
      </c>
      <c r="Y64" s="19">
        <v>26896.845677419355</v>
      </c>
      <c r="Z64" s="20">
        <v>2.9000000000000001E-2</v>
      </c>
      <c r="AA64" s="3">
        <v>18</v>
      </c>
      <c r="AB64" s="3">
        <v>613</v>
      </c>
      <c r="AC64" s="32">
        <v>0.82099999999999995</v>
      </c>
      <c r="AD64" s="3">
        <v>104</v>
      </c>
      <c r="AE64" s="3">
        <v>126</v>
      </c>
      <c r="AF64" s="32">
        <v>0.995</v>
      </c>
      <c r="AG64" s="3">
        <v>395</v>
      </c>
      <c r="AH64" s="3">
        <v>397</v>
      </c>
      <c r="AI64" s="52">
        <v>516</v>
      </c>
      <c r="AJ64" s="6">
        <v>0.45400000000000001</v>
      </c>
      <c r="AK64" s="21">
        <v>1136</v>
      </c>
      <c r="AL64" s="69">
        <f t="shared" si="163"/>
        <v>14798.389741935483</v>
      </c>
      <c r="AM64" s="6">
        <f t="shared" si="164"/>
        <v>0.46502408653026361</v>
      </c>
      <c r="AN64" s="3">
        <f t="shared" si="165"/>
        <v>31822.845677419355</v>
      </c>
      <c r="AO64" s="6">
        <f t="shared" si="166"/>
        <v>0.12258374720006777</v>
      </c>
      <c r="AP64" s="6">
        <f t="shared" si="167"/>
        <v>0.63005234181046399</v>
      </c>
      <c r="AQ64" s="70">
        <f t="shared" si="168"/>
        <v>0.97399818955492723</v>
      </c>
    </row>
    <row r="65" spans="1:43" ht="28.9" customHeight="1" x14ac:dyDescent="0.2">
      <c r="A65" s="133">
        <v>44378</v>
      </c>
      <c r="B65" s="20">
        <v>9.9762903519970816E-2</v>
      </c>
      <c r="C65" s="41">
        <v>234.42857142857142</v>
      </c>
      <c r="D65" s="159">
        <v>2349.8571428571427</v>
      </c>
      <c r="E65" s="20">
        <v>0.67860067860067863</v>
      </c>
      <c r="F65" s="161">
        <v>828.57142857142856</v>
      </c>
      <c r="G65" s="159">
        <v>1221</v>
      </c>
      <c r="H65" s="20">
        <v>0.92442114460463087</v>
      </c>
      <c r="I65" s="161">
        <v>302.28571428571428</v>
      </c>
      <c r="J65" s="159">
        <v>327</v>
      </c>
      <c r="K65" s="52">
        <v>1365.2857142857142</v>
      </c>
      <c r="L65" s="6">
        <v>0.35026571376214038</v>
      </c>
      <c r="M65" s="21">
        <v>3897.8571428571427</v>
      </c>
      <c r="N65" s="20">
        <v>0.13130062108808838</v>
      </c>
      <c r="O65" s="3">
        <v>1813.3180322580645</v>
      </c>
      <c r="P65" s="130">
        <v>13810.429967741937</v>
      </c>
      <c r="Q65" s="32">
        <v>0.62659293817612116</v>
      </c>
      <c r="R65" s="3">
        <v>3905.9339032258067</v>
      </c>
      <c r="S65" s="3">
        <v>6233.6066451612905</v>
      </c>
      <c r="T65" s="32">
        <v>0.96936520800029335</v>
      </c>
      <c r="U65" s="3">
        <v>5581.9865161290327</v>
      </c>
      <c r="V65" s="3">
        <v>5758.3937096774198</v>
      </c>
      <c r="W65" s="52">
        <v>11301.238451612904</v>
      </c>
      <c r="X65" s="6">
        <v>0.43799123998497064</v>
      </c>
      <c r="Y65" s="19">
        <v>25802.430322580647</v>
      </c>
      <c r="Z65" s="20">
        <v>2.5577488671189537E-2</v>
      </c>
      <c r="AA65" s="3">
        <v>18.505806451612901</v>
      </c>
      <c r="AB65" s="3">
        <v>723.51929032258067</v>
      </c>
      <c r="AC65" s="32">
        <v>0.55556405318825663</v>
      </c>
      <c r="AD65" s="3">
        <v>113.88545161290322</v>
      </c>
      <c r="AE65" s="3">
        <v>204.99067741935485</v>
      </c>
      <c r="AF65" s="32">
        <v>0.92097026530741566</v>
      </c>
      <c r="AG65" s="3">
        <v>412.12667741935485</v>
      </c>
      <c r="AH65" s="3">
        <v>447.49183870967738</v>
      </c>
      <c r="AI65" s="52">
        <v>544.51793548387093</v>
      </c>
      <c r="AJ65" s="6">
        <v>0.39572472429237243</v>
      </c>
      <c r="AK65" s="21">
        <v>1376.001806451613</v>
      </c>
      <c r="AL65" s="69">
        <f t="shared" si="163"/>
        <v>13211.042101382489</v>
      </c>
      <c r="AM65" s="6">
        <f t="shared" si="164"/>
        <v>0.4251164605206828</v>
      </c>
      <c r="AN65" s="3">
        <f t="shared" si="165"/>
        <v>31076.2892718894</v>
      </c>
      <c r="AO65" s="6">
        <f t="shared" si="166"/>
        <v>0.1223807215667585</v>
      </c>
      <c r="AP65" s="6">
        <f t="shared" si="167"/>
        <v>0.6329824635972684</v>
      </c>
      <c r="AQ65" s="70">
        <f t="shared" si="168"/>
        <v>0.96380058416737735</v>
      </c>
    </row>
    <row r="66" spans="1:43" ht="28.9" customHeight="1" x14ac:dyDescent="0.2">
      <c r="A66" s="133">
        <v>44348</v>
      </c>
      <c r="B66" s="20">
        <v>0.10323110624315444</v>
      </c>
      <c r="C66" s="41">
        <v>215.42857142857142</v>
      </c>
      <c r="D66" s="159">
        <v>2086.8571428571427</v>
      </c>
      <c r="E66" s="20">
        <v>0.68412397216951304</v>
      </c>
      <c r="F66" s="161">
        <v>772.57142857142856</v>
      </c>
      <c r="G66" s="159">
        <v>1129.2857142857142</v>
      </c>
      <c r="H66" s="20">
        <v>0.92510402219140075</v>
      </c>
      <c r="I66" s="161">
        <v>285.85714285714283</v>
      </c>
      <c r="J66" s="159">
        <v>309</v>
      </c>
      <c r="K66" s="52">
        <v>1273.8571428571429</v>
      </c>
      <c r="L66" s="6">
        <v>0.3613632679526666</v>
      </c>
      <c r="M66" s="21">
        <v>3525.1428571428569</v>
      </c>
      <c r="N66" s="20">
        <v>0.13256407825979369</v>
      </c>
      <c r="O66" s="3">
        <v>1593.0416</v>
      </c>
      <c r="P66" s="130">
        <v>12017.143866666669</v>
      </c>
      <c r="Q66" s="32">
        <v>0.63558641321878173</v>
      </c>
      <c r="R66" s="3">
        <v>3762.9760333333334</v>
      </c>
      <c r="S66" s="3">
        <v>5920.4790333333331</v>
      </c>
      <c r="T66" s="32">
        <v>0.9794102216956263</v>
      </c>
      <c r="U66" s="3">
        <v>9296.3885666666665</v>
      </c>
      <c r="V66" s="3">
        <v>9491.8230999999996</v>
      </c>
      <c r="W66" s="52">
        <v>14652.406199999999</v>
      </c>
      <c r="X66" s="6">
        <v>0.53418527665487658</v>
      </c>
      <c r="Y66" s="19">
        <v>27429.446000000004</v>
      </c>
      <c r="Z66" s="20">
        <v>2.5599456687933331E-2</v>
      </c>
      <c r="AA66" s="3">
        <v>17.130633333333332</v>
      </c>
      <c r="AB66" s="3">
        <v>669.1795666666668</v>
      </c>
      <c r="AC66" s="32">
        <v>0.53363214360209532</v>
      </c>
      <c r="AD66" s="3">
        <v>108.4729</v>
      </c>
      <c r="AE66" s="3">
        <v>203.27279999999999</v>
      </c>
      <c r="AF66" s="32">
        <v>0.99078575967812843</v>
      </c>
      <c r="AG66" s="3">
        <v>472.08946666666662</v>
      </c>
      <c r="AH66" s="3">
        <v>476.47986666666662</v>
      </c>
      <c r="AI66" s="52">
        <v>597.69299999999998</v>
      </c>
      <c r="AJ66" s="6">
        <v>0.44308600923787445</v>
      </c>
      <c r="AK66" s="21">
        <v>1348.9322333333334</v>
      </c>
      <c r="AL66" s="69">
        <f t="shared" si="163"/>
        <v>16523.956342857142</v>
      </c>
      <c r="AM66" s="6">
        <f t="shared" si="164"/>
        <v>0.51152183369040771</v>
      </c>
      <c r="AN66" s="3">
        <f t="shared" si="165"/>
        <v>32303.521090476192</v>
      </c>
      <c r="AO66" s="6">
        <f t="shared" si="166"/>
        <v>0.12357533947051147</v>
      </c>
      <c r="AP66" s="6">
        <f t="shared" si="167"/>
        <v>0.64028627060248078</v>
      </c>
      <c r="AQ66" s="70">
        <f t="shared" si="168"/>
        <v>0.9783048343325712</v>
      </c>
    </row>
    <row r="67" spans="1:43" ht="28.9" customHeight="1" x14ac:dyDescent="0.2">
      <c r="A67" s="133">
        <v>44317</v>
      </c>
      <c r="B67" s="20">
        <v>0.10418094585332419</v>
      </c>
      <c r="C67" s="41">
        <v>195.42857142857142</v>
      </c>
      <c r="D67" s="159">
        <v>1875.8571428571429</v>
      </c>
      <c r="E67" s="20">
        <v>0.68488842294443619</v>
      </c>
      <c r="F67" s="161">
        <v>653.28571428571433</v>
      </c>
      <c r="G67" s="159">
        <v>953.85714285714289</v>
      </c>
      <c r="H67" s="20">
        <v>0.92735251097025839</v>
      </c>
      <c r="I67" s="161">
        <v>271.71428571428572</v>
      </c>
      <c r="J67" s="159">
        <v>293</v>
      </c>
      <c r="K67" s="52">
        <v>1120.4285714285716</v>
      </c>
      <c r="L67" s="6">
        <v>0.35879957912072835</v>
      </c>
      <c r="M67" s="21">
        <v>3122.7142857142858</v>
      </c>
      <c r="N67" s="20">
        <v>0.13101061425027033</v>
      </c>
      <c r="O67" s="3">
        <v>1327.3023548387096</v>
      </c>
      <c r="P67" s="130">
        <v>10131.258161290323</v>
      </c>
      <c r="Q67" s="32">
        <v>0.64284944757442597</v>
      </c>
      <c r="R67" s="3">
        <v>3020.4612258064512</v>
      </c>
      <c r="S67" s="3">
        <v>4698.5514838709678</v>
      </c>
      <c r="T67" s="32">
        <v>0.97385071641390497</v>
      </c>
      <c r="U67" s="3">
        <v>6579.8347741935486</v>
      </c>
      <c r="V67" s="3">
        <v>6756.512741935484</v>
      </c>
      <c r="W67" s="52">
        <v>10927.598354838708</v>
      </c>
      <c r="X67" s="6">
        <v>0.50622788629204762</v>
      </c>
      <c r="Y67" s="19">
        <v>21586.322387096774</v>
      </c>
      <c r="Z67" s="20">
        <v>2.551199513429912E-2</v>
      </c>
      <c r="AA67" s="3">
        <v>17.216741935483874</v>
      </c>
      <c r="AB67" s="3">
        <v>674.84890322580657</v>
      </c>
      <c r="AC67" s="32">
        <v>0.48500233093910294</v>
      </c>
      <c r="AD67" s="3">
        <v>95.746516129032258</v>
      </c>
      <c r="AE67" s="3">
        <v>197.41454838709677</v>
      </c>
      <c r="AF67" s="32">
        <v>0.99607970361833376</v>
      </c>
      <c r="AG67" s="3">
        <v>368.23967741935485</v>
      </c>
      <c r="AH67" s="3">
        <v>369.68896774193547</v>
      </c>
      <c r="AI67" s="52">
        <v>481.20293548387099</v>
      </c>
      <c r="AJ67" s="6">
        <v>0.38745682039400764</v>
      </c>
      <c r="AK67" s="21">
        <v>1241.9524193548386</v>
      </c>
      <c r="AL67" s="69">
        <f t="shared" si="163"/>
        <v>12529.229861751151</v>
      </c>
      <c r="AM67" s="6">
        <f t="shared" si="164"/>
        <v>0.48280355778552903</v>
      </c>
      <c r="AN67" s="3">
        <f t="shared" si="165"/>
        <v>25950.989092165899</v>
      </c>
      <c r="AO67" s="6">
        <f t="shared" si="166"/>
        <v>0.1214281670427237</v>
      </c>
      <c r="AP67" s="6">
        <f t="shared" si="167"/>
        <v>0.64437733302031996</v>
      </c>
      <c r="AQ67" s="70">
        <f t="shared" si="168"/>
        <v>0.9731220446412554</v>
      </c>
    </row>
    <row r="68" spans="1:43" ht="28.9" customHeight="1" x14ac:dyDescent="0.2">
      <c r="A68" s="133">
        <v>44287</v>
      </c>
      <c r="B68" s="20">
        <v>0.10187027457222443</v>
      </c>
      <c r="C68" s="41">
        <v>219.42857142857142</v>
      </c>
      <c r="D68" s="159">
        <v>2154</v>
      </c>
      <c r="E68" s="20">
        <v>0.6869676320272573</v>
      </c>
      <c r="F68" s="161">
        <v>691.28571428571433</v>
      </c>
      <c r="G68" s="159">
        <v>1006.2857142857143</v>
      </c>
      <c r="H68" s="20">
        <v>0.91897940913160236</v>
      </c>
      <c r="I68" s="161">
        <v>293.28571428571428</v>
      </c>
      <c r="J68" s="159">
        <v>319.14285714285717</v>
      </c>
      <c r="K68" s="52">
        <v>1204</v>
      </c>
      <c r="L68" s="6">
        <v>0.34603383149942518</v>
      </c>
      <c r="M68" s="21">
        <v>3479.4285714285716</v>
      </c>
      <c r="N68" s="20">
        <v>0.12909820368693478</v>
      </c>
      <c r="O68" s="3">
        <v>1609.0484333333334</v>
      </c>
      <c r="P68" s="130">
        <v>12463.7554</v>
      </c>
      <c r="Q68" s="32">
        <v>0.65238705949141562</v>
      </c>
      <c r="R68" s="3">
        <v>3449.9970666666668</v>
      </c>
      <c r="S68" s="3">
        <v>5288.2671666666665</v>
      </c>
      <c r="T68" s="32">
        <v>0.96294480490599332</v>
      </c>
      <c r="U68" s="3">
        <v>5049.9517000000005</v>
      </c>
      <c r="V68" s="3">
        <v>5244.2795000000006</v>
      </c>
      <c r="W68" s="52">
        <v>10108.997200000002</v>
      </c>
      <c r="X68" s="6">
        <v>0.43959229491306245</v>
      </c>
      <c r="Y68" s="19">
        <v>22996.302066666667</v>
      </c>
      <c r="Z68" s="20">
        <v>2.5083588470273099E-2</v>
      </c>
      <c r="AA68" s="3">
        <v>20.1099</v>
      </c>
      <c r="AB68" s="3">
        <v>801.71543333333329</v>
      </c>
      <c r="AC68" s="32">
        <v>0.48327704616883682</v>
      </c>
      <c r="AD68" s="3">
        <v>104.48586666666667</v>
      </c>
      <c r="AE68" s="3">
        <v>216.20283333333333</v>
      </c>
      <c r="AF68" s="32">
        <v>0.99450023146581057</v>
      </c>
      <c r="AG68" s="3">
        <v>423.56643333333335</v>
      </c>
      <c r="AH68" s="3">
        <v>425.90883333333335</v>
      </c>
      <c r="AI68" s="52">
        <v>548.1622000000001</v>
      </c>
      <c r="AJ68" s="6">
        <v>0.37965917110158143</v>
      </c>
      <c r="AK68" s="21">
        <v>1443.8271</v>
      </c>
      <c r="AL68" s="69">
        <f t="shared" si="163"/>
        <v>11861.159400000002</v>
      </c>
      <c r="AM68" s="6">
        <f t="shared" si="164"/>
        <v>0.42483335557338986</v>
      </c>
      <c r="AN68" s="3">
        <f t="shared" si="165"/>
        <v>27919.557738095238</v>
      </c>
      <c r="AO68" s="6">
        <f t="shared" si="166"/>
        <v>0.11988653337997092</v>
      </c>
      <c r="AP68" s="6">
        <f t="shared" si="167"/>
        <v>0.65211610355816352</v>
      </c>
      <c r="AQ68" s="70">
        <f t="shared" si="168"/>
        <v>0.96284604477859081</v>
      </c>
    </row>
    <row r="69" spans="1:43" ht="28.9" customHeight="1" x14ac:dyDescent="0.2">
      <c r="A69" s="133">
        <v>44256</v>
      </c>
      <c r="B69" s="20">
        <v>9.7744754329967015E-2</v>
      </c>
      <c r="C69" s="41">
        <v>266.85714285714283</v>
      </c>
      <c r="D69" s="159">
        <v>2730.1428571428573</v>
      </c>
      <c r="E69" s="20">
        <v>0.68409501678285556</v>
      </c>
      <c r="F69" s="161">
        <v>757</v>
      </c>
      <c r="G69" s="159">
        <v>1106.5714285714287</v>
      </c>
      <c r="H69" s="20">
        <v>0.91562656015976029</v>
      </c>
      <c r="I69" s="161">
        <v>262</v>
      </c>
      <c r="J69" s="159">
        <v>286.14285714285717</v>
      </c>
      <c r="K69" s="52">
        <v>1285.8571428571429</v>
      </c>
      <c r="L69" s="6">
        <v>0.3118849618849619</v>
      </c>
      <c r="M69" s="21">
        <v>4122.8571428571431</v>
      </c>
      <c r="N69" s="20">
        <v>0.12648345831377839</v>
      </c>
      <c r="O69" s="3">
        <v>1852.9298064516129</v>
      </c>
      <c r="P69" s="130">
        <v>14649.582096774195</v>
      </c>
      <c r="Q69" s="32">
        <v>0.65215529254167381</v>
      </c>
      <c r="R69" s="3">
        <v>3709.0042258064514</v>
      </c>
      <c r="S69" s="3">
        <v>5687.3021935483866</v>
      </c>
      <c r="T69" s="32">
        <v>0.9730641187182395</v>
      </c>
      <c r="U69" s="3">
        <v>8419.9172903225808</v>
      </c>
      <c r="V69" s="3">
        <v>8652.9932903225799</v>
      </c>
      <c r="W69" s="52">
        <v>13981.851322580646</v>
      </c>
      <c r="X69" s="6">
        <v>0.4823011509339904</v>
      </c>
      <c r="Y69" s="19">
        <v>28989.877580645159</v>
      </c>
      <c r="Z69" s="20">
        <v>2.5207547010353798E-2</v>
      </c>
      <c r="AA69" s="3">
        <v>21.552419354838708</v>
      </c>
      <c r="AB69" s="3">
        <v>854.99867741935475</v>
      </c>
      <c r="AC69" s="32">
        <v>0.52864337986280507</v>
      </c>
      <c r="AD69" s="3">
        <v>113.85174193548387</v>
      </c>
      <c r="AE69" s="3">
        <v>215.36587096774196</v>
      </c>
      <c r="AF69" s="32">
        <v>0.98204193186419952</v>
      </c>
      <c r="AG69" s="3">
        <v>450.74780645161292</v>
      </c>
      <c r="AH69" s="3">
        <v>458.99038709677421</v>
      </c>
      <c r="AI69" s="52">
        <v>586.15196774193544</v>
      </c>
      <c r="AJ69" s="6">
        <v>0.38326745096388198</v>
      </c>
      <c r="AK69" s="21">
        <v>1529.354935483871</v>
      </c>
      <c r="AL69" s="69">
        <f t="shared" si="163"/>
        <v>15853.860433179723</v>
      </c>
      <c r="AM69" s="6">
        <f t="shared" si="164"/>
        <v>0.45764734717922034</v>
      </c>
      <c r="AN69" s="3">
        <f t="shared" si="165"/>
        <v>34642.089658986173</v>
      </c>
      <c r="AO69" s="6">
        <f t="shared" si="166"/>
        <v>0.11743196178656083</v>
      </c>
      <c r="AP69" s="6">
        <f t="shared" si="167"/>
        <v>0.65340269400960604</v>
      </c>
      <c r="AQ69" s="70">
        <f t="shared" si="168"/>
        <v>0.97175379190610323</v>
      </c>
    </row>
    <row r="70" spans="1:43" ht="28.9" customHeight="1" x14ac:dyDescent="0.2">
      <c r="A70" s="133">
        <v>44228</v>
      </c>
      <c r="B70" s="20">
        <v>9.7516977928692697E-2</v>
      </c>
      <c r="C70" s="41">
        <v>262.57142857142856</v>
      </c>
      <c r="D70" s="159">
        <v>2692.5714285714284</v>
      </c>
      <c r="E70" s="20">
        <v>0.67816670863762274</v>
      </c>
      <c r="F70" s="161">
        <v>769.42857142857144</v>
      </c>
      <c r="G70" s="159">
        <v>1134.5714285714287</v>
      </c>
      <c r="H70" s="20">
        <v>0.93091386095321382</v>
      </c>
      <c r="I70" s="161">
        <v>304.14285714285717</v>
      </c>
      <c r="J70" s="159">
        <v>326.71428571428572</v>
      </c>
      <c r="K70" s="52">
        <v>1336.1428571428571</v>
      </c>
      <c r="L70" s="6">
        <v>0.32166317020325341</v>
      </c>
      <c r="M70" s="21">
        <v>4153.8571428571431</v>
      </c>
      <c r="N70" s="20">
        <v>0.12063785669119015</v>
      </c>
      <c r="O70" s="3">
        <v>1761.2715357142856</v>
      </c>
      <c r="P70" s="130">
        <v>14599.658714285715</v>
      </c>
      <c r="Q70" s="32">
        <v>0.64614084782646142</v>
      </c>
      <c r="R70" s="3">
        <v>3472.8121071428573</v>
      </c>
      <c r="S70" s="3">
        <v>5374.6982857142857</v>
      </c>
      <c r="T70" s="32">
        <v>0.97035026875355324</v>
      </c>
      <c r="U70" s="3">
        <v>6553.1239285714282</v>
      </c>
      <c r="V70" s="3">
        <v>6753.3592142857142</v>
      </c>
      <c r="W70" s="52">
        <v>11787.207571428571</v>
      </c>
      <c r="X70" s="6">
        <v>0.44101065264709821</v>
      </c>
      <c r="Y70" s="19">
        <v>26727.716214285712</v>
      </c>
      <c r="Z70" s="20">
        <v>2.5263064551419155E-2</v>
      </c>
      <c r="AA70" s="3">
        <v>24.337857142857143</v>
      </c>
      <c r="AB70" s="3">
        <v>963.37707142857141</v>
      </c>
      <c r="AC70" s="32">
        <v>0.51936142574916622</v>
      </c>
      <c r="AD70" s="3">
        <v>123.47385714285714</v>
      </c>
      <c r="AE70" s="3">
        <v>237.74167857142857</v>
      </c>
      <c r="AF70" s="32">
        <v>0.9887856974410425</v>
      </c>
      <c r="AG70" s="3">
        <v>434.5612142857143</v>
      </c>
      <c r="AH70" s="3">
        <v>439.48978571428569</v>
      </c>
      <c r="AI70" s="52">
        <v>582.37292857142859</v>
      </c>
      <c r="AJ70" s="6">
        <v>0.35497372828057117</v>
      </c>
      <c r="AK70" s="21">
        <v>1640.6085357142856</v>
      </c>
      <c r="AL70" s="69">
        <f t="shared" si="163"/>
        <v>13705.723357142857</v>
      </c>
      <c r="AM70" s="6">
        <f t="shared" si="164"/>
        <v>0.42142693261773584</v>
      </c>
      <c r="AN70" s="3">
        <f t="shared" si="165"/>
        <v>32522.181892857145</v>
      </c>
      <c r="AO70" s="6">
        <f t="shared" si="166"/>
        <v>0.11219461491402985</v>
      </c>
      <c r="AP70" s="6">
        <f t="shared" si="167"/>
        <v>0.64705901346722727</v>
      </c>
      <c r="AQ70" s="70">
        <f t="shared" si="168"/>
        <v>0.96971429362833628</v>
      </c>
    </row>
    <row r="71" spans="1:43" ht="28.9" customHeight="1" x14ac:dyDescent="0.2">
      <c r="A71" s="133">
        <v>44197</v>
      </c>
      <c r="B71" s="20">
        <v>9.3559809671351121E-2</v>
      </c>
      <c r="C71" s="41">
        <v>241.57142857142858</v>
      </c>
      <c r="D71" s="159">
        <v>2582</v>
      </c>
      <c r="E71" s="20">
        <v>0.67912895185622457</v>
      </c>
      <c r="F71" s="161">
        <v>739.57142857142856</v>
      </c>
      <c r="G71" s="159">
        <v>1089</v>
      </c>
      <c r="H71" s="20">
        <v>0.93464373464373462</v>
      </c>
      <c r="I71" s="161">
        <v>271.71428571428572</v>
      </c>
      <c r="J71" s="159">
        <v>290.71428571428572</v>
      </c>
      <c r="K71" s="52">
        <v>1252.8571428571429</v>
      </c>
      <c r="L71" s="6">
        <v>0.31624116544064618</v>
      </c>
      <c r="M71" s="21">
        <v>3961.7142857142858</v>
      </c>
      <c r="N71" s="20">
        <v>0.12866892796586032</v>
      </c>
      <c r="O71" s="3">
        <v>1862.8201935483871</v>
      </c>
      <c r="P71" s="130">
        <v>14477.622709677418</v>
      </c>
      <c r="Q71" s="32">
        <v>0.64827186612638343</v>
      </c>
      <c r="R71" s="3">
        <v>3411.6832903225809</v>
      </c>
      <c r="S71" s="3">
        <v>5262.7353870967745</v>
      </c>
      <c r="T71" s="148">
        <v>0.79402608420410847</v>
      </c>
      <c r="U71" s="3">
        <v>5498.2628709677419</v>
      </c>
      <c r="V71" s="3">
        <v>6924.5368387096778</v>
      </c>
      <c r="W71" s="52">
        <v>10772.76635483871</v>
      </c>
      <c r="X71" s="6">
        <v>0.40400558040463264</v>
      </c>
      <c r="Y71" s="19">
        <v>26664.89493548387</v>
      </c>
      <c r="Z71" s="20">
        <v>2.4398460338691811E-2</v>
      </c>
      <c r="AA71" s="3">
        <v>23.188032258064514</v>
      </c>
      <c r="AB71" s="3">
        <v>950.3891612903227</v>
      </c>
      <c r="AC71" s="32">
        <v>0.51562070431776774</v>
      </c>
      <c r="AD71" s="3">
        <v>108.90029032258064</v>
      </c>
      <c r="AE71" s="3">
        <v>211.20232258064516</v>
      </c>
      <c r="AF71" s="32">
        <v>0.93705446682530302</v>
      </c>
      <c r="AG71" s="3">
        <v>382.92180645161289</v>
      </c>
      <c r="AH71" s="3">
        <v>408.64412903225804</v>
      </c>
      <c r="AI71" s="52">
        <v>515.01012903225808</v>
      </c>
      <c r="AJ71" s="6">
        <v>0.32798270832747844</v>
      </c>
      <c r="AK71" s="21">
        <v>1570.235612903226</v>
      </c>
      <c r="AL71" s="69">
        <f t="shared" si="163"/>
        <v>12540.633626728111</v>
      </c>
      <c r="AM71" s="6">
        <f t="shared" si="164"/>
        <v>0.38949883727257839</v>
      </c>
      <c r="AN71" s="3">
        <f t="shared" si="165"/>
        <v>32196.844834101383</v>
      </c>
      <c r="AO71" s="6">
        <f t="shared" si="166"/>
        <v>0.11813316224447096</v>
      </c>
      <c r="AP71" s="6">
        <f t="shared" si="167"/>
        <v>0.64912318197607644</v>
      </c>
      <c r="AQ71" s="70">
        <f t="shared" si="168"/>
        <v>0.80705449885926506</v>
      </c>
    </row>
    <row r="72" spans="1:43" ht="28.9" customHeight="1" x14ac:dyDescent="0.2">
      <c r="A72" s="133">
        <v>44196</v>
      </c>
      <c r="B72" s="20">
        <v>9.5491316399841597E-2</v>
      </c>
      <c r="C72" s="41">
        <v>241.14285714285714</v>
      </c>
      <c r="D72" s="159">
        <v>2525.2857142857142</v>
      </c>
      <c r="E72" s="20">
        <v>0.67216024340770786</v>
      </c>
      <c r="F72" s="161">
        <v>757.42857142857144</v>
      </c>
      <c r="G72" s="159">
        <v>1126.8571428571429</v>
      </c>
      <c r="H72" s="20">
        <v>0.94597298649324679</v>
      </c>
      <c r="I72" s="161">
        <v>270.14285714285717</v>
      </c>
      <c r="J72" s="159">
        <v>285.57142857142856</v>
      </c>
      <c r="K72" s="52">
        <v>1268.7142857142858</v>
      </c>
      <c r="L72" s="6">
        <v>0.32219561747206504</v>
      </c>
      <c r="M72" s="21">
        <v>3937.7142857142858</v>
      </c>
      <c r="N72" s="20">
        <v>0.13509649859991793</v>
      </c>
      <c r="O72" s="3">
        <v>1999.0277096774194</v>
      </c>
      <c r="P72" s="130">
        <v>14797.035677419353</v>
      </c>
      <c r="Q72" s="32">
        <v>0.64695728387955942</v>
      </c>
      <c r="R72" s="3">
        <v>3741.0710645161289</v>
      </c>
      <c r="S72" s="3">
        <v>5782.5627096774197</v>
      </c>
      <c r="T72" s="32">
        <v>0.9751130112475811</v>
      </c>
      <c r="U72" s="3">
        <v>7949.0521290322586</v>
      </c>
      <c r="V72" s="3">
        <v>8151.9290967741945</v>
      </c>
      <c r="W72" s="52">
        <v>13689.150903225807</v>
      </c>
      <c r="X72" s="6">
        <v>0.47645050931978794</v>
      </c>
      <c r="Y72" s="19">
        <v>28731.527483870967</v>
      </c>
      <c r="Z72" s="20">
        <v>2.2778645121623108E-2</v>
      </c>
      <c r="AA72" s="3">
        <v>19.379677419354838</v>
      </c>
      <c r="AB72" s="3">
        <v>850.78270967741935</v>
      </c>
      <c r="AC72" s="32">
        <v>0.48176922193225385</v>
      </c>
      <c r="AD72" s="3">
        <v>94.56</v>
      </c>
      <c r="AE72" s="3">
        <v>196.2765483870968</v>
      </c>
      <c r="AF72" s="32">
        <v>0.92846344658871771</v>
      </c>
      <c r="AG72" s="3">
        <v>363.36809677419353</v>
      </c>
      <c r="AH72" s="3">
        <v>391.36500000000001</v>
      </c>
      <c r="AI72" s="52">
        <v>477.30777419354837</v>
      </c>
      <c r="AJ72" s="6">
        <v>0.33182683865175761</v>
      </c>
      <c r="AK72" s="21">
        <v>1438.4242580645162</v>
      </c>
      <c r="AL72" s="69">
        <f t="shared" si="163"/>
        <v>15435.172963133642</v>
      </c>
      <c r="AM72" s="6">
        <f t="shared" si="164"/>
        <v>0.45254263222294205</v>
      </c>
      <c r="AN72" s="3">
        <f t="shared" si="165"/>
        <v>34107.666027649764</v>
      </c>
      <c r="AO72" s="6">
        <f t="shared" si="166"/>
        <v>0.12433485394868453</v>
      </c>
      <c r="AP72" s="6">
        <f t="shared" si="167"/>
        <v>0.64639120176158205</v>
      </c>
      <c r="AQ72" s="70">
        <f t="shared" si="168"/>
        <v>0.97210259441722868</v>
      </c>
    </row>
    <row r="73" spans="1:43" ht="39.75" customHeight="1" x14ac:dyDescent="0.2">
      <c r="A73" s="133">
        <v>44165</v>
      </c>
      <c r="B73" s="20">
        <v>9.6980299688141786E-2</v>
      </c>
      <c r="C73" s="41">
        <v>182.14285714285714</v>
      </c>
      <c r="D73" s="159">
        <v>1878.1428571428571</v>
      </c>
      <c r="E73" s="20">
        <v>0.66577341074884622</v>
      </c>
      <c r="F73" s="161">
        <v>638.85714285714289</v>
      </c>
      <c r="G73" s="159">
        <v>959.57142857142856</v>
      </c>
      <c r="H73" s="20">
        <v>0.94700300856283259</v>
      </c>
      <c r="I73" s="161">
        <v>584.57142857142856</v>
      </c>
      <c r="J73" s="159">
        <v>617.28571428571433</v>
      </c>
      <c r="K73" s="52">
        <v>1405.5714285714284</v>
      </c>
      <c r="L73" s="6">
        <v>0.40682241058507335</v>
      </c>
      <c r="M73" s="21">
        <v>3455</v>
      </c>
      <c r="N73" s="20">
        <v>0.13205626677067425</v>
      </c>
      <c r="O73" s="3">
        <v>1373.1833000000001</v>
      </c>
      <c r="P73" s="130">
        <v>10398.471300000001</v>
      </c>
      <c r="Q73" s="32">
        <v>0.63340397444107743</v>
      </c>
      <c r="R73" s="3">
        <v>2835.6976333333332</v>
      </c>
      <c r="S73" s="3">
        <v>4476.917966666666</v>
      </c>
      <c r="T73" s="32">
        <v>0.9787509772537063</v>
      </c>
      <c r="U73" s="3">
        <v>6356.8078333333333</v>
      </c>
      <c r="V73" s="3">
        <v>6494.8163333333332</v>
      </c>
      <c r="W73" s="52">
        <v>10565.688766666666</v>
      </c>
      <c r="X73" s="6">
        <v>0.49441212520045508</v>
      </c>
      <c r="Y73" s="19">
        <v>21370.205600000001</v>
      </c>
      <c r="Z73" s="20">
        <v>2.4322127130256849E-2</v>
      </c>
      <c r="AA73" s="3">
        <v>18.8812</v>
      </c>
      <c r="AB73" s="3">
        <v>776.29723333333334</v>
      </c>
      <c r="AC73" s="32">
        <v>0.5243338502428464</v>
      </c>
      <c r="AD73" s="3">
        <v>115.24289999999999</v>
      </c>
      <c r="AE73" s="3">
        <v>219.78916666666663</v>
      </c>
      <c r="AF73" s="32">
        <v>0.93726690688861758</v>
      </c>
      <c r="AG73" s="3">
        <v>419.00473333333332</v>
      </c>
      <c r="AH73" s="3">
        <v>447.04953333333339</v>
      </c>
      <c r="AI73" s="52">
        <v>553.12883333333332</v>
      </c>
      <c r="AJ73" s="6">
        <v>0.38328255887560414</v>
      </c>
      <c r="AK73" s="21">
        <v>1443.1359333333335</v>
      </c>
      <c r="AL73" s="69">
        <f>+AI73+W73+K73</f>
        <v>12524.38902857143</v>
      </c>
      <c r="AM73" s="6">
        <f>AL73/AN73</f>
        <v>0.47678643939810766</v>
      </c>
      <c r="AN73" s="3">
        <f>+AK73+Y73+M73</f>
        <v>26268.341533333336</v>
      </c>
      <c r="AO73" s="6">
        <f>(+AA73+O73+C73)/(D73+P73+AB73)</f>
        <v>0.12060201054390424</v>
      </c>
      <c r="AP73" s="6">
        <f>(+AD73+R73+F73)/(G73+S73+AE73)</f>
        <v>0.6346571578648712</v>
      </c>
      <c r="AQ73" s="70">
        <f>(AG73+U73+I73)/(AH73+V73+J73)</f>
        <v>0.97370504036257943</v>
      </c>
    </row>
    <row r="74" spans="1:43" ht="39.75" customHeight="1" x14ac:dyDescent="0.2">
      <c r="A74" s="133">
        <v>44135</v>
      </c>
      <c r="B74" s="20">
        <v>9.6767210275653062E-2</v>
      </c>
      <c r="C74" s="41">
        <v>191.57142857142858</v>
      </c>
      <c r="D74" s="159">
        <v>1979.7142857142858</v>
      </c>
      <c r="E74" s="20">
        <v>0.66362646338143216</v>
      </c>
      <c r="F74" s="161">
        <v>696.42857142857144</v>
      </c>
      <c r="G74" s="159">
        <v>1049.4285714285713</v>
      </c>
      <c r="H74" s="20">
        <v>0.78894949015888072</v>
      </c>
      <c r="I74" s="161">
        <v>475.28571428571428</v>
      </c>
      <c r="J74" s="159">
        <v>602.42857142857144</v>
      </c>
      <c r="K74" s="52">
        <v>1363.2857142857142</v>
      </c>
      <c r="L74" s="6">
        <v>0.37539829275008851</v>
      </c>
      <c r="M74" s="21">
        <v>3631.5714285714284</v>
      </c>
      <c r="N74" s="20">
        <v>0.14012967275188076</v>
      </c>
      <c r="O74" s="3">
        <v>1503.2327741935485</v>
      </c>
      <c r="P74" s="130">
        <v>10727.440838709677</v>
      </c>
      <c r="Q74" s="32">
        <v>0.61688113842901438</v>
      </c>
      <c r="R74" s="3">
        <v>3243.7866451612904</v>
      </c>
      <c r="S74" s="3">
        <v>5258.365741935484</v>
      </c>
      <c r="T74" s="32">
        <v>0.97704801147424425</v>
      </c>
      <c r="U74" s="3">
        <v>6825.7585483870971</v>
      </c>
      <c r="V74" s="3">
        <v>6986.1035161290329</v>
      </c>
      <c r="W74" s="52">
        <v>11572.777967741935</v>
      </c>
      <c r="X74" s="6">
        <v>0.5037795254721561</v>
      </c>
      <c r="Y74" s="19">
        <v>22971.910096774194</v>
      </c>
      <c r="Z74" s="20">
        <v>2.4594927780627548E-2</v>
      </c>
      <c r="AA74" s="3">
        <v>16.744387096774194</v>
      </c>
      <c r="AB74" s="3">
        <v>680.80651612903227</v>
      </c>
      <c r="AC74" s="32">
        <v>0.5523207601629182</v>
      </c>
      <c r="AD74" s="3">
        <v>101.11022580645161</v>
      </c>
      <c r="AE74" s="3">
        <v>183.06432258064518</v>
      </c>
      <c r="AF74" s="32">
        <v>0.94584312727850772</v>
      </c>
      <c r="AG74" s="3">
        <v>428.40554838709676</v>
      </c>
      <c r="AH74" s="3">
        <v>452.93509677419354</v>
      </c>
      <c r="AI74" s="52">
        <v>546.26016129032257</v>
      </c>
      <c r="AJ74" s="6">
        <v>0.41483725625036377</v>
      </c>
      <c r="AK74" s="21">
        <v>1316.8059354838711</v>
      </c>
      <c r="AL74" s="69">
        <f>+AI74+W74+K74</f>
        <v>13482.32384331797</v>
      </c>
      <c r="AM74" s="6">
        <f>AL74/AN74</f>
        <v>0.48288628339636086</v>
      </c>
      <c r="AN74" s="3">
        <f>+AK74+Y74+M74</f>
        <v>27920.287460829491</v>
      </c>
      <c r="AO74" s="6">
        <f>(+AA74+O74+C74)/(D74+P74+AB74)</f>
        <v>0.12784235836748747</v>
      </c>
      <c r="AP74" s="6">
        <f>(+AD74+R74+F74)/(G74+S74+AE74)</f>
        <v>0.62261800311233029</v>
      </c>
      <c r="AQ74" s="70">
        <f>(AG74+U74+I74)/(AH74+V74+J74)</f>
        <v>0.96119894962951136</v>
      </c>
    </row>
    <row r="75" spans="1:43" ht="39.75" customHeight="1" x14ac:dyDescent="0.2">
      <c r="A75" s="133">
        <v>44075</v>
      </c>
      <c r="B75" s="20">
        <v>9.6000000000000002E-2</v>
      </c>
      <c r="C75" s="41">
        <v>214</v>
      </c>
      <c r="D75" s="159">
        <v>2241</v>
      </c>
      <c r="E75" s="20">
        <v>0.66200000000000003</v>
      </c>
      <c r="F75" s="161">
        <v>785</v>
      </c>
      <c r="G75" s="159">
        <v>1186</v>
      </c>
      <c r="H75" s="20">
        <v>0.81299999999999994</v>
      </c>
      <c r="I75" s="161">
        <v>650</v>
      </c>
      <c r="J75" s="159">
        <v>800</v>
      </c>
      <c r="K75" s="52">
        <v>1650</v>
      </c>
      <c r="L75" s="6">
        <v>0.39</v>
      </c>
      <c r="M75" s="21">
        <v>4227</v>
      </c>
      <c r="N75" s="20">
        <v>0.13802790476110036</v>
      </c>
      <c r="O75" s="3">
        <v>1678.8696333333332</v>
      </c>
      <c r="P75" s="130">
        <v>12163.262466666667</v>
      </c>
      <c r="Q75" s="32">
        <v>0.61548028704421531</v>
      </c>
      <c r="R75" s="3">
        <v>3407.1514000000002</v>
      </c>
      <c r="S75" s="3">
        <v>5535.7604000000001</v>
      </c>
      <c r="T75" s="32">
        <v>0.9759013481044283</v>
      </c>
      <c r="U75" s="3">
        <v>7502.0248333333329</v>
      </c>
      <c r="V75" s="3">
        <v>7687.2778666666663</v>
      </c>
      <c r="W75" s="52">
        <v>12588.045866666667</v>
      </c>
      <c r="X75" s="6">
        <v>0.49585979457566293</v>
      </c>
      <c r="Y75" s="19">
        <v>25386.300733333333</v>
      </c>
      <c r="Z75" s="20">
        <v>2.1000000000000001E-2</v>
      </c>
      <c r="AA75" s="3">
        <v>14</v>
      </c>
      <c r="AB75" s="3">
        <v>651</v>
      </c>
      <c r="AC75" s="32">
        <v>0.57399999999999995</v>
      </c>
      <c r="AD75" s="3">
        <v>102</v>
      </c>
      <c r="AE75" s="3">
        <v>177</v>
      </c>
      <c r="AF75" s="32">
        <v>0.88400000000000001</v>
      </c>
      <c r="AG75" s="3">
        <v>357</v>
      </c>
      <c r="AH75" s="3">
        <v>404</v>
      </c>
      <c r="AI75" s="52">
        <v>473</v>
      </c>
      <c r="AJ75" s="6">
        <v>0.38400000000000001</v>
      </c>
      <c r="AK75" s="21">
        <v>1232</v>
      </c>
      <c r="AL75" s="69">
        <f>+AI75+W75+K75</f>
        <v>14711.045866666667</v>
      </c>
      <c r="AM75" s="6">
        <f>AL75/AN75</f>
        <v>0.47692988938081593</v>
      </c>
      <c r="AN75" s="3">
        <f>+AK75+Y75+M75</f>
        <v>30845.300733333333</v>
      </c>
      <c r="AO75" s="6">
        <f>(+AA75+O75+C75)/(D75+P75+AB75)</f>
        <v>0.12665801327311743</v>
      </c>
      <c r="AP75" s="6">
        <f>(+AD75+R75+F75)/(G75+S75+AE75)</f>
        <v>0.62245260757280407</v>
      </c>
      <c r="AQ75" s="70">
        <f>(AG75+U75+I75)/(AH75+V75+J75)</f>
        <v>0.95700808825620021</v>
      </c>
    </row>
    <row r="76" spans="1:43" ht="35.25" customHeight="1" x14ac:dyDescent="0.2">
      <c r="A76" s="133">
        <v>44044</v>
      </c>
      <c r="B76" s="20">
        <v>9.1797332085186048E-2</v>
      </c>
      <c r="C76" s="41">
        <v>224.14285714285714</v>
      </c>
      <c r="D76" s="159">
        <v>2441.7142857142858</v>
      </c>
      <c r="E76" s="20">
        <v>0.65837343034855067</v>
      </c>
      <c r="F76" s="161">
        <v>801.42857142857144</v>
      </c>
      <c r="G76" s="159">
        <v>1217.2857142857142</v>
      </c>
      <c r="H76" s="20">
        <v>0.71319388576025733</v>
      </c>
      <c r="I76" s="161">
        <v>506.57142857142856</v>
      </c>
      <c r="J76" s="159">
        <v>710.28571428571433</v>
      </c>
      <c r="K76" s="52">
        <v>1532.1428571428573</v>
      </c>
      <c r="L76" s="6">
        <v>0.35066208925944098</v>
      </c>
      <c r="M76" s="21">
        <v>4369.2857142857138</v>
      </c>
      <c r="N76" s="20">
        <v>0.13599177609615323</v>
      </c>
      <c r="O76" s="3">
        <v>2013.8736451612904</v>
      </c>
      <c r="P76" s="130">
        <v>14808.789935483874</v>
      </c>
      <c r="Q76" s="32">
        <v>0.61628423072047367</v>
      </c>
      <c r="R76" s="3">
        <v>3769.0751935483868</v>
      </c>
      <c r="S76" s="3">
        <v>6115.8066451612904</v>
      </c>
      <c r="T76" s="32">
        <v>0.97423481397979617</v>
      </c>
      <c r="U76" s="3">
        <v>7126.6515806451616</v>
      </c>
      <c r="V76" s="3">
        <v>7315.1271935483874</v>
      </c>
      <c r="W76" s="52">
        <v>12909.60041935484</v>
      </c>
      <c r="X76" s="6">
        <v>0.45714329653436919</v>
      </c>
      <c r="Y76" s="19">
        <v>28239.723774193553</v>
      </c>
      <c r="Z76" s="20">
        <v>2.3095412358928816E-2</v>
      </c>
      <c r="AA76" s="3">
        <v>17.273870967741935</v>
      </c>
      <c r="AB76" s="3">
        <v>747.93516129032264</v>
      </c>
      <c r="AC76" s="32">
        <v>0.49307886223754643</v>
      </c>
      <c r="AD76" s="3">
        <v>107.09809677419355</v>
      </c>
      <c r="AE76" s="3">
        <v>217.20277419354838</v>
      </c>
      <c r="AF76" s="32">
        <v>0.9976390143176016</v>
      </c>
      <c r="AG76" s="3">
        <v>397.79854838709673</v>
      </c>
      <c r="AH76" s="3">
        <v>398.73996774193546</v>
      </c>
      <c r="AI76" s="52">
        <v>522.17051612903219</v>
      </c>
      <c r="AJ76" s="6">
        <v>0.38285723003064193</v>
      </c>
      <c r="AK76" s="21">
        <v>1363.8779032258064</v>
      </c>
      <c r="AL76" s="69">
        <f>+AI76+W76+K76</f>
        <v>14963.913792626729</v>
      </c>
      <c r="AM76" s="6">
        <f>AL76/AN76</f>
        <v>0.44046635247966487</v>
      </c>
      <c r="AN76" s="3">
        <f>+AK76+Y76+M76</f>
        <v>33972.887391705073</v>
      </c>
      <c r="AO76" s="6">
        <f>(+AA76+O76+C76)/(D76+P76+AB76)</f>
        <v>0.12530477367199772</v>
      </c>
      <c r="AP76" s="6">
        <f>(+AD76+R76+F76)/(G76+S76+AE76)</f>
        <v>0.61952569786444045</v>
      </c>
      <c r="AQ76" s="70">
        <f>(AG76+U76+I76)/(AH76+V76+J76)</f>
        <v>0.95333283669244095</v>
      </c>
    </row>
    <row r="77" spans="1:43" ht="35.25" customHeight="1" x14ac:dyDescent="0.2">
      <c r="A77" s="133">
        <v>44013</v>
      </c>
      <c r="B77" s="20">
        <v>9.3820790334759624E-2</v>
      </c>
      <c r="C77" s="41">
        <v>213</v>
      </c>
      <c r="D77" s="159">
        <v>2270.2857142857142</v>
      </c>
      <c r="E77" s="20">
        <v>0.6634698143366532</v>
      </c>
      <c r="F77" s="161">
        <v>770.85714285714289</v>
      </c>
      <c r="G77" s="159">
        <v>1161.8571428571429</v>
      </c>
      <c r="H77" s="20">
        <v>0.66373433032768869</v>
      </c>
      <c r="I77" s="161">
        <v>431.14285714285717</v>
      </c>
      <c r="J77" s="159">
        <v>649.57142857142856</v>
      </c>
      <c r="K77" s="52">
        <v>1415</v>
      </c>
      <c r="L77" s="6">
        <v>0.34666806663866723</v>
      </c>
      <c r="M77" s="21">
        <v>4081.7142857142858</v>
      </c>
      <c r="N77" s="20">
        <v>0.138982986169288</v>
      </c>
      <c r="O77" s="3">
        <v>1886.373</v>
      </c>
      <c r="P77" s="130">
        <v>13572.690096774195</v>
      </c>
      <c r="Q77" s="32">
        <v>0.62401583910289682</v>
      </c>
      <c r="R77" s="3">
        <v>3647.4358064516132</v>
      </c>
      <c r="S77" s="3">
        <v>5845.1013225806455</v>
      </c>
      <c r="T77" s="32">
        <v>0.96457278123523915</v>
      </c>
      <c r="U77" s="3">
        <v>5330.6892903225807</v>
      </c>
      <c r="V77" s="3">
        <v>5526.4769999999999</v>
      </c>
      <c r="W77" s="52">
        <v>10864.498096774194</v>
      </c>
      <c r="X77" s="6">
        <v>0.4355508814339159</v>
      </c>
      <c r="Y77" s="19">
        <v>24944.268419354841</v>
      </c>
      <c r="Z77" s="20">
        <v>2.3931739227426634E-2</v>
      </c>
      <c r="AA77" s="3">
        <v>18.427612903225807</v>
      </c>
      <c r="AB77" s="3">
        <v>770.00725806451624</v>
      </c>
      <c r="AC77" s="32">
        <v>0.51706522107132524</v>
      </c>
      <c r="AD77" s="3">
        <v>112.81867741935484</v>
      </c>
      <c r="AE77" s="3">
        <v>218.19041935483872</v>
      </c>
      <c r="AF77" s="32">
        <v>0.99772306907788244</v>
      </c>
      <c r="AG77" s="3">
        <v>401.66261290322581</v>
      </c>
      <c r="AH77" s="3">
        <v>402.57925806451607</v>
      </c>
      <c r="AI77" s="52">
        <v>532.90890322580651</v>
      </c>
      <c r="AJ77" s="6">
        <v>0.38317352670246857</v>
      </c>
      <c r="AK77" s="21">
        <v>1390.7769354838711</v>
      </c>
      <c r="AL77" s="69">
        <f t="shared" ref="AL77:AL83" si="169">+AI77+W77+K77</f>
        <v>12812.407000000001</v>
      </c>
      <c r="AM77" s="6">
        <f t="shared" ref="AM77:AM83" si="170">AL77/AN77</f>
        <v>0.42122853161905915</v>
      </c>
      <c r="AN77" s="3">
        <f t="shared" ref="AN77:AN83" si="171">+AK77+Y77+M77</f>
        <v>30416.759640552998</v>
      </c>
      <c r="AO77" s="6">
        <f t="shared" ref="AO77:AO83" si="172">(+AA77+O77+C77)/(D77+P77+AB77)</f>
        <v>0.12747864751871096</v>
      </c>
      <c r="AP77" s="6">
        <f t="shared" ref="AP77:AP83" si="173">(+AD77+R77+F77)/(G77+S77+AE77)</f>
        <v>0.62713055453640809</v>
      </c>
      <c r="AQ77" s="70">
        <f t="shared" ref="AQ77:AQ83" si="174">(AG77+U77+I77)/(AH77+V77+J77)</f>
        <v>0.93689672891648867</v>
      </c>
    </row>
    <row r="78" spans="1:43" ht="35.25" customHeight="1" x14ac:dyDescent="0.2">
      <c r="A78" s="133">
        <v>43983</v>
      </c>
      <c r="B78" s="20">
        <v>9.7000000000000003E-2</v>
      </c>
      <c r="C78" s="41">
        <v>200</v>
      </c>
      <c r="D78" s="159">
        <v>2067</v>
      </c>
      <c r="E78" s="20">
        <v>0.67100000000000004</v>
      </c>
      <c r="F78" s="161">
        <v>713</v>
      </c>
      <c r="G78" s="159">
        <v>1063</v>
      </c>
      <c r="H78" s="20">
        <v>0.89500000000000002</v>
      </c>
      <c r="I78" s="161">
        <v>537</v>
      </c>
      <c r="J78" s="159">
        <v>600</v>
      </c>
      <c r="K78" s="52">
        <v>1451</v>
      </c>
      <c r="L78" s="6">
        <v>0.38900000000000001</v>
      </c>
      <c r="M78" s="21">
        <v>3731</v>
      </c>
      <c r="N78" s="20">
        <v>0.14017310221180884</v>
      </c>
      <c r="O78" s="3">
        <v>1595.3411666666668</v>
      </c>
      <c r="P78" s="130">
        <v>11381.221799999999</v>
      </c>
      <c r="Q78" s="32">
        <v>0.63685190221934773</v>
      </c>
      <c r="R78" s="3">
        <v>3209.027</v>
      </c>
      <c r="S78" s="3">
        <v>5038.8904999999995</v>
      </c>
      <c r="T78" s="32">
        <v>0.97555506995703378</v>
      </c>
      <c r="U78" s="3">
        <v>8254.3555666666671</v>
      </c>
      <c r="V78" s="3">
        <v>8461.1887333333343</v>
      </c>
      <c r="W78" s="52">
        <v>13058.723733333334</v>
      </c>
      <c r="X78" s="6">
        <v>0.52484087210064456</v>
      </c>
      <c r="Y78" s="19">
        <v>24881.301033333333</v>
      </c>
      <c r="Z78" s="20">
        <v>2.5999999999999999E-2</v>
      </c>
      <c r="AA78" s="3">
        <v>17</v>
      </c>
      <c r="AB78" s="3">
        <v>655</v>
      </c>
      <c r="AC78" s="32">
        <v>0.48899999999999999</v>
      </c>
      <c r="AD78" s="3">
        <v>106</v>
      </c>
      <c r="AE78" s="3">
        <v>216</v>
      </c>
      <c r="AF78" s="32">
        <v>0.98899999999999999</v>
      </c>
      <c r="AG78" s="3">
        <v>409</v>
      </c>
      <c r="AH78" s="3">
        <v>413</v>
      </c>
      <c r="AI78" s="52">
        <v>531</v>
      </c>
      <c r="AJ78" s="6">
        <v>0.41399999999999998</v>
      </c>
      <c r="AK78" s="21">
        <v>1285</v>
      </c>
      <c r="AL78" s="69">
        <f t="shared" si="169"/>
        <v>15040.723733333334</v>
      </c>
      <c r="AM78" s="6">
        <f t="shared" si="170"/>
        <v>0.50307964978390562</v>
      </c>
      <c r="AN78" s="3">
        <f t="shared" si="171"/>
        <v>29897.301033333333</v>
      </c>
      <c r="AO78" s="6">
        <f t="shared" si="172"/>
        <v>0.12850547147082853</v>
      </c>
      <c r="AP78" s="6">
        <f t="shared" si="173"/>
        <v>0.63755884974581312</v>
      </c>
      <c r="AQ78" s="70">
        <f t="shared" si="174"/>
        <v>0.97109692720145724</v>
      </c>
    </row>
    <row r="79" spans="1:43" ht="35.25" customHeight="1" x14ac:dyDescent="0.2">
      <c r="A79" s="133">
        <v>43952</v>
      </c>
      <c r="B79" s="20">
        <v>9.5000000000000001E-2</v>
      </c>
      <c r="C79" s="41">
        <v>202</v>
      </c>
      <c r="D79" s="159">
        <v>2123</v>
      </c>
      <c r="E79" s="20">
        <v>0.67700000000000005</v>
      </c>
      <c r="F79" s="161">
        <v>638</v>
      </c>
      <c r="G79" s="159">
        <v>943</v>
      </c>
      <c r="H79" s="20">
        <v>0.88600000000000001</v>
      </c>
      <c r="I79" s="161">
        <v>525</v>
      </c>
      <c r="J79" s="159">
        <v>592</v>
      </c>
      <c r="K79" s="52">
        <v>1366</v>
      </c>
      <c r="L79" s="6">
        <v>0.373</v>
      </c>
      <c r="M79" s="21">
        <v>3658</v>
      </c>
      <c r="N79" s="20">
        <v>0.13779067242808654</v>
      </c>
      <c r="O79" s="3">
        <v>1444.8150967741935</v>
      </c>
      <c r="P79" s="130">
        <v>10485.579838709677</v>
      </c>
      <c r="Q79" s="32">
        <v>0.6467951602487908</v>
      </c>
      <c r="R79" s="3">
        <v>2629.7670322580643</v>
      </c>
      <c r="S79" s="3">
        <v>4065.8421612903226</v>
      </c>
      <c r="T79" s="32">
        <v>0.98825640705001883</v>
      </c>
      <c r="U79" s="3">
        <v>5646.2657096774201</v>
      </c>
      <c r="V79" s="3">
        <v>5713.3610967741943</v>
      </c>
      <c r="W79" s="52">
        <v>9720.8478387096784</v>
      </c>
      <c r="X79" s="6">
        <v>0.47969167951553704</v>
      </c>
      <c r="Y79" s="19">
        <v>20264.783096774194</v>
      </c>
      <c r="Z79" s="20">
        <v>2.5000000000000001E-2</v>
      </c>
      <c r="AA79" s="3">
        <v>18</v>
      </c>
      <c r="AB79" s="3">
        <v>721</v>
      </c>
      <c r="AC79" s="32">
        <v>0.50700000000000001</v>
      </c>
      <c r="AD79" s="3">
        <v>95</v>
      </c>
      <c r="AE79" s="3">
        <v>186</v>
      </c>
      <c r="AF79" s="32">
        <v>0.999</v>
      </c>
      <c r="AG79" s="3">
        <v>339</v>
      </c>
      <c r="AH79" s="3">
        <v>339</v>
      </c>
      <c r="AI79" s="52">
        <v>451</v>
      </c>
      <c r="AJ79" s="6">
        <v>0.36199999999999999</v>
      </c>
      <c r="AK79" s="21">
        <v>1247</v>
      </c>
      <c r="AL79" s="69">
        <f t="shared" si="169"/>
        <v>11537.847838709678</v>
      </c>
      <c r="AM79" s="6">
        <f t="shared" si="170"/>
        <v>0.45840076548726361</v>
      </c>
      <c r="AN79" s="3">
        <f t="shared" si="171"/>
        <v>25169.783096774194</v>
      </c>
      <c r="AO79" s="6">
        <f t="shared" si="172"/>
        <v>0.12489629207512591</v>
      </c>
      <c r="AP79" s="6">
        <f t="shared" si="173"/>
        <v>0.64732804729197058</v>
      </c>
      <c r="AQ79" s="70">
        <f t="shared" si="174"/>
        <v>0.9798181668419742</v>
      </c>
    </row>
    <row r="80" spans="1:43" ht="35.25" customHeight="1" x14ac:dyDescent="0.2">
      <c r="A80" s="133">
        <v>43922</v>
      </c>
      <c r="B80" s="20">
        <v>9.7386828025905398E-2</v>
      </c>
      <c r="C80" s="41">
        <v>201.19960879557144</v>
      </c>
      <c r="D80" s="159">
        <v>2065.9837975424284</v>
      </c>
      <c r="E80" s="20">
        <v>0.66596275636017233</v>
      </c>
      <c r="F80" s="161">
        <v>666.58498551214268</v>
      </c>
      <c r="G80" s="159">
        <v>1000.9343302549998</v>
      </c>
      <c r="H80" s="20">
        <v>0.68404197880654438</v>
      </c>
      <c r="I80" s="161">
        <v>410.07997240314268</v>
      </c>
      <c r="J80" s="159">
        <v>599.4953308547141</v>
      </c>
      <c r="K80" s="52">
        <v>1277.8645667108567</v>
      </c>
      <c r="L80" s="6">
        <v>0.34853258671503706</v>
      </c>
      <c r="M80" s="21">
        <v>3666.4134586521423</v>
      </c>
      <c r="N80" s="20">
        <v>0.13682462625961211</v>
      </c>
      <c r="O80" s="3">
        <v>1707.3318333333332</v>
      </c>
      <c r="P80" s="130">
        <v>12478.249566666665</v>
      </c>
      <c r="Q80" s="32">
        <v>0.64552376011666801</v>
      </c>
      <c r="R80" s="3">
        <v>3087.6636333333336</v>
      </c>
      <c r="S80" s="3">
        <v>4783.1913000000004</v>
      </c>
      <c r="T80" s="32">
        <v>0.96686778218229885</v>
      </c>
      <c r="U80" s="3">
        <v>5268.988166666667</v>
      </c>
      <c r="V80" s="3">
        <v>5449.5436333333337</v>
      </c>
      <c r="W80" s="52">
        <v>10063.983633333333</v>
      </c>
      <c r="X80" s="6">
        <v>0.44313286521477452</v>
      </c>
      <c r="Y80" s="19">
        <v>22710.984499999999</v>
      </c>
      <c r="Z80" s="20">
        <v>2.6425720199937937E-2</v>
      </c>
      <c r="AA80" s="3">
        <v>20.6493</v>
      </c>
      <c r="AB80" s="3">
        <v>781.40916666666658</v>
      </c>
      <c r="AC80" s="32">
        <v>0.51258362171110161</v>
      </c>
      <c r="AD80" s="3">
        <v>108.94426666666666</v>
      </c>
      <c r="AE80" s="3">
        <v>212.53949999999998</v>
      </c>
      <c r="AF80" s="32">
        <v>0.99697103799883957</v>
      </c>
      <c r="AG80" s="3">
        <v>366.53709999999995</v>
      </c>
      <c r="AH80" s="3">
        <v>367.65069999999997</v>
      </c>
      <c r="AI80" s="52">
        <v>496.13066666666663</v>
      </c>
      <c r="AJ80" s="6">
        <v>0.36437345581413189</v>
      </c>
      <c r="AK80" s="21">
        <v>1361.5993666666666</v>
      </c>
      <c r="AL80" s="69">
        <f t="shared" si="169"/>
        <v>11837.978866710855</v>
      </c>
      <c r="AM80" s="6">
        <f t="shared" si="170"/>
        <v>0.42676304149990757</v>
      </c>
      <c r="AN80" s="3">
        <f t="shared" si="171"/>
        <v>27738.997325318807</v>
      </c>
      <c r="AO80" s="6">
        <f t="shared" si="172"/>
        <v>0.1258792731360063</v>
      </c>
      <c r="AP80" s="6">
        <f t="shared" si="173"/>
        <v>0.64422354785515035</v>
      </c>
      <c r="AQ80" s="70">
        <f t="shared" si="174"/>
        <v>0.94216886828900526</v>
      </c>
    </row>
    <row r="81" spans="1:43" ht="35.25" customHeight="1" x14ac:dyDescent="0.2">
      <c r="A81" s="133">
        <v>43891</v>
      </c>
      <c r="B81" s="20">
        <v>9.9000000000000005E-2</v>
      </c>
      <c r="C81" s="41">
        <v>220</v>
      </c>
      <c r="D81" s="159">
        <v>2218</v>
      </c>
      <c r="E81" s="20">
        <v>0.65400000000000003</v>
      </c>
      <c r="F81" s="161">
        <v>728</v>
      </c>
      <c r="G81" s="159">
        <v>1113</v>
      </c>
      <c r="H81" s="20">
        <v>0.71399999999999997</v>
      </c>
      <c r="I81" s="161">
        <v>418</v>
      </c>
      <c r="J81" s="159">
        <v>585</v>
      </c>
      <c r="K81" s="52">
        <v>1365</v>
      </c>
      <c r="L81" s="6">
        <v>0.34899999999999998</v>
      </c>
      <c r="M81" s="21">
        <v>3916</v>
      </c>
      <c r="N81" s="20">
        <v>0.13757717547050324</v>
      </c>
      <c r="O81" s="3">
        <v>1753.5573870967744</v>
      </c>
      <c r="P81" s="130">
        <v>12745.990612903228</v>
      </c>
      <c r="Q81" s="32">
        <v>0.63917827417054041</v>
      </c>
      <c r="R81" s="3">
        <v>3404.3963548387101</v>
      </c>
      <c r="S81" s="3">
        <v>5326.2078709677426</v>
      </c>
      <c r="T81" s="32">
        <v>0.97811907015638</v>
      </c>
      <c r="U81" s="3">
        <v>7755.757483870967</v>
      </c>
      <c r="V81" s="3">
        <v>7929.2569999999996</v>
      </c>
      <c r="W81" s="52">
        <v>12913.711225806452</v>
      </c>
      <c r="X81" s="6">
        <v>0.49665339826137767</v>
      </c>
      <c r="Y81" s="19">
        <v>26001.45548387097</v>
      </c>
      <c r="Z81" s="20">
        <v>2.8000000000000001E-2</v>
      </c>
      <c r="AA81" s="3">
        <v>23</v>
      </c>
      <c r="AB81" s="3">
        <v>846</v>
      </c>
      <c r="AC81" s="32">
        <v>0.52700000000000002</v>
      </c>
      <c r="AD81" s="3">
        <v>119</v>
      </c>
      <c r="AE81" s="3">
        <v>227</v>
      </c>
      <c r="AF81" s="32">
        <v>0.99299999999999999</v>
      </c>
      <c r="AG81" s="3">
        <v>425</v>
      </c>
      <c r="AH81" s="3">
        <v>428</v>
      </c>
      <c r="AI81" s="52">
        <v>568</v>
      </c>
      <c r="AJ81" s="6">
        <v>0.379</v>
      </c>
      <c r="AK81" s="21">
        <v>1500</v>
      </c>
      <c r="AL81" s="69">
        <f t="shared" si="169"/>
        <v>14846.711225806452</v>
      </c>
      <c r="AM81" s="6">
        <f t="shared" si="170"/>
        <v>0.47256249741257456</v>
      </c>
      <c r="AN81" s="3">
        <f t="shared" si="171"/>
        <v>31417.45548387097</v>
      </c>
      <c r="AO81" s="6">
        <f t="shared" si="172"/>
        <v>0.12628453969272418</v>
      </c>
      <c r="AP81" s="6">
        <f t="shared" si="173"/>
        <v>0.63775334299941788</v>
      </c>
      <c r="AQ81" s="70">
        <f t="shared" si="174"/>
        <v>0.96158693312784083</v>
      </c>
    </row>
    <row r="82" spans="1:43" ht="35.25" customHeight="1" x14ac:dyDescent="0.2">
      <c r="A82" s="133">
        <v>43862</v>
      </c>
      <c r="B82" s="20">
        <v>9.8409536158524991E-2</v>
      </c>
      <c r="C82" s="41">
        <v>235.63797925914307</v>
      </c>
      <c r="D82" s="159">
        <v>2394.4628585542855</v>
      </c>
      <c r="E82" s="20">
        <v>0.66298789849281703</v>
      </c>
      <c r="F82" s="161">
        <v>795.97970073628596</v>
      </c>
      <c r="G82" s="159">
        <v>1200.5946149934286</v>
      </c>
      <c r="H82" s="20">
        <v>0.67723991245698212</v>
      </c>
      <c r="I82" s="161">
        <v>485.9235747935715</v>
      </c>
      <c r="J82" s="159">
        <v>717.50581419614286</v>
      </c>
      <c r="K82" s="52">
        <v>1517.5412547890005</v>
      </c>
      <c r="L82" s="6">
        <v>0.35188846018835152</v>
      </c>
      <c r="M82" s="21">
        <v>4312.5632877438566</v>
      </c>
      <c r="N82" s="20">
        <v>0.13912026549256198</v>
      </c>
      <c r="O82" s="3">
        <v>1760.173</v>
      </c>
      <c r="P82" s="130">
        <v>12652.168206896551</v>
      </c>
      <c r="Q82" s="32">
        <v>0.64216305497927406</v>
      </c>
      <c r="R82" s="3">
        <v>3243.7657241379311</v>
      </c>
      <c r="S82" s="3">
        <v>5051.3116551724142</v>
      </c>
      <c r="T82" s="32">
        <v>0.96903772078274764</v>
      </c>
      <c r="U82" s="3">
        <v>4333.6315862068959</v>
      </c>
      <c r="V82" s="3">
        <v>4472.0979310344819</v>
      </c>
      <c r="W82" s="52">
        <v>9337.5703103448268</v>
      </c>
      <c r="X82" s="6">
        <v>0.4210744990486241</v>
      </c>
      <c r="Y82" s="19">
        <v>22175.577793103446</v>
      </c>
      <c r="Z82" s="20">
        <v>2.9687512152787515E-2</v>
      </c>
      <c r="AA82" s="3">
        <v>28.298172413793104</v>
      </c>
      <c r="AB82" s="3">
        <v>953.20120689655164</v>
      </c>
      <c r="AC82" s="32">
        <v>0.53774157595420291</v>
      </c>
      <c r="AD82" s="3">
        <v>132.04913793103449</v>
      </c>
      <c r="AE82" s="3">
        <v>245.56244827586207</v>
      </c>
      <c r="AF82" s="32">
        <v>0.98937969779501389</v>
      </c>
      <c r="AG82" s="3">
        <v>355.26451724137934</v>
      </c>
      <c r="AH82" s="3">
        <v>359.07803448275865</v>
      </c>
      <c r="AI82" s="52">
        <v>515.61182758620691</v>
      </c>
      <c r="AJ82" s="6">
        <v>0.33097832148806944</v>
      </c>
      <c r="AK82" s="21">
        <v>1557.8416896551723</v>
      </c>
      <c r="AL82" s="69">
        <f t="shared" si="169"/>
        <v>11370.723392720034</v>
      </c>
      <c r="AM82" s="6">
        <f t="shared" si="170"/>
        <v>0.40543144755402399</v>
      </c>
      <c r="AN82" s="3">
        <f t="shared" si="171"/>
        <v>28045.982770502473</v>
      </c>
      <c r="AO82" s="6">
        <f t="shared" si="172"/>
        <v>0.12650814816172898</v>
      </c>
      <c r="AP82" s="6">
        <f t="shared" si="173"/>
        <v>0.64206458600785354</v>
      </c>
      <c r="AQ82" s="70">
        <f t="shared" si="174"/>
        <v>0.93262145563322463</v>
      </c>
    </row>
    <row r="83" spans="1:43" ht="35.25" customHeight="1" thickBot="1" x14ac:dyDescent="0.25">
      <c r="A83" s="133">
        <v>43831</v>
      </c>
      <c r="B83" s="142">
        <v>0.10030031030020703</v>
      </c>
      <c r="C83" s="41">
        <v>252.19785015542843</v>
      </c>
      <c r="D83" s="160">
        <v>2514.4274170297144</v>
      </c>
      <c r="E83" s="142">
        <v>0.6588311985967189</v>
      </c>
      <c r="F83" s="161">
        <v>825.32046612328566</v>
      </c>
      <c r="G83" s="160">
        <v>1252.7039822661427</v>
      </c>
      <c r="H83" s="142">
        <v>0.70924160850837847</v>
      </c>
      <c r="I83" s="161">
        <v>459.25472184614284</v>
      </c>
      <c r="J83" s="160">
        <v>647.52929937657143</v>
      </c>
      <c r="K83" s="78">
        <v>1536.7730381248571</v>
      </c>
      <c r="L83" s="77">
        <v>0.34810671601262433</v>
      </c>
      <c r="M83" s="79">
        <v>4414.6606986724291</v>
      </c>
      <c r="N83" s="20">
        <v>0.13999425482745509</v>
      </c>
      <c r="O83" s="3">
        <v>2104.1857741935487</v>
      </c>
      <c r="P83" s="130">
        <v>15030.515193548388</v>
      </c>
      <c r="Q83" s="32">
        <v>0.63119670579440201</v>
      </c>
      <c r="R83" s="3">
        <v>3709.8753548387099</v>
      </c>
      <c r="S83" s="3">
        <v>5877.5264838709681</v>
      </c>
      <c r="T83" s="32">
        <v>0.97528977876262102</v>
      </c>
      <c r="U83" s="3">
        <v>8703.3631935483863</v>
      </c>
      <c r="V83" s="3">
        <v>8923.8740967741924</v>
      </c>
      <c r="W83" s="52">
        <v>14517.424322580646</v>
      </c>
      <c r="X83" s="6">
        <v>0.48664069825308087</v>
      </c>
      <c r="Y83" s="19">
        <v>29831.915774193549</v>
      </c>
      <c r="Z83" s="142">
        <v>3.4030280736783734E-2</v>
      </c>
      <c r="AA83" s="81">
        <v>32.324354838709674</v>
      </c>
      <c r="AB83" s="81">
        <v>949.87035483870966</v>
      </c>
      <c r="AC83" s="143">
        <v>0.55531877845601774</v>
      </c>
      <c r="AD83" s="81">
        <v>124.78967741935485</v>
      </c>
      <c r="AE83" s="81">
        <v>224.71719354838712</v>
      </c>
      <c r="AF83" s="143">
        <v>0.99365585422716074</v>
      </c>
      <c r="AG83" s="81">
        <v>446.23148387096774</v>
      </c>
      <c r="AH83" s="81">
        <v>449.08051612903222</v>
      </c>
      <c r="AI83" s="78">
        <v>603.34551612903226</v>
      </c>
      <c r="AJ83" s="77">
        <v>0.37159412648104023</v>
      </c>
      <c r="AK83" s="79">
        <v>1623.6680645161291</v>
      </c>
      <c r="AL83" s="69">
        <f t="shared" si="169"/>
        <v>16657.542876834537</v>
      </c>
      <c r="AM83" s="6">
        <f t="shared" si="170"/>
        <v>0.4643833096670113</v>
      </c>
      <c r="AN83" s="3">
        <f t="shared" si="171"/>
        <v>35870.24453738211</v>
      </c>
      <c r="AO83" s="6">
        <f t="shared" si="172"/>
        <v>0.12915556289508295</v>
      </c>
      <c r="AP83" s="6">
        <f t="shared" si="173"/>
        <v>0.63358513398049299</v>
      </c>
      <c r="AQ83" s="70">
        <f t="shared" si="174"/>
        <v>0.95892069518620227</v>
      </c>
    </row>
    <row r="84" spans="1:43" ht="30" customHeight="1" thickBot="1" x14ac:dyDescent="0.25">
      <c r="A84" s="133">
        <v>43800</v>
      </c>
      <c r="B84" s="142">
        <v>0.10037598913207252</v>
      </c>
      <c r="C84" s="41">
        <v>260.37818008242874</v>
      </c>
      <c r="D84" s="160">
        <v>2594.0285354481425</v>
      </c>
      <c r="E84" s="142">
        <v>0.65656940328188562</v>
      </c>
      <c r="F84" s="161">
        <v>784.97544242371418</v>
      </c>
      <c r="G84" s="160">
        <v>1195.5711589665714</v>
      </c>
      <c r="H84" s="142">
        <v>0.60215748637460331</v>
      </c>
      <c r="I84" s="161">
        <v>412.13845736057158</v>
      </c>
      <c r="J84" s="160">
        <v>684.43632552328586</v>
      </c>
      <c r="K84" s="78">
        <v>1457.4920798667144</v>
      </c>
      <c r="L84" s="77">
        <v>0.32576672904991771</v>
      </c>
      <c r="M84" s="79">
        <v>4474.0360199379993</v>
      </c>
      <c r="N84" s="20">
        <v>0.14502896617332053</v>
      </c>
      <c r="O84" s="3">
        <v>2047.6639032258065</v>
      </c>
      <c r="P84" s="130">
        <v>14118.999516129034</v>
      </c>
      <c r="Q84" s="32">
        <v>0.62043398805623029</v>
      </c>
      <c r="R84" s="3">
        <v>3559.1321612903225</v>
      </c>
      <c r="S84" s="3">
        <v>5736.52029032258</v>
      </c>
      <c r="T84" s="32">
        <v>0.97897272428521376</v>
      </c>
      <c r="U84" s="3">
        <v>7365.8720322580648</v>
      </c>
      <c r="V84" s="3">
        <v>7524.0830000000005</v>
      </c>
      <c r="W84" s="52">
        <v>12972.668096774194</v>
      </c>
      <c r="X84" s="6">
        <v>0.47380775347542181</v>
      </c>
      <c r="Y84" s="19">
        <v>27379.602806451614</v>
      </c>
      <c r="Z84" s="142">
        <v>3.4087473323091033E-2</v>
      </c>
      <c r="AA84" s="81">
        <v>30.655096774193549</v>
      </c>
      <c r="AB84" s="81">
        <v>899.30680645161294</v>
      </c>
      <c r="AC84" s="143">
        <v>0.54160103579818497</v>
      </c>
      <c r="AD84" s="81">
        <v>118.1377741935484</v>
      </c>
      <c r="AE84" s="81">
        <v>218.12693548387099</v>
      </c>
      <c r="AF84" s="143">
        <v>0.99049315311877895</v>
      </c>
      <c r="AG84" s="81">
        <v>416.85693548387098</v>
      </c>
      <c r="AH84" s="81">
        <v>420.85796774193545</v>
      </c>
      <c r="AI84" s="78">
        <v>565.6498064516129</v>
      </c>
      <c r="AJ84" s="77">
        <v>0.36771296555334743</v>
      </c>
      <c r="AK84" s="79">
        <v>1538.2917096774195</v>
      </c>
      <c r="AL84" s="69">
        <f t="shared" ref="AL84:AL91" si="175">+AI84+W84+K84</f>
        <v>14995.80998309252</v>
      </c>
      <c r="AM84" s="6">
        <f t="shared" ref="AM84:AM91" si="176">AL84/AN84</f>
        <v>0.44908484601977</v>
      </c>
      <c r="AN84" s="3">
        <f t="shared" ref="AN84:AN91" si="177">+AK84+Y84+M84</f>
        <v>33391.930536067033</v>
      </c>
      <c r="AO84" s="6">
        <f t="shared" ref="AO84:AO91" si="178">(+AA84+O84+C84)/(D84+P84+AB84)</f>
        <v>0.13278745827480709</v>
      </c>
      <c r="AP84" s="6">
        <f t="shared" ref="AP84:AP91" si="179">(+AD84+R84+F84)/(G84+S84+AE84)</f>
        <v>0.62407120143495232</v>
      </c>
      <c r="AQ84" s="70">
        <f t="shared" ref="AQ84:AQ91" si="180">(AG84+U84+I84)/(AH84+V84+J84)</f>
        <v>0.94964759873208615</v>
      </c>
    </row>
    <row r="85" spans="1:43" ht="30" customHeight="1" x14ac:dyDescent="0.2">
      <c r="A85" s="133">
        <v>43770</v>
      </c>
      <c r="B85" s="20">
        <v>0.10100000000000001</v>
      </c>
      <c r="C85" s="41">
        <v>239</v>
      </c>
      <c r="D85" s="159">
        <v>2372</v>
      </c>
      <c r="E85" s="20">
        <v>0.63500000000000001</v>
      </c>
      <c r="F85" s="161">
        <v>794</v>
      </c>
      <c r="G85" s="159">
        <v>1251</v>
      </c>
      <c r="H85" s="20">
        <v>0.65900000000000003</v>
      </c>
      <c r="I85" s="161">
        <v>435</v>
      </c>
      <c r="J85" s="159">
        <v>660</v>
      </c>
      <c r="K85" s="52">
        <v>1468</v>
      </c>
      <c r="L85" s="6">
        <v>0.34300000000000003</v>
      </c>
      <c r="M85" s="21">
        <v>4283</v>
      </c>
      <c r="N85" s="20">
        <v>0.15168782013103874</v>
      </c>
      <c r="O85" s="3">
        <v>1507.4558999999999</v>
      </c>
      <c r="P85" s="130">
        <v>9937.883600000001</v>
      </c>
      <c r="Q85" s="32">
        <v>0.6307463705442361</v>
      </c>
      <c r="R85" s="3">
        <v>2843.2476666666666</v>
      </c>
      <c r="S85" s="3">
        <v>4507.7511333333332</v>
      </c>
      <c r="T85" s="32">
        <v>0.97200218683702377</v>
      </c>
      <c r="U85" s="3">
        <v>4328.7471333333342</v>
      </c>
      <c r="V85" s="3">
        <v>4453.4335333333338</v>
      </c>
      <c r="W85" s="52">
        <v>8679.4507000000012</v>
      </c>
      <c r="X85" s="6">
        <v>0.45925283604104589</v>
      </c>
      <c r="Y85" s="19">
        <v>18899.068266666669</v>
      </c>
      <c r="Z85" s="20">
        <v>0.03</v>
      </c>
      <c r="AA85" s="3">
        <v>23</v>
      </c>
      <c r="AB85" s="3">
        <v>791</v>
      </c>
      <c r="AC85" s="32">
        <v>0.53100000000000003</v>
      </c>
      <c r="AD85" s="3">
        <v>107</v>
      </c>
      <c r="AE85" s="3">
        <v>201</v>
      </c>
      <c r="AF85" s="32">
        <v>0.995</v>
      </c>
      <c r="AG85" s="3">
        <v>377</v>
      </c>
      <c r="AH85" s="3">
        <v>379</v>
      </c>
      <c r="AI85" s="52">
        <v>507</v>
      </c>
      <c r="AJ85" s="6">
        <v>0.37</v>
      </c>
      <c r="AK85" s="21">
        <v>1371</v>
      </c>
      <c r="AL85" s="69">
        <f t="shared" si="175"/>
        <v>10654.450700000001</v>
      </c>
      <c r="AM85" s="6">
        <f t="shared" si="176"/>
        <v>0.433935611805573</v>
      </c>
      <c r="AN85" s="3">
        <f t="shared" si="177"/>
        <v>24553.068266666669</v>
      </c>
      <c r="AO85" s="6">
        <f t="shared" si="178"/>
        <v>0.13506385935678414</v>
      </c>
      <c r="AP85" s="6">
        <f t="shared" si="179"/>
        <v>0.62825570781383966</v>
      </c>
      <c r="AQ85" s="70">
        <f t="shared" si="180"/>
        <v>0.93596892927959341</v>
      </c>
    </row>
    <row r="86" spans="1:43" ht="30" customHeight="1" x14ac:dyDescent="0.2">
      <c r="A86" s="133">
        <v>43739</v>
      </c>
      <c r="B86" s="20">
        <v>0.1</v>
      </c>
      <c r="C86" s="41">
        <v>215</v>
      </c>
      <c r="D86" s="159">
        <v>2142</v>
      </c>
      <c r="E86" s="20">
        <v>0.63</v>
      </c>
      <c r="F86" s="161">
        <v>710</v>
      </c>
      <c r="G86" s="159">
        <v>1128</v>
      </c>
      <c r="H86" s="20">
        <v>0.68300000000000005</v>
      </c>
      <c r="I86" s="161">
        <v>516</v>
      </c>
      <c r="J86" s="159">
        <v>756</v>
      </c>
      <c r="K86" s="52">
        <v>1442</v>
      </c>
      <c r="L86" s="6">
        <v>0.35799999999999998</v>
      </c>
      <c r="M86" s="21">
        <v>4025</v>
      </c>
      <c r="N86" s="20">
        <v>0.15899718884691896</v>
      </c>
      <c r="O86" s="3">
        <v>1695.2336129032258</v>
      </c>
      <c r="P86" s="130">
        <v>10662.035129032258</v>
      </c>
      <c r="Q86" s="32">
        <v>0.61070324738454373</v>
      </c>
      <c r="R86" s="3">
        <v>3382.5223870967743</v>
      </c>
      <c r="S86" s="3">
        <v>5538.7332580645161</v>
      </c>
      <c r="T86" s="32">
        <v>0.98176562679140666</v>
      </c>
      <c r="U86" s="3">
        <v>9370.8506774193556</v>
      </c>
      <c r="V86" s="3">
        <v>9544.8958709677427</v>
      </c>
      <c r="W86" s="52">
        <v>14448.606677419357</v>
      </c>
      <c r="X86" s="6">
        <v>0.56120543376127907</v>
      </c>
      <c r="Y86" s="19">
        <v>25745.664258064517</v>
      </c>
      <c r="Z86" s="20">
        <v>3.1E-2</v>
      </c>
      <c r="AA86" s="3">
        <v>21</v>
      </c>
      <c r="AB86" s="3">
        <v>667</v>
      </c>
      <c r="AC86" s="32">
        <v>0.55100000000000005</v>
      </c>
      <c r="AD86" s="3">
        <v>109</v>
      </c>
      <c r="AE86" s="3">
        <v>198</v>
      </c>
      <c r="AF86" s="32">
        <v>0.997</v>
      </c>
      <c r="AG86" s="3">
        <v>403</v>
      </c>
      <c r="AH86" s="3">
        <v>404</v>
      </c>
      <c r="AI86" s="52">
        <v>533</v>
      </c>
      <c r="AJ86" s="6">
        <v>0.42</v>
      </c>
      <c r="AK86" s="21">
        <v>1269</v>
      </c>
      <c r="AL86" s="69">
        <f t="shared" si="175"/>
        <v>16423.606677419357</v>
      </c>
      <c r="AM86" s="6">
        <f t="shared" si="176"/>
        <v>0.52911676301886179</v>
      </c>
      <c r="AN86" s="3">
        <f t="shared" si="177"/>
        <v>31039.664258064517</v>
      </c>
      <c r="AO86" s="6">
        <f t="shared" si="178"/>
        <v>0.14336193131447672</v>
      </c>
      <c r="AP86" s="6">
        <f t="shared" si="179"/>
        <v>0.61204452221955341</v>
      </c>
      <c r="AQ86" s="70">
        <f t="shared" si="180"/>
        <v>0.96122846980006482</v>
      </c>
    </row>
    <row r="87" spans="1:43" ht="30" customHeight="1" x14ac:dyDescent="0.2">
      <c r="A87" s="133">
        <v>43709</v>
      </c>
      <c r="B87" s="20">
        <v>0.10299999999999999</v>
      </c>
      <c r="C87" s="41">
        <v>208</v>
      </c>
      <c r="D87" s="159">
        <v>2013</v>
      </c>
      <c r="E87" s="20">
        <v>0.624</v>
      </c>
      <c r="F87" s="161">
        <v>743</v>
      </c>
      <c r="G87" s="159">
        <v>1191</v>
      </c>
      <c r="H87" s="20">
        <v>0.71599999999999997</v>
      </c>
      <c r="I87" s="161">
        <v>546</v>
      </c>
      <c r="J87" s="159">
        <v>763</v>
      </c>
      <c r="K87" s="52">
        <v>1498</v>
      </c>
      <c r="L87" s="6">
        <v>0.378</v>
      </c>
      <c r="M87" s="21">
        <v>3966</v>
      </c>
      <c r="N87" s="20">
        <v>0.15026373636726517</v>
      </c>
      <c r="O87" s="3">
        <v>1723.6250666666667</v>
      </c>
      <c r="P87" s="130">
        <v>11470.665566666668</v>
      </c>
      <c r="Q87" s="32">
        <v>0.6017564830271851</v>
      </c>
      <c r="R87" s="3">
        <v>3516.3382333333334</v>
      </c>
      <c r="S87" s="3">
        <v>5843.457166666667</v>
      </c>
      <c r="T87" s="32">
        <v>0.97541203509185515</v>
      </c>
      <c r="U87" s="3">
        <v>5311.2718333333332</v>
      </c>
      <c r="V87" s="3">
        <v>5445.1571666666669</v>
      </c>
      <c r="W87" s="52">
        <v>10551.235133333334</v>
      </c>
      <c r="X87" s="6">
        <v>0.46360144871425973</v>
      </c>
      <c r="Y87" s="19">
        <v>22759.279900000001</v>
      </c>
      <c r="Z87" s="20">
        <v>3.1E-2</v>
      </c>
      <c r="AA87" s="3">
        <v>21</v>
      </c>
      <c r="AB87" s="3">
        <v>683</v>
      </c>
      <c r="AC87" s="32">
        <v>0.55500000000000005</v>
      </c>
      <c r="AD87" s="3">
        <v>116</v>
      </c>
      <c r="AE87" s="3">
        <v>209</v>
      </c>
      <c r="AF87" s="32">
        <v>0.98799999999999999</v>
      </c>
      <c r="AG87" s="3">
        <v>392</v>
      </c>
      <c r="AH87" s="3">
        <v>397</v>
      </c>
      <c r="AI87" s="52">
        <v>530</v>
      </c>
      <c r="AJ87" s="6">
        <v>0.41099999999999998</v>
      </c>
      <c r="AK87" s="21">
        <v>1289</v>
      </c>
      <c r="AL87" s="69">
        <f t="shared" si="175"/>
        <v>12579.235133333334</v>
      </c>
      <c r="AM87" s="6">
        <f t="shared" si="176"/>
        <v>0.44902939423166588</v>
      </c>
      <c r="AN87" s="3">
        <f t="shared" si="177"/>
        <v>28014.279900000001</v>
      </c>
      <c r="AO87" s="6">
        <f t="shared" si="178"/>
        <v>0.13783236834933682</v>
      </c>
      <c r="AP87" s="6">
        <f t="shared" si="179"/>
        <v>0.60404005058081955</v>
      </c>
      <c r="AQ87" s="70">
        <f t="shared" si="180"/>
        <v>0.94612008096804556</v>
      </c>
    </row>
    <row r="88" spans="1:43" ht="24.75" customHeight="1" x14ac:dyDescent="0.2">
      <c r="A88" s="133">
        <v>43678</v>
      </c>
      <c r="B88" s="20">
        <v>0.104</v>
      </c>
      <c r="C88" s="41">
        <v>223</v>
      </c>
      <c r="D88" s="159">
        <v>2139</v>
      </c>
      <c r="E88" s="20">
        <v>0.63</v>
      </c>
      <c r="F88" s="161">
        <v>798</v>
      </c>
      <c r="G88" s="159">
        <v>1267</v>
      </c>
      <c r="H88" s="20">
        <v>0.76900000000000002</v>
      </c>
      <c r="I88" s="161">
        <v>712</v>
      </c>
      <c r="J88" s="159">
        <v>925</v>
      </c>
      <c r="K88" s="52">
        <v>1732</v>
      </c>
      <c r="L88" s="6">
        <v>0.4</v>
      </c>
      <c r="M88" s="21">
        <v>4331</v>
      </c>
      <c r="N88" s="20">
        <v>0.15749180717833478</v>
      </c>
      <c r="O88" s="3">
        <v>2130.4082580645163</v>
      </c>
      <c r="P88" s="130">
        <v>13527.105290322583</v>
      </c>
      <c r="Q88" s="32">
        <v>0.58915318288022678</v>
      </c>
      <c r="R88" s="3">
        <v>3686.0900645161291</v>
      </c>
      <c r="S88" s="3">
        <v>6256.5902580645161</v>
      </c>
      <c r="T88" s="32">
        <v>0.97828792608940851</v>
      </c>
      <c r="U88" s="3">
        <v>7787.2600322580647</v>
      </c>
      <c r="V88" s="3">
        <v>7960.0900967741936</v>
      </c>
      <c r="W88" s="52">
        <v>13603.75835483871</v>
      </c>
      <c r="X88" s="6">
        <v>0.49033533234536431</v>
      </c>
      <c r="Y88" s="19">
        <v>27743.785645161293</v>
      </c>
      <c r="Z88" s="20">
        <v>2.9000000000000001E-2</v>
      </c>
      <c r="AA88" s="3">
        <v>20</v>
      </c>
      <c r="AB88" s="3">
        <v>686</v>
      </c>
      <c r="AC88" s="32">
        <v>0.57199999999999995</v>
      </c>
      <c r="AD88" s="3">
        <v>116</v>
      </c>
      <c r="AE88" s="3">
        <v>204</v>
      </c>
      <c r="AF88" s="32">
        <v>0.98899999999999999</v>
      </c>
      <c r="AG88" s="3">
        <v>401</v>
      </c>
      <c r="AH88" s="3">
        <v>406</v>
      </c>
      <c r="AI88" s="52">
        <v>538</v>
      </c>
      <c r="AJ88" s="6">
        <v>0.41499999999999998</v>
      </c>
      <c r="AK88" s="21">
        <v>1295</v>
      </c>
      <c r="AL88" s="69">
        <f t="shared" si="175"/>
        <v>15873.75835483871</v>
      </c>
      <c r="AM88" s="6">
        <f t="shared" si="176"/>
        <v>0.47569254785250464</v>
      </c>
      <c r="AN88" s="3">
        <f t="shared" si="177"/>
        <v>33369.78564516129</v>
      </c>
      <c r="AO88" s="6">
        <f t="shared" si="178"/>
        <v>0.14514389529213309</v>
      </c>
      <c r="AP88" s="6">
        <f t="shared" si="179"/>
        <v>0.5952813116243415</v>
      </c>
      <c r="AQ88" s="70">
        <f t="shared" si="180"/>
        <v>0.95793496129675648</v>
      </c>
    </row>
    <row r="89" spans="1:43" ht="24.75" customHeight="1" x14ac:dyDescent="0.2">
      <c r="A89" s="133">
        <v>43647</v>
      </c>
      <c r="B89" s="20">
        <v>0.10566638400490223</v>
      </c>
      <c r="C89" s="41">
        <v>266.81755887057159</v>
      </c>
      <c r="D89" s="159">
        <v>2525.0940626320003</v>
      </c>
      <c r="E89" s="20">
        <v>0.64252014882170283</v>
      </c>
      <c r="F89" s="161">
        <v>972.55731821285701</v>
      </c>
      <c r="G89" s="159">
        <v>1513.6604198271427</v>
      </c>
      <c r="H89" s="20">
        <v>0.77443116102221865</v>
      </c>
      <c r="I89" s="161">
        <v>601.41923744371445</v>
      </c>
      <c r="J89" s="159">
        <v>776.59483206985726</v>
      </c>
      <c r="K89" s="52">
        <v>1840.7941145271429</v>
      </c>
      <c r="L89" s="6">
        <v>0.38227634057056875</v>
      </c>
      <c r="M89" s="21">
        <v>4815.3493145290004</v>
      </c>
      <c r="N89" s="20">
        <v>0.15829816905875121</v>
      </c>
      <c r="O89" s="3">
        <v>1894.5750967741935</v>
      </c>
      <c r="P89" s="130">
        <v>11968.395516129032</v>
      </c>
      <c r="Q89" s="32">
        <v>0.59270997350045274</v>
      </c>
      <c r="R89" s="3">
        <v>3544.4661935483869</v>
      </c>
      <c r="S89" s="3">
        <v>5980.1021612903223</v>
      </c>
      <c r="T89" s="32">
        <v>0.98250700387971446</v>
      </c>
      <c r="U89" s="3">
        <v>9639.6274516129033</v>
      </c>
      <c r="V89" s="3">
        <v>9811.2557096774199</v>
      </c>
      <c r="W89" s="52">
        <v>15078.668741935484</v>
      </c>
      <c r="X89" s="6">
        <v>0.54318453523957877</v>
      </c>
      <c r="Y89" s="19">
        <v>27759.753387096775</v>
      </c>
      <c r="Z89" s="20">
        <v>3.0947800060104849E-2</v>
      </c>
      <c r="AA89" s="3">
        <v>20.944677419354839</v>
      </c>
      <c r="AB89" s="3">
        <v>676.77435483870966</v>
      </c>
      <c r="AC89" s="32">
        <v>0.55007340320813536</v>
      </c>
      <c r="AD89" s="3">
        <v>110.05096774193548</v>
      </c>
      <c r="AE89" s="3">
        <v>200.06596774193548</v>
      </c>
      <c r="AF89" s="32">
        <v>0.98920049902126739</v>
      </c>
      <c r="AG89" s="3">
        <v>413.61896774193548</v>
      </c>
      <c r="AH89" s="3">
        <v>418.13461290322584</v>
      </c>
      <c r="AI89" s="52">
        <v>544.61461290322586</v>
      </c>
      <c r="AJ89" s="6">
        <v>0.42055996450597644</v>
      </c>
      <c r="AK89" s="21">
        <v>1294.9749354838709</v>
      </c>
      <c r="AL89" s="69">
        <f t="shared" si="175"/>
        <v>17464.077469365853</v>
      </c>
      <c r="AM89" s="6">
        <f t="shared" si="176"/>
        <v>0.51561964683043393</v>
      </c>
      <c r="AN89" s="3">
        <f t="shared" si="177"/>
        <v>33870.077637109644</v>
      </c>
      <c r="AO89" s="6">
        <f t="shared" si="178"/>
        <v>0.14385625343212299</v>
      </c>
      <c r="AP89" s="6">
        <f t="shared" si="179"/>
        <v>0.60140077857455465</v>
      </c>
      <c r="AQ89" s="70">
        <f t="shared" si="180"/>
        <v>0.96807923208005586</v>
      </c>
    </row>
    <row r="90" spans="1:43" ht="24.75" customHeight="1" x14ac:dyDescent="0.2">
      <c r="A90" s="133">
        <v>43617</v>
      </c>
      <c r="B90" s="20">
        <v>0.107</v>
      </c>
      <c r="C90" s="41">
        <v>223</v>
      </c>
      <c r="D90" s="159">
        <v>2079</v>
      </c>
      <c r="E90" s="20">
        <v>0.65</v>
      </c>
      <c r="F90" s="161">
        <v>814</v>
      </c>
      <c r="G90" s="159">
        <v>1251</v>
      </c>
      <c r="H90" s="20">
        <v>0.78200000000000003</v>
      </c>
      <c r="I90" s="161">
        <v>525</v>
      </c>
      <c r="J90" s="159">
        <v>671</v>
      </c>
      <c r="K90" s="52">
        <v>1562</v>
      </c>
      <c r="L90" s="6">
        <v>0.39</v>
      </c>
      <c r="M90" s="21">
        <v>4002</v>
      </c>
      <c r="N90" s="20">
        <v>0.15975084866710482</v>
      </c>
      <c r="O90" s="3">
        <v>1663.0456333333334</v>
      </c>
      <c r="P90" s="130">
        <v>10410.246000000001</v>
      </c>
      <c r="Q90" s="32">
        <v>0.60726673991092162</v>
      </c>
      <c r="R90" s="3">
        <v>3219.516966666667</v>
      </c>
      <c r="S90" s="3">
        <v>5301.6520666666675</v>
      </c>
      <c r="T90" s="32">
        <v>0.972593817348268</v>
      </c>
      <c r="U90" s="3">
        <v>4497.9709666666668</v>
      </c>
      <c r="V90" s="3">
        <v>4624.7168000000001</v>
      </c>
      <c r="W90" s="52">
        <v>9380.533566666667</v>
      </c>
      <c r="X90" s="6">
        <v>0.46126327455028454</v>
      </c>
      <c r="Y90" s="19">
        <v>20336.61486666667</v>
      </c>
      <c r="Z90" s="20">
        <v>3.7999999999999999E-2</v>
      </c>
      <c r="AA90" s="3">
        <v>24</v>
      </c>
      <c r="AB90" s="3">
        <v>649</v>
      </c>
      <c r="AC90" s="32">
        <v>0.54300000000000004</v>
      </c>
      <c r="AD90" s="3">
        <v>106</v>
      </c>
      <c r="AE90" s="3">
        <v>195</v>
      </c>
      <c r="AF90" s="32">
        <v>0.98799999999999999</v>
      </c>
      <c r="AG90" s="3">
        <v>364</v>
      </c>
      <c r="AH90" s="3">
        <v>369</v>
      </c>
      <c r="AI90" s="52">
        <v>495</v>
      </c>
      <c r="AJ90" s="6">
        <v>0.40799999999999997</v>
      </c>
      <c r="AK90" s="21">
        <v>1212</v>
      </c>
      <c r="AL90" s="69">
        <f t="shared" si="175"/>
        <v>11437.533566666667</v>
      </c>
      <c r="AM90" s="6">
        <f t="shared" si="176"/>
        <v>0.44764220455563564</v>
      </c>
      <c r="AN90" s="3">
        <f t="shared" si="177"/>
        <v>25550.61486666667</v>
      </c>
      <c r="AO90" s="6">
        <f t="shared" si="178"/>
        <v>0.14538056551333667</v>
      </c>
      <c r="AP90" s="6">
        <f t="shared" si="179"/>
        <v>0.61347516525279044</v>
      </c>
      <c r="AQ90" s="70">
        <f t="shared" si="180"/>
        <v>0.95096915818751371</v>
      </c>
    </row>
    <row r="91" spans="1:43" ht="16.5" customHeight="1" x14ac:dyDescent="0.2">
      <c r="A91" s="133">
        <v>43586</v>
      </c>
      <c r="B91" s="20">
        <v>0.1072925341871724</v>
      </c>
      <c r="C91" s="41">
        <v>214.44234261800011</v>
      </c>
      <c r="D91" s="159">
        <v>1998.6697512792857</v>
      </c>
      <c r="E91" s="20">
        <v>0.62554460220549979</v>
      </c>
      <c r="F91" s="161">
        <v>722.34854926514265</v>
      </c>
      <c r="G91" s="159">
        <v>1154.7514705079998</v>
      </c>
      <c r="H91" s="20">
        <v>0.8080377151077921</v>
      </c>
      <c r="I91" s="161">
        <v>455.62217848628569</v>
      </c>
      <c r="J91" s="159">
        <v>563.86251528557148</v>
      </c>
      <c r="K91" s="52">
        <v>1392.4130703694284</v>
      </c>
      <c r="L91" s="6">
        <v>0.37457809757236127</v>
      </c>
      <c r="M91" s="21">
        <v>3717.2837370728571</v>
      </c>
      <c r="N91" s="20">
        <v>0.16053418198470373</v>
      </c>
      <c r="O91" s="3">
        <v>1756.3552580645162</v>
      </c>
      <c r="P91" s="130">
        <v>10940.69335483871</v>
      </c>
      <c r="Q91" s="32">
        <v>0.61747702397491611</v>
      </c>
      <c r="R91" s="3">
        <v>3133.2965483870967</v>
      </c>
      <c r="S91" s="3">
        <v>5074.353258064516</v>
      </c>
      <c r="T91" s="32">
        <v>0.97662332415179109</v>
      </c>
      <c r="U91" s="3">
        <v>7761.5439677419354</v>
      </c>
      <c r="V91" s="3">
        <v>7947.3260322580645</v>
      </c>
      <c r="W91" s="52">
        <v>12651.195774193548</v>
      </c>
      <c r="X91" s="6">
        <v>0.52796089775977162</v>
      </c>
      <c r="Y91" s="19">
        <v>23962.372645161289</v>
      </c>
      <c r="Z91" s="20">
        <v>2.9477856197272521E-2</v>
      </c>
      <c r="AA91" s="3">
        <v>24.161451612903225</v>
      </c>
      <c r="AB91" s="3">
        <v>819.64751612903228</v>
      </c>
      <c r="AC91" s="32">
        <v>0.53300587147491751</v>
      </c>
      <c r="AD91" s="3">
        <v>104.64461290322581</v>
      </c>
      <c r="AE91" s="3">
        <v>196.32919354838708</v>
      </c>
      <c r="AF91" s="32">
        <v>0.98705733778161997</v>
      </c>
      <c r="AG91" s="3">
        <v>394.80322580645162</v>
      </c>
      <c r="AH91" s="3">
        <v>399.98003225806451</v>
      </c>
      <c r="AI91" s="52">
        <v>523.60929032258059</v>
      </c>
      <c r="AJ91" s="6">
        <v>0.36979186921124041</v>
      </c>
      <c r="AK91" s="21">
        <v>1415.9567419354839</v>
      </c>
      <c r="AL91" s="69">
        <f t="shared" si="175"/>
        <v>14567.218134885556</v>
      </c>
      <c r="AM91" s="6">
        <f t="shared" si="176"/>
        <v>0.5006671649336929</v>
      </c>
      <c r="AN91" s="3">
        <f t="shared" si="177"/>
        <v>29095.613124169628</v>
      </c>
      <c r="AO91" s="6">
        <f t="shared" si="178"/>
        <v>0.14499291461188046</v>
      </c>
      <c r="AP91" s="6">
        <f t="shared" si="179"/>
        <v>0.61634587773462857</v>
      </c>
      <c r="AQ91" s="70">
        <f t="shared" si="180"/>
        <v>0.9664242455871388</v>
      </c>
    </row>
    <row r="92" spans="1:43" ht="16.5" customHeight="1" x14ac:dyDescent="0.2">
      <c r="A92" s="133">
        <v>43556</v>
      </c>
      <c r="B92" s="20">
        <v>0.10840089460962039</v>
      </c>
      <c r="C92" s="41">
        <v>231.31415332771419</v>
      </c>
      <c r="D92" s="159">
        <v>2133.876792813714</v>
      </c>
      <c r="E92" s="20">
        <v>0.64260106384325866</v>
      </c>
      <c r="F92" s="161">
        <v>753.06520559614296</v>
      </c>
      <c r="G92" s="159">
        <v>1171.9015855532857</v>
      </c>
      <c r="H92" s="20">
        <v>0.87854970085981932</v>
      </c>
      <c r="I92" s="161">
        <v>478.56740291514291</v>
      </c>
      <c r="J92" s="159">
        <v>544.72433653642861</v>
      </c>
      <c r="K92" s="52">
        <v>1462.9467618389999</v>
      </c>
      <c r="L92" s="6">
        <v>0.37993656157588007</v>
      </c>
      <c r="M92" s="21">
        <v>3850.5027149034286</v>
      </c>
      <c r="N92" s="20">
        <v>0.15502809369580595</v>
      </c>
      <c r="O92" s="3">
        <v>1764.8740333333335</v>
      </c>
      <c r="P92" s="130">
        <v>11384.2207</v>
      </c>
      <c r="Q92" s="32">
        <v>0.61343334255244697</v>
      </c>
      <c r="R92" s="3">
        <v>3170.9672</v>
      </c>
      <c r="S92" s="3">
        <v>5169.2123333333329</v>
      </c>
      <c r="T92" s="32">
        <v>0.97369795580274487</v>
      </c>
      <c r="U92" s="3">
        <v>5618.2571333333335</v>
      </c>
      <c r="V92" s="3">
        <v>5770.0204666666668</v>
      </c>
      <c r="W92" s="52">
        <v>10554.098366666667</v>
      </c>
      <c r="X92" s="6">
        <v>0.47278071767285773</v>
      </c>
      <c r="Y92" s="19">
        <v>22323.4535</v>
      </c>
      <c r="Z92" s="20">
        <v>3.57129363948641E-2</v>
      </c>
      <c r="AA92" s="3">
        <v>29.208633333333335</v>
      </c>
      <c r="AB92" s="3">
        <v>817.87263333333317</v>
      </c>
      <c r="AC92" s="32">
        <v>0.53105795978821169</v>
      </c>
      <c r="AD92" s="3">
        <v>114.88003333333333</v>
      </c>
      <c r="AE92" s="3">
        <v>216.32296666666667</v>
      </c>
      <c r="AF92" s="32">
        <v>0.98549297207258646</v>
      </c>
      <c r="AG92" s="3">
        <v>424.04353333333336</v>
      </c>
      <c r="AH92" s="3">
        <v>430.28570000000002</v>
      </c>
      <c r="AI92" s="52">
        <v>568.13220000000001</v>
      </c>
      <c r="AJ92" s="6">
        <v>0.38794090440075951</v>
      </c>
      <c r="AK92" s="21">
        <v>1464.4812999999999</v>
      </c>
      <c r="AL92" s="69">
        <f t="shared" ref="AL92:AL97" si="181">+AI92+W92+K92</f>
        <v>12585.177328505666</v>
      </c>
      <c r="AM92" s="6">
        <f t="shared" ref="AM92:AM97" si="182">AL92/AN92</f>
        <v>0.45535053570663619</v>
      </c>
      <c r="AN92" s="3">
        <f t="shared" ref="AN92:AN97" si="183">+AK92+Y92+M92</f>
        <v>27638.437514903428</v>
      </c>
      <c r="AO92" s="6">
        <f t="shared" ref="AO92:AO97" si="184">(+AA92+O92+C92)/(D92+P92+AB92)</f>
        <v>0.14128076455044408</v>
      </c>
      <c r="AP92" s="6">
        <f t="shared" ref="AP92:AP97" si="185">(+AD92+R92+F92)/(G92+S92+AE92)</f>
        <v>0.61592852656006813</v>
      </c>
      <c r="AQ92" s="70">
        <f t="shared" ref="AQ92:AQ97" si="186">(AG92+U92+I92)/(AH92+V92+J92)</f>
        <v>0.96676628318955193</v>
      </c>
    </row>
    <row r="93" spans="1:43" ht="16.5" customHeight="1" x14ac:dyDescent="0.2">
      <c r="A93" s="133">
        <v>43525</v>
      </c>
      <c r="B93" s="20">
        <v>0.108</v>
      </c>
      <c r="C93" s="41">
        <v>240</v>
      </c>
      <c r="D93" s="159">
        <v>2234</v>
      </c>
      <c r="E93" s="20">
        <v>0.64200000000000002</v>
      </c>
      <c r="F93" s="161">
        <v>724</v>
      </c>
      <c r="G93" s="159">
        <v>1128</v>
      </c>
      <c r="H93" s="20">
        <v>0.78</v>
      </c>
      <c r="I93" s="161">
        <v>462</v>
      </c>
      <c r="J93" s="159">
        <v>593</v>
      </c>
      <c r="K93" s="52">
        <v>1427</v>
      </c>
      <c r="L93" s="6">
        <v>0.36099999999999999</v>
      </c>
      <c r="M93" s="21">
        <v>3954</v>
      </c>
      <c r="N93" s="20">
        <v>0.15206976037587552</v>
      </c>
      <c r="O93" s="3">
        <v>2013.5650322580645</v>
      </c>
      <c r="P93" s="130">
        <v>13241.061387096775</v>
      </c>
      <c r="Q93" s="32">
        <v>0.60671569013121751</v>
      </c>
      <c r="R93" s="3">
        <v>3408.7276129032257</v>
      </c>
      <c r="S93" s="3">
        <v>5618.3277741935481</v>
      </c>
      <c r="T93" s="32">
        <v>0.9740873416422654</v>
      </c>
      <c r="U93" s="3">
        <v>8062.9850322580651</v>
      </c>
      <c r="V93" s="3">
        <v>8277.4764516129035</v>
      </c>
      <c r="W93" s="52">
        <v>13485.277677419355</v>
      </c>
      <c r="X93" s="6">
        <v>0.49693571357066679</v>
      </c>
      <c r="Y93" s="19">
        <v>27136.865612903228</v>
      </c>
      <c r="Z93" s="20">
        <v>3.4000000000000002E-2</v>
      </c>
      <c r="AA93" s="3">
        <v>28</v>
      </c>
      <c r="AB93" s="3">
        <v>827</v>
      </c>
      <c r="AC93" s="32">
        <v>0.53500000000000003</v>
      </c>
      <c r="AD93" s="3">
        <v>108</v>
      </c>
      <c r="AE93" s="3">
        <v>201</v>
      </c>
      <c r="AF93" s="32">
        <v>0.98399999999999999</v>
      </c>
      <c r="AG93" s="3">
        <v>417</v>
      </c>
      <c r="AH93" s="3">
        <v>423</v>
      </c>
      <c r="AI93" s="52">
        <v>552</v>
      </c>
      <c r="AJ93" s="6">
        <v>0.38100000000000001</v>
      </c>
      <c r="AK93" s="21">
        <v>1451</v>
      </c>
      <c r="AL93" s="69">
        <f t="shared" si="181"/>
        <v>15464.277677419355</v>
      </c>
      <c r="AM93" s="6">
        <f t="shared" si="182"/>
        <v>0.47521177370014056</v>
      </c>
      <c r="AN93" s="3">
        <f t="shared" si="183"/>
        <v>32541.865612903228</v>
      </c>
      <c r="AO93" s="6">
        <f t="shared" si="184"/>
        <v>0.13995561531034004</v>
      </c>
      <c r="AP93" s="6">
        <f t="shared" si="185"/>
        <v>0.61041133378732693</v>
      </c>
      <c r="AQ93" s="70">
        <f t="shared" si="186"/>
        <v>0.96217869371220743</v>
      </c>
    </row>
    <row r="94" spans="1:43" ht="16.5" customHeight="1" x14ac:dyDescent="0.2">
      <c r="A94" s="133">
        <v>43497</v>
      </c>
      <c r="B94" s="20">
        <v>0.10627618248758666</v>
      </c>
      <c r="C94" s="41">
        <v>279.76759769871416</v>
      </c>
      <c r="D94" s="159">
        <v>2632.4581025611428</v>
      </c>
      <c r="E94" s="20">
        <v>0.63436656825467985</v>
      </c>
      <c r="F94" s="161">
        <v>859.92466482985708</v>
      </c>
      <c r="G94" s="159">
        <v>1355.5642870584286</v>
      </c>
      <c r="H94" s="20">
        <v>0.78458593747186434</v>
      </c>
      <c r="I94" s="161">
        <v>478.53931631157144</v>
      </c>
      <c r="J94" s="159">
        <v>609.92594113214284</v>
      </c>
      <c r="K94" s="52">
        <v>1618.2315788401427</v>
      </c>
      <c r="L94" s="6">
        <v>0.35194644707448886</v>
      </c>
      <c r="M94" s="21">
        <v>4597.9483307517148</v>
      </c>
      <c r="N94" s="20">
        <v>0.15141363409497891</v>
      </c>
      <c r="O94" s="3">
        <v>2330.1456428571428</v>
      </c>
      <c r="P94" s="130">
        <v>15389.272285714287</v>
      </c>
      <c r="Q94" s="32">
        <v>0.57840474239625761</v>
      </c>
      <c r="R94" s="3">
        <v>3255.6758214285715</v>
      </c>
      <c r="S94" s="3">
        <v>5628.7156428571434</v>
      </c>
      <c r="T94" s="32">
        <v>0.95493986370896844</v>
      </c>
      <c r="U94" s="3">
        <v>4510.5135</v>
      </c>
      <c r="V94" s="3">
        <v>4723.3482142857147</v>
      </c>
      <c r="W94" s="52">
        <v>10096.334964285714</v>
      </c>
      <c r="X94" s="6">
        <v>0.39222264564099962</v>
      </c>
      <c r="Y94" s="19">
        <v>25741.336142857144</v>
      </c>
      <c r="Z94" s="20">
        <v>3.1667989771213018E-2</v>
      </c>
      <c r="AA94" s="3">
        <v>34.327642857142855</v>
      </c>
      <c r="AB94" s="3">
        <v>1083.9855357142856</v>
      </c>
      <c r="AC94" s="32">
        <v>0.51486384733311852</v>
      </c>
      <c r="AD94" s="3">
        <v>122.10253571428572</v>
      </c>
      <c r="AE94" s="3">
        <v>237.155</v>
      </c>
      <c r="AF94" s="32">
        <v>0.98229519532829257</v>
      </c>
      <c r="AG94" s="3">
        <v>447.05882142857143</v>
      </c>
      <c r="AH94" s="3">
        <v>455.11657142857149</v>
      </c>
      <c r="AI94" s="52">
        <v>603.48900000000003</v>
      </c>
      <c r="AJ94" s="6">
        <v>0.33975317963440749</v>
      </c>
      <c r="AK94" s="21">
        <v>1776.257107142857</v>
      </c>
      <c r="AL94" s="69">
        <f t="shared" si="181"/>
        <v>12318.055543125856</v>
      </c>
      <c r="AM94" s="6">
        <f t="shared" si="182"/>
        <v>0.38355434586563592</v>
      </c>
      <c r="AN94" s="3">
        <f t="shared" si="183"/>
        <v>32115.541580751717</v>
      </c>
      <c r="AO94" s="6">
        <f t="shared" si="184"/>
        <v>0.13840051291105041</v>
      </c>
      <c r="AP94" s="6">
        <f t="shared" si="185"/>
        <v>0.58682284935055951</v>
      </c>
      <c r="AQ94" s="70">
        <f t="shared" si="186"/>
        <v>0.93914040953171607</v>
      </c>
    </row>
    <row r="95" spans="1:43" ht="16.5" customHeight="1" x14ac:dyDescent="0.2">
      <c r="A95" s="133">
        <v>43466</v>
      </c>
      <c r="B95" s="20">
        <v>0.10743702734558154</v>
      </c>
      <c r="C95" s="41">
        <v>282.35460882171435</v>
      </c>
      <c r="D95" s="159">
        <v>2628.094017470286</v>
      </c>
      <c r="E95" s="20">
        <v>0.64459981501961361</v>
      </c>
      <c r="F95" s="161">
        <v>853.81435042400028</v>
      </c>
      <c r="G95" s="159">
        <v>1324.564994481143</v>
      </c>
      <c r="H95" s="20">
        <v>0.82348743362216925</v>
      </c>
      <c r="I95" s="161">
        <v>459.00565804742854</v>
      </c>
      <c r="J95" s="159">
        <v>557.39242556314287</v>
      </c>
      <c r="K95" s="52">
        <v>1595.1746172931432</v>
      </c>
      <c r="L95" s="6">
        <v>0.3536932204418986</v>
      </c>
      <c r="M95" s="21">
        <v>4510.0514375145722</v>
      </c>
      <c r="N95" s="20">
        <v>0.15659275408497858</v>
      </c>
      <c r="O95" s="3">
        <v>2227.354870967742</v>
      </c>
      <c r="P95" s="130">
        <v>14223.869322580646</v>
      </c>
      <c r="Q95" s="32">
        <v>0.61502678603362537</v>
      </c>
      <c r="R95" s="3">
        <v>3596.7014838709679</v>
      </c>
      <c r="S95" s="3">
        <v>5848.0403870967748</v>
      </c>
      <c r="T95" s="32">
        <v>0.97819580112486415</v>
      </c>
      <c r="U95" s="3">
        <v>8730.5209354838717</v>
      </c>
      <c r="V95" s="3">
        <v>8925.1261612903236</v>
      </c>
      <c r="W95" s="52">
        <v>14554.577290322581</v>
      </c>
      <c r="X95" s="6">
        <v>0.50193327880436345</v>
      </c>
      <c r="Y95" s="19">
        <v>28997.035870967746</v>
      </c>
      <c r="Z95" s="20">
        <v>2.8879304890679421E-2</v>
      </c>
      <c r="AA95" s="3">
        <v>27.682032258064517</v>
      </c>
      <c r="AB95" s="3">
        <v>958.5421935483871</v>
      </c>
      <c r="AC95" s="32">
        <v>0.5198350538783757</v>
      </c>
      <c r="AD95" s="3">
        <v>114.46003225806452</v>
      </c>
      <c r="AE95" s="3">
        <v>220.18529032258067</v>
      </c>
      <c r="AF95" s="32">
        <v>0.98133279578132582</v>
      </c>
      <c r="AG95" s="3">
        <v>418.66148387096774</v>
      </c>
      <c r="AH95" s="3">
        <v>426.62538709677415</v>
      </c>
      <c r="AI95" s="52">
        <v>560.80354838709673</v>
      </c>
      <c r="AJ95" s="6">
        <v>0.34933350699963683</v>
      </c>
      <c r="AK95" s="21">
        <v>1605.3528709677419</v>
      </c>
      <c r="AL95" s="69">
        <f t="shared" si="181"/>
        <v>16710.555456002821</v>
      </c>
      <c r="AM95" s="6">
        <f t="shared" si="182"/>
        <v>0.47591552653702651</v>
      </c>
      <c r="AN95" s="3">
        <f t="shared" si="183"/>
        <v>35112.440179450059</v>
      </c>
      <c r="AO95" s="6">
        <f t="shared" si="184"/>
        <v>0.14246600172357607</v>
      </c>
      <c r="AP95" s="6">
        <f t="shared" si="185"/>
        <v>0.6174902102806995</v>
      </c>
      <c r="AQ95" s="70">
        <f t="shared" si="186"/>
        <v>0.96962846666279723</v>
      </c>
    </row>
    <row r="96" spans="1:43" ht="16.5" customHeight="1" x14ac:dyDescent="0.2">
      <c r="A96" s="133">
        <v>43435</v>
      </c>
      <c r="B96" s="20">
        <v>0.10699825456817628</v>
      </c>
      <c r="C96" s="41">
        <v>280.05711416085694</v>
      </c>
      <c r="D96" s="159">
        <v>2617.3989032915711</v>
      </c>
      <c r="E96" s="20">
        <v>0.61601304838767168</v>
      </c>
      <c r="F96" s="161">
        <v>817.53132342171432</v>
      </c>
      <c r="G96" s="159">
        <v>1327.133127393143</v>
      </c>
      <c r="H96" s="20">
        <v>0.79717093012285667</v>
      </c>
      <c r="I96" s="161">
        <v>417.8419070468571</v>
      </c>
      <c r="J96" s="159">
        <v>524.1559761624286</v>
      </c>
      <c r="K96" s="52">
        <v>1515.4303446294284</v>
      </c>
      <c r="L96" s="6">
        <v>0.33912198441856128</v>
      </c>
      <c r="M96" s="21">
        <v>4468.6880068471428</v>
      </c>
      <c r="N96" s="20">
        <v>0.15770952336952074</v>
      </c>
      <c r="O96" s="3">
        <v>2118.4153870967743</v>
      </c>
      <c r="P96" s="130">
        <v>13432.387225806451</v>
      </c>
      <c r="Q96" s="32">
        <v>0.5938528874508695</v>
      </c>
      <c r="R96" s="3">
        <v>3079.6004838709678</v>
      </c>
      <c r="S96" s="3">
        <v>5185.7969354838715</v>
      </c>
      <c r="T96" s="32">
        <v>0.96621386683713761</v>
      </c>
      <c r="U96" s="3">
        <v>4924.7639032258066</v>
      </c>
      <c r="V96" s="3">
        <v>5096.970838709678</v>
      </c>
      <c r="W96" s="52">
        <v>10122.779774193548</v>
      </c>
      <c r="X96" s="6">
        <v>0.42684856051725356</v>
      </c>
      <c r="Y96" s="19">
        <v>23715.154999999999</v>
      </c>
      <c r="Z96" s="20">
        <v>2.9545330315179495E-2</v>
      </c>
      <c r="AA96" s="3">
        <v>26.345806451612905</v>
      </c>
      <c r="AB96" s="3">
        <v>891.70796774193548</v>
      </c>
      <c r="AC96" s="32">
        <v>0.51179118046180516</v>
      </c>
      <c r="AD96" s="3">
        <v>108.36232258064516</v>
      </c>
      <c r="AE96" s="3">
        <v>211.73151612903226</v>
      </c>
      <c r="AF96" s="32">
        <v>0.98457709000316929</v>
      </c>
      <c r="AG96" s="3">
        <v>401.7487096774193</v>
      </c>
      <c r="AH96" s="3">
        <v>408.04190322580644</v>
      </c>
      <c r="AI96" s="52">
        <v>536.45683870967741</v>
      </c>
      <c r="AJ96" s="6">
        <v>0.35492123375736295</v>
      </c>
      <c r="AK96" s="21">
        <v>1511.4813870967741</v>
      </c>
      <c r="AL96" s="69">
        <f t="shared" si="181"/>
        <v>12174.666957532654</v>
      </c>
      <c r="AM96" s="6">
        <f t="shared" si="182"/>
        <v>0.40998598957940879</v>
      </c>
      <c r="AN96" s="3">
        <f t="shared" si="183"/>
        <v>29695.324393943916</v>
      </c>
      <c r="AO96" s="6">
        <f t="shared" si="184"/>
        <v>0.14312895272687537</v>
      </c>
      <c r="AP96" s="6">
        <f t="shared" si="185"/>
        <v>0.59564248443047563</v>
      </c>
      <c r="AQ96" s="70">
        <f t="shared" si="186"/>
        <v>0.95276061900658116</v>
      </c>
    </row>
    <row r="97" spans="1:43" ht="16.5" customHeight="1" x14ac:dyDescent="0.2">
      <c r="A97" s="133">
        <v>43405</v>
      </c>
      <c r="B97" s="20">
        <v>0.10740958685305609</v>
      </c>
      <c r="C97" s="41">
        <v>253.18277466300009</v>
      </c>
      <c r="D97" s="159">
        <v>2357.1711062381428</v>
      </c>
      <c r="E97" s="20">
        <v>0.61991775003710836</v>
      </c>
      <c r="F97" s="161">
        <v>834.75763226600031</v>
      </c>
      <c r="G97" s="159">
        <v>1346.5619144088575</v>
      </c>
      <c r="H97" s="20">
        <v>0.80899214984291001</v>
      </c>
      <c r="I97" s="161">
        <v>448.5467559694286</v>
      </c>
      <c r="J97" s="159">
        <v>554.45130840457148</v>
      </c>
      <c r="K97" s="52">
        <v>1536.487162898429</v>
      </c>
      <c r="L97" s="6">
        <v>0.36083152916037614</v>
      </c>
      <c r="M97" s="21">
        <v>4258.1843290515717</v>
      </c>
      <c r="N97" s="20">
        <v>0.1664754799908357</v>
      </c>
      <c r="O97" s="3">
        <v>1928.3205666666668</v>
      </c>
      <c r="P97" s="130">
        <v>11583.210733333333</v>
      </c>
      <c r="Q97" s="32">
        <v>0.63007166738269904</v>
      </c>
      <c r="R97" s="3">
        <v>3525.1718000000001</v>
      </c>
      <c r="S97" s="3">
        <v>5594.8743333333332</v>
      </c>
      <c r="T97" s="32">
        <v>0.98122770780400304</v>
      </c>
      <c r="U97" s="3">
        <v>7246.6622333333335</v>
      </c>
      <c r="V97" s="3">
        <v>7385.3012666666664</v>
      </c>
      <c r="W97" s="52">
        <v>12700.154600000002</v>
      </c>
      <c r="X97" s="6">
        <v>0.51703598305439957</v>
      </c>
      <c r="Y97" s="19">
        <v>24563.386333333332</v>
      </c>
      <c r="Z97" s="20">
        <v>2.9930446708998391E-2</v>
      </c>
      <c r="AA97" s="3">
        <v>25.602266666666665</v>
      </c>
      <c r="AB97" s="3">
        <v>855.39206666666666</v>
      </c>
      <c r="AC97" s="32">
        <v>0.5137429959433254</v>
      </c>
      <c r="AD97" s="3">
        <v>108.64566666666666</v>
      </c>
      <c r="AE97" s="3">
        <v>211.47863333333333</v>
      </c>
      <c r="AF97" s="32">
        <v>0.98652734171878409</v>
      </c>
      <c r="AG97" s="3">
        <v>419.47086666666667</v>
      </c>
      <c r="AH97" s="3">
        <v>425.19943333333333</v>
      </c>
      <c r="AI97" s="52">
        <v>553.71879999999999</v>
      </c>
      <c r="AJ97" s="6">
        <v>0.37110775668632562</v>
      </c>
      <c r="AK97" s="21">
        <v>1492.0701333333332</v>
      </c>
      <c r="AL97" s="69">
        <f t="shared" si="181"/>
        <v>14790.360562898431</v>
      </c>
      <c r="AM97" s="6">
        <f t="shared" si="182"/>
        <v>0.48791105834398985</v>
      </c>
      <c r="AN97" s="3">
        <f t="shared" si="183"/>
        <v>30313.640795718238</v>
      </c>
      <c r="AO97" s="6">
        <f t="shared" si="184"/>
        <v>0.14917135271077514</v>
      </c>
      <c r="AP97" s="6">
        <f t="shared" si="185"/>
        <v>0.62472085481615081</v>
      </c>
      <c r="AQ97" s="70">
        <f t="shared" si="186"/>
        <v>0.97008086212763867</v>
      </c>
    </row>
    <row r="98" spans="1:43" ht="15" customHeight="1" x14ac:dyDescent="0.2">
      <c r="A98" s="133">
        <v>43404</v>
      </c>
      <c r="B98" s="20">
        <v>0.10476866813943123</v>
      </c>
      <c r="C98" s="41">
        <v>240.57255571614274</v>
      </c>
      <c r="D98" s="159">
        <v>2296.226152230714</v>
      </c>
      <c r="E98" s="20">
        <v>0.63262186538712695</v>
      </c>
      <c r="F98" s="161">
        <v>793.32656483157132</v>
      </c>
      <c r="G98" s="159">
        <v>1254.029631660143</v>
      </c>
      <c r="H98" s="20">
        <v>0.87334382352377737</v>
      </c>
      <c r="I98" s="161">
        <v>471.22888219742839</v>
      </c>
      <c r="J98" s="159">
        <v>539.56857483242834</v>
      </c>
      <c r="K98" s="52">
        <v>1505.1280027451426</v>
      </c>
      <c r="L98" s="6">
        <v>0.36801776084462368</v>
      </c>
      <c r="M98" s="21">
        <v>4089.8243587232855</v>
      </c>
      <c r="N98" s="20">
        <v>0.17009863678128598</v>
      </c>
      <c r="O98" s="3">
        <v>1817.3523870967742</v>
      </c>
      <c r="P98" s="130">
        <v>10684.109064516129</v>
      </c>
      <c r="Q98" s="32">
        <v>0.58670617927071123</v>
      </c>
      <c r="R98" s="3">
        <v>3434.6209354838711</v>
      </c>
      <c r="S98" s="3">
        <v>5854.0732258064518</v>
      </c>
      <c r="T98" s="32">
        <v>0.97719250246991041</v>
      </c>
      <c r="U98" s="3">
        <v>7975.0579032258065</v>
      </c>
      <c r="V98" s="3">
        <v>8161.1943225806453</v>
      </c>
      <c r="W98" s="52">
        <v>13227.031225806451</v>
      </c>
      <c r="X98" s="6">
        <v>0.53552085273668426</v>
      </c>
      <c r="Y98" s="19">
        <v>24699.376612903226</v>
      </c>
      <c r="Z98" s="20">
        <v>3.2422940837163662E-2</v>
      </c>
      <c r="AA98" s="3">
        <v>21.796645161290325</v>
      </c>
      <c r="AB98" s="3">
        <v>672.2599677419355</v>
      </c>
      <c r="AC98" s="32">
        <v>0.53023940169280437</v>
      </c>
      <c r="AD98" s="3">
        <v>108.07693548387097</v>
      </c>
      <c r="AE98" s="3">
        <v>203.82667741935487</v>
      </c>
      <c r="AF98" s="32">
        <v>0.97418237012330233</v>
      </c>
      <c r="AG98" s="3">
        <v>455.01032258064515</v>
      </c>
      <c r="AH98" s="3">
        <v>467.06893548387092</v>
      </c>
      <c r="AI98" s="52">
        <v>584.88390322580653</v>
      </c>
      <c r="AJ98" s="6">
        <v>0.43545506689915087</v>
      </c>
      <c r="AK98" s="21">
        <v>1343.1555806451613</v>
      </c>
      <c r="AL98" s="69">
        <f>+AI98+W98+K98</f>
        <v>15317.043131777402</v>
      </c>
      <c r="AM98" s="6">
        <f>AL98/AN98</f>
        <v>0.50832543100989724</v>
      </c>
      <c r="AN98" s="3">
        <f>+AK98+Y98+M98</f>
        <v>30132.356552271674</v>
      </c>
      <c r="AO98" s="6">
        <f>(+AA98+O98+C98)/(D98+P98+AB98)</f>
        <v>0.1523315940940706</v>
      </c>
      <c r="AP98" s="6">
        <f>(+AD98+R98+F98)/(G98+S98+AE98)</f>
        <v>0.59300686844856831</v>
      </c>
      <c r="AQ98" s="70">
        <f>(AG98+U98+I98)/(AH98+V98+J98)</f>
        <v>0.97092717997545963</v>
      </c>
    </row>
    <row r="99" spans="1:43" ht="15" customHeight="1" x14ac:dyDescent="0.2">
      <c r="A99" s="133">
        <v>43361</v>
      </c>
      <c r="B99" s="20">
        <v>0.10367836591937836</v>
      </c>
      <c r="C99" s="41">
        <v>212.53095050514275</v>
      </c>
      <c r="D99" s="159">
        <v>2049.906444999428</v>
      </c>
      <c r="E99" s="20">
        <v>0.62441198197672232</v>
      </c>
      <c r="F99" s="161">
        <v>746.69955350471412</v>
      </c>
      <c r="G99" s="159">
        <v>1195.8443704761428</v>
      </c>
      <c r="H99" s="20">
        <v>0.86835230282764853</v>
      </c>
      <c r="I99" s="161">
        <v>501.75384628428571</v>
      </c>
      <c r="J99" s="159">
        <v>577.82290050985716</v>
      </c>
      <c r="K99" s="52">
        <v>1460.9843502941426</v>
      </c>
      <c r="L99" s="6">
        <v>0.38209917182611747</v>
      </c>
      <c r="M99" s="21">
        <v>3823.573715985428</v>
      </c>
      <c r="N99" s="20">
        <v>0.17907177560407667</v>
      </c>
      <c r="O99" s="3">
        <v>2272.7100333333333</v>
      </c>
      <c r="P99" s="130">
        <v>12691.615</v>
      </c>
      <c r="Q99" s="32">
        <v>0.57432470790030266</v>
      </c>
      <c r="R99" s="3">
        <v>3439.0472000000004</v>
      </c>
      <c r="S99" s="3">
        <v>5987.9840666666678</v>
      </c>
      <c r="T99" s="32">
        <v>0.97723275150878353</v>
      </c>
      <c r="U99" s="3">
        <v>8897.2464666666674</v>
      </c>
      <c r="V99" s="3">
        <v>9104.5316000000003</v>
      </c>
      <c r="W99" s="52">
        <v>14609.003700000001</v>
      </c>
      <c r="X99" s="6">
        <v>0.52580387974948584</v>
      </c>
      <c r="Y99" s="19">
        <v>27784.130666666668</v>
      </c>
      <c r="Z99" s="20">
        <v>3.1173067632586648E-2</v>
      </c>
      <c r="AA99" s="3">
        <v>21.900266666666667</v>
      </c>
      <c r="AB99" s="3">
        <v>702.53806666666662</v>
      </c>
      <c r="AC99" s="32">
        <v>0.53308666752069667</v>
      </c>
      <c r="AD99" s="3">
        <v>112.21753333333332</v>
      </c>
      <c r="AE99" s="3">
        <v>210.50523333333331</v>
      </c>
      <c r="AF99" s="32">
        <v>0.98894860226391945</v>
      </c>
      <c r="AG99" s="3">
        <v>380.90436666666665</v>
      </c>
      <c r="AH99" s="3">
        <v>385.16093333333333</v>
      </c>
      <c r="AI99" s="52">
        <v>515.02216666666664</v>
      </c>
      <c r="AJ99" s="6">
        <v>0.39671890866067372</v>
      </c>
      <c r="AK99" s="21">
        <v>1298.2042333333334</v>
      </c>
      <c r="AL99" s="69">
        <f>+AI99+W99+K99</f>
        <v>16585.010216960811</v>
      </c>
      <c r="AM99" s="6">
        <f>AL99/AN99</f>
        <v>0.50401313668342063</v>
      </c>
      <c r="AN99" s="3">
        <f>+AK99+Y99+M99</f>
        <v>32905.908615985427</v>
      </c>
      <c r="AO99" s="6">
        <f>(+AA99+O99+C99)/(D99+P99+AB99)</f>
        <v>0.16233693276118916</v>
      </c>
      <c r="AP99" s="6">
        <f>(+AD99+R99+F99)/(G99+S99+AE99)</f>
        <v>0.5812510603895007</v>
      </c>
      <c r="AQ99" s="70">
        <f>(AG99+U99+I99)/(AH99+V99+J99)</f>
        <v>0.9714318039922013</v>
      </c>
    </row>
    <row r="100" spans="1:43" ht="15" customHeight="1" x14ac:dyDescent="0.2">
      <c r="A100" s="133">
        <v>43330</v>
      </c>
      <c r="B100" s="20">
        <v>0.10395431691808285</v>
      </c>
      <c r="C100" s="41">
        <v>257.98601842599993</v>
      </c>
      <c r="D100" s="159">
        <v>2481.7249160445713</v>
      </c>
      <c r="E100" s="20">
        <v>0.6267204188014045</v>
      </c>
      <c r="F100" s="161">
        <v>884.57804410599988</v>
      </c>
      <c r="G100" s="159">
        <v>1411.4396428917141</v>
      </c>
      <c r="H100" s="20">
        <v>0.83478034417824432</v>
      </c>
      <c r="I100" s="161">
        <v>633.65159290285726</v>
      </c>
      <c r="J100" s="159">
        <v>759.06386311314304</v>
      </c>
      <c r="K100" s="52">
        <v>1776.2156554348571</v>
      </c>
      <c r="L100" s="6">
        <v>0.38179889169164821</v>
      </c>
      <c r="M100" s="21">
        <v>4652.2284220494284</v>
      </c>
      <c r="N100" s="20">
        <v>0.17221467594563714</v>
      </c>
      <c r="O100" s="3">
        <v>2368.2664193548389</v>
      </c>
      <c r="P100" s="130">
        <v>13751.82693548387</v>
      </c>
      <c r="Q100" s="32">
        <v>0.5952406967833298</v>
      </c>
      <c r="R100" s="3">
        <v>3990.3409999999999</v>
      </c>
      <c r="S100" s="3">
        <v>6703.7435806451613</v>
      </c>
      <c r="T100" s="32">
        <v>0.98332547221014388</v>
      </c>
      <c r="U100" s="3">
        <v>10227.555548387098</v>
      </c>
      <c r="V100" s="3">
        <v>10400.987096774194</v>
      </c>
      <c r="W100" s="52">
        <v>16586.162967741937</v>
      </c>
      <c r="X100" s="6">
        <v>0.53752473544897739</v>
      </c>
      <c r="Y100" s="19">
        <v>30856.557612903227</v>
      </c>
      <c r="Z100" s="20">
        <v>2.9790417530241597E-2</v>
      </c>
      <c r="AA100" s="3">
        <v>23.014903225806453</v>
      </c>
      <c r="AB100" s="3">
        <v>772.56061290322589</v>
      </c>
      <c r="AC100" s="32">
        <v>0.53480277948506427</v>
      </c>
      <c r="AD100" s="3">
        <v>118.28170967741936</v>
      </c>
      <c r="AE100" s="3">
        <v>221.16883870967743</v>
      </c>
      <c r="AF100" s="32">
        <v>0.98784842089662417</v>
      </c>
      <c r="AG100" s="3">
        <v>435.18161290322575</v>
      </c>
      <c r="AH100" s="3">
        <v>440.53480645161289</v>
      </c>
      <c r="AI100" s="52">
        <v>576.47822580645163</v>
      </c>
      <c r="AJ100" s="6">
        <v>0.40193306258944683</v>
      </c>
      <c r="AK100" s="21">
        <v>1434.2642580645161</v>
      </c>
      <c r="AL100" s="69">
        <f>+AI100+W100+K100</f>
        <v>18938.856848983247</v>
      </c>
      <c r="AM100" s="6">
        <f>AL100/AN100</f>
        <v>0.51265005728460367</v>
      </c>
      <c r="AN100" s="3">
        <f>+AK100+Y100+M100</f>
        <v>36943.050293017171</v>
      </c>
      <c r="AO100" s="6">
        <f>(+AA100+O100+C100)/(D100+P100+AB100)</f>
        <v>0.15578324243989303</v>
      </c>
      <c r="AP100" s="6">
        <f>(+AD100+R100+F100)/(G100+S100+AE100)</f>
        <v>0.59896711613182607</v>
      </c>
      <c r="AQ100" s="70">
        <f>(AG100+U100+I100)/(AH100+V100+J100)</f>
        <v>0.97377744380560094</v>
      </c>
    </row>
    <row r="101" spans="1:43" ht="15" customHeight="1" x14ac:dyDescent="0.2">
      <c r="A101" s="133">
        <v>43282</v>
      </c>
      <c r="B101" s="20">
        <v>0.10769253653834381</v>
      </c>
      <c r="C101" s="41">
        <v>276.64543618500022</v>
      </c>
      <c r="D101" s="159">
        <v>2568.8450200678571</v>
      </c>
      <c r="E101" s="20">
        <v>0.63869894111837566</v>
      </c>
      <c r="F101" s="161">
        <v>979.48366064228583</v>
      </c>
      <c r="G101" s="159">
        <v>1533.5608024137143</v>
      </c>
      <c r="H101" s="20">
        <v>0.87117777864740731</v>
      </c>
      <c r="I101" s="161">
        <v>595.527096218</v>
      </c>
      <c r="J101" s="159">
        <v>683.58848310228575</v>
      </c>
      <c r="K101" s="52">
        <v>1851.656193045286</v>
      </c>
      <c r="L101" s="6">
        <v>0.38689059677420512</v>
      </c>
      <c r="M101" s="21">
        <v>4785.9943055838576</v>
      </c>
      <c r="N101" s="20">
        <v>0.17585782881537029</v>
      </c>
      <c r="O101" s="3">
        <v>2094.0522258064516</v>
      </c>
      <c r="P101" s="130">
        <v>11907.642894903225</v>
      </c>
      <c r="Q101" s="32">
        <v>0.58998999671146768</v>
      </c>
      <c r="R101" s="3">
        <v>3466.9186129032259</v>
      </c>
      <c r="S101" s="3">
        <v>5876.2328721290323</v>
      </c>
      <c r="T101" s="32">
        <v>0.98020065912699916</v>
      </c>
      <c r="U101" s="3">
        <v>6460.061741935484</v>
      </c>
      <c r="V101" s="3">
        <v>6590.550293741936</v>
      </c>
      <c r="W101" s="52">
        <v>12021.032580645162</v>
      </c>
      <c r="X101" s="6">
        <v>0.49318217998948616</v>
      </c>
      <c r="Y101" s="19">
        <v>24374.426060774196</v>
      </c>
      <c r="Z101" s="20">
        <v>3.3737275811924386E-2</v>
      </c>
      <c r="AA101" s="3">
        <v>22.451612903225808</v>
      </c>
      <c r="AB101" s="3">
        <v>665.48387096774195</v>
      </c>
      <c r="AC101" s="32">
        <v>0.54154302670623145</v>
      </c>
      <c r="AD101" s="3">
        <v>117.74193548387096</v>
      </c>
      <c r="AE101" s="3">
        <v>217.41935483870967</v>
      </c>
      <c r="AF101" s="32">
        <v>0.98921618296301661</v>
      </c>
      <c r="AG101" s="3">
        <v>440.90322580645159</v>
      </c>
      <c r="AH101" s="3">
        <v>445.70967741935482</v>
      </c>
      <c r="AI101" s="52">
        <v>581.09677419354841</v>
      </c>
      <c r="AJ101" s="6">
        <v>0.43737101512613208</v>
      </c>
      <c r="AK101" s="21">
        <v>1328.6129032258063</v>
      </c>
      <c r="AL101" s="69">
        <f>+AI101+W101+K101</f>
        <v>14453.785547883997</v>
      </c>
      <c r="AM101" s="6">
        <f t="shared" ref="AM101:AM109" si="187">AL101/AN101</f>
        <v>0.47406506530015918</v>
      </c>
      <c r="AN101" s="3">
        <f>+AK101+Y101+M101</f>
        <v>30489.033269583859</v>
      </c>
      <c r="AO101" s="6">
        <f>(+AA101+O101+C101)/(D101+P101+AB101)</f>
        <v>0.15804740021487887</v>
      </c>
      <c r="AP101" s="6">
        <f>(+AD101+R101+F101)/(G101+S101+AE101)</f>
        <v>0.59840261330677957</v>
      </c>
      <c r="AQ101" s="70">
        <f>(AG101+U101+I101)/(AH101+V101+J101)</f>
        <v>0.97106725713245268</v>
      </c>
    </row>
    <row r="102" spans="1:43" ht="15" customHeight="1" x14ac:dyDescent="0.2">
      <c r="A102" s="133">
        <v>43252</v>
      </c>
      <c r="B102" s="20">
        <v>0.10672126069837237</v>
      </c>
      <c r="C102" s="41">
        <v>224.83931277100004</v>
      </c>
      <c r="D102" s="159">
        <v>2106.7902618435719</v>
      </c>
      <c r="E102" s="20">
        <v>0.65108304340585677</v>
      </c>
      <c r="F102" s="161">
        <v>862.21915536914275</v>
      </c>
      <c r="G102" s="159">
        <v>1324.2844581834286</v>
      </c>
      <c r="H102" s="20">
        <v>0.87102676171393478</v>
      </c>
      <c r="I102" s="161">
        <v>503.6433678404286</v>
      </c>
      <c r="J102" s="159">
        <v>578.21801806571432</v>
      </c>
      <c r="K102" s="52">
        <v>1590.7018359805716</v>
      </c>
      <c r="L102" s="6">
        <v>0.39675372687734795</v>
      </c>
      <c r="M102" s="21">
        <v>4009.2927380927149</v>
      </c>
      <c r="N102" s="20">
        <v>0.17857712401870865</v>
      </c>
      <c r="O102" s="3">
        <v>1927.0253666666667</v>
      </c>
      <c r="P102" s="130">
        <v>10790.997879800001</v>
      </c>
      <c r="Q102" s="32">
        <v>0.57757300182377147</v>
      </c>
      <c r="R102" s="3">
        <v>3005.3162666666667</v>
      </c>
      <c r="S102" s="3">
        <v>5203.3530950666664</v>
      </c>
      <c r="T102" s="32">
        <v>0.97323110007092284</v>
      </c>
      <c r="U102" s="3">
        <v>7972.3757333333333</v>
      </c>
      <c r="V102" s="3">
        <v>8191.6573902666669</v>
      </c>
      <c r="W102" s="52">
        <v>12904.717366666668</v>
      </c>
      <c r="X102" s="6">
        <v>0.5335612711219504</v>
      </c>
      <c r="Y102" s="19">
        <v>24186.008365133333</v>
      </c>
      <c r="Z102" s="20">
        <v>3.3899148787893872E-2</v>
      </c>
      <c r="AA102" s="3">
        <v>22.7</v>
      </c>
      <c r="AB102" s="3">
        <v>669.63333333333333</v>
      </c>
      <c r="AC102" s="32">
        <v>0.53171281390856406</v>
      </c>
      <c r="AD102" s="3">
        <v>110.1</v>
      </c>
      <c r="AE102" s="3">
        <v>207.06666666666666</v>
      </c>
      <c r="AF102" s="32">
        <v>0.98846124061023766</v>
      </c>
      <c r="AG102" s="3">
        <v>425.46666666666664</v>
      </c>
      <c r="AH102" s="3">
        <v>430.43333333333334</v>
      </c>
      <c r="AI102" s="52">
        <v>558.26666666666665</v>
      </c>
      <c r="AJ102" s="6">
        <v>0.42709236497169378</v>
      </c>
      <c r="AK102" s="21">
        <v>1307.1333333333332</v>
      </c>
      <c r="AL102" s="69">
        <f>+AI102+W102+K102</f>
        <v>15053.685869313906</v>
      </c>
      <c r="AM102" s="6">
        <f t="shared" si="187"/>
        <v>0.51025232855561908</v>
      </c>
      <c r="AN102" s="3">
        <f>+AK102+Y102+M102</f>
        <v>29502.434436559379</v>
      </c>
      <c r="AO102" s="6">
        <f>(+AA102+O102+C102)/(D102+P102+AB102)</f>
        <v>0.16027840540284888</v>
      </c>
      <c r="AP102" s="6">
        <f>(+AD102+R102+F102)/(G102+S102+AE102)</f>
        <v>0.59061768596646269</v>
      </c>
      <c r="AQ102" s="70">
        <f>(AG102+U102+I102)/(AH102+V102+J102)</f>
        <v>0.96752033195668774</v>
      </c>
    </row>
    <row r="103" spans="1:43" ht="15" customHeight="1" x14ac:dyDescent="0.2">
      <c r="A103" s="133">
        <v>43221</v>
      </c>
      <c r="B103" s="20">
        <v>9.3572407100179958E-2</v>
      </c>
      <c r="C103" s="41">
        <v>191.07172952885725</v>
      </c>
      <c r="D103" s="159">
        <v>2041.9665951768573</v>
      </c>
      <c r="E103" s="20">
        <v>0.65385827290657794</v>
      </c>
      <c r="F103" s="161">
        <v>747.56063543571429</v>
      </c>
      <c r="G103" s="159">
        <v>1143.3068394357142</v>
      </c>
      <c r="H103" s="20">
        <v>0.90104765458168457</v>
      </c>
      <c r="I103" s="161">
        <v>449.41031013314262</v>
      </c>
      <c r="J103" s="159">
        <v>498.7641972629998</v>
      </c>
      <c r="K103" s="52">
        <v>1388.042675097714</v>
      </c>
      <c r="L103" s="6">
        <v>0.37677212173075736</v>
      </c>
      <c r="M103" s="21">
        <v>3684.0376318755716</v>
      </c>
      <c r="N103" s="20">
        <v>0.17533279974555821</v>
      </c>
      <c r="O103" s="3">
        <v>1701.2113225806452</v>
      </c>
      <c r="P103" s="130">
        <v>9702.7557025806454</v>
      </c>
      <c r="Q103" s="32">
        <v>0.63600112528337149</v>
      </c>
      <c r="R103" s="3">
        <v>3200.6237096774194</v>
      </c>
      <c r="S103" s="3">
        <v>5032.4183125483869</v>
      </c>
      <c r="T103" s="32">
        <v>0.97664092555896764</v>
      </c>
      <c r="U103" s="3">
        <v>7045.097548387097</v>
      </c>
      <c r="V103" s="3">
        <v>7213.6005813548391</v>
      </c>
      <c r="W103" s="52">
        <v>11946.932580645162</v>
      </c>
      <c r="X103" s="6">
        <v>0.54430977584320472</v>
      </c>
      <c r="Y103" s="19">
        <v>21948.774596483872</v>
      </c>
      <c r="Z103" s="20">
        <v>3.4872893193034729E-2</v>
      </c>
      <c r="AA103" s="3">
        <v>24.161290322580644</v>
      </c>
      <c r="AB103" s="3">
        <v>692.83870967741939</v>
      </c>
      <c r="AC103" s="32">
        <v>0.4794108330693696</v>
      </c>
      <c r="AD103" s="3">
        <v>97.645161290322577</v>
      </c>
      <c r="AE103" s="3">
        <v>203.67741935483872</v>
      </c>
      <c r="AF103" s="32">
        <v>0.98876232703921729</v>
      </c>
      <c r="AG103" s="3">
        <v>417.22580645161293</v>
      </c>
      <c r="AH103" s="3">
        <v>421.96774193548384</v>
      </c>
      <c r="AI103" s="52">
        <v>539.0322580645161</v>
      </c>
      <c r="AJ103" s="6">
        <v>0.40882734323391967</v>
      </c>
      <c r="AK103" s="21">
        <v>1318.483870967742</v>
      </c>
      <c r="AL103" s="69">
        <f t="shared" ref="AL103:AL109" si="188">+AI103+W103+K103</f>
        <v>13874.007513807392</v>
      </c>
      <c r="AM103" s="6">
        <f t="shared" si="187"/>
        <v>0.51478071639581535</v>
      </c>
      <c r="AN103" s="3">
        <f t="shared" ref="AN103:AN109" si="189">+AK103+Y103+M103</f>
        <v>26951.296099327184</v>
      </c>
      <c r="AO103" s="6">
        <f t="shared" ref="AO103:AO109" si="190">(+AA103+O103+C103)/(D103+P103+AB103)</f>
        <v>0.15408522147440901</v>
      </c>
      <c r="AP103" s="6">
        <f t="shared" ref="AP103:AP109" si="191">(+AD103+R103+F103)/(G103+S103+AE103)</f>
        <v>0.63420194307541522</v>
      </c>
      <c r="AQ103" s="70">
        <f t="shared" ref="AQ103:AQ109" si="192">(AG103+U103+I103)/(AH103+V103+J103)</f>
        <v>0.97263465010570671</v>
      </c>
    </row>
    <row r="104" spans="1:43" ht="15" customHeight="1" x14ac:dyDescent="0.2">
      <c r="A104" s="133">
        <v>43191</v>
      </c>
      <c r="B104" s="20">
        <v>9.3370412686948151E-2</v>
      </c>
      <c r="C104" s="41">
        <v>191.30324352214276</v>
      </c>
      <c r="D104" s="159">
        <v>2048.863639101</v>
      </c>
      <c r="E104" s="20">
        <v>0.6442244633272709</v>
      </c>
      <c r="F104" s="161">
        <v>705.25412402057111</v>
      </c>
      <c r="G104" s="159">
        <v>1094.7335349205712</v>
      </c>
      <c r="H104" s="20">
        <v>0.91341783544791078</v>
      </c>
      <c r="I104" s="161">
        <v>451.43172455442863</v>
      </c>
      <c r="J104" s="159">
        <v>494.22258580385721</v>
      </c>
      <c r="K104" s="52">
        <v>1347.9890920971425</v>
      </c>
      <c r="L104" s="6">
        <v>0.37054862007837075</v>
      </c>
      <c r="M104" s="21">
        <v>3637.8197598254283</v>
      </c>
      <c r="N104" s="20">
        <v>0.16962817521805093</v>
      </c>
      <c r="O104" s="3">
        <v>2008.1630666666667</v>
      </c>
      <c r="P104" s="130">
        <v>11838.617400000001</v>
      </c>
      <c r="Q104" s="32">
        <v>0.62881070414376128</v>
      </c>
      <c r="R104" s="3">
        <v>3306.2153333333335</v>
      </c>
      <c r="S104" s="3">
        <v>5257.8865333333333</v>
      </c>
      <c r="T104" s="32">
        <v>0.9778319838130215</v>
      </c>
      <c r="U104" s="3">
        <v>7097.4252999999999</v>
      </c>
      <c r="V104" s="3">
        <v>7258.3280333333332</v>
      </c>
      <c r="W104" s="52">
        <v>12411.8037</v>
      </c>
      <c r="X104" s="6">
        <v>0.50962386917665714</v>
      </c>
      <c r="Y104" s="19">
        <v>24354.831966666665</v>
      </c>
      <c r="Z104" s="20">
        <v>3.3972274516515487E-2</v>
      </c>
      <c r="AA104" s="3">
        <v>26.466666666666665</v>
      </c>
      <c r="AB104" s="3">
        <v>779.06666666666672</v>
      </c>
      <c r="AC104" s="32">
        <v>0.47291079115333234</v>
      </c>
      <c r="AD104" s="3">
        <v>106.2</v>
      </c>
      <c r="AE104" s="3">
        <v>224.56666666666666</v>
      </c>
      <c r="AF104" s="32">
        <v>0.99064408876517429</v>
      </c>
      <c r="AG104" s="3">
        <v>427.06666666666666</v>
      </c>
      <c r="AH104" s="3">
        <v>431.1</v>
      </c>
      <c r="AI104" s="52">
        <v>559.73333333333335</v>
      </c>
      <c r="AJ104" s="6">
        <v>0.39013057014079267</v>
      </c>
      <c r="AK104" s="21">
        <v>1434.7333333333336</v>
      </c>
      <c r="AL104" s="69">
        <f t="shared" si="188"/>
        <v>14319.526125430477</v>
      </c>
      <c r="AM104" s="6">
        <f t="shared" si="187"/>
        <v>0.48660545598323118</v>
      </c>
      <c r="AN104" s="3">
        <f t="shared" si="189"/>
        <v>29427.385059825428</v>
      </c>
      <c r="AO104" s="6">
        <f t="shared" si="190"/>
        <v>0.15176938850988911</v>
      </c>
      <c r="AP104" s="6">
        <f t="shared" si="191"/>
        <v>0.6260532995804674</v>
      </c>
      <c r="AQ104" s="70">
        <f t="shared" si="192"/>
        <v>0.97461683818339784</v>
      </c>
    </row>
    <row r="105" spans="1:43" ht="15" customHeight="1" x14ac:dyDescent="0.2">
      <c r="A105" s="133">
        <v>43160</v>
      </c>
      <c r="B105" s="20">
        <v>9.8485423364297123E-2</v>
      </c>
      <c r="C105" s="41">
        <v>221.99287648485708</v>
      </c>
      <c r="D105" s="159">
        <v>2254.0683575447147</v>
      </c>
      <c r="E105" s="20">
        <v>0.65057235053300289</v>
      </c>
      <c r="F105" s="161">
        <v>743.24678169685728</v>
      </c>
      <c r="G105" s="159">
        <v>1142.4506145825715</v>
      </c>
      <c r="H105" s="20">
        <v>0.89800808508898644</v>
      </c>
      <c r="I105" s="161">
        <v>449.75073600399998</v>
      </c>
      <c r="J105" s="159">
        <v>500.83149970685707</v>
      </c>
      <c r="K105" s="52">
        <v>1414.9903941857144</v>
      </c>
      <c r="L105" s="6">
        <v>0.36306470367798399</v>
      </c>
      <c r="M105" s="21">
        <v>3897.3504718341433</v>
      </c>
      <c r="N105" s="20">
        <v>0.16697718233005987</v>
      </c>
      <c r="O105" s="3">
        <v>2080.371322580645</v>
      </c>
      <c r="P105" s="130">
        <v>12459.015618483871</v>
      </c>
      <c r="Q105" s="32">
        <v>0.62457378382623407</v>
      </c>
      <c r="R105" s="3">
        <v>3334.0649677419356</v>
      </c>
      <c r="S105" s="3">
        <v>5338.1442738709684</v>
      </c>
      <c r="T105" s="32">
        <v>0.9540828837846469</v>
      </c>
      <c r="U105" s="3">
        <v>5535.3795806451617</v>
      </c>
      <c r="V105" s="3">
        <v>5801.7806154193549</v>
      </c>
      <c r="W105" s="52">
        <v>10949.815870967743</v>
      </c>
      <c r="X105" s="6">
        <v>0.4639960792884133</v>
      </c>
      <c r="Y105" s="19">
        <v>23598.940507774194</v>
      </c>
      <c r="Z105" s="20">
        <v>3.2067260056383662E-2</v>
      </c>
      <c r="AA105" s="3">
        <v>25.425677419354841</v>
      </c>
      <c r="AB105" s="3">
        <v>792.88587096774188</v>
      </c>
      <c r="AC105" s="32">
        <v>0.49205032235164725</v>
      </c>
      <c r="AD105" s="3">
        <v>99.900548387096777</v>
      </c>
      <c r="AE105" s="3">
        <v>203.02912903225808</v>
      </c>
      <c r="AF105" s="32">
        <v>0.99100560659694448</v>
      </c>
      <c r="AG105" s="3">
        <v>437.98119354838707</v>
      </c>
      <c r="AH105" s="3">
        <v>441.95632258064512</v>
      </c>
      <c r="AI105" s="52">
        <v>563.30741935483877</v>
      </c>
      <c r="AJ105" s="6">
        <v>0.39176483354841019</v>
      </c>
      <c r="AK105" s="21">
        <v>1437.871322580645</v>
      </c>
      <c r="AL105" s="69">
        <f t="shared" si="188"/>
        <v>12928.113684508295</v>
      </c>
      <c r="AM105" s="6">
        <f t="shared" si="187"/>
        <v>0.44681140409343151</v>
      </c>
      <c r="AN105" s="3">
        <f t="shared" si="189"/>
        <v>28934.162302188983</v>
      </c>
      <c r="AO105" s="6">
        <f t="shared" si="190"/>
        <v>0.1501221722635927</v>
      </c>
      <c r="AP105" s="6">
        <f t="shared" si="191"/>
        <v>0.62499211309574021</v>
      </c>
      <c r="AQ105" s="70">
        <f t="shared" si="192"/>
        <v>0.95233839933891995</v>
      </c>
    </row>
    <row r="106" spans="1:43" ht="15" customHeight="1" x14ac:dyDescent="0.2">
      <c r="A106" s="133">
        <v>43149</v>
      </c>
      <c r="B106" s="20">
        <v>0.10135800571855343</v>
      </c>
      <c r="C106" s="41">
        <v>231.14851629628564</v>
      </c>
      <c r="D106" s="159">
        <v>2280.515630291</v>
      </c>
      <c r="E106" s="20">
        <v>0.64614570313883601</v>
      </c>
      <c r="F106" s="161">
        <v>810.33084453528579</v>
      </c>
      <c r="G106" s="159">
        <v>1254.0992543924287</v>
      </c>
      <c r="H106" s="20">
        <v>0.89401614407024499</v>
      </c>
      <c r="I106" s="161">
        <v>444.6744373452857</v>
      </c>
      <c r="J106" s="159">
        <v>497.38971750642855</v>
      </c>
      <c r="K106" s="52">
        <v>1486.1537981768572</v>
      </c>
      <c r="L106" s="6">
        <v>0.36858931097690201</v>
      </c>
      <c r="M106" s="21">
        <v>4032.004602189857</v>
      </c>
      <c r="N106" s="20">
        <v>0.17096408797052318</v>
      </c>
      <c r="O106" s="3">
        <v>2554.1320357142858</v>
      </c>
      <c r="P106" s="130">
        <v>14939.582142857143</v>
      </c>
      <c r="Q106" s="32">
        <v>0.65018721688643066</v>
      </c>
      <c r="R106" s="3">
        <v>4171.193214285714</v>
      </c>
      <c r="S106" s="3">
        <v>6415.3725357142848</v>
      </c>
      <c r="T106" s="32">
        <v>0.95797011062519011</v>
      </c>
      <c r="U106" s="3">
        <v>4774.7313214285723</v>
      </c>
      <c r="V106" s="3">
        <v>4984.2174285714291</v>
      </c>
      <c r="W106" s="52">
        <v>11500.056571428573</v>
      </c>
      <c r="X106" s="6">
        <v>0.43661420050138555</v>
      </c>
      <c r="Y106" s="19">
        <v>26339.172107142858</v>
      </c>
      <c r="Z106" s="20">
        <v>3.0438789765035661E-2</v>
      </c>
      <c r="AA106" s="3">
        <v>30.916392857142856</v>
      </c>
      <c r="AB106" s="3">
        <v>1015.6906071428572</v>
      </c>
      <c r="AC106" s="32">
        <v>0.45607703424562435</v>
      </c>
      <c r="AD106" s="3">
        <v>115.90878571428571</v>
      </c>
      <c r="AE106" s="3">
        <v>254.143</v>
      </c>
      <c r="AF106" s="32">
        <v>0.99175826642145226</v>
      </c>
      <c r="AG106" s="3">
        <v>449.78157142857145</v>
      </c>
      <c r="AH106" s="3">
        <v>453.51935714285713</v>
      </c>
      <c r="AI106" s="52">
        <v>596.60675000000003</v>
      </c>
      <c r="AJ106" s="6">
        <v>0.34618952841577538</v>
      </c>
      <c r="AK106" s="21">
        <v>1723.3529642857143</v>
      </c>
      <c r="AL106" s="69">
        <f t="shared" si="188"/>
        <v>13582.817119605432</v>
      </c>
      <c r="AM106" s="6">
        <f t="shared" si="187"/>
        <v>0.42321284211777849</v>
      </c>
      <c r="AN106" s="3">
        <f t="shared" si="189"/>
        <v>32094.529673618428</v>
      </c>
      <c r="AO106" s="6">
        <f t="shared" si="190"/>
        <v>0.15443242080564079</v>
      </c>
      <c r="AP106" s="6">
        <f t="shared" si="191"/>
        <v>0.64332163785900487</v>
      </c>
      <c r="AQ106" s="70">
        <f t="shared" si="192"/>
        <v>0.95519233282155447</v>
      </c>
    </row>
    <row r="107" spans="1:43" ht="15" customHeight="1" x14ac:dyDescent="0.2">
      <c r="A107" s="133">
        <v>43101</v>
      </c>
      <c r="B107" s="20">
        <v>0.10159321353367762</v>
      </c>
      <c r="C107" s="41">
        <v>257</v>
      </c>
      <c r="D107" s="159">
        <v>2529.2599337971428</v>
      </c>
      <c r="E107" s="20">
        <v>0.65199913197578085</v>
      </c>
      <c r="F107" s="161">
        <v>931</v>
      </c>
      <c r="G107" s="159">
        <v>1428.2707813434283</v>
      </c>
      <c r="H107" s="20">
        <v>0.88421651915079047</v>
      </c>
      <c r="I107" s="161">
        <v>467</v>
      </c>
      <c r="J107" s="159">
        <v>527.65629994928588</v>
      </c>
      <c r="K107" s="52">
        <v>1654.749371047857</v>
      </c>
      <c r="L107" s="6">
        <v>0.36893653831616324</v>
      </c>
      <c r="M107" s="21">
        <v>4485.1870150898576</v>
      </c>
      <c r="N107" s="20">
        <v>0.172764146570523</v>
      </c>
      <c r="O107" s="3">
        <v>2679.8214516129033</v>
      </c>
      <c r="P107" s="130">
        <v>15511.444387096773</v>
      </c>
      <c r="Q107" s="32">
        <v>0.63400421767916326</v>
      </c>
      <c r="R107" s="3">
        <v>3653.1890967741933</v>
      </c>
      <c r="S107" s="3">
        <v>5762.0895806451608</v>
      </c>
      <c r="T107" s="32">
        <v>0.9781864410420027</v>
      </c>
      <c r="U107" s="3">
        <v>8742.8433870967747</v>
      </c>
      <c r="V107" s="3">
        <v>8937.8088064516141</v>
      </c>
      <c r="W107" s="52">
        <v>15075.853935483872</v>
      </c>
      <c r="X107" s="6">
        <v>0.49901303785681544</v>
      </c>
      <c r="Y107" s="19">
        <v>30211.342774193548</v>
      </c>
      <c r="Z107" s="20">
        <v>2.9368505116450724E-2</v>
      </c>
      <c r="AA107" s="3">
        <v>28.806451612903224</v>
      </c>
      <c r="AB107" s="3">
        <v>980.86203225806457</v>
      </c>
      <c r="AC107" s="32">
        <v>0.38461972488768065</v>
      </c>
      <c r="AD107" s="3">
        <v>95.213258064516126</v>
      </c>
      <c r="AE107" s="3">
        <v>247.55167741935483</v>
      </c>
      <c r="AF107" s="32">
        <v>0.9917293977124777</v>
      </c>
      <c r="AG107" s="3">
        <v>437.40138709677416</v>
      </c>
      <c r="AH107" s="3">
        <v>441.04912903225807</v>
      </c>
      <c r="AI107" s="52">
        <v>561.42109677419342</v>
      </c>
      <c r="AJ107" s="6">
        <v>0.33628846582060729</v>
      </c>
      <c r="AK107" s="21">
        <v>1669.4628387096775</v>
      </c>
      <c r="AL107" s="69">
        <f t="shared" si="188"/>
        <v>17292.024403305921</v>
      </c>
      <c r="AM107" s="6">
        <f t="shared" si="187"/>
        <v>0.47549985999819006</v>
      </c>
      <c r="AN107" s="3">
        <f t="shared" si="189"/>
        <v>36365.992627993081</v>
      </c>
      <c r="AO107" s="6">
        <f t="shared" si="190"/>
        <v>0.15590871162586384</v>
      </c>
      <c r="AP107" s="6">
        <f t="shared" si="191"/>
        <v>0.62912848794743059</v>
      </c>
      <c r="AQ107" s="70">
        <f t="shared" si="192"/>
        <v>0.97382838654667581</v>
      </c>
    </row>
    <row r="108" spans="1:43" ht="15" customHeight="1" x14ac:dyDescent="0.2">
      <c r="A108" s="133">
        <v>43070</v>
      </c>
      <c r="B108" s="20">
        <v>0.10216256524981357</v>
      </c>
      <c r="C108" s="41">
        <v>294</v>
      </c>
      <c r="D108" s="159">
        <v>2873.5714285714284</v>
      </c>
      <c r="E108" s="20">
        <v>0.65357466063348413</v>
      </c>
      <c r="F108" s="161">
        <v>1031</v>
      </c>
      <c r="G108" s="159">
        <v>1578.5714285714287</v>
      </c>
      <c r="H108" s="20">
        <v>0.87693259121830558</v>
      </c>
      <c r="I108" s="161">
        <v>405</v>
      </c>
      <c r="J108" s="159">
        <v>462</v>
      </c>
      <c r="K108" s="52">
        <v>1730.4285714285713</v>
      </c>
      <c r="L108" s="6">
        <v>0.35213232942818107</v>
      </c>
      <c r="M108" s="21">
        <v>4914.1428571428569</v>
      </c>
      <c r="N108" s="20">
        <v>0.17535086176902026</v>
      </c>
      <c r="O108" s="3">
        <v>2123.1923548387099</v>
      </c>
      <c r="P108" s="130">
        <v>12108.251612903225</v>
      </c>
      <c r="Q108" s="32">
        <v>0.58057518363108362</v>
      </c>
      <c r="R108" s="3">
        <v>2784.7843225806455</v>
      </c>
      <c r="S108" s="3">
        <v>4796.5955161290331</v>
      </c>
      <c r="T108" s="32">
        <v>0.98566682972887898</v>
      </c>
      <c r="U108" s="3">
        <v>7054.9133225806454</v>
      </c>
      <c r="V108" s="3">
        <v>7157.5030322580651</v>
      </c>
      <c r="W108" s="52">
        <v>11962.890000000001</v>
      </c>
      <c r="X108" s="6">
        <v>0.49716216079529046</v>
      </c>
      <c r="Y108" s="19">
        <v>24062.35016129032</v>
      </c>
      <c r="Z108" s="20">
        <v>3.0743735922530154E-2</v>
      </c>
      <c r="AA108" s="3">
        <v>26.489870967741936</v>
      </c>
      <c r="AB108" s="3">
        <v>861.63474193548393</v>
      </c>
      <c r="AC108" s="32">
        <v>0.50972929257291011</v>
      </c>
      <c r="AD108" s="3">
        <v>111.47748387096775</v>
      </c>
      <c r="AE108" s="3">
        <v>218.69938709677422</v>
      </c>
      <c r="AF108" s="32">
        <v>0.9999172729972271</v>
      </c>
      <c r="AG108" s="3">
        <v>394.19058064516128</v>
      </c>
      <c r="AH108" s="3">
        <v>394.22319354838709</v>
      </c>
      <c r="AI108" s="52">
        <v>532.15793548387092</v>
      </c>
      <c r="AJ108" s="6">
        <v>0.36089335242154791</v>
      </c>
      <c r="AK108" s="21">
        <v>1474.5573225806452</v>
      </c>
      <c r="AL108" s="69">
        <f t="shared" si="188"/>
        <v>14225.476506912442</v>
      </c>
      <c r="AM108" s="6">
        <f t="shared" si="187"/>
        <v>0.46715881217904903</v>
      </c>
      <c r="AN108" s="3">
        <f t="shared" si="189"/>
        <v>30451.050341013819</v>
      </c>
      <c r="AO108" s="6">
        <f t="shared" si="190"/>
        <v>0.15423919823646443</v>
      </c>
      <c r="AP108" s="6">
        <f t="shared" si="191"/>
        <v>0.59559317839268233</v>
      </c>
      <c r="AQ108" s="70">
        <f t="shared" si="192"/>
        <v>0.98008138560229119</v>
      </c>
    </row>
    <row r="109" spans="1:43" ht="15" customHeight="1" x14ac:dyDescent="0.2">
      <c r="A109" s="133">
        <v>43040</v>
      </c>
      <c r="B109" s="20">
        <v>0.10447380177420383</v>
      </c>
      <c r="C109" s="41">
        <v>234</v>
      </c>
      <c r="D109" s="159">
        <v>2238.4285714285716</v>
      </c>
      <c r="E109" s="20">
        <v>0.65192491250397711</v>
      </c>
      <c r="F109" s="161">
        <v>878</v>
      </c>
      <c r="G109" s="159">
        <v>1347</v>
      </c>
      <c r="H109" s="20">
        <v>0.86086710116180221</v>
      </c>
      <c r="I109" s="161">
        <v>434</v>
      </c>
      <c r="J109" s="159">
        <v>504.14285714285717</v>
      </c>
      <c r="K109" s="52">
        <v>1546</v>
      </c>
      <c r="L109" s="6">
        <v>0.37803472246480596</v>
      </c>
      <c r="M109" s="21">
        <v>4089.5714285714284</v>
      </c>
      <c r="N109" s="20">
        <v>0.18964737199405957</v>
      </c>
      <c r="O109" s="3">
        <v>2288.4170333333332</v>
      </c>
      <c r="P109" s="130">
        <v>12066.6952</v>
      </c>
      <c r="Q109" s="32">
        <v>0.62923806070134181</v>
      </c>
      <c r="R109" s="3">
        <v>3414.0216666666665</v>
      </c>
      <c r="S109" s="3">
        <v>5425.6439333333328</v>
      </c>
      <c r="T109" s="32">
        <v>0.96892832939456874</v>
      </c>
      <c r="U109" s="3">
        <v>3855.4860666666668</v>
      </c>
      <c r="V109" s="3">
        <v>3979.1241</v>
      </c>
      <c r="W109" s="52">
        <v>9557.924766666667</v>
      </c>
      <c r="X109" s="6">
        <v>0.44514547810735522</v>
      </c>
      <c r="Y109" s="19">
        <v>21471.463233333336</v>
      </c>
      <c r="Z109" s="20">
        <v>3.2287416074938832E-2</v>
      </c>
      <c r="AA109" s="3">
        <v>24.105900000000002</v>
      </c>
      <c r="AB109" s="3">
        <v>746.60356666666667</v>
      </c>
      <c r="AC109" s="32">
        <v>0.51623176289669526</v>
      </c>
      <c r="AD109" s="3">
        <v>112.05433333333333</v>
      </c>
      <c r="AE109" s="3">
        <v>217.06206666666668</v>
      </c>
      <c r="AF109" s="32">
        <v>1</v>
      </c>
      <c r="AG109" s="3">
        <v>429.49736666666666</v>
      </c>
      <c r="AH109" s="3">
        <v>429.49736666666666</v>
      </c>
      <c r="AI109" s="52">
        <v>565.6576</v>
      </c>
      <c r="AJ109" s="6">
        <v>0.40602399001409023</v>
      </c>
      <c r="AK109" s="21">
        <v>1393.163</v>
      </c>
      <c r="AL109" s="69">
        <f t="shared" si="188"/>
        <v>11669.582366666667</v>
      </c>
      <c r="AM109" s="6">
        <f t="shared" si="187"/>
        <v>0.43294118834632073</v>
      </c>
      <c r="AN109" s="3">
        <f t="shared" si="189"/>
        <v>26954.197661904764</v>
      </c>
      <c r="AO109" s="6">
        <f t="shared" si="190"/>
        <v>0.16918476372397467</v>
      </c>
      <c r="AP109" s="6">
        <f t="shared" si="191"/>
        <v>0.63008029236136687</v>
      </c>
      <c r="AQ109" s="70">
        <f t="shared" si="192"/>
        <v>0.96055563065847915</v>
      </c>
    </row>
    <row r="110" spans="1:43" x14ac:dyDescent="0.2">
      <c r="A110" s="133">
        <v>43009</v>
      </c>
      <c r="B110" s="20">
        <v>0.10484631132719964</v>
      </c>
      <c r="C110" s="41">
        <v>194.45173114342859</v>
      </c>
      <c r="D110" s="159">
        <v>1854.6358825785715</v>
      </c>
      <c r="E110" s="20">
        <v>0.64989159181717304</v>
      </c>
      <c r="F110" s="161">
        <v>653.33800731414283</v>
      </c>
      <c r="G110" s="159">
        <v>1005.303062142</v>
      </c>
      <c r="H110" s="20">
        <v>0.93274468389219545</v>
      </c>
      <c r="I110" s="161">
        <v>504.42620483628571</v>
      </c>
      <c r="J110" s="159">
        <v>540.79772690999994</v>
      </c>
      <c r="K110" s="52">
        <v>1352.215943293857</v>
      </c>
      <c r="L110" s="6">
        <v>0.39762441901904211</v>
      </c>
      <c r="M110" s="21">
        <v>3400.7366716305714</v>
      </c>
      <c r="N110" s="20">
        <v>0.18731849925346777</v>
      </c>
      <c r="O110" s="3">
        <v>1860.2529666666667</v>
      </c>
      <c r="P110" s="130">
        <v>9930.9623666666666</v>
      </c>
      <c r="Q110" s="32">
        <v>0.63159828638759485</v>
      </c>
      <c r="R110" s="3">
        <v>3424.5825</v>
      </c>
      <c r="S110" s="3">
        <v>5422.0896000000002</v>
      </c>
      <c r="T110" s="32">
        <v>0.98537864105906525</v>
      </c>
      <c r="U110" s="3">
        <v>9290.1045333333332</v>
      </c>
      <c r="V110" s="3">
        <v>9427.9540333333334</v>
      </c>
      <c r="W110" s="52">
        <v>14574.939999999999</v>
      </c>
      <c r="X110" s="6">
        <v>0.58814964977612283</v>
      </c>
      <c r="Y110" s="19">
        <v>24781.006000000001</v>
      </c>
      <c r="Z110" s="20">
        <v>3.3071664939105259E-2</v>
      </c>
      <c r="AA110" s="3">
        <v>22.241516129032256</v>
      </c>
      <c r="AB110" s="3">
        <v>672.5248387096774</v>
      </c>
      <c r="AC110" s="32">
        <v>0.53160625431182162</v>
      </c>
      <c r="AD110" s="3">
        <v>110.41451612903225</v>
      </c>
      <c r="AE110" s="3">
        <v>207.69980645161289</v>
      </c>
      <c r="AF110" s="32">
        <v>0.99985709968083214</v>
      </c>
      <c r="AG110" s="3">
        <v>451.41193548387099</v>
      </c>
      <c r="AH110" s="3">
        <v>451.47645161290325</v>
      </c>
      <c r="AI110" s="52">
        <v>584.06796774193549</v>
      </c>
      <c r="AJ110" s="6">
        <v>0.43858788519190617</v>
      </c>
      <c r="AK110" s="21">
        <v>1331.7010967741935</v>
      </c>
      <c r="AL110" s="69">
        <f t="shared" ref="AL110:AL115" si="193">+AI110+W110+K110</f>
        <v>16511.223911035791</v>
      </c>
      <c r="AM110" s="6">
        <f t="shared" ref="AM110:AM115" si="194">AL110/AN110</f>
        <v>0.55944755348109076</v>
      </c>
      <c r="AN110" s="3">
        <f t="shared" ref="AN110:AN115" si="195">+AK110+Y110+M110</f>
        <v>29513.443768404766</v>
      </c>
      <c r="AO110" s="6">
        <f t="shared" ref="AO110:AO115" si="196">(+AA110+O110+C110)/(D110+P110+AB110)</f>
        <v>0.16671421523738308</v>
      </c>
      <c r="AP110" s="6">
        <f t="shared" ref="AP110:AP115" si="197">(+AD110+R110+F110)/(G110+S110+AE110)</f>
        <v>0.63123988750241822</v>
      </c>
      <c r="AQ110" s="70">
        <f t="shared" ref="AQ110:AQ115" si="198">(AG110+U110+I110)/(AH110+V110+J110)</f>
        <v>0.98327430698643981</v>
      </c>
    </row>
    <row r="111" spans="1:43" x14ac:dyDescent="0.2">
      <c r="A111" s="133">
        <v>42979</v>
      </c>
      <c r="B111" s="20">
        <v>0.11062667627696071</v>
      </c>
      <c r="C111" s="41">
        <v>247.34776828799997</v>
      </c>
      <c r="D111" s="159">
        <v>2235.8781499387142</v>
      </c>
      <c r="E111" s="20">
        <v>0.65779045194749641</v>
      </c>
      <c r="F111" s="161">
        <v>888.83792448442853</v>
      </c>
      <c r="G111" s="159">
        <v>1351.2478356182858</v>
      </c>
      <c r="H111" s="20">
        <v>0.9362601154925636</v>
      </c>
      <c r="I111" s="161">
        <v>593.43013209728565</v>
      </c>
      <c r="J111" s="159">
        <v>633.8304091754286</v>
      </c>
      <c r="K111" s="52">
        <v>1729.6158248697141</v>
      </c>
      <c r="L111" s="6">
        <v>0.40976870242682439</v>
      </c>
      <c r="M111" s="21">
        <v>4220.9563947324286</v>
      </c>
      <c r="N111" s="20">
        <v>0.18858270432317203</v>
      </c>
      <c r="O111" s="3">
        <v>2227.8982666666666</v>
      </c>
      <c r="P111" s="130">
        <v>11813.905600000002</v>
      </c>
      <c r="Q111" s="32">
        <v>0.62177885372231667</v>
      </c>
      <c r="R111" s="3">
        <v>3872.6842000000001</v>
      </c>
      <c r="S111" s="3">
        <v>6228.3948333333337</v>
      </c>
      <c r="T111" s="32">
        <v>0.98241607567927225</v>
      </c>
      <c r="U111" s="3">
        <v>8157.4965999999995</v>
      </c>
      <c r="V111" s="3">
        <v>8303.5047999999988</v>
      </c>
      <c r="W111" s="52">
        <v>14258.079066666665</v>
      </c>
      <c r="X111" s="6">
        <v>0.54118972414731925</v>
      </c>
      <c r="Y111" s="19">
        <v>26345.805233333333</v>
      </c>
      <c r="Z111" s="20">
        <v>3.4049427359617544E-2</v>
      </c>
      <c r="AA111" s="3">
        <v>23.585166666666666</v>
      </c>
      <c r="AB111" s="3">
        <v>692.67439999999999</v>
      </c>
      <c r="AC111" s="32">
        <v>0.53737321421763906</v>
      </c>
      <c r="AD111" s="3">
        <v>120.28676666666667</v>
      </c>
      <c r="AE111" s="3">
        <v>223.84213333333335</v>
      </c>
      <c r="AF111" s="32">
        <v>0.99899817827067039</v>
      </c>
      <c r="AG111" s="3">
        <v>398.87263333333334</v>
      </c>
      <c r="AH111" s="3">
        <v>399.27263333333332</v>
      </c>
      <c r="AI111" s="52">
        <v>542.74456666666663</v>
      </c>
      <c r="AJ111" s="6">
        <v>0.41248596691339223</v>
      </c>
      <c r="AK111" s="21">
        <v>1315.7891666666667</v>
      </c>
      <c r="AL111" s="69">
        <f t="shared" si="193"/>
        <v>16530.439458203047</v>
      </c>
      <c r="AM111" s="6">
        <f t="shared" si="194"/>
        <v>0.51847920088420829</v>
      </c>
      <c r="AN111" s="3">
        <f t="shared" si="195"/>
        <v>31882.550794732426</v>
      </c>
      <c r="AO111" s="6">
        <f t="shared" si="196"/>
        <v>0.16949895168138704</v>
      </c>
      <c r="AP111" s="6">
        <f t="shared" si="197"/>
        <v>0.62559343868032435</v>
      </c>
      <c r="AQ111" s="70">
        <f t="shared" si="198"/>
        <v>0.97999182570059118</v>
      </c>
    </row>
    <row r="112" spans="1:43" x14ac:dyDescent="0.2">
      <c r="A112" s="133">
        <v>42948</v>
      </c>
      <c r="B112" s="20">
        <v>0.11100663435310752</v>
      </c>
      <c r="C112" s="41">
        <v>232.02257821828582</v>
      </c>
      <c r="D112" s="159">
        <v>2090.1685702877144</v>
      </c>
      <c r="E112" s="20">
        <v>0.65859898892865099</v>
      </c>
      <c r="F112" s="161">
        <v>843.16688261657146</v>
      </c>
      <c r="G112" s="159">
        <v>1280.243208372</v>
      </c>
      <c r="H112" s="20">
        <v>0.9244800387709281</v>
      </c>
      <c r="I112" s="161">
        <v>658.183522401</v>
      </c>
      <c r="J112" s="159">
        <v>711.94995543228572</v>
      </c>
      <c r="K112" s="52">
        <v>1733.3729832358572</v>
      </c>
      <c r="L112" s="6">
        <v>0.42460053668453135</v>
      </c>
      <c r="M112" s="21">
        <v>4082.361734092</v>
      </c>
      <c r="N112" s="20">
        <v>0.18858270432317203</v>
      </c>
      <c r="O112" s="3">
        <v>2227.8982666666666</v>
      </c>
      <c r="P112" s="130">
        <v>11813.905600000002</v>
      </c>
      <c r="Q112" s="32">
        <v>0.62177885372231667</v>
      </c>
      <c r="R112" s="3">
        <v>3872.6842000000001</v>
      </c>
      <c r="S112" s="3">
        <v>6228.3948333333337</v>
      </c>
      <c r="T112" s="32">
        <v>0.98241607567927225</v>
      </c>
      <c r="U112" s="3">
        <v>8157.4965999999995</v>
      </c>
      <c r="V112" s="3">
        <v>8303.5047999999988</v>
      </c>
      <c r="W112" s="52">
        <v>14258.079066666665</v>
      </c>
      <c r="X112" s="6">
        <v>0.54118972414731925</v>
      </c>
      <c r="Y112" s="19">
        <v>26345.805233333333</v>
      </c>
      <c r="Z112" s="20">
        <v>3.4431360342421294E-2</v>
      </c>
      <c r="AA112" s="3">
        <v>23.736129032258066</v>
      </c>
      <c r="AB112" s="3">
        <v>689.37529032258055</v>
      </c>
      <c r="AC112" s="32">
        <v>0.54036757236170785</v>
      </c>
      <c r="AD112" s="3">
        <v>115.56396774193549</v>
      </c>
      <c r="AE112" s="3">
        <v>213.8617741935484</v>
      </c>
      <c r="AF112" s="32">
        <v>0.99732264214762167</v>
      </c>
      <c r="AG112" s="3">
        <v>432.5836129032258</v>
      </c>
      <c r="AH112" s="3">
        <v>433.74490322580647</v>
      </c>
      <c r="AI112" s="52">
        <v>571.88370967741935</v>
      </c>
      <c r="AJ112" s="6">
        <v>0.42774227586875313</v>
      </c>
      <c r="AK112" s="21">
        <v>1336.9819677419355</v>
      </c>
      <c r="AL112" s="69">
        <f t="shared" si="193"/>
        <v>16563.335759579943</v>
      </c>
      <c r="AM112" s="6">
        <f t="shared" si="194"/>
        <v>0.52143107508753517</v>
      </c>
      <c r="AN112" s="3">
        <f t="shared" si="195"/>
        <v>31765.148935167268</v>
      </c>
      <c r="AO112" s="6">
        <f t="shared" si="196"/>
        <v>0.17018984994746703</v>
      </c>
      <c r="AP112" s="6">
        <f t="shared" si="197"/>
        <v>0.62562838012785904</v>
      </c>
      <c r="AQ112" s="70">
        <f t="shared" si="198"/>
        <v>0.97873513835960124</v>
      </c>
    </row>
    <row r="113" spans="1:43" x14ac:dyDescent="0.2">
      <c r="A113" s="133">
        <v>42917</v>
      </c>
      <c r="B113" s="20">
        <v>0.10997180141163641</v>
      </c>
      <c r="C113" s="41">
        <v>244.08203124999997</v>
      </c>
      <c r="D113" s="159">
        <v>2219.4965265356923</v>
      </c>
      <c r="E113" s="20">
        <v>0.66366441716046443</v>
      </c>
      <c r="F113" s="161">
        <v>913.27078653571436</v>
      </c>
      <c r="G113" s="159">
        <v>1376.1032879285717</v>
      </c>
      <c r="H113" s="20">
        <v>0.95700059765871648</v>
      </c>
      <c r="I113" s="161">
        <v>546.42632142857144</v>
      </c>
      <c r="J113" s="159">
        <v>570.97803571428574</v>
      </c>
      <c r="K113" s="52">
        <v>1703.7791392142858</v>
      </c>
      <c r="L113" s="6">
        <v>0.4089157098411767</v>
      </c>
      <c r="M113" s="21">
        <v>4166.5778501785499</v>
      </c>
      <c r="N113" s="20">
        <v>0.19569334594666621</v>
      </c>
      <c r="O113" s="3">
        <v>2203.6221935483868</v>
      </c>
      <c r="P113" s="130">
        <v>11260.588258064516</v>
      </c>
      <c r="Q113" s="32">
        <v>0.61972564916951389</v>
      </c>
      <c r="R113" s="3">
        <v>3582.0490967741935</v>
      </c>
      <c r="S113" s="3">
        <v>5780.056225806451</v>
      </c>
      <c r="T113" s="32">
        <v>0.98179045875130155</v>
      </c>
      <c r="U113" s="3">
        <v>6967.4598387096776</v>
      </c>
      <c r="V113" s="3">
        <v>7096.6872580645158</v>
      </c>
      <c r="W113" s="52">
        <v>12753.131129032257</v>
      </c>
      <c r="X113" s="6">
        <v>0.52835712188001904</v>
      </c>
      <c r="Y113" s="19">
        <v>24137.331741935483</v>
      </c>
      <c r="Z113" s="20">
        <v>3.445755379690383E-2</v>
      </c>
      <c r="AA113" s="3">
        <v>22.88032258064516</v>
      </c>
      <c r="AB113" s="3">
        <v>664.01470967741943</v>
      </c>
      <c r="AC113" s="32">
        <v>0.53495617108270743</v>
      </c>
      <c r="AD113" s="3">
        <v>113.65929032258065</v>
      </c>
      <c r="AE113" s="3">
        <v>212.46467741935487</v>
      </c>
      <c r="AF113" s="32">
        <v>1</v>
      </c>
      <c r="AG113" s="3">
        <v>414.32193548387096</v>
      </c>
      <c r="AH113" s="3">
        <v>414.32193548387096</v>
      </c>
      <c r="AI113" s="52">
        <v>550.86154838709672</v>
      </c>
      <c r="AJ113" s="6">
        <v>0.42675936160785932</v>
      </c>
      <c r="AK113" s="21">
        <v>1290.8013225806453</v>
      </c>
      <c r="AL113" s="69">
        <f t="shared" si="193"/>
        <v>15007.77181663364</v>
      </c>
      <c r="AM113" s="6">
        <f t="shared" si="194"/>
        <v>0.50710993122699577</v>
      </c>
      <c r="AN113" s="3">
        <f t="shared" si="195"/>
        <v>29594.710914694679</v>
      </c>
      <c r="AO113" s="6">
        <f t="shared" si="196"/>
        <v>0.17467245252188537</v>
      </c>
      <c r="AP113" s="6">
        <f t="shared" si="197"/>
        <v>0.62548707249384639</v>
      </c>
      <c r="AQ113" s="70">
        <f t="shared" si="198"/>
        <v>0.98097260868171632</v>
      </c>
    </row>
    <row r="114" spans="1:43" x14ac:dyDescent="0.2">
      <c r="A114" s="133">
        <v>42887</v>
      </c>
      <c r="B114" s="20">
        <v>0.10740529515852681</v>
      </c>
      <c r="C114" s="41">
        <v>237.32060832142858</v>
      </c>
      <c r="D114" s="159">
        <v>2209.5801512500002</v>
      </c>
      <c r="E114" s="20">
        <v>0.6751397634900731</v>
      </c>
      <c r="F114" s="161">
        <v>911.40246428571425</v>
      </c>
      <c r="G114" s="159">
        <v>1349.9463571428571</v>
      </c>
      <c r="H114" s="20">
        <v>0.95396326332831194</v>
      </c>
      <c r="I114" s="161">
        <v>511.65264285714284</v>
      </c>
      <c r="J114" s="159">
        <v>536.34417857142853</v>
      </c>
      <c r="K114" s="52">
        <v>1660.3757154642856</v>
      </c>
      <c r="L114" s="6">
        <v>0.4053779629197467</v>
      </c>
      <c r="M114" s="21">
        <v>4095.8706869642856</v>
      </c>
      <c r="N114" s="20">
        <v>0.19820591347369471</v>
      </c>
      <c r="O114" s="3">
        <v>2234.8888999999999</v>
      </c>
      <c r="P114" s="130">
        <v>11275.591433333333</v>
      </c>
      <c r="Q114" s="32">
        <v>0.63904190500251001</v>
      </c>
      <c r="R114" s="3">
        <v>3757.6571666666664</v>
      </c>
      <c r="S114" s="3">
        <v>5880.1420333333335</v>
      </c>
      <c r="T114" s="32">
        <v>0.97622675340437048</v>
      </c>
      <c r="U114" s="3">
        <v>7436.5672000000004</v>
      </c>
      <c r="V114" s="3">
        <v>7617.6638000000003</v>
      </c>
      <c r="W114" s="52">
        <v>13429.113266666667</v>
      </c>
      <c r="X114" s="6">
        <v>0.54207798478797797</v>
      </c>
      <c r="Y114" s="19">
        <v>24773.397266666667</v>
      </c>
      <c r="Z114" s="20">
        <v>3.4557120366346658E-2</v>
      </c>
      <c r="AA114" s="3">
        <v>24.002333333333336</v>
      </c>
      <c r="AB114" s="3">
        <v>694.56983333333335</v>
      </c>
      <c r="AC114" s="32">
        <v>0.52574369466966642</v>
      </c>
      <c r="AD114" s="3">
        <v>113.7794</v>
      </c>
      <c r="AE114" s="3">
        <v>216.4161</v>
      </c>
      <c r="AF114" s="32">
        <v>0.99727497933715237</v>
      </c>
      <c r="AG114" s="3">
        <v>439.16363333333334</v>
      </c>
      <c r="AH114" s="3">
        <v>440.36363333333333</v>
      </c>
      <c r="AI114" s="52">
        <v>576.9453666666667</v>
      </c>
      <c r="AJ114" s="6">
        <v>0.42694013517893853</v>
      </c>
      <c r="AK114" s="21">
        <v>1351.3495666666668</v>
      </c>
      <c r="AL114" s="69">
        <f t="shared" si="193"/>
        <v>15666.43434879762</v>
      </c>
      <c r="AM114" s="6">
        <f t="shared" si="194"/>
        <v>0.51840219142693855</v>
      </c>
      <c r="AN114" s="3">
        <f t="shared" si="195"/>
        <v>30220.617520297619</v>
      </c>
      <c r="AO114" s="6">
        <f t="shared" si="196"/>
        <v>0.17604071668759058</v>
      </c>
      <c r="AP114" s="6">
        <f t="shared" si="197"/>
        <v>0.64229317756666338</v>
      </c>
      <c r="AQ114" s="70">
        <f t="shared" si="198"/>
        <v>0.97591584992350466</v>
      </c>
    </row>
    <row r="115" spans="1:43" x14ac:dyDescent="0.2">
      <c r="A115" s="133">
        <v>42856</v>
      </c>
      <c r="B115" s="20">
        <v>9.4031449892424124E-2</v>
      </c>
      <c r="C115" s="41">
        <v>173.31960799999999</v>
      </c>
      <c r="D115" s="159">
        <v>1843.2089284838721</v>
      </c>
      <c r="E115" s="20">
        <v>0.6928115228196412</v>
      </c>
      <c r="F115" s="161">
        <v>767.43925806451603</v>
      </c>
      <c r="G115" s="159">
        <v>1107.7172258064516</v>
      </c>
      <c r="H115" s="20">
        <v>0.95563500493917997</v>
      </c>
      <c r="I115" s="161">
        <v>447.50167741935485</v>
      </c>
      <c r="J115" s="159">
        <v>468.27677419354836</v>
      </c>
      <c r="K115" s="52">
        <v>1388.2605434838708</v>
      </c>
      <c r="L115" s="6">
        <v>0.40601876300434947</v>
      </c>
      <c r="M115" s="21">
        <v>3419.2029284838718</v>
      </c>
      <c r="N115" s="20">
        <v>0.19694220969135198</v>
      </c>
      <c r="O115" s="3">
        <v>1995.0638709677419</v>
      </c>
      <c r="P115" s="130">
        <v>10130.199483870969</v>
      </c>
      <c r="Q115" s="32">
        <v>0.65253428776420963</v>
      </c>
      <c r="R115" s="3">
        <v>3357.306129032258</v>
      </c>
      <c r="S115" s="3">
        <v>5145.0263870967738</v>
      </c>
      <c r="T115" s="32">
        <v>0.98015201177879552</v>
      </c>
      <c r="U115" s="3">
        <v>6738.1269354838714</v>
      </c>
      <c r="V115" s="3">
        <v>6874.5733870967742</v>
      </c>
      <c r="W115" s="52">
        <v>12090.496935483872</v>
      </c>
      <c r="X115" s="6">
        <v>0.54585130973960616</v>
      </c>
      <c r="Y115" s="19">
        <v>22149.799258064515</v>
      </c>
      <c r="Z115" s="20">
        <v>3.7462322376919766E-2</v>
      </c>
      <c r="AA115" s="3">
        <v>25.258064516129032</v>
      </c>
      <c r="AB115" s="3">
        <v>674.22580645161293</v>
      </c>
      <c r="AC115" s="32">
        <v>0.51259349717600367</v>
      </c>
      <c r="AD115" s="3">
        <v>108.3225806451613</v>
      </c>
      <c r="AE115" s="3">
        <v>211.32258064516128</v>
      </c>
      <c r="AF115" s="32">
        <v>1</v>
      </c>
      <c r="AG115" s="3">
        <v>416.64516129032256</v>
      </c>
      <c r="AH115" s="3">
        <v>416.64516129032256</v>
      </c>
      <c r="AI115" s="52">
        <v>550.22580645161293</v>
      </c>
      <c r="AJ115" s="6">
        <v>0.42253765358699963</v>
      </c>
      <c r="AK115" s="21">
        <v>1302.1935483870968</v>
      </c>
      <c r="AL115" s="69">
        <f t="shared" si="193"/>
        <v>14028.983285419357</v>
      </c>
      <c r="AM115" s="6">
        <f t="shared" si="194"/>
        <v>0.52208258329122847</v>
      </c>
      <c r="AN115" s="3">
        <f t="shared" si="195"/>
        <v>26871.195734935485</v>
      </c>
      <c r="AO115" s="6">
        <f t="shared" si="196"/>
        <v>0.17344283567451896</v>
      </c>
      <c r="AP115" s="6">
        <f t="shared" si="197"/>
        <v>0.6548614820756089</v>
      </c>
      <c r="AQ115" s="70">
        <f t="shared" si="198"/>
        <v>0.97973817344414504</v>
      </c>
    </row>
    <row r="116" spans="1:43" x14ac:dyDescent="0.2">
      <c r="A116" s="133">
        <v>42826</v>
      </c>
      <c r="B116" s="20">
        <v>0.10051017741599441</v>
      </c>
      <c r="C116" s="41">
        <v>206.11522126666668</v>
      </c>
      <c r="D116" s="159">
        <v>2050.6900551333333</v>
      </c>
      <c r="E116" s="20">
        <v>0.68041083346114672</v>
      </c>
      <c r="F116" s="161">
        <v>752.08753333333334</v>
      </c>
      <c r="G116" s="159">
        <v>1105.3432666666668</v>
      </c>
      <c r="H116" s="20">
        <v>0.95221023408811578</v>
      </c>
      <c r="I116" s="161">
        <v>477.0147</v>
      </c>
      <c r="J116" s="159">
        <v>500.95523333333335</v>
      </c>
      <c r="K116" s="52">
        <v>1435.2174546000001</v>
      </c>
      <c r="L116" s="6">
        <v>0.39245883134782522</v>
      </c>
      <c r="M116" s="21">
        <v>3656.9885551333336</v>
      </c>
      <c r="N116" s="20">
        <f t="shared" ref="N116:N124" si="199">O116/P116</f>
        <v>0.19184937251291823</v>
      </c>
      <c r="O116" s="3">
        <v>2167.6582000000003</v>
      </c>
      <c r="P116" s="130">
        <v>11298.750533333334</v>
      </c>
      <c r="Q116" s="32">
        <f t="shared" ref="Q116:Q121" si="200">R116/S116</f>
        <v>0.65884045670314828</v>
      </c>
      <c r="R116" s="3">
        <v>3301.5445333333332</v>
      </c>
      <c r="S116" s="3">
        <v>5011.1442000000006</v>
      </c>
      <c r="T116" s="32">
        <f>U116/V116</f>
        <v>0.97945161973544381</v>
      </c>
      <c r="U116" s="3">
        <v>6218.3365666666668</v>
      </c>
      <c r="V116" s="3">
        <v>6348.7939999999999</v>
      </c>
      <c r="W116" s="52">
        <f>+O116+V116+R116</f>
        <v>11817.996733333333</v>
      </c>
      <c r="X116" s="6">
        <f t="shared" ref="X116:X121" si="201">W116/Y116</f>
        <v>0.52156578310499524</v>
      </c>
      <c r="Y116" s="19">
        <f t="shared" ref="Y116:Y121" si="202">+V116+S116+P116</f>
        <v>22658.688733333336</v>
      </c>
      <c r="Z116" s="20">
        <v>3.3440219880897848E-2</v>
      </c>
      <c r="AA116" s="3">
        <v>26.766666666666666</v>
      </c>
      <c r="AB116" s="3">
        <v>800.43333333333328</v>
      </c>
      <c r="AC116" s="32">
        <v>0.51045400238948635</v>
      </c>
      <c r="AD116" s="3">
        <v>113.93333333333334</v>
      </c>
      <c r="AE116" s="3">
        <v>223.2</v>
      </c>
      <c r="AF116" s="32">
        <v>0.99827600361218283</v>
      </c>
      <c r="AG116" s="3">
        <v>405.33333333333331</v>
      </c>
      <c r="AH116" s="3">
        <v>406.03333333333336</v>
      </c>
      <c r="AI116" s="52">
        <v>546.0333333333333</v>
      </c>
      <c r="AJ116" s="6">
        <v>0.38193051993471672</v>
      </c>
      <c r="AK116" s="21">
        <v>1429.6666666666665</v>
      </c>
      <c r="AL116" s="69">
        <f t="shared" ref="AL116:AL121" si="203">+AI116+W116+K116</f>
        <v>13799.247521266667</v>
      </c>
      <c r="AM116" s="6">
        <f t="shared" ref="AM116:AM121" si="204">AL116/AN116</f>
        <v>0.49735362962453322</v>
      </c>
      <c r="AN116" s="3">
        <f t="shared" ref="AN116:AN121" si="205">+AK116+Y116+M116</f>
        <v>27745.343955133336</v>
      </c>
      <c r="AO116" s="6">
        <f t="shared" ref="AO116:AO121" si="206">(+AA116+O116+C116)/(D116+P116+AB116)</f>
        <v>0.16965098778971752</v>
      </c>
      <c r="AP116" s="6">
        <f t="shared" ref="AP116:AP121" si="207">(+AD116+R116+F116)/(G116+S116+AE116)</f>
        <v>0.65737710603441724</v>
      </c>
      <c r="AQ116" s="70">
        <f t="shared" ref="AQ116:AQ121" si="208">(AG116+U116+I116)/(AH116+V116+J116)</f>
        <v>0.97862422623037337</v>
      </c>
    </row>
    <row r="117" spans="1:43" x14ac:dyDescent="0.2">
      <c r="A117" s="133">
        <v>42795</v>
      </c>
      <c r="B117" s="20">
        <f t="shared" ref="B117:B127" si="209">C117/D117</f>
        <v>0.10112359550561799</v>
      </c>
      <c r="C117" s="41">
        <v>267.42857142857144</v>
      </c>
      <c r="D117" s="159">
        <v>2644.5714285714284</v>
      </c>
      <c r="E117" s="20">
        <f t="shared" ref="E117:E127" si="210">F117/G117</f>
        <v>0.67086126869520368</v>
      </c>
      <c r="F117" s="161">
        <v>929.14285714285711</v>
      </c>
      <c r="G117" s="159">
        <v>1385</v>
      </c>
      <c r="H117" s="20">
        <f t="shared" ref="H117:H127" si="211">I117/J117</f>
        <v>0.93622569938359412</v>
      </c>
      <c r="I117" s="161">
        <v>564.14285714285711</v>
      </c>
      <c r="J117" s="159">
        <v>602.57142857142856</v>
      </c>
      <c r="K117" s="52">
        <f t="shared" ref="K117:K122" si="212">SUM(C117+F117+I117)</f>
        <v>1760.7142857142856</v>
      </c>
      <c r="L117" s="6">
        <f t="shared" ref="L117:L122" si="213">K117/M117</f>
        <v>0.38010794140323823</v>
      </c>
      <c r="M117" s="21">
        <f t="shared" ref="M117:M122" si="214">SUM(J117+G117+D117)</f>
        <v>4632.1428571428569</v>
      </c>
      <c r="N117" s="20">
        <f t="shared" si="199"/>
        <v>0.19008642502374334</v>
      </c>
      <c r="O117" s="3">
        <v>2503.8125161290322</v>
      </c>
      <c r="P117" s="130">
        <v>13171.969096774195</v>
      </c>
      <c r="Q117" s="32">
        <f t="shared" si="200"/>
        <v>0.67951327245220561</v>
      </c>
      <c r="R117" s="3">
        <v>3889.7437000000004</v>
      </c>
      <c r="S117" s="3">
        <v>5724.3086451612908</v>
      </c>
      <c r="T117" s="32">
        <f t="shared" ref="T117:T128" si="215">U117/V117</f>
        <v>0.97858725428091453</v>
      </c>
      <c r="U117" s="3">
        <v>7088.6887741935489</v>
      </c>
      <c r="V117" s="3">
        <v>7243.7983870967737</v>
      </c>
      <c r="W117" s="52">
        <f>+U117+O117+R117</f>
        <v>13482.244990322582</v>
      </c>
      <c r="X117" s="6">
        <f t="shared" si="201"/>
        <v>0.51576915552088387</v>
      </c>
      <c r="Y117" s="19">
        <f t="shared" si="202"/>
        <v>26140.076129032259</v>
      </c>
      <c r="Z117" s="20">
        <f>AA117/AB117</f>
        <v>3.2331494270612292E-2</v>
      </c>
      <c r="AA117" s="3">
        <v>27.032258064516128</v>
      </c>
      <c r="AB117" s="3">
        <v>836.09677419354841</v>
      </c>
      <c r="AC117" s="32">
        <f t="shared" ref="AC117:AC127" si="216">AD117/AE117</f>
        <v>0.50622154779969641</v>
      </c>
      <c r="AD117" s="3">
        <v>107.61290322580645</v>
      </c>
      <c r="AE117" s="3">
        <v>212.58064516129033</v>
      </c>
      <c r="AF117" s="32">
        <f t="shared" ref="AF117:AF127" si="217">AG117/AH117</f>
        <v>0.99992516650452745</v>
      </c>
      <c r="AG117" s="3">
        <v>431.03225806451616</v>
      </c>
      <c r="AH117" s="3">
        <v>431.06451612903226</v>
      </c>
      <c r="AI117" s="52">
        <f>AG117+AD117+AA117</f>
        <v>565.67741935483866</v>
      </c>
      <c r="AJ117" s="6">
        <f>AI117/AK117</f>
        <v>0.382281130101151</v>
      </c>
      <c r="AK117" s="21">
        <f>+AH117+AE117+AB117</f>
        <v>1479.741935483871</v>
      </c>
      <c r="AL117" s="69">
        <f t="shared" si="203"/>
        <v>15808.636695391708</v>
      </c>
      <c r="AM117" s="6">
        <f t="shared" si="204"/>
        <v>0.49016048152208097</v>
      </c>
      <c r="AN117" s="3">
        <f t="shared" si="205"/>
        <v>32251.960921658989</v>
      </c>
      <c r="AO117" s="6">
        <f t="shared" si="206"/>
        <v>0.16803784861750135</v>
      </c>
      <c r="AP117" s="6">
        <f t="shared" si="207"/>
        <v>0.67284539072177318</v>
      </c>
      <c r="AQ117" s="70">
        <f t="shared" si="208"/>
        <v>0.97661468099448112</v>
      </c>
    </row>
    <row r="118" spans="1:43" x14ac:dyDescent="0.2">
      <c r="A118" s="133">
        <v>42767</v>
      </c>
      <c r="B118" s="20">
        <f t="shared" si="209"/>
        <v>9.9117227054394394E-2</v>
      </c>
      <c r="C118" s="41">
        <v>218.14285714285714</v>
      </c>
      <c r="D118" s="159">
        <v>2200.8571428571427</v>
      </c>
      <c r="E118" s="20">
        <f t="shared" si="210"/>
        <v>0.66851494696239155</v>
      </c>
      <c r="F118" s="161">
        <v>792.28571428571433</v>
      </c>
      <c r="G118" s="159">
        <v>1185.1428571428571</v>
      </c>
      <c r="H118" s="20">
        <f t="shared" si="211"/>
        <v>0.96018800110588898</v>
      </c>
      <c r="I118" s="161">
        <v>496.14285714285717</v>
      </c>
      <c r="J118" s="159">
        <v>516.71428571428567</v>
      </c>
      <c r="K118" s="52">
        <f t="shared" si="212"/>
        <v>1506.5714285714287</v>
      </c>
      <c r="L118" s="6">
        <f t="shared" si="213"/>
        <v>0.38603169954976396</v>
      </c>
      <c r="M118" s="21">
        <f t="shared" si="214"/>
        <v>3902.7142857142853</v>
      </c>
      <c r="N118" s="20">
        <f t="shared" si="199"/>
        <v>0.15470141114723368</v>
      </c>
      <c r="O118" s="3">
        <v>1952.8461521948007</v>
      </c>
      <c r="P118" s="130">
        <v>12623.32475</v>
      </c>
      <c r="Q118" s="32">
        <f t="shared" si="200"/>
        <v>0.61407891557336791</v>
      </c>
      <c r="R118" s="3">
        <v>3181.0364</v>
      </c>
      <c r="S118" s="3">
        <v>5180.1752500000002</v>
      </c>
      <c r="T118" s="32">
        <f t="shared" si="215"/>
        <v>0.97349507669064628</v>
      </c>
      <c r="U118" s="3">
        <v>6024.7023928571425</v>
      </c>
      <c r="V118" s="3">
        <v>6188.734321428572</v>
      </c>
      <c r="W118" s="52">
        <f>+U118+O118+R118</f>
        <v>11158.584945051942</v>
      </c>
      <c r="X118" s="6">
        <f t="shared" si="201"/>
        <v>0.46509152901552375</v>
      </c>
      <c r="Y118" s="19">
        <f t="shared" si="202"/>
        <v>23992.234321428572</v>
      </c>
      <c r="Z118" s="20">
        <f>AA118/AB118</f>
        <v>3.2593109328372664E-2</v>
      </c>
      <c r="AA118" s="3">
        <v>30.035714285714285</v>
      </c>
      <c r="AB118" s="3">
        <v>921.53571428571433</v>
      </c>
      <c r="AC118" s="32">
        <f t="shared" si="216"/>
        <v>0.51057358053302426</v>
      </c>
      <c r="AD118" s="3">
        <v>125.89285714285714</v>
      </c>
      <c r="AE118" s="3">
        <v>246.57142857142858</v>
      </c>
      <c r="AF118" s="32">
        <f t="shared" si="217"/>
        <v>0.99991799245530588</v>
      </c>
      <c r="AG118" s="3">
        <v>435.46428571428572</v>
      </c>
      <c r="AH118" s="3">
        <v>435.5</v>
      </c>
      <c r="AI118" s="52">
        <f>AG118+AD118+AA118</f>
        <v>591.39285714285722</v>
      </c>
      <c r="AJ118" s="6">
        <f>AI118/AK118</f>
        <v>0.36878911382819984</v>
      </c>
      <c r="AK118" s="21">
        <f>+AH118+AE118+AB118</f>
        <v>1603.6071428571429</v>
      </c>
      <c r="AL118" s="69">
        <f t="shared" si="203"/>
        <v>13256.549230766228</v>
      </c>
      <c r="AM118" s="6">
        <f t="shared" si="204"/>
        <v>0.44939655158426622</v>
      </c>
      <c r="AN118" s="3">
        <f t="shared" si="205"/>
        <v>29498.55575</v>
      </c>
      <c r="AO118" s="6">
        <f t="shared" si="206"/>
        <v>0.13978560892168571</v>
      </c>
      <c r="AP118" s="6">
        <f t="shared" si="207"/>
        <v>0.61997632436031491</v>
      </c>
      <c r="AQ118" s="70">
        <f t="shared" si="208"/>
        <v>0.9741436213048944</v>
      </c>
    </row>
    <row r="119" spans="1:43" x14ac:dyDescent="0.2">
      <c r="A119" s="133">
        <v>42736</v>
      </c>
      <c r="B119" s="20">
        <f t="shared" si="209"/>
        <v>0.10304789550072568</v>
      </c>
      <c r="C119" s="41">
        <v>243.42857142857142</v>
      </c>
      <c r="D119" s="159">
        <v>2362.2857142857142</v>
      </c>
      <c r="E119" s="20">
        <f t="shared" si="210"/>
        <v>0.33701291533281824</v>
      </c>
      <c r="F119" s="161">
        <v>436.14285714285717</v>
      </c>
      <c r="G119" s="159">
        <v>1294.1428571428571</v>
      </c>
      <c r="H119" s="20">
        <f t="shared" si="211"/>
        <v>0.96081081081081077</v>
      </c>
      <c r="I119" s="161">
        <v>507.85714285714283</v>
      </c>
      <c r="J119" s="159">
        <v>528.57142857142856</v>
      </c>
      <c r="K119" s="52">
        <f t="shared" si="212"/>
        <v>1187.4285714285713</v>
      </c>
      <c r="L119" s="6">
        <f t="shared" si="213"/>
        <v>0.28373442566990953</v>
      </c>
      <c r="M119" s="21">
        <f t="shared" si="214"/>
        <v>4185</v>
      </c>
      <c r="N119" s="20">
        <f t="shared" si="199"/>
        <v>0.19939045650263479</v>
      </c>
      <c r="O119" s="3">
        <v>2830.6981935483868</v>
      </c>
      <c r="P119" s="130">
        <v>14196.758677419355</v>
      </c>
      <c r="Q119" s="32">
        <f t="shared" si="200"/>
        <v>0.6533650357592824</v>
      </c>
      <c r="R119" s="3">
        <v>3733.3250322580648</v>
      </c>
      <c r="S119" s="3">
        <v>5713.9957419354841</v>
      </c>
      <c r="T119" s="32">
        <f t="shared" si="215"/>
        <v>0.97198494863694163</v>
      </c>
      <c r="U119" s="3">
        <v>7200.0990645161291</v>
      </c>
      <c r="V119" s="3">
        <v>7407.6240322580643</v>
      </c>
      <c r="W119" s="52">
        <f>+U119+O119+R119</f>
        <v>13764.122290322581</v>
      </c>
      <c r="X119" s="6">
        <f t="shared" si="201"/>
        <v>0.50384111614464933</v>
      </c>
      <c r="Y119" s="19">
        <f t="shared" si="202"/>
        <v>27318.378451612902</v>
      </c>
      <c r="Z119" s="20">
        <f>AA119/AB119</f>
        <v>3.0681141192824519E-2</v>
      </c>
      <c r="AA119" s="3">
        <v>29.903225806451612</v>
      </c>
      <c r="AB119" s="3">
        <v>974.64516129032256</v>
      </c>
      <c r="AC119" s="32">
        <f t="shared" si="216"/>
        <v>0.50131743170156706</v>
      </c>
      <c r="AD119" s="3">
        <v>116.61290322580645</v>
      </c>
      <c r="AE119" s="3">
        <v>232.61290322580646</v>
      </c>
      <c r="AF119" s="32">
        <f t="shared" si="217"/>
        <v>1</v>
      </c>
      <c r="AG119" s="3">
        <v>429.19354838709677</v>
      </c>
      <c r="AH119" s="3">
        <v>429.19354838709677</v>
      </c>
      <c r="AI119" s="52">
        <f>AG119+AD119+AA119</f>
        <v>575.70967741935476</v>
      </c>
      <c r="AJ119" s="6">
        <f>AI119/AK119</f>
        <v>0.35180366646954458</v>
      </c>
      <c r="AK119" s="21">
        <f>+AH119+AE119+AB119</f>
        <v>1636.4516129032259</v>
      </c>
      <c r="AL119" s="69">
        <f t="shared" si="203"/>
        <v>15527.260539170506</v>
      </c>
      <c r="AM119" s="6">
        <f t="shared" si="204"/>
        <v>0.46853772360758233</v>
      </c>
      <c r="AN119" s="3">
        <f t="shared" si="205"/>
        <v>33139.830064516129</v>
      </c>
      <c r="AO119" s="6">
        <f t="shared" si="206"/>
        <v>0.17703233431854215</v>
      </c>
      <c r="AP119" s="6">
        <f t="shared" si="207"/>
        <v>0.5919386670379192</v>
      </c>
      <c r="AQ119" s="70">
        <f t="shared" si="208"/>
        <v>0.97271624150356217</v>
      </c>
    </row>
    <row r="120" spans="1:43" x14ac:dyDescent="0.2">
      <c r="A120" s="133">
        <v>42705</v>
      </c>
      <c r="B120" s="20">
        <f t="shared" si="209"/>
        <v>0.11391482879660905</v>
      </c>
      <c r="C120" s="41">
        <v>245.71428571428572</v>
      </c>
      <c r="D120" s="159">
        <v>2157</v>
      </c>
      <c r="E120" s="20">
        <f t="shared" si="210"/>
        <v>0.66131498470948014</v>
      </c>
      <c r="F120" s="161">
        <v>865</v>
      </c>
      <c r="G120" s="159">
        <v>1308</v>
      </c>
      <c r="H120" s="20">
        <f t="shared" si="211"/>
        <v>0.95918367346938771</v>
      </c>
      <c r="I120" s="161">
        <v>449.85714285714283</v>
      </c>
      <c r="J120" s="159">
        <v>469</v>
      </c>
      <c r="K120" s="52">
        <f t="shared" si="212"/>
        <v>1560.5714285714287</v>
      </c>
      <c r="L120" s="6">
        <f t="shared" si="213"/>
        <v>0.3966882126516087</v>
      </c>
      <c r="M120" s="21">
        <f t="shared" si="214"/>
        <v>3934</v>
      </c>
      <c r="N120" s="20">
        <f t="shared" si="199"/>
        <v>0.20934312999443361</v>
      </c>
      <c r="O120" s="3">
        <v>2699.2584193548387</v>
      </c>
      <c r="P120" s="130">
        <v>12893.943161290324</v>
      </c>
      <c r="Q120" s="32">
        <f t="shared" si="200"/>
        <v>0.67289424941689091</v>
      </c>
      <c r="R120" s="3">
        <v>3739.898419354839</v>
      </c>
      <c r="S120" s="3">
        <v>5557.9289354838711</v>
      </c>
      <c r="T120" s="32">
        <f t="shared" si="215"/>
        <v>0.97632209895745015</v>
      </c>
      <c r="U120" s="3">
        <v>7089.2843548387091</v>
      </c>
      <c r="V120" s="3">
        <v>7261.2146774193552</v>
      </c>
      <c r="W120" s="52">
        <f>+U120+O120+R120</f>
        <v>13528.441193548386</v>
      </c>
      <c r="X120" s="6">
        <f t="shared" si="201"/>
        <v>0.52613057748966752</v>
      </c>
      <c r="Y120" s="19">
        <f t="shared" si="202"/>
        <v>25713.086774193551</v>
      </c>
      <c r="Z120" s="20">
        <f>AA120/AB120</f>
        <v>2.8506092785765751E-2</v>
      </c>
      <c r="AA120" s="3">
        <f>910/31</f>
        <v>29.35483870967742</v>
      </c>
      <c r="AB120" s="3">
        <f>31923/31</f>
        <v>1029.7741935483871</v>
      </c>
      <c r="AC120" s="32">
        <f t="shared" si="216"/>
        <v>0.49151529636711283</v>
      </c>
      <c r="AD120" s="3">
        <f>4113/31</f>
        <v>132.67741935483872</v>
      </c>
      <c r="AE120" s="3">
        <f>8368/31</f>
        <v>269.93548387096774</v>
      </c>
      <c r="AF120" s="32">
        <f t="shared" si="217"/>
        <v>1</v>
      </c>
      <c r="AG120" s="3">
        <f>11534/31</f>
        <v>372.06451612903226</v>
      </c>
      <c r="AH120" s="3">
        <f>11534/31</f>
        <v>372.06451612903226</v>
      </c>
      <c r="AI120" s="52">
        <f>AG120+AD120+AA120</f>
        <v>534.09677419354841</v>
      </c>
      <c r="AJ120" s="6">
        <f>AI120/AK120</f>
        <v>0.31947901591895805</v>
      </c>
      <c r="AK120" s="21">
        <f>+AH120+AE120+AB120</f>
        <v>1671.7741935483871</v>
      </c>
      <c r="AL120" s="69">
        <f t="shared" si="203"/>
        <v>15623.109396313364</v>
      </c>
      <c r="AM120" s="6">
        <f t="shared" si="204"/>
        <v>0.49884028069874525</v>
      </c>
      <c r="AN120" s="3">
        <f t="shared" si="205"/>
        <v>31318.860967741937</v>
      </c>
      <c r="AO120" s="6">
        <f t="shared" si="206"/>
        <v>0.18496236692350188</v>
      </c>
      <c r="AP120" s="6">
        <f t="shared" si="207"/>
        <v>0.6639105734492089</v>
      </c>
      <c r="AQ120" s="70">
        <f t="shared" si="208"/>
        <v>0.97641735428277399</v>
      </c>
    </row>
    <row r="121" spans="1:43" x14ac:dyDescent="0.2">
      <c r="A121" s="133">
        <v>42675</v>
      </c>
      <c r="B121" s="20">
        <f t="shared" si="209"/>
        <v>0.10358565737051793</v>
      </c>
      <c r="C121" s="41">
        <v>234</v>
      </c>
      <c r="D121" s="159">
        <v>2259</v>
      </c>
      <c r="E121" s="20">
        <f t="shared" si="210"/>
        <v>0.65734767025089602</v>
      </c>
      <c r="F121" s="161">
        <v>917</v>
      </c>
      <c r="G121" s="159">
        <v>1395</v>
      </c>
      <c r="H121" s="20">
        <f t="shared" si="211"/>
        <v>0.97188049209138838</v>
      </c>
      <c r="I121" s="161">
        <v>553</v>
      </c>
      <c r="J121" s="159">
        <v>569</v>
      </c>
      <c r="K121" s="52">
        <f t="shared" si="212"/>
        <v>1704</v>
      </c>
      <c r="L121" s="6">
        <f t="shared" si="213"/>
        <v>0.40350461757044753</v>
      </c>
      <c r="M121" s="21">
        <f t="shared" si="214"/>
        <v>4223</v>
      </c>
      <c r="N121" s="20">
        <f t="shared" si="199"/>
        <v>0.21483176847240212</v>
      </c>
      <c r="O121" s="3">
        <v>2162.0120999999999</v>
      </c>
      <c r="P121" s="130">
        <v>10063.744833333334</v>
      </c>
      <c r="Q121" s="32">
        <f t="shared" si="200"/>
        <v>0.67796300439851553</v>
      </c>
      <c r="R121" s="3">
        <v>3300.1482000000001</v>
      </c>
      <c r="S121" s="3">
        <v>4867.7408333333333</v>
      </c>
      <c r="T121" s="32">
        <f t="shared" si="215"/>
        <v>0.98109871792540415</v>
      </c>
      <c r="U121" s="3">
        <v>7405.8032000000003</v>
      </c>
      <c r="V121" s="3">
        <v>7548.4791333333342</v>
      </c>
      <c r="W121" s="52">
        <f>+U121+O121+R121</f>
        <v>12867.9635</v>
      </c>
      <c r="X121" s="6">
        <f t="shared" si="201"/>
        <v>0.57241920147490621</v>
      </c>
      <c r="Y121" s="19">
        <f t="shared" si="202"/>
        <v>22479.964800000002</v>
      </c>
      <c r="Z121" s="20">
        <f t="shared" ref="Z121:Z127" si="218">AA121/AB121</f>
        <v>3.3868426974720575E-2</v>
      </c>
      <c r="AA121" s="3">
        <f>903/30</f>
        <v>30.1</v>
      </c>
      <c r="AB121" s="3">
        <f>26662/30</f>
        <v>888.73333333333335</v>
      </c>
      <c r="AC121" s="32">
        <f t="shared" si="216"/>
        <v>0.52125786163522014</v>
      </c>
      <c r="AD121" s="3">
        <f>4144/30</f>
        <v>138.13333333333333</v>
      </c>
      <c r="AE121" s="3">
        <v>265</v>
      </c>
      <c r="AF121" s="32">
        <f t="shared" si="217"/>
        <v>0.99490435218444573</v>
      </c>
      <c r="AG121" s="3">
        <f>11910/30</f>
        <v>397</v>
      </c>
      <c r="AH121" s="3">
        <f>11971/30</f>
        <v>399.03333333333336</v>
      </c>
      <c r="AI121" s="52">
        <f>AG121+AD121+AA121</f>
        <v>565.23333333333335</v>
      </c>
      <c r="AJ121" s="6">
        <f>AI121/AK121</f>
        <v>0.36401691604233305</v>
      </c>
      <c r="AK121" s="21">
        <f>+AH121+AE121+AB121</f>
        <v>1552.7666666666667</v>
      </c>
      <c r="AL121" s="69">
        <f t="shared" si="203"/>
        <v>15137.196833333333</v>
      </c>
      <c r="AM121" s="6">
        <f t="shared" si="204"/>
        <v>0.53572128724364154</v>
      </c>
      <c r="AN121" s="3">
        <f t="shared" si="205"/>
        <v>28255.731466666668</v>
      </c>
      <c r="AO121" s="6">
        <f t="shared" si="206"/>
        <v>0.18363668844575035</v>
      </c>
      <c r="AP121" s="6">
        <f t="shared" si="207"/>
        <v>0.66719584072539639</v>
      </c>
      <c r="AQ121" s="70">
        <f t="shared" si="208"/>
        <v>0.98112968573748027</v>
      </c>
    </row>
    <row r="122" spans="1:43" x14ac:dyDescent="0.2">
      <c r="A122" s="133">
        <v>42644</v>
      </c>
      <c r="B122" s="20">
        <f t="shared" si="209"/>
        <v>0.10320781032078104</v>
      </c>
      <c r="C122" s="41">
        <v>222</v>
      </c>
      <c r="D122" s="159">
        <v>2151</v>
      </c>
      <c r="E122" s="20">
        <f t="shared" si="210"/>
        <v>0.65600624024960996</v>
      </c>
      <c r="F122" s="161">
        <v>841</v>
      </c>
      <c r="G122" s="159">
        <v>1282</v>
      </c>
      <c r="H122" s="20">
        <f t="shared" si="211"/>
        <v>0.97740112994350281</v>
      </c>
      <c r="I122" s="161">
        <v>519</v>
      </c>
      <c r="J122" s="159">
        <v>531</v>
      </c>
      <c r="K122" s="52">
        <f t="shared" si="212"/>
        <v>1582</v>
      </c>
      <c r="L122" s="6">
        <f t="shared" si="213"/>
        <v>0.3990918264379415</v>
      </c>
      <c r="M122" s="21">
        <f t="shared" si="214"/>
        <v>3964</v>
      </c>
      <c r="N122" s="20">
        <f t="shared" si="199"/>
        <v>0.269803299870359</v>
      </c>
      <c r="O122" s="3">
        <v>2614.2761935483868</v>
      </c>
      <c r="P122" s="130">
        <v>9689.563451612903</v>
      </c>
      <c r="Q122" s="32">
        <f t="shared" ref="Q122:Q128" si="219">R122/S122</f>
        <v>0.66770641438777523</v>
      </c>
      <c r="R122" s="3">
        <v>3411.0799677419354</v>
      </c>
      <c r="S122" s="3">
        <v>5108.652387096774</v>
      </c>
      <c r="T122" s="32">
        <f t="shared" si="215"/>
        <v>0.97938839527054389</v>
      </c>
      <c r="U122" s="3">
        <v>7383.1116774193551</v>
      </c>
      <c r="V122" s="3">
        <v>7538.4920967741937</v>
      </c>
      <c r="W122" s="52">
        <f t="shared" ref="W122:W128" si="220">+U122+O122+R122</f>
        <v>13408.467838709676</v>
      </c>
      <c r="X122" s="6">
        <f t="shared" ref="X122:X128" si="221">W122/Y122</f>
        <v>0.60028845241823292</v>
      </c>
      <c r="Y122" s="19">
        <f t="shared" ref="Y122:Y128" si="222">+V122+S122+P122</f>
        <v>22336.707935483872</v>
      </c>
      <c r="Z122" s="20">
        <f t="shared" si="218"/>
        <v>4.5185081454511507E-2</v>
      </c>
      <c r="AA122" s="3">
        <f>968/31</f>
        <v>31.225806451612904</v>
      </c>
      <c r="AB122" s="3">
        <f>21423/31</f>
        <v>691.06451612903231</v>
      </c>
      <c r="AC122" s="32">
        <f t="shared" si="216"/>
        <v>0.53528340541771002</v>
      </c>
      <c r="AD122" s="3">
        <f>4703/31</f>
        <v>151.70967741935485</v>
      </c>
      <c r="AE122" s="3">
        <f>8786/31</f>
        <v>283.41935483870969</v>
      </c>
      <c r="AF122" s="32">
        <f t="shared" si="217"/>
        <v>0.99093745357302032</v>
      </c>
      <c r="AG122" s="3">
        <f>26680/31</f>
        <v>860.64516129032256</v>
      </c>
      <c r="AH122" s="3">
        <f>26924/31</f>
        <v>868.51612903225805</v>
      </c>
      <c r="AI122" s="52">
        <f t="shared" ref="AI122:AI127" si="223">AG122+AD122+AA122</f>
        <v>1043.5806451612902</v>
      </c>
      <c r="AJ122" s="6">
        <f t="shared" ref="AJ122:AJ127" si="224">AI122/AK122</f>
        <v>0.56624017643043423</v>
      </c>
      <c r="AK122" s="21">
        <f t="shared" ref="AK122:AK127" si="225">+AH122+AE122+AB122</f>
        <v>1843</v>
      </c>
      <c r="AL122" s="69">
        <f t="shared" ref="AL122:AL128" si="226">+AI122+W122+K122</f>
        <v>16034.048483870965</v>
      </c>
      <c r="AM122" s="6">
        <f t="shared" ref="AM122:AM128" si="227">AL122/AN122</f>
        <v>0.5697205400449411</v>
      </c>
      <c r="AN122" s="3">
        <f t="shared" ref="AN122:AN128" si="228">+AK122+Y122+M122</f>
        <v>28143.707935483872</v>
      </c>
      <c r="AO122" s="6">
        <f t="shared" ref="AO122:AO128" si="229">(+AA122+O122+C122)/(D122+P122+AB122)</f>
        <v>0.22882118806761007</v>
      </c>
      <c r="AP122" s="6">
        <f t="shared" ref="AP122:AP128" si="230">(+AD122+R122+F122)/(G122+S122+AE122)</f>
        <v>0.65983552701280823</v>
      </c>
      <c r="AQ122" s="70">
        <f t="shared" ref="AQ122:AQ128" si="231">(AG122+U122+I122)/(AH122+V122+J122)</f>
        <v>0.98039256815732434</v>
      </c>
    </row>
    <row r="123" spans="1:43" x14ac:dyDescent="0.2">
      <c r="A123" s="133">
        <v>42614</v>
      </c>
      <c r="B123" s="20">
        <f t="shared" si="209"/>
        <v>0.10607569721115538</v>
      </c>
      <c r="C123" s="41">
        <v>213</v>
      </c>
      <c r="D123" s="159">
        <v>2008</v>
      </c>
      <c r="E123" s="20">
        <f t="shared" si="210"/>
        <v>0.64352574102964122</v>
      </c>
      <c r="F123" s="161">
        <v>825</v>
      </c>
      <c r="G123" s="159">
        <v>1282</v>
      </c>
      <c r="H123" s="20">
        <f t="shared" si="211"/>
        <v>0.47194244604316549</v>
      </c>
      <c r="I123" s="161">
        <v>328</v>
      </c>
      <c r="J123" s="159">
        <v>695</v>
      </c>
      <c r="K123" s="52">
        <f t="shared" ref="K123:K128" si="232">SUM(C123+F123+I123)</f>
        <v>1366</v>
      </c>
      <c r="L123" s="6">
        <f t="shared" ref="L123:L128" si="233">K123/M123</f>
        <v>0.34278544542032624</v>
      </c>
      <c r="M123" s="21">
        <f t="shared" ref="M123:M128" si="234">SUM(J123+G123+D123)</f>
        <v>3985</v>
      </c>
      <c r="N123" s="20">
        <f t="shared" si="199"/>
        <v>0.20836761809520685</v>
      </c>
      <c r="O123" s="3">
        <v>2605.8710333333333</v>
      </c>
      <c r="P123" s="130">
        <v>12506.122866666667</v>
      </c>
      <c r="Q123" s="32">
        <f t="shared" si="219"/>
        <v>0.65102713374117005</v>
      </c>
      <c r="R123" s="3">
        <v>4175.0526333333337</v>
      </c>
      <c r="S123" s="3">
        <v>6413.0240000000003</v>
      </c>
      <c r="T123" s="32">
        <f t="shared" si="215"/>
        <v>0.97739697514959611</v>
      </c>
      <c r="U123" s="3">
        <v>8240.8171999999995</v>
      </c>
      <c r="V123" s="3">
        <v>8431.3921666666665</v>
      </c>
      <c r="W123" s="52">
        <f t="shared" si="220"/>
        <v>15021.740866666667</v>
      </c>
      <c r="X123" s="6">
        <f t="shared" si="221"/>
        <v>0.54923015770764128</v>
      </c>
      <c r="Y123" s="19">
        <f t="shared" si="222"/>
        <v>27350.539033333334</v>
      </c>
      <c r="Z123" s="20">
        <f t="shared" si="218"/>
        <v>3.235675876135731E-2</v>
      </c>
      <c r="AA123" s="3">
        <f>698/30</f>
        <v>23.266666666666666</v>
      </c>
      <c r="AB123" s="3">
        <f>21572/30</f>
        <v>719.06666666666672</v>
      </c>
      <c r="AC123" s="32">
        <f t="shared" si="216"/>
        <v>0.53002762832630512</v>
      </c>
      <c r="AD123" s="3">
        <f>3645/30</f>
        <v>121.5</v>
      </c>
      <c r="AE123" s="3">
        <f>6877/30</f>
        <v>229.23333333333332</v>
      </c>
      <c r="AF123" s="32">
        <f t="shared" si="217"/>
        <v>0.98891645988420185</v>
      </c>
      <c r="AG123" s="3">
        <f>11956/30</f>
        <v>398.53333333333336</v>
      </c>
      <c r="AH123" s="137">
        <f>12090/30</f>
        <v>403</v>
      </c>
      <c r="AI123" s="52">
        <f t="shared" si="223"/>
        <v>543.29999999999995</v>
      </c>
      <c r="AJ123" s="6">
        <f t="shared" si="224"/>
        <v>0.40205727817657061</v>
      </c>
      <c r="AK123" s="21">
        <f t="shared" si="225"/>
        <v>1351.3000000000002</v>
      </c>
      <c r="AL123" s="69">
        <f t="shared" si="226"/>
        <v>16931.040866666666</v>
      </c>
      <c r="AM123" s="6">
        <f t="shared" si="227"/>
        <v>0.51797730730098301</v>
      </c>
      <c r="AN123" s="3">
        <f t="shared" si="228"/>
        <v>32686.839033333334</v>
      </c>
      <c r="AO123" s="6">
        <f t="shared" si="229"/>
        <v>0.18657535204829045</v>
      </c>
      <c r="AP123" s="6">
        <f t="shared" si="230"/>
        <v>0.64631326544502254</v>
      </c>
      <c r="AQ123" s="70">
        <f t="shared" si="231"/>
        <v>0.94102020113105145</v>
      </c>
    </row>
    <row r="124" spans="1:43" x14ac:dyDescent="0.2">
      <c r="A124" s="133">
        <v>42583</v>
      </c>
      <c r="B124" s="20">
        <f t="shared" si="209"/>
        <v>0.10689045936395759</v>
      </c>
      <c r="C124" s="41">
        <v>242</v>
      </c>
      <c r="D124" s="159">
        <v>2264</v>
      </c>
      <c r="E124" s="20">
        <f t="shared" si="210"/>
        <v>0.6534320323014805</v>
      </c>
      <c r="F124" s="161">
        <v>971</v>
      </c>
      <c r="G124" s="159">
        <v>1486</v>
      </c>
      <c r="H124" s="20">
        <f t="shared" si="211"/>
        <v>0.97211660329531047</v>
      </c>
      <c r="I124" s="161">
        <v>767</v>
      </c>
      <c r="J124" s="159">
        <v>789</v>
      </c>
      <c r="K124" s="52">
        <f t="shared" si="232"/>
        <v>1980</v>
      </c>
      <c r="L124" s="6">
        <f t="shared" si="233"/>
        <v>0.43621943159286186</v>
      </c>
      <c r="M124" s="21">
        <f t="shared" si="234"/>
        <v>4539</v>
      </c>
      <c r="N124" s="20">
        <f t="shared" si="199"/>
        <v>0.28376113863141667</v>
      </c>
      <c r="O124" s="3">
        <v>3691.851419354839</v>
      </c>
      <c r="P124" s="130">
        <v>13010.419387096774</v>
      </c>
      <c r="Q124" s="32">
        <f t="shared" si="219"/>
        <v>0.64020288091859556</v>
      </c>
      <c r="R124" s="3">
        <v>4151.3323870967743</v>
      </c>
      <c r="S124" s="3">
        <v>6484.4012903225803</v>
      </c>
      <c r="T124" s="32">
        <f t="shared" si="215"/>
        <v>0.97721133655431747</v>
      </c>
      <c r="U124" s="3">
        <v>8194.0426129032257</v>
      </c>
      <c r="V124" s="3">
        <v>8385.1284838709671</v>
      </c>
      <c r="W124" s="52">
        <f t="shared" si="220"/>
        <v>16037.226419354838</v>
      </c>
      <c r="X124" s="6">
        <f t="shared" si="221"/>
        <v>0.57522437815710181</v>
      </c>
      <c r="Y124" s="19">
        <f t="shared" si="222"/>
        <v>27879.949161290322</v>
      </c>
      <c r="Z124" s="20">
        <f t="shared" si="218"/>
        <v>3.5431412200876311E-2</v>
      </c>
      <c r="AA124" s="3">
        <v>27.129032258064516</v>
      </c>
      <c r="AB124" s="3">
        <f>23736/31</f>
        <v>765.67741935483866</v>
      </c>
      <c r="AC124" s="32">
        <f t="shared" si="216"/>
        <v>0.50690655832849685</v>
      </c>
      <c r="AD124" s="3">
        <f>4367/31</f>
        <v>140.87096774193549</v>
      </c>
      <c r="AE124" s="3">
        <f>8615/31</f>
        <v>277.90322580645159</v>
      </c>
      <c r="AF124" s="32">
        <f t="shared" si="217"/>
        <v>0.99949268622643106</v>
      </c>
      <c r="AG124" s="3">
        <f>11821/31</f>
        <v>381.32258064516128</v>
      </c>
      <c r="AH124" s="3">
        <f>11827/31</f>
        <v>381.51612903225805</v>
      </c>
      <c r="AI124" s="52">
        <f t="shared" si="223"/>
        <v>549.32258064516134</v>
      </c>
      <c r="AJ124" s="6">
        <f t="shared" si="224"/>
        <v>0.3854633528000363</v>
      </c>
      <c r="AK124" s="21">
        <f t="shared" si="225"/>
        <v>1425.0967741935483</v>
      </c>
      <c r="AL124" s="69">
        <f t="shared" si="226"/>
        <v>18566.548999999999</v>
      </c>
      <c r="AM124" s="6">
        <f t="shared" si="227"/>
        <v>0.54859129536087348</v>
      </c>
      <c r="AN124" s="3">
        <f t="shared" si="228"/>
        <v>33844.045935483868</v>
      </c>
      <c r="AO124" s="6">
        <f t="shared" si="229"/>
        <v>0.24694242805440716</v>
      </c>
      <c r="AP124" s="6">
        <f t="shared" si="230"/>
        <v>0.63809517999085175</v>
      </c>
      <c r="AQ124" s="70">
        <f t="shared" si="231"/>
        <v>0.97768026878408165</v>
      </c>
    </row>
    <row r="125" spans="1:43" x14ac:dyDescent="0.2">
      <c r="A125" s="133">
        <v>42552</v>
      </c>
      <c r="B125" s="20">
        <f t="shared" si="209"/>
        <v>0.10337552742616034</v>
      </c>
      <c r="C125" s="41">
        <v>245</v>
      </c>
      <c r="D125" s="159">
        <v>2370</v>
      </c>
      <c r="E125" s="20">
        <f t="shared" si="210"/>
        <v>0.66476810414971521</v>
      </c>
      <c r="F125" s="161">
        <v>817</v>
      </c>
      <c r="G125" s="159">
        <v>1229</v>
      </c>
      <c r="H125" s="20">
        <f t="shared" si="211"/>
        <v>0.95317220543806647</v>
      </c>
      <c r="I125" s="161">
        <v>631</v>
      </c>
      <c r="J125" s="159">
        <v>662</v>
      </c>
      <c r="K125" s="52">
        <f t="shared" si="232"/>
        <v>1693</v>
      </c>
      <c r="L125" s="6">
        <f t="shared" si="233"/>
        <v>0.39732457169678481</v>
      </c>
      <c r="M125" s="21">
        <f t="shared" si="234"/>
        <v>4261</v>
      </c>
      <c r="N125" s="20">
        <f>O126/P125</f>
        <v>0.21604522888871475</v>
      </c>
      <c r="O125" s="3">
        <v>2494.0666451612901</v>
      </c>
      <c r="P125" s="130">
        <v>11152.147225806453</v>
      </c>
      <c r="Q125" s="32">
        <f t="shared" si="219"/>
        <v>0.64979990370446372</v>
      </c>
      <c r="R125" s="3">
        <v>3714.1291612903224</v>
      </c>
      <c r="S125" s="3">
        <v>5715.8044193548385</v>
      </c>
      <c r="T125" s="32">
        <f t="shared" si="215"/>
        <v>0.97847168121181338</v>
      </c>
      <c r="U125" s="3">
        <v>6863.3632903225807</v>
      </c>
      <c r="V125" s="3">
        <v>7014.3709032258066</v>
      </c>
      <c r="W125" s="52">
        <f t="shared" si="220"/>
        <v>13071.559096774194</v>
      </c>
      <c r="X125" s="6">
        <f t="shared" si="221"/>
        <v>0.54733198876660283</v>
      </c>
      <c r="Y125" s="19">
        <f t="shared" si="222"/>
        <v>23882.322548387099</v>
      </c>
      <c r="Z125" s="20">
        <f t="shared" si="218"/>
        <v>2.004230755440823E-2</v>
      </c>
      <c r="AA125" s="3">
        <f>559/31</f>
        <v>18.032258064516128</v>
      </c>
      <c r="AB125" s="3">
        <f>27891/31</f>
        <v>899.70967741935488</v>
      </c>
      <c r="AC125" s="32">
        <f t="shared" si="216"/>
        <v>0.43591240875912413</v>
      </c>
      <c r="AD125" s="3">
        <f>2986/31</f>
        <v>96.322580645161295</v>
      </c>
      <c r="AE125" s="3">
        <f>6850/31</f>
        <v>220.96774193548387</v>
      </c>
      <c r="AF125" s="32">
        <f t="shared" si="217"/>
        <v>0.9662845583277142</v>
      </c>
      <c r="AG125" s="3">
        <f>11464/31</f>
        <v>369.80645161290323</v>
      </c>
      <c r="AH125" s="3">
        <f>11864/31</f>
        <v>382.70967741935482</v>
      </c>
      <c r="AI125" s="52">
        <f t="shared" si="223"/>
        <v>484.16129032258061</v>
      </c>
      <c r="AJ125" s="6">
        <f t="shared" si="224"/>
        <v>0.32204699066623749</v>
      </c>
      <c r="AK125" s="21">
        <f t="shared" si="225"/>
        <v>1503.3870967741937</v>
      </c>
      <c r="AL125" s="69">
        <f t="shared" si="226"/>
        <v>15248.720387096775</v>
      </c>
      <c r="AM125" s="6">
        <f t="shared" si="227"/>
        <v>0.51434781699579113</v>
      </c>
      <c r="AN125" s="3">
        <f t="shared" si="228"/>
        <v>29646.709645161292</v>
      </c>
      <c r="AO125" s="6">
        <f>(+AA125+O126+C125)/(D125+P125+AB125)</f>
        <v>0.1853021061016607</v>
      </c>
      <c r="AP125" s="6">
        <f t="shared" si="230"/>
        <v>0.64577154251890556</v>
      </c>
      <c r="AQ125" s="70">
        <f t="shared" si="231"/>
        <v>0.97581475495135528</v>
      </c>
    </row>
    <row r="126" spans="1:43" x14ac:dyDescent="0.2">
      <c r="A126" s="133">
        <v>42522</v>
      </c>
      <c r="B126" s="20">
        <f t="shared" si="209"/>
        <v>0.10346339324857519</v>
      </c>
      <c r="C126" s="41">
        <f>236</f>
        <v>236</v>
      </c>
      <c r="D126" s="159">
        <v>2281</v>
      </c>
      <c r="E126" s="20">
        <f t="shared" si="210"/>
        <v>0.66714183891660728</v>
      </c>
      <c r="F126" s="161">
        <v>936</v>
      </c>
      <c r="G126" s="159">
        <v>1403</v>
      </c>
      <c r="H126" s="20">
        <f t="shared" si="211"/>
        <v>0.97045101088646968</v>
      </c>
      <c r="I126" s="161">
        <v>624</v>
      </c>
      <c r="J126" s="159">
        <v>643</v>
      </c>
      <c r="K126" s="52">
        <f t="shared" si="232"/>
        <v>1796</v>
      </c>
      <c r="L126" s="6">
        <f t="shared" si="233"/>
        <v>0.41506817656574996</v>
      </c>
      <c r="M126" s="21">
        <f t="shared" si="234"/>
        <v>4327</v>
      </c>
      <c r="N126" s="20">
        <f>O126/P126</f>
        <v>0.23397559373361057</v>
      </c>
      <c r="O126" s="3">
        <v>2409.3682000000003</v>
      </c>
      <c r="P126" s="130">
        <v>10297.519333333334</v>
      </c>
      <c r="Q126" s="32">
        <f t="shared" si="219"/>
        <v>0.66563153925269636</v>
      </c>
      <c r="R126" s="3">
        <v>3692.3106000000002</v>
      </c>
      <c r="S126" s="3">
        <v>5547.0788000000002</v>
      </c>
      <c r="T126" s="32">
        <f t="shared" si="215"/>
        <v>0.98120107181365468</v>
      </c>
      <c r="U126" s="3">
        <v>7893.4750000000004</v>
      </c>
      <c r="V126" s="3">
        <v>8044.7068666666664</v>
      </c>
      <c r="W126" s="52">
        <f t="shared" si="220"/>
        <v>13995.153800000002</v>
      </c>
      <c r="X126" s="6">
        <f t="shared" si="221"/>
        <v>0.58583344304072482</v>
      </c>
      <c r="Y126" s="19">
        <f t="shared" si="222"/>
        <v>23889.305</v>
      </c>
      <c r="Z126" s="20">
        <f t="shared" si="218"/>
        <v>2.3679952934255042E-2</v>
      </c>
      <c r="AA126" s="3">
        <f>483/30</f>
        <v>16.100000000000001</v>
      </c>
      <c r="AB126" s="3">
        <f>20397/30</f>
        <v>679.9</v>
      </c>
      <c r="AC126" s="32">
        <f t="shared" si="216"/>
        <v>0.50242204056917961</v>
      </c>
      <c r="AD126" s="3">
        <f>3319/30</f>
        <v>110.63333333333334</v>
      </c>
      <c r="AE126" s="3">
        <f>6606/30</f>
        <v>220.2</v>
      </c>
      <c r="AF126" s="32">
        <f t="shared" si="217"/>
        <v>0.97174329501915702</v>
      </c>
      <c r="AG126" s="3">
        <f>12174/30</f>
        <v>405.8</v>
      </c>
      <c r="AH126" s="3">
        <f>12528/30</f>
        <v>417.6</v>
      </c>
      <c r="AI126" s="52">
        <f t="shared" si="223"/>
        <v>532.53333333333342</v>
      </c>
      <c r="AJ126" s="6">
        <f t="shared" si="224"/>
        <v>0.40413852419620055</v>
      </c>
      <c r="AK126" s="21">
        <f t="shared" si="225"/>
        <v>1317.6999999999998</v>
      </c>
      <c r="AL126" s="69">
        <f t="shared" si="226"/>
        <v>16323.687133333335</v>
      </c>
      <c r="AM126" s="6">
        <f t="shared" si="227"/>
        <v>0.55270821323871699</v>
      </c>
      <c r="AN126" s="3">
        <f t="shared" si="228"/>
        <v>29534.005000000001</v>
      </c>
      <c r="AO126" s="6">
        <f>(+AA126+O127+C126)/(D126+P126+AB126)</f>
        <v>0.18382930413675758</v>
      </c>
      <c r="AP126" s="6">
        <f t="shared" si="230"/>
        <v>0.6609148773034228</v>
      </c>
      <c r="AQ126" s="70">
        <f t="shared" si="231"/>
        <v>0.98000815685487097</v>
      </c>
    </row>
    <row r="127" spans="1:43" x14ac:dyDescent="0.2">
      <c r="A127" s="133">
        <v>42491</v>
      </c>
      <c r="B127" s="20">
        <f t="shared" si="209"/>
        <v>0.10132966529115085</v>
      </c>
      <c r="C127" s="41">
        <v>221</v>
      </c>
      <c r="D127" s="159">
        <v>2181</v>
      </c>
      <c r="E127" s="20">
        <f t="shared" si="210"/>
        <v>0.66059225512528474</v>
      </c>
      <c r="F127" s="161">
        <v>870</v>
      </c>
      <c r="G127" s="159">
        <v>1317</v>
      </c>
      <c r="H127" s="20">
        <f t="shared" si="211"/>
        <v>0.98148148148148151</v>
      </c>
      <c r="I127" s="161">
        <v>583</v>
      </c>
      <c r="J127" s="159">
        <v>594</v>
      </c>
      <c r="K127" s="52">
        <f t="shared" si="232"/>
        <v>1674</v>
      </c>
      <c r="L127" s="6">
        <f t="shared" si="233"/>
        <v>0.40909090909090912</v>
      </c>
      <c r="M127" s="21">
        <f t="shared" si="234"/>
        <v>4092</v>
      </c>
      <c r="N127" s="20">
        <f>O127/P127</f>
        <v>0.22051289227848597</v>
      </c>
      <c r="O127" s="3">
        <f>(54491616+13180199+68951)/31*0.001</f>
        <v>2185.1860000000001</v>
      </c>
      <c r="P127" s="130">
        <f>(54491616+13180199+68951+208460252+30250329+745050)/31*0.001</f>
        <v>9909.5611935483867</v>
      </c>
      <c r="Q127" s="32">
        <f t="shared" si="219"/>
        <v>0.67532329940498514</v>
      </c>
      <c r="R127" s="3">
        <v>3347.0890967741934</v>
      </c>
      <c r="S127" s="3">
        <v>4956.2766451612906</v>
      </c>
      <c r="T127" s="32">
        <f t="shared" si="215"/>
        <v>0.96234892157007823</v>
      </c>
      <c r="U127" s="3">
        <v>7104.9633225806447</v>
      </c>
      <c r="V127" s="3">
        <v>7382.9389354838713</v>
      </c>
      <c r="W127" s="52">
        <f t="shared" si="220"/>
        <v>12637.238419354839</v>
      </c>
      <c r="X127" s="6">
        <f t="shared" si="221"/>
        <v>0.56799699810970394</v>
      </c>
      <c r="Y127" s="19">
        <f t="shared" si="222"/>
        <v>22248.776774193549</v>
      </c>
      <c r="Z127" s="20">
        <f t="shared" si="218"/>
        <v>2.4978089395267307E-2</v>
      </c>
      <c r="AA127" s="3">
        <f>513/31</f>
        <v>16.548387096774192</v>
      </c>
      <c r="AB127" s="3">
        <f>20538/31</f>
        <v>662.51612903225805</v>
      </c>
      <c r="AC127" s="32">
        <f t="shared" si="216"/>
        <v>0.46218978102189778</v>
      </c>
      <c r="AD127" s="3">
        <f>3166/31</f>
        <v>102.12903225806451</v>
      </c>
      <c r="AE127" s="3">
        <f>6850/31</f>
        <v>220.96774193548387</v>
      </c>
      <c r="AF127" s="32">
        <f t="shared" si="217"/>
        <v>0.96249189889825015</v>
      </c>
      <c r="AG127" s="3">
        <f>11881/31</f>
        <v>383.25806451612902</v>
      </c>
      <c r="AH127" s="3">
        <f>12344/31</f>
        <v>398.19354838709677</v>
      </c>
      <c r="AI127" s="52">
        <f t="shared" si="223"/>
        <v>501.93548387096774</v>
      </c>
      <c r="AJ127" s="6">
        <f t="shared" si="224"/>
        <v>0.39162387999597309</v>
      </c>
      <c r="AK127" s="21">
        <f t="shared" si="225"/>
        <v>1281.6774193548385</v>
      </c>
      <c r="AL127" s="69">
        <f t="shared" si="226"/>
        <v>14813.173903225806</v>
      </c>
      <c r="AM127" s="6">
        <f t="shared" si="227"/>
        <v>0.53627291041668668</v>
      </c>
      <c r="AN127" s="3">
        <f t="shared" si="228"/>
        <v>27622.454193548387</v>
      </c>
      <c r="AO127" s="6">
        <f t="shared" si="229"/>
        <v>0.18997253179097975</v>
      </c>
      <c r="AP127" s="6">
        <f t="shared" si="230"/>
        <v>0.66508401464133171</v>
      </c>
      <c r="AQ127" s="70">
        <f t="shared" si="231"/>
        <v>0.96371268187584214</v>
      </c>
    </row>
    <row r="128" spans="1:43" x14ac:dyDescent="0.2">
      <c r="A128" s="133">
        <v>42461</v>
      </c>
      <c r="B128" s="20">
        <v>0.10298955800314691</v>
      </c>
      <c r="C128" s="41">
        <v>205.71428571428572</v>
      </c>
      <c r="D128" s="161">
        <v>1997.4285714285713</v>
      </c>
      <c r="E128" s="32">
        <v>0.6519287164448454</v>
      </c>
      <c r="F128" s="161">
        <v>825.71428571428567</v>
      </c>
      <c r="G128" s="161">
        <v>1266.5714285714287</v>
      </c>
      <c r="H128" s="32">
        <v>0.98292682926829267</v>
      </c>
      <c r="I128" s="161">
        <v>518.14285714285711</v>
      </c>
      <c r="J128" s="161">
        <v>527.14285714285711</v>
      </c>
      <c r="K128" s="52">
        <f t="shared" si="232"/>
        <v>1549.5714285714284</v>
      </c>
      <c r="L128" s="6">
        <f t="shared" si="233"/>
        <v>0.40873464466048687</v>
      </c>
      <c r="M128" s="21">
        <f t="shared" si="234"/>
        <v>3791.1428571428569</v>
      </c>
      <c r="N128" s="20">
        <f>O128/P128</f>
        <v>0.2176246668994487</v>
      </c>
      <c r="O128" s="3">
        <v>2407.1653666666666</v>
      </c>
      <c r="P128" s="130">
        <v>11061.086966666666</v>
      </c>
      <c r="Q128" s="32">
        <f t="shared" si="219"/>
        <v>0.67365661230012763</v>
      </c>
      <c r="R128" s="3">
        <v>3409.0876999999996</v>
      </c>
      <c r="S128" s="3">
        <v>5060.5718666666662</v>
      </c>
      <c r="T128" s="32">
        <f t="shared" si="215"/>
        <v>0.95766799210049791</v>
      </c>
      <c r="U128" s="3">
        <v>6389.1553666666669</v>
      </c>
      <c r="V128" s="3">
        <v>6671.5766000000003</v>
      </c>
      <c r="W128" s="52">
        <f t="shared" si="220"/>
        <v>12205.408433333334</v>
      </c>
      <c r="X128" s="6">
        <f t="shared" si="221"/>
        <v>0.53548380479077906</v>
      </c>
      <c r="Y128" s="19">
        <f t="shared" si="222"/>
        <v>22793.235433333331</v>
      </c>
      <c r="Z128" s="20">
        <v>2.2052482444252799E-2</v>
      </c>
      <c r="AA128" s="3">
        <v>17.899999999999999</v>
      </c>
      <c r="AB128" s="3">
        <v>811.7</v>
      </c>
      <c r="AC128" s="32">
        <v>0.47494584837545128</v>
      </c>
      <c r="AD128" s="3">
        <v>109.63333333333334</v>
      </c>
      <c r="AE128" s="3">
        <v>230.83333333333334</v>
      </c>
      <c r="AF128" s="32">
        <v>0.96645754914261817</v>
      </c>
      <c r="AG128" s="3">
        <v>385.13333333333333</v>
      </c>
      <c r="AH128" s="3">
        <v>398.5</v>
      </c>
      <c r="AI128" s="52">
        <v>512.66666666666663</v>
      </c>
      <c r="AJ128" s="6">
        <v>0.35576322546320926</v>
      </c>
      <c r="AK128" s="21">
        <v>1441.0333333333333</v>
      </c>
      <c r="AL128" s="69">
        <f t="shared" si="226"/>
        <v>14267.646528571429</v>
      </c>
      <c r="AM128" s="6">
        <f t="shared" si="227"/>
        <v>0.50909676974913998</v>
      </c>
      <c r="AN128" s="3">
        <f t="shared" si="228"/>
        <v>28025.411623809523</v>
      </c>
      <c r="AO128" s="6">
        <f t="shared" si="229"/>
        <v>0.18967114426992035</v>
      </c>
      <c r="AP128" s="6">
        <f t="shared" si="230"/>
        <v>0.66246581302532015</v>
      </c>
      <c r="AQ128" s="70">
        <f t="shared" si="231"/>
        <v>0.9598816512120838</v>
      </c>
    </row>
    <row r="129" spans="1:43" x14ac:dyDescent="0.2">
      <c r="A129" s="133">
        <v>42430</v>
      </c>
      <c r="B129" s="20">
        <f t="shared" ref="B129:B179" si="235">C129/D129</f>
        <v>0.10172047432997462</v>
      </c>
      <c r="C129" s="41">
        <v>212</v>
      </c>
      <c r="D129" s="161">
        <v>2084.1428571428573</v>
      </c>
      <c r="E129" s="32">
        <f t="shared" ref="E129:E179" si="236">F129/G129</f>
        <v>0.64539316053147455</v>
      </c>
      <c r="F129" s="161">
        <v>846.57142857142856</v>
      </c>
      <c r="G129" s="161">
        <v>1311.7142857142858</v>
      </c>
      <c r="H129" s="32">
        <f t="shared" ref="H129:H179" si="237">I129/J129</f>
        <v>0.97208931419457656</v>
      </c>
      <c r="I129" s="161">
        <v>522.42857142857099</v>
      </c>
      <c r="J129" s="161">
        <v>537.42857142857144</v>
      </c>
      <c r="K129" s="52">
        <f t="shared" ref="K129:K134" si="238">SUM(C129+F129+I129)</f>
        <v>1580.9999999999995</v>
      </c>
      <c r="L129" s="6">
        <f t="shared" ref="L129:L135" si="239">K129/M129</f>
        <v>0.40195401881378695</v>
      </c>
      <c r="M129" s="21">
        <f t="shared" ref="M129:M134" si="240">SUM(J129+G129+D129)</f>
        <v>3933.2857142857147</v>
      </c>
      <c r="N129" s="20">
        <f t="shared" ref="N129:N164" si="241">O129/P129</f>
        <v>0.21649455664130793</v>
      </c>
      <c r="O129" s="3">
        <v>2700.3854838709676</v>
      </c>
      <c r="P129" s="130">
        <v>12473.22577419355</v>
      </c>
      <c r="Q129" s="32">
        <f t="shared" ref="Q129:Q179" si="242">R129/S129</f>
        <v>0.67364831575135287</v>
      </c>
      <c r="R129" s="3">
        <v>3700.862258064516</v>
      </c>
      <c r="S129" s="3">
        <v>5493.7601290322582</v>
      </c>
      <c r="T129" s="32">
        <f t="shared" ref="T129:T179" si="243">U129/V129</f>
        <v>0.96386021881814332</v>
      </c>
      <c r="U129" s="3">
        <v>7197.0409032258067</v>
      </c>
      <c r="V129" s="3">
        <v>7466.8927741935486</v>
      </c>
      <c r="W129" s="52">
        <f t="shared" ref="W129:W134" si="244">+U129+O129+R129</f>
        <v>13598.28864516129</v>
      </c>
      <c r="X129" s="6">
        <f t="shared" ref="X129:X135" si="245">W129/Y129</f>
        <v>0.53465257177758296</v>
      </c>
      <c r="Y129" s="19">
        <f t="shared" ref="Y129:Y134" si="246">+V129+S129+P129</f>
        <v>25433.878677419358</v>
      </c>
      <c r="Z129" s="20">
        <f t="shared" ref="Z129:Z164" si="247">AA129/AB129</f>
        <v>2.1260834135861915E-2</v>
      </c>
      <c r="AA129" s="3">
        <v>18.516129032258064</v>
      </c>
      <c r="AB129" s="3">
        <v>870.90322580645159</v>
      </c>
      <c r="AC129" s="32">
        <f t="shared" ref="AC129:AC179" si="248">AD129/AE129</f>
        <v>0.46802854344480199</v>
      </c>
      <c r="AD129" s="3">
        <v>107.90322580645162</v>
      </c>
      <c r="AE129" s="3">
        <v>230.54838709677421</v>
      </c>
      <c r="AF129" s="32">
        <f t="shared" ref="AF129:AF179" si="249">AG129/AH129</f>
        <v>0.96464842235832227</v>
      </c>
      <c r="AG129" s="3">
        <v>401.38709677419354</v>
      </c>
      <c r="AH129" s="3">
        <v>416.09677419354841</v>
      </c>
      <c r="AI129" s="52">
        <f t="shared" ref="AI129:AI134" si="250">AG129+AD129+AA129</f>
        <v>527.80645161290317</v>
      </c>
      <c r="AJ129" s="6">
        <f t="shared" ref="AJ129:AJ135" si="251">AI129/AK129</f>
        <v>0.34780205764815914</v>
      </c>
      <c r="AK129" s="21">
        <f t="shared" ref="AK129:AK134" si="252">+AH129+AE129+AB129</f>
        <v>1517.5483870967741</v>
      </c>
      <c r="AL129" s="69">
        <f t="shared" ref="AL129:AL134" si="253">+AI129+W129+K129</f>
        <v>15707.095096774194</v>
      </c>
      <c r="AM129" s="6">
        <f>AL129/AN129</f>
        <v>0.50857183647033877</v>
      </c>
      <c r="AN129" s="3">
        <f t="shared" ref="AN129:AN134" si="254">+AK129+Y129+M129</f>
        <v>30884.712778801844</v>
      </c>
      <c r="AO129" s="6">
        <f t="shared" ref="AO129:AO134" si="255">(+AA129+O129+C129)/(D129+P129+AB129)</f>
        <v>0.18996953385588033</v>
      </c>
      <c r="AP129" s="6">
        <f t="shared" ref="AP129:AP134" si="256">(+AD129+R129+F129)/(G129+S129+AE129)</f>
        <v>0.66164323845323192</v>
      </c>
      <c r="AQ129" s="70">
        <f t="shared" ref="AQ129:AQ134" si="257">(AG129+U129+I129)/(AH129+V129+J129)</f>
        <v>0.96442438556796339</v>
      </c>
    </row>
    <row r="130" spans="1:43" x14ac:dyDescent="0.2">
      <c r="A130" s="133">
        <v>42401</v>
      </c>
      <c r="B130" s="20">
        <f t="shared" si="235"/>
        <v>0.10053363199156728</v>
      </c>
      <c r="C130" s="41">
        <v>218</v>
      </c>
      <c r="D130" s="161">
        <v>2168.4285714285716</v>
      </c>
      <c r="E130" s="32">
        <f t="shared" si="236"/>
        <v>0.64069952305246425</v>
      </c>
      <c r="F130" s="161">
        <v>863.57142857142856</v>
      </c>
      <c r="G130" s="161">
        <v>1347.8571428571429</v>
      </c>
      <c r="H130" s="32">
        <f t="shared" si="237"/>
        <v>0.97908248157832189</v>
      </c>
      <c r="I130" s="161">
        <v>588.42857142857144</v>
      </c>
      <c r="J130" s="161">
        <v>601</v>
      </c>
      <c r="K130" s="52">
        <f t="shared" si="238"/>
        <v>1670</v>
      </c>
      <c r="L130" s="6">
        <f t="shared" si="239"/>
        <v>0.40560702265709025</v>
      </c>
      <c r="M130" s="21">
        <f t="shared" si="240"/>
        <v>4117.2857142857147</v>
      </c>
      <c r="N130" s="20">
        <f t="shared" si="241"/>
        <v>0.21664626248953719</v>
      </c>
      <c r="O130" s="3">
        <v>2740.853827586207</v>
      </c>
      <c r="P130" s="130">
        <v>12651.286</v>
      </c>
      <c r="Q130" s="32">
        <f t="shared" si="242"/>
        <v>0.67040275529042437</v>
      </c>
      <c r="R130" s="3">
        <v>3565.6985517241378</v>
      </c>
      <c r="S130" s="3">
        <v>5318.7408965517243</v>
      </c>
      <c r="T130" s="32">
        <f t="shared" si="243"/>
        <v>0.95693775962625649</v>
      </c>
      <c r="U130" s="3">
        <v>6693.209689655173</v>
      </c>
      <c r="V130" s="3">
        <v>6994.4044137931041</v>
      </c>
      <c r="W130" s="52">
        <f t="shared" si="244"/>
        <v>12999.762068965518</v>
      </c>
      <c r="X130" s="6">
        <f t="shared" si="245"/>
        <v>0.52073135203278753</v>
      </c>
      <c r="Y130" s="19">
        <f t="shared" si="246"/>
        <v>24964.431310344829</v>
      </c>
      <c r="Z130" s="20">
        <f t="shared" si="247"/>
        <v>2.184231852738008E-2</v>
      </c>
      <c r="AA130" s="3">
        <v>19.517241379310345</v>
      </c>
      <c r="AB130" s="3">
        <v>893.55172413793105</v>
      </c>
      <c r="AC130" s="32">
        <f t="shared" si="248"/>
        <v>0.47762832830085095</v>
      </c>
      <c r="AD130" s="3">
        <v>120</v>
      </c>
      <c r="AE130" s="3">
        <v>251.24137931034483</v>
      </c>
      <c r="AF130" s="32">
        <f t="shared" si="249"/>
        <v>0.96504899313324599</v>
      </c>
      <c r="AG130" s="3">
        <v>431.31034482758622</v>
      </c>
      <c r="AH130" s="3">
        <v>446.93103448275861</v>
      </c>
      <c r="AI130" s="52">
        <f t="shared" si="250"/>
        <v>570.82758620689663</v>
      </c>
      <c r="AJ130" s="6">
        <f t="shared" si="251"/>
        <v>0.35862218370883886</v>
      </c>
      <c r="AK130" s="21">
        <f t="shared" si="252"/>
        <v>1591.7241379310344</v>
      </c>
      <c r="AL130" s="69">
        <f t="shared" si="253"/>
        <v>15240.589655172414</v>
      </c>
      <c r="AM130" s="6">
        <f>AL130/AN130</f>
        <v>0.49686598821440003</v>
      </c>
      <c r="AN130" s="3">
        <f t="shared" si="254"/>
        <v>30673.441162561579</v>
      </c>
      <c r="AO130" s="6">
        <f t="shared" si="255"/>
        <v>0.18954500057100568</v>
      </c>
      <c r="AP130" s="6">
        <f t="shared" si="256"/>
        <v>0.65761427881450174</v>
      </c>
      <c r="AQ130" s="70">
        <f t="shared" si="257"/>
        <v>0.95904338429017577</v>
      </c>
    </row>
    <row r="131" spans="1:43" x14ac:dyDescent="0.2">
      <c r="A131" s="133">
        <v>42370</v>
      </c>
      <c r="B131" s="20">
        <f t="shared" si="235"/>
        <v>0.10413244028813345</v>
      </c>
      <c r="C131" s="41">
        <v>235.42857142857142</v>
      </c>
      <c r="D131" s="161">
        <v>2260.8571428571427</v>
      </c>
      <c r="E131" s="32">
        <f t="shared" si="236"/>
        <v>0.62278428527003216</v>
      </c>
      <c r="F131" s="161">
        <v>858.28571428571433</v>
      </c>
      <c r="G131" s="161">
        <v>1378.1428571428571</v>
      </c>
      <c r="H131" s="32">
        <f t="shared" si="237"/>
        <v>0.95115681233933169</v>
      </c>
      <c r="I131" s="161">
        <v>528.57142857142856</v>
      </c>
      <c r="J131" s="161">
        <v>555.71428571428567</v>
      </c>
      <c r="K131" s="52">
        <f t="shared" si="238"/>
        <v>1622.2857142857142</v>
      </c>
      <c r="L131" s="6">
        <f t="shared" si="239"/>
        <v>0.3867452235806968</v>
      </c>
      <c r="M131" s="21">
        <f t="shared" si="240"/>
        <v>4194.7142857142853</v>
      </c>
      <c r="N131" s="20">
        <f t="shared" si="241"/>
        <v>0.22277335483343697</v>
      </c>
      <c r="O131" s="3">
        <v>2816.6705483870965</v>
      </c>
      <c r="P131" s="130">
        <v>12643.659967741936</v>
      </c>
      <c r="Q131" s="32">
        <f t="shared" si="242"/>
        <v>0.66845386977563925</v>
      </c>
      <c r="R131" s="3">
        <v>3476.6742903225809</v>
      </c>
      <c r="S131" s="3">
        <v>5201.0683870967741</v>
      </c>
      <c r="T131" s="32">
        <f t="shared" si="243"/>
        <v>0.96617638055781752</v>
      </c>
      <c r="U131" s="3">
        <v>6900.2372903225805</v>
      </c>
      <c r="V131" s="3">
        <v>7141.7987741935485</v>
      </c>
      <c r="W131" s="52">
        <f t="shared" si="244"/>
        <v>13193.582129032258</v>
      </c>
      <c r="X131" s="6">
        <f t="shared" si="245"/>
        <v>0.52802784720340012</v>
      </c>
      <c r="Y131" s="19">
        <f t="shared" si="246"/>
        <v>24986.52712903226</v>
      </c>
      <c r="Z131" s="20">
        <f t="shared" si="247"/>
        <v>2.005502171673048E-2</v>
      </c>
      <c r="AA131" s="3">
        <v>18.043806451612902</v>
      </c>
      <c r="AB131" s="3">
        <v>899.71512903225812</v>
      </c>
      <c r="AC131" s="32">
        <f t="shared" si="248"/>
        <v>0.43584070861054186</v>
      </c>
      <c r="AD131" s="3">
        <v>96.308677419354837</v>
      </c>
      <c r="AE131" s="3">
        <v>220.97219354838708</v>
      </c>
      <c r="AF131" s="32">
        <f t="shared" si="249"/>
        <v>0.9662430656050216</v>
      </c>
      <c r="AG131" s="3">
        <v>369.79770967741933</v>
      </c>
      <c r="AH131" s="3">
        <v>382.71706451612903</v>
      </c>
      <c r="AI131" s="52">
        <f t="shared" si="250"/>
        <v>484.15019354838705</v>
      </c>
      <c r="AJ131" s="6">
        <f t="shared" si="251"/>
        <v>0.32203590577737368</v>
      </c>
      <c r="AK131" s="21">
        <f t="shared" si="252"/>
        <v>1503.4043870967744</v>
      </c>
      <c r="AL131" s="69">
        <f t="shared" si="253"/>
        <v>15300.018036866359</v>
      </c>
      <c r="AM131" s="6">
        <f>AL131/AN131</f>
        <v>0.49862130186124681</v>
      </c>
      <c r="AN131" s="3">
        <f t="shared" si="254"/>
        <v>30684.645801843322</v>
      </c>
      <c r="AO131" s="6">
        <f t="shared" si="255"/>
        <v>0.19426080809977375</v>
      </c>
      <c r="AP131" s="6">
        <f t="shared" si="256"/>
        <v>0.65163958039771142</v>
      </c>
      <c r="AQ131" s="70">
        <f t="shared" si="257"/>
        <v>0.96514657484800148</v>
      </c>
    </row>
    <row r="132" spans="1:43" x14ac:dyDescent="0.2">
      <c r="A132" s="133">
        <v>42339</v>
      </c>
      <c r="B132" s="20">
        <f t="shared" si="235"/>
        <v>0.10344412331406551</v>
      </c>
      <c r="C132" s="41">
        <v>245.42857142857142</v>
      </c>
      <c r="D132" s="161">
        <v>2372.5714285714284</v>
      </c>
      <c r="E132" s="32">
        <f t="shared" si="236"/>
        <v>0.61855324849296711</v>
      </c>
      <c r="F132" s="161">
        <v>791.57142857142856</v>
      </c>
      <c r="G132" s="161">
        <v>1279.7142857142858</v>
      </c>
      <c r="H132" s="32">
        <f t="shared" si="237"/>
        <v>0.9394542353610007</v>
      </c>
      <c r="I132" s="161">
        <v>472.14285714285717</v>
      </c>
      <c r="J132" s="161">
        <v>502.57142857142856</v>
      </c>
      <c r="K132" s="52">
        <f t="shared" si="238"/>
        <v>1509.1428571428571</v>
      </c>
      <c r="L132" s="6">
        <f t="shared" si="239"/>
        <v>0.3632237656443405</v>
      </c>
      <c r="M132" s="21">
        <f t="shared" si="240"/>
        <v>4154.8571428571431</v>
      </c>
      <c r="N132" s="20">
        <f t="shared" si="241"/>
        <v>0.19709436528076457</v>
      </c>
      <c r="O132" s="3">
        <v>2509.882516129032</v>
      </c>
      <c r="P132" s="130">
        <v>12734.420451612901</v>
      </c>
      <c r="Q132" s="32">
        <f t="shared" si="242"/>
        <v>0.66885095589658616</v>
      </c>
      <c r="R132" s="3">
        <v>3826.0332580645163</v>
      </c>
      <c r="S132" s="3">
        <v>5720.3076774193551</v>
      </c>
      <c r="T132" s="32">
        <f t="shared" si="243"/>
        <v>0.96291235628946692</v>
      </c>
      <c r="U132" s="3">
        <v>7991.8629032258068</v>
      </c>
      <c r="V132" s="3">
        <v>8299.6784193548392</v>
      </c>
      <c r="W132" s="52">
        <f t="shared" si="244"/>
        <v>14327.778677419356</v>
      </c>
      <c r="X132" s="6">
        <f t="shared" si="245"/>
        <v>0.53552967626124059</v>
      </c>
      <c r="Y132" s="19">
        <f t="shared" si="246"/>
        <v>26754.406548387095</v>
      </c>
      <c r="Z132" s="20">
        <f t="shared" si="247"/>
        <v>2.1537964197680531E-2</v>
      </c>
      <c r="AA132" s="3">
        <v>17.193548387096776</v>
      </c>
      <c r="AB132" s="3">
        <v>798.29032258064512</v>
      </c>
      <c r="AC132" s="32">
        <f t="shared" si="248"/>
        <v>0.46238290398126469</v>
      </c>
      <c r="AD132" s="3">
        <v>101.90322580645162</v>
      </c>
      <c r="AE132" s="3">
        <v>220.38709677419354</v>
      </c>
      <c r="AF132" s="32">
        <f t="shared" si="249"/>
        <v>0.91007054810450416</v>
      </c>
      <c r="AG132" s="3">
        <v>378.67741935483872</v>
      </c>
      <c r="AH132" s="3">
        <v>416.09677419354841</v>
      </c>
      <c r="AI132" s="52">
        <f t="shared" si="250"/>
        <v>497.77419354838713</v>
      </c>
      <c r="AJ132" s="6">
        <f t="shared" si="251"/>
        <v>0.34693556364944472</v>
      </c>
      <c r="AK132" s="21">
        <f t="shared" si="252"/>
        <v>1434.7741935483871</v>
      </c>
      <c r="AL132" s="69">
        <f t="shared" si="253"/>
        <v>16334.695728110599</v>
      </c>
      <c r="AM132" s="6">
        <f>AL132/AN132</f>
        <v>0.50502957566070539</v>
      </c>
      <c r="AN132" s="3">
        <f t="shared" si="254"/>
        <v>32344.037884792626</v>
      </c>
      <c r="AO132" s="6">
        <f t="shared" si="255"/>
        <v>0.17431345138049342</v>
      </c>
      <c r="AP132" s="6">
        <f t="shared" si="256"/>
        <v>0.65363442338025091</v>
      </c>
      <c r="AQ132" s="70">
        <f t="shared" si="257"/>
        <v>0.95924828412343544</v>
      </c>
    </row>
    <row r="133" spans="1:43" x14ac:dyDescent="0.2">
      <c r="A133" s="133">
        <v>42309</v>
      </c>
      <c r="B133" s="20">
        <f t="shared" si="235"/>
        <v>0.10689397710303633</v>
      </c>
      <c r="C133" s="41">
        <v>245.42857142857142</v>
      </c>
      <c r="D133" s="161">
        <v>2296</v>
      </c>
      <c r="E133" s="32">
        <f t="shared" si="236"/>
        <v>0.61807350792401927</v>
      </c>
      <c r="F133" s="161">
        <v>785.57142857142856</v>
      </c>
      <c r="G133" s="161">
        <v>1271</v>
      </c>
      <c r="H133" s="32">
        <f t="shared" si="237"/>
        <v>0.9020495075858399</v>
      </c>
      <c r="I133" s="161">
        <v>484.14285714285717</v>
      </c>
      <c r="J133" s="161">
        <v>536.71428571428567</v>
      </c>
      <c r="K133" s="52">
        <f t="shared" si="238"/>
        <v>1515.1428571428571</v>
      </c>
      <c r="L133" s="6">
        <f t="shared" si="239"/>
        <v>0.36921256005012876</v>
      </c>
      <c r="M133" s="21">
        <f t="shared" si="240"/>
        <v>4103.7142857142862</v>
      </c>
      <c r="N133" s="20">
        <f t="shared" si="241"/>
        <v>0.23357357274665932</v>
      </c>
      <c r="O133" s="3">
        <v>2209.9491333333335</v>
      </c>
      <c r="P133" s="130">
        <v>9461.4690666666665</v>
      </c>
      <c r="Q133" s="32">
        <f t="shared" si="242"/>
        <v>0.6619728575198921</v>
      </c>
      <c r="R133" s="3">
        <v>2987.2555666666667</v>
      </c>
      <c r="S133" s="3">
        <v>4512.6556666666665</v>
      </c>
      <c r="T133" s="32">
        <f t="shared" si="243"/>
        <v>0.95927638519119729</v>
      </c>
      <c r="U133" s="3">
        <v>6601.1358666666665</v>
      </c>
      <c r="V133" s="3">
        <v>6881.3701333333329</v>
      </c>
      <c r="W133" s="52">
        <f t="shared" si="244"/>
        <v>11798.340566666666</v>
      </c>
      <c r="X133" s="6">
        <f t="shared" si="245"/>
        <v>0.56571856204303983</v>
      </c>
      <c r="Y133" s="19">
        <f t="shared" si="246"/>
        <v>20855.494866666668</v>
      </c>
      <c r="Z133" s="20">
        <f t="shared" si="247"/>
        <v>1.9984291823021208E-2</v>
      </c>
      <c r="AA133" s="3">
        <v>15.266666666666667</v>
      </c>
      <c r="AB133" s="3">
        <v>763.93333333333328</v>
      </c>
      <c r="AC133" s="32">
        <f t="shared" si="248"/>
        <v>0.37971487971487972</v>
      </c>
      <c r="AD133" s="3">
        <v>85.233333333333334</v>
      </c>
      <c r="AE133" s="3">
        <v>224.46666666666667</v>
      </c>
      <c r="AF133" s="32">
        <f t="shared" si="249"/>
        <v>0.96760374832663987</v>
      </c>
      <c r="AG133" s="3">
        <v>361.4</v>
      </c>
      <c r="AH133" s="3">
        <v>373.5</v>
      </c>
      <c r="AI133" s="52">
        <f t="shared" si="250"/>
        <v>461.9</v>
      </c>
      <c r="AJ133" s="6">
        <f t="shared" si="251"/>
        <v>0.3391585285263235</v>
      </c>
      <c r="AK133" s="21">
        <f t="shared" si="252"/>
        <v>1361.9</v>
      </c>
      <c r="AL133" s="69">
        <f t="shared" si="253"/>
        <v>13775.383423809522</v>
      </c>
      <c r="AM133" s="6">
        <f t="shared" ref="AM133:AM139" si="258">AL133/AN133</f>
        <v>0.52335877428491373</v>
      </c>
      <c r="AN133" s="3">
        <f t="shared" si="254"/>
        <v>26321.109152380955</v>
      </c>
      <c r="AO133" s="6">
        <f t="shared" si="255"/>
        <v>0.19731371075723692</v>
      </c>
      <c r="AP133" s="6">
        <f t="shared" si="256"/>
        <v>0.64214077452563445</v>
      </c>
      <c r="AQ133" s="70">
        <f t="shared" si="257"/>
        <v>0.95573356114901031</v>
      </c>
    </row>
    <row r="134" spans="1:43" x14ac:dyDescent="0.2">
      <c r="A134" s="133">
        <v>42278</v>
      </c>
      <c r="B134" s="20">
        <f t="shared" si="235"/>
        <v>0.10795838400216187</v>
      </c>
      <c r="C134" s="41">
        <v>228.28571428571428</v>
      </c>
      <c r="D134" s="161">
        <v>2114.5714285714284</v>
      </c>
      <c r="E134" s="32">
        <f t="shared" si="236"/>
        <v>0.61855670103092786</v>
      </c>
      <c r="F134" s="161">
        <v>720</v>
      </c>
      <c r="G134" s="161">
        <v>1164</v>
      </c>
      <c r="H134" s="32">
        <f t="shared" si="237"/>
        <v>0.92289252896524177</v>
      </c>
      <c r="I134" s="161">
        <v>660</v>
      </c>
      <c r="J134" s="161">
        <v>715.14285714285711</v>
      </c>
      <c r="K134" s="52">
        <f t="shared" si="238"/>
        <v>1608.2857142857142</v>
      </c>
      <c r="L134" s="6">
        <f t="shared" si="239"/>
        <v>0.40270424953498357</v>
      </c>
      <c r="M134" s="21">
        <f t="shared" si="240"/>
        <v>3993.7142857142853</v>
      </c>
      <c r="N134" s="20">
        <f t="shared" si="241"/>
        <v>0.23953530872712564</v>
      </c>
      <c r="O134" s="3">
        <v>2449.0783225806454</v>
      </c>
      <c r="P134" s="130">
        <v>10224.289419354838</v>
      </c>
      <c r="Q134" s="32">
        <f t="shared" si="242"/>
        <v>0.65344413645925425</v>
      </c>
      <c r="R134" s="3">
        <v>3484.5337741935487</v>
      </c>
      <c r="S134" s="3">
        <v>5332.5656774193549</v>
      </c>
      <c r="T134" s="32">
        <f t="shared" si="243"/>
        <v>0.95712349584287193</v>
      </c>
      <c r="U134" s="3">
        <v>8104.8595806451613</v>
      </c>
      <c r="V134" s="3">
        <v>8467.9350322580649</v>
      </c>
      <c r="W134" s="52">
        <f t="shared" si="244"/>
        <v>14038.471677419357</v>
      </c>
      <c r="X134" s="6">
        <f t="shared" si="245"/>
        <v>0.58433274971483962</v>
      </c>
      <c r="Y134" s="19">
        <f t="shared" si="246"/>
        <v>24024.790129032259</v>
      </c>
      <c r="Z134" s="20">
        <f t="shared" si="247"/>
        <v>1.6843681280119777E-2</v>
      </c>
      <c r="AA134" s="3">
        <v>11.612903225806452</v>
      </c>
      <c r="AB134" s="3">
        <v>689.45161290322585</v>
      </c>
      <c r="AC134" s="32">
        <f t="shared" si="248"/>
        <v>0.22841357537490137</v>
      </c>
      <c r="AD134" s="3">
        <v>46.677419354838712</v>
      </c>
      <c r="AE134" s="3">
        <v>204.35483870967741</v>
      </c>
      <c r="AF134" s="32">
        <f t="shared" si="249"/>
        <v>0.9427477669076989</v>
      </c>
      <c r="AG134" s="3">
        <v>357.48387096774195</v>
      </c>
      <c r="AH134" s="3">
        <v>379.19354838709677</v>
      </c>
      <c r="AI134" s="52">
        <f t="shared" si="250"/>
        <v>415.77419354838713</v>
      </c>
      <c r="AJ134" s="6">
        <f t="shared" si="251"/>
        <v>0.32660973570179663</v>
      </c>
      <c r="AK134" s="21">
        <f t="shared" si="252"/>
        <v>1273</v>
      </c>
      <c r="AL134" s="69">
        <f t="shared" si="253"/>
        <v>16062.531585253457</v>
      </c>
      <c r="AM134" s="6">
        <f t="shared" si="258"/>
        <v>0.54836826944152861</v>
      </c>
      <c r="AN134" s="3">
        <f t="shared" si="254"/>
        <v>29291.504414746545</v>
      </c>
      <c r="AO134" s="6">
        <f t="shared" si="255"/>
        <v>0.20639487640296916</v>
      </c>
      <c r="AP134" s="6">
        <f t="shared" si="256"/>
        <v>0.63442196983470778</v>
      </c>
      <c r="AQ134" s="70">
        <f t="shared" si="257"/>
        <v>0.95399335931454377</v>
      </c>
    </row>
    <row r="135" spans="1:43" x14ac:dyDescent="0.2">
      <c r="A135" s="133">
        <v>42248</v>
      </c>
      <c r="B135" s="20">
        <f t="shared" si="235"/>
        <v>0.11109767891682784</v>
      </c>
      <c r="C135" s="41">
        <v>262.57142857142856</v>
      </c>
      <c r="D135" s="161">
        <v>2363.4285714285716</v>
      </c>
      <c r="E135" s="32">
        <f t="shared" si="236"/>
        <v>0.61939931068439191</v>
      </c>
      <c r="F135" s="161">
        <v>898.57142857142856</v>
      </c>
      <c r="G135" s="161">
        <v>1450.7142857142858</v>
      </c>
      <c r="H135" s="32">
        <f t="shared" si="237"/>
        <v>0.9693563009972801</v>
      </c>
      <c r="I135" s="161">
        <v>763.71428571428567</v>
      </c>
      <c r="J135" s="161">
        <v>787.85714285714289</v>
      </c>
      <c r="K135" s="52">
        <f t="shared" ref="K135:K140" si="259">SUM(C135+F135+I135)</f>
        <v>1924.8571428571427</v>
      </c>
      <c r="L135" s="6">
        <f t="shared" si="239"/>
        <v>0.41826535046874025</v>
      </c>
      <c r="M135" s="21">
        <f t="shared" ref="M135:M140" si="260">SUM(J135+G135+D135)</f>
        <v>4602</v>
      </c>
      <c r="N135" s="20">
        <f t="shared" si="241"/>
        <v>0.24320584774428433</v>
      </c>
      <c r="O135" s="3">
        <v>2960.3449666666666</v>
      </c>
      <c r="P135" s="130">
        <v>12172.178400000001</v>
      </c>
      <c r="Q135" s="32">
        <f t="shared" si="242"/>
        <v>0.63759385980895489</v>
      </c>
      <c r="R135" s="3">
        <v>3945.8729333333331</v>
      </c>
      <c r="S135" s="3">
        <v>6188.6934333333338</v>
      </c>
      <c r="T135" s="32">
        <f t="shared" si="243"/>
        <v>0.96024750614125709</v>
      </c>
      <c r="U135" s="3">
        <v>8822.9309000000012</v>
      </c>
      <c r="V135" s="3">
        <v>9188.1841333333341</v>
      </c>
      <c r="W135" s="52">
        <f t="shared" ref="W135:W140" si="261">+U135+O135+R135</f>
        <v>15729.148799999999</v>
      </c>
      <c r="X135" s="6">
        <f t="shared" si="245"/>
        <v>0.57095055522162663</v>
      </c>
      <c r="Y135" s="19">
        <f t="shared" ref="Y135:Y140" si="262">+V135+S135+P135</f>
        <v>27549.055966666667</v>
      </c>
      <c r="Z135" s="20">
        <f t="shared" si="247"/>
        <v>1.0740505755460891E-2</v>
      </c>
      <c r="AA135" s="3">
        <v>7.9</v>
      </c>
      <c r="AB135" s="3">
        <v>735.5333333333333</v>
      </c>
      <c r="AC135" s="32">
        <f t="shared" si="248"/>
        <v>0.17753897381565009</v>
      </c>
      <c r="AD135" s="3">
        <v>39.1</v>
      </c>
      <c r="AE135" s="3">
        <v>220.23333333333332</v>
      </c>
      <c r="AF135" s="32">
        <f t="shared" si="249"/>
        <v>0.96444215408399891</v>
      </c>
      <c r="AG135" s="3">
        <v>374.3</v>
      </c>
      <c r="AH135" s="3">
        <v>388.1</v>
      </c>
      <c r="AI135" s="52">
        <f t="shared" ref="AI135:AI140" si="263">AG135+AD135+AA135</f>
        <v>421.3</v>
      </c>
      <c r="AJ135" s="6">
        <f t="shared" si="251"/>
        <v>0.31349836293283062</v>
      </c>
      <c r="AK135" s="21">
        <f t="shared" ref="AK135:AK140" si="264">+AH135+AE135+AB135</f>
        <v>1343.8666666666668</v>
      </c>
      <c r="AL135" s="69">
        <f t="shared" ref="AL135:AL140" si="265">+AI135+W135+K135</f>
        <v>18075.30594285714</v>
      </c>
      <c r="AM135" s="6">
        <f t="shared" si="258"/>
        <v>0.53964316146438962</v>
      </c>
      <c r="AN135" s="3">
        <f t="shared" ref="AN135:AN140" si="266">+AK135+Y135+M135</f>
        <v>33494.922633333335</v>
      </c>
      <c r="AO135" s="6">
        <f t="shared" ref="AO135:AO140" si="267">(+AA135+O135+C135)/(D135+P135+AB135)</f>
        <v>0.21156353296227981</v>
      </c>
      <c r="AP135" s="6">
        <f t="shared" ref="AP135:AP140" si="268">(+AD135+R135+F135)/(G135+S135+AE135)</f>
        <v>0.62134445191048127</v>
      </c>
      <c r="AQ135" s="70">
        <f t="shared" ref="AQ135:AQ140" si="269">(AG135+U135+I135)/(AH135+V135+J135)</f>
        <v>0.96109700941625986</v>
      </c>
    </row>
    <row r="136" spans="1:43" x14ac:dyDescent="0.2">
      <c r="A136" s="133">
        <v>42217</v>
      </c>
      <c r="B136" s="20">
        <f t="shared" si="235"/>
        <v>0.11148628278564969</v>
      </c>
      <c r="C136" s="41">
        <v>264.14285714285717</v>
      </c>
      <c r="D136" s="161">
        <v>2369.2857142857142</v>
      </c>
      <c r="E136" s="32">
        <f t="shared" si="236"/>
        <v>0.62118544600938963</v>
      </c>
      <c r="F136" s="161">
        <v>907.28571428571433</v>
      </c>
      <c r="G136" s="161">
        <v>1460.5714285714287</v>
      </c>
      <c r="H136" s="32">
        <f t="shared" si="237"/>
        <v>0.94652844086754884</v>
      </c>
      <c r="I136" s="161">
        <v>991.28571428571433</v>
      </c>
      <c r="J136" s="161">
        <v>1047.2857142857142</v>
      </c>
      <c r="K136" s="52">
        <f t="shared" si="259"/>
        <v>2162.7142857142858</v>
      </c>
      <c r="L136" s="6">
        <f t="shared" ref="L136:L141" si="270">K136/M136</f>
        <v>0.44343878148799065</v>
      </c>
      <c r="M136" s="21">
        <f t="shared" si="260"/>
        <v>4877.1428571428569</v>
      </c>
      <c r="N136" s="20">
        <f t="shared" si="241"/>
        <v>0.24454440100421063</v>
      </c>
      <c r="O136" s="3">
        <v>2941.7884838709679</v>
      </c>
      <c r="P136" s="130">
        <v>12029.670161290323</v>
      </c>
      <c r="Q136" s="32">
        <f t="shared" si="242"/>
        <v>0.6327192773742355</v>
      </c>
      <c r="R136" s="3">
        <v>3877.4073548387096</v>
      </c>
      <c r="S136" s="3">
        <v>6128.1637741935483</v>
      </c>
      <c r="T136" s="32">
        <f t="shared" si="243"/>
        <v>0.95146794570401894</v>
      </c>
      <c r="U136" s="3">
        <v>8318.07</v>
      </c>
      <c r="V136" s="3">
        <v>8742.3544193548387</v>
      </c>
      <c r="W136" s="52">
        <f t="shared" si="261"/>
        <v>15137.265838709678</v>
      </c>
      <c r="X136" s="6">
        <f t="shared" ref="X136:X141" si="271">W136/Y136</f>
        <v>0.56271969694170709</v>
      </c>
      <c r="Y136" s="19">
        <f t="shared" si="262"/>
        <v>26900.188354838712</v>
      </c>
      <c r="Z136" s="20">
        <f t="shared" si="247"/>
        <v>7.8764824345491178E-3</v>
      </c>
      <c r="AA136" s="3">
        <v>5.67741935483871</v>
      </c>
      <c r="AB136" s="3">
        <v>720.80645161290317</v>
      </c>
      <c r="AC136" s="32">
        <f t="shared" si="248"/>
        <v>0.16930260581412865</v>
      </c>
      <c r="AD136" s="3">
        <v>36.258064516129032</v>
      </c>
      <c r="AE136" s="3">
        <v>214.16129032258064</v>
      </c>
      <c r="AF136" s="32">
        <f t="shared" si="249"/>
        <v>0.93566095740008792</v>
      </c>
      <c r="AG136" s="3">
        <v>412.35483870967744</v>
      </c>
      <c r="AH136" s="3">
        <v>440.70967741935482</v>
      </c>
      <c r="AI136" s="52">
        <f t="shared" si="263"/>
        <v>454.29032258064518</v>
      </c>
      <c r="AJ136" s="6">
        <f t="shared" ref="AJ136:AJ141" si="272">AI136/AK136</f>
        <v>0.33023026778595888</v>
      </c>
      <c r="AK136" s="21">
        <f t="shared" si="264"/>
        <v>1375.6774193548385</v>
      </c>
      <c r="AL136" s="69">
        <f t="shared" si="265"/>
        <v>17754.270447004608</v>
      </c>
      <c r="AM136" s="6">
        <f t="shared" si="258"/>
        <v>0.53552516588866006</v>
      </c>
      <c r="AN136" s="3">
        <f t="shared" si="266"/>
        <v>33153.008631336408</v>
      </c>
      <c r="AO136" s="6">
        <f t="shared" si="267"/>
        <v>0.21241132571200705</v>
      </c>
      <c r="AP136" s="6">
        <f t="shared" si="268"/>
        <v>0.61784122574371514</v>
      </c>
      <c r="AQ136" s="70">
        <f t="shared" si="269"/>
        <v>0.95028134252900798</v>
      </c>
    </row>
    <row r="137" spans="1:43" x14ac:dyDescent="0.2">
      <c r="A137" s="133">
        <v>42186</v>
      </c>
      <c r="B137" s="20">
        <f t="shared" si="235"/>
        <v>0.11192986913988059</v>
      </c>
      <c r="C137" s="41">
        <v>251.71428571428572</v>
      </c>
      <c r="D137" s="161">
        <v>2248.8571428571427</v>
      </c>
      <c r="E137" s="32">
        <f t="shared" si="236"/>
        <v>0.62713706888032406</v>
      </c>
      <c r="F137" s="161">
        <v>906.57142857142856</v>
      </c>
      <c r="G137" s="161">
        <v>1445.5714285714287</v>
      </c>
      <c r="H137" s="32">
        <f t="shared" si="237"/>
        <v>0.96588594704684327</v>
      </c>
      <c r="I137" s="161">
        <v>813</v>
      </c>
      <c r="J137" s="161">
        <v>841.71428571428567</v>
      </c>
      <c r="K137" s="52">
        <f t="shared" si="259"/>
        <v>1971.2857142857142</v>
      </c>
      <c r="L137" s="6">
        <f t="shared" si="270"/>
        <v>0.43457311120209113</v>
      </c>
      <c r="M137" s="21">
        <f t="shared" si="260"/>
        <v>4536.1428571428569</v>
      </c>
      <c r="N137" s="20">
        <f t="shared" si="241"/>
        <v>0.24880677533158108</v>
      </c>
      <c r="O137" s="3">
        <v>2802.8355483870969</v>
      </c>
      <c r="P137" s="130">
        <v>11265.109419354838</v>
      </c>
      <c r="Q137" s="32">
        <f t="shared" si="242"/>
        <v>0.63807309066847817</v>
      </c>
      <c r="R137" s="3">
        <v>3754.5475806451614</v>
      </c>
      <c r="S137" s="3">
        <v>5884.1967096774197</v>
      </c>
      <c r="T137" s="32">
        <f t="shared" si="243"/>
        <v>0.95371926728465339</v>
      </c>
      <c r="U137" s="3">
        <v>8263.9953870967747</v>
      </c>
      <c r="V137" s="3">
        <v>8665.0188064516133</v>
      </c>
      <c r="W137" s="52">
        <f t="shared" si="261"/>
        <v>14821.378516129033</v>
      </c>
      <c r="X137" s="6">
        <f t="shared" si="271"/>
        <v>0.57415324836776394</v>
      </c>
      <c r="Y137" s="19">
        <f t="shared" si="262"/>
        <v>25814.32493548387</v>
      </c>
      <c r="Z137" s="20">
        <f t="shared" si="247"/>
        <v>8.1708088128009341E-3</v>
      </c>
      <c r="AA137" s="3">
        <v>5.419354838709677</v>
      </c>
      <c r="AB137" s="3">
        <v>663.25806451612902</v>
      </c>
      <c r="AC137" s="32">
        <f t="shared" si="248"/>
        <v>0.15796000620058903</v>
      </c>
      <c r="AD137" s="3">
        <v>32.87096774193548</v>
      </c>
      <c r="AE137" s="3">
        <v>208.09677419354838</v>
      </c>
      <c r="AF137" s="32">
        <f t="shared" si="249"/>
        <v>0.94061142666221187</v>
      </c>
      <c r="AG137" s="3">
        <v>363.25806451612902</v>
      </c>
      <c r="AH137" s="3">
        <v>386.19354838709677</v>
      </c>
      <c r="AI137" s="52">
        <f t="shared" si="263"/>
        <v>401.54838709677421</v>
      </c>
      <c r="AJ137" s="6">
        <f t="shared" si="272"/>
        <v>0.31931048635337578</v>
      </c>
      <c r="AK137" s="21">
        <f t="shared" si="264"/>
        <v>1257.5483870967741</v>
      </c>
      <c r="AL137" s="69">
        <f t="shared" si="265"/>
        <v>17194.212617511523</v>
      </c>
      <c r="AM137" s="6">
        <f t="shared" si="258"/>
        <v>0.54398265679646129</v>
      </c>
      <c r="AN137" s="3">
        <f t="shared" si="266"/>
        <v>31608.016179723498</v>
      </c>
      <c r="AO137" s="6">
        <f t="shared" si="267"/>
        <v>0.21583696876546474</v>
      </c>
      <c r="AP137" s="6">
        <f t="shared" si="268"/>
        <v>0.62272142463184488</v>
      </c>
      <c r="AQ137" s="70">
        <f t="shared" si="269"/>
        <v>0.95424274278103927</v>
      </c>
    </row>
    <row r="138" spans="1:43" x14ac:dyDescent="0.2">
      <c r="A138" s="133">
        <v>42156</v>
      </c>
      <c r="B138" s="20">
        <f t="shared" si="235"/>
        <v>0.11152998079522015</v>
      </c>
      <c r="C138" s="41">
        <v>224</v>
      </c>
      <c r="D138" s="161">
        <v>2008.4285714285713</v>
      </c>
      <c r="E138" s="32">
        <f t="shared" si="236"/>
        <v>0.63950590529851559</v>
      </c>
      <c r="F138" s="161">
        <v>843.14285714285711</v>
      </c>
      <c r="G138" s="161">
        <v>1318.4285714285713</v>
      </c>
      <c r="H138" s="32">
        <f t="shared" si="237"/>
        <v>0.85289866709490925</v>
      </c>
      <c r="I138" s="161">
        <v>758.71428571428567</v>
      </c>
      <c r="J138" s="161">
        <v>889.57142857142856</v>
      </c>
      <c r="K138" s="52">
        <f t="shared" si="259"/>
        <v>1825.8571428571427</v>
      </c>
      <c r="L138" s="6">
        <f t="shared" si="270"/>
        <v>0.4330340504828053</v>
      </c>
      <c r="M138" s="21">
        <f t="shared" si="260"/>
        <v>4216.4285714285716</v>
      </c>
      <c r="N138" s="20">
        <f t="shared" si="241"/>
        <v>0.25296124399872472</v>
      </c>
      <c r="O138" s="3">
        <v>2589.1773000000003</v>
      </c>
      <c r="P138" s="130">
        <v>10235.470300000001</v>
      </c>
      <c r="Q138" s="32">
        <f t="shared" si="242"/>
        <v>0.65535812451175834</v>
      </c>
      <c r="R138" s="3">
        <v>3618.5416</v>
      </c>
      <c r="S138" s="3">
        <v>5521.4721</v>
      </c>
      <c r="T138" s="32">
        <f t="shared" si="243"/>
        <v>0.95038670946019266</v>
      </c>
      <c r="U138" s="3">
        <v>8717.4404666666669</v>
      </c>
      <c r="V138" s="3">
        <v>9172.5193333333336</v>
      </c>
      <c r="W138" s="52">
        <f t="shared" si="261"/>
        <v>14925.159366666667</v>
      </c>
      <c r="X138" s="6">
        <f t="shared" si="271"/>
        <v>0.59869561269789251</v>
      </c>
      <c r="Y138" s="19">
        <f t="shared" si="262"/>
        <v>24929.461733333334</v>
      </c>
      <c r="Z138" s="20">
        <f t="shared" si="247"/>
        <v>9.0738731630338309E-3</v>
      </c>
      <c r="AA138" s="3">
        <v>6.1333333333333337</v>
      </c>
      <c r="AB138" s="3">
        <v>675.93333333333328</v>
      </c>
      <c r="AC138" s="32">
        <f t="shared" si="248"/>
        <v>0.16414103525881471</v>
      </c>
      <c r="AD138" s="3">
        <v>36.466666666666669</v>
      </c>
      <c r="AE138" s="3">
        <v>222.16666666666666</v>
      </c>
      <c r="AF138" s="32">
        <f t="shared" si="249"/>
        <v>0.9314716981132074</v>
      </c>
      <c r="AG138" s="3">
        <v>411.4</v>
      </c>
      <c r="AH138" s="3">
        <v>441.66666666666669</v>
      </c>
      <c r="AI138" s="52">
        <f t="shared" si="263"/>
        <v>454</v>
      </c>
      <c r="AJ138" s="6">
        <f t="shared" si="272"/>
        <v>0.33886497648844327</v>
      </c>
      <c r="AK138" s="21">
        <f t="shared" si="264"/>
        <v>1339.7666666666667</v>
      </c>
      <c r="AL138" s="69">
        <f t="shared" si="265"/>
        <v>17205.016509523808</v>
      </c>
      <c r="AM138" s="6">
        <f t="shared" si="258"/>
        <v>0.56436430173207364</v>
      </c>
      <c r="AN138" s="3">
        <f t="shared" si="266"/>
        <v>30485.656971428572</v>
      </c>
      <c r="AO138" s="6">
        <f t="shared" si="267"/>
        <v>0.21821573133853944</v>
      </c>
      <c r="AP138" s="6">
        <f t="shared" si="268"/>
        <v>0.63694537427375375</v>
      </c>
      <c r="AQ138" s="70">
        <f t="shared" si="269"/>
        <v>0.94133502412057479</v>
      </c>
    </row>
    <row r="139" spans="1:43" x14ac:dyDescent="0.2">
      <c r="A139" s="133">
        <v>42125</v>
      </c>
      <c r="B139" s="20">
        <f t="shared" si="235"/>
        <v>0.10776699029126213</v>
      </c>
      <c r="C139" s="41">
        <v>222</v>
      </c>
      <c r="D139" s="161">
        <v>2060</v>
      </c>
      <c r="E139" s="32">
        <f t="shared" si="236"/>
        <v>0.6382782828864082</v>
      </c>
      <c r="F139" s="161">
        <v>792.28571428571433</v>
      </c>
      <c r="G139" s="161">
        <v>1241.2857142857142</v>
      </c>
      <c r="H139" s="32">
        <f t="shared" si="237"/>
        <v>0.91909924937447862</v>
      </c>
      <c r="I139" s="161">
        <v>787.14285714285711</v>
      </c>
      <c r="J139" s="161">
        <v>856.42857142857144</v>
      </c>
      <c r="K139" s="52">
        <f t="shared" si="259"/>
        <v>1801.4285714285716</v>
      </c>
      <c r="L139" s="6">
        <f t="shared" si="270"/>
        <v>0.43327377680043977</v>
      </c>
      <c r="M139" s="21">
        <f t="shared" si="260"/>
        <v>4157.7142857142862</v>
      </c>
      <c r="N139" s="20">
        <f t="shared" si="241"/>
        <v>0.24985903166794493</v>
      </c>
      <c r="O139" s="3">
        <v>2324.5369032258063</v>
      </c>
      <c r="P139" s="130">
        <v>9303.3935483870973</v>
      </c>
      <c r="Q139" s="32">
        <f t="shared" si="242"/>
        <v>0.65578798721280762</v>
      </c>
      <c r="R139" s="3">
        <v>3053.547064516129</v>
      </c>
      <c r="S139" s="3">
        <v>4656.302225806452</v>
      </c>
      <c r="T139" s="32">
        <f t="shared" si="243"/>
        <v>0.95916801158580689</v>
      </c>
      <c r="U139" s="3">
        <v>6993.9465161290327</v>
      </c>
      <c r="V139" s="3">
        <v>7291.6803225806452</v>
      </c>
      <c r="W139" s="52">
        <f t="shared" si="261"/>
        <v>12372.030483870969</v>
      </c>
      <c r="X139" s="6">
        <f t="shared" si="271"/>
        <v>0.58217549901387111</v>
      </c>
      <c r="Y139" s="19">
        <f t="shared" si="262"/>
        <v>21251.376096774195</v>
      </c>
      <c r="Z139" s="20">
        <f t="shared" si="247"/>
        <v>7.0012819248594822E-3</v>
      </c>
      <c r="AA139" s="3">
        <v>4.580645161290323</v>
      </c>
      <c r="AB139" s="3">
        <v>654.25806451612902</v>
      </c>
      <c r="AC139" s="32">
        <f t="shared" si="248"/>
        <v>0.15875587234731897</v>
      </c>
      <c r="AD139" s="3">
        <v>31.612903225806452</v>
      </c>
      <c r="AE139" s="3">
        <v>199.12903225806451</v>
      </c>
      <c r="AF139" s="32">
        <f t="shared" si="249"/>
        <v>0.91800786838340487</v>
      </c>
      <c r="AG139" s="3">
        <v>331.19354838709677</v>
      </c>
      <c r="AH139" s="3">
        <v>360.77419354838707</v>
      </c>
      <c r="AI139" s="52">
        <f t="shared" si="263"/>
        <v>367.38709677419354</v>
      </c>
      <c r="AJ139" s="6">
        <f t="shared" si="272"/>
        <v>0.30258508461967643</v>
      </c>
      <c r="AK139" s="21">
        <f t="shared" si="264"/>
        <v>1214.1612903225805</v>
      </c>
      <c r="AL139" s="69">
        <f t="shared" si="265"/>
        <v>14540.846152073733</v>
      </c>
      <c r="AM139" s="6">
        <f t="shared" si="258"/>
        <v>0.5461709309882512</v>
      </c>
      <c r="AN139" s="3">
        <f t="shared" si="266"/>
        <v>26623.25167281106</v>
      </c>
      <c r="AO139" s="6">
        <f t="shared" si="267"/>
        <v>0.21228087071920013</v>
      </c>
      <c r="AP139" s="6">
        <f t="shared" si="268"/>
        <v>0.63598912326299584</v>
      </c>
      <c r="AQ139" s="70">
        <f t="shared" si="269"/>
        <v>0.95338986776318979</v>
      </c>
    </row>
    <row r="140" spans="1:43" x14ac:dyDescent="0.2">
      <c r="A140" s="133">
        <v>42095</v>
      </c>
      <c r="B140" s="20">
        <f t="shared" si="235"/>
        <v>0.10447348406278088</v>
      </c>
      <c r="C140" s="41">
        <v>215.85714285714286</v>
      </c>
      <c r="D140" s="161">
        <v>2066.1428571428573</v>
      </c>
      <c r="E140" s="32">
        <f t="shared" si="236"/>
        <v>0.63431734317343169</v>
      </c>
      <c r="F140" s="161">
        <v>736.71428571428567</v>
      </c>
      <c r="G140" s="161">
        <v>1161.4285714285713</v>
      </c>
      <c r="H140" s="32">
        <f t="shared" si="237"/>
        <v>0.9610132950053899</v>
      </c>
      <c r="I140" s="161">
        <v>764.14285714285711</v>
      </c>
      <c r="J140" s="161">
        <v>795.14285714285711</v>
      </c>
      <c r="K140" s="52">
        <f t="shared" si="259"/>
        <v>1716.7142857142858</v>
      </c>
      <c r="L140" s="6">
        <f t="shared" si="270"/>
        <v>0.42675521147768031</v>
      </c>
      <c r="M140" s="21">
        <f t="shared" si="260"/>
        <v>4022.7142857142858</v>
      </c>
      <c r="N140" s="20">
        <f t="shared" si="241"/>
        <v>0.24767028465425209</v>
      </c>
      <c r="O140" s="3">
        <v>2977.676833333333</v>
      </c>
      <c r="P140" s="130">
        <v>12022.745633333334</v>
      </c>
      <c r="Q140" s="32">
        <f t="shared" si="242"/>
        <v>0.6587482505893687</v>
      </c>
      <c r="R140" s="3">
        <v>3590.5402333333332</v>
      </c>
      <c r="S140" s="3">
        <v>5450.5499333333328</v>
      </c>
      <c r="T140" s="32">
        <f t="shared" si="243"/>
        <v>0.96727154630160561</v>
      </c>
      <c r="U140" s="3">
        <v>8289.8536333333341</v>
      </c>
      <c r="V140" s="3">
        <v>8570.347866666667</v>
      </c>
      <c r="W140" s="52">
        <f t="shared" si="261"/>
        <v>14858.0707</v>
      </c>
      <c r="X140" s="6">
        <f t="shared" si="271"/>
        <v>0.57050660895560856</v>
      </c>
      <c r="Y140" s="19">
        <f t="shared" si="262"/>
        <v>26043.643433333331</v>
      </c>
      <c r="Z140" s="20">
        <f t="shared" si="247"/>
        <v>6.2324471973223567E-3</v>
      </c>
      <c r="AA140" s="3">
        <v>5.4</v>
      </c>
      <c r="AB140" s="3">
        <v>866.43333333333328</v>
      </c>
      <c r="AC140" s="32">
        <f t="shared" si="248"/>
        <v>0.15939222404290182</v>
      </c>
      <c r="AD140" s="3">
        <v>35.666666666666664</v>
      </c>
      <c r="AE140" s="3">
        <v>223.76666666666668</v>
      </c>
      <c r="AF140" s="32">
        <f t="shared" si="249"/>
        <v>0.92506395972600486</v>
      </c>
      <c r="AG140" s="3">
        <v>373.63333333333333</v>
      </c>
      <c r="AH140" s="3">
        <v>403.9</v>
      </c>
      <c r="AI140" s="52">
        <f t="shared" si="263"/>
        <v>414.7</v>
      </c>
      <c r="AJ140" s="6">
        <f t="shared" si="272"/>
        <v>0.27755839635901214</v>
      </c>
      <c r="AK140" s="21">
        <f t="shared" si="264"/>
        <v>1494.1</v>
      </c>
      <c r="AL140" s="69">
        <f t="shared" si="265"/>
        <v>16989.484985714287</v>
      </c>
      <c r="AM140" s="6">
        <f t="shared" ref="AM140:AM146" si="273">AL140/AN140</f>
        <v>0.53831554462724596</v>
      </c>
      <c r="AN140" s="3">
        <f t="shared" si="266"/>
        <v>31560.457719047616</v>
      </c>
      <c r="AO140" s="6">
        <f t="shared" si="267"/>
        <v>0.21389937400729375</v>
      </c>
      <c r="AP140" s="6">
        <f t="shared" si="268"/>
        <v>0.63825099916685435</v>
      </c>
      <c r="AQ140" s="70">
        <f t="shared" si="269"/>
        <v>0.96501717357183037</v>
      </c>
    </row>
    <row r="141" spans="1:43" x14ac:dyDescent="0.2">
      <c r="A141" s="133">
        <v>42064</v>
      </c>
      <c r="B141" s="20">
        <f t="shared" si="235"/>
        <v>0.10269805174850961</v>
      </c>
      <c r="C141" s="41">
        <v>238.71428571428572</v>
      </c>
      <c r="D141" s="161">
        <v>2324.4285714285716</v>
      </c>
      <c r="E141" s="32">
        <f t="shared" si="236"/>
        <v>0.61756740845402103</v>
      </c>
      <c r="F141" s="161">
        <v>749.28571428571433</v>
      </c>
      <c r="G141" s="161">
        <v>1213.2857142857142</v>
      </c>
      <c r="H141" s="32">
        <f t="shared" si="237"/>
        <v>0.91075376884422121</v>
      </c>
      <c r="I141" s="161">
        <v>647.28571428571433</v>
      </c>
      <c r="J141" s="161">
        <v>710.71428571428567</v>
      </c>
      <c r="K141" s="52">
        <f t="shared" ref="K141:K146" si="274">SUM(C141+F141+I141)</f>
        <v>1635.2857142857142</v>
      </c>
      <c r="L141" s="6">
        <f t="shared" si="270"/>
        <v>0.38491543091563263</v>
      </c>
      <c r="M141" s="21">
        <f t="shared" ref="M141:M146" si="275">SUM(J141+G141+D141)</f>
        <v>4248.4285714285716</v>
      </c>
      <c r="N141" s="20">
        <f t="shared" si="241"/>
        <v>0.27577634648130855</v>
      </c>
      <c r="O141" s="3">
        <v>3428.4764838709675</v>
      </c>
      <c r="P141" s="130">
        <v>12432.090451612903</v>
      </c>
      <c r="Q141" s="32">
        <f t="shared" si="242"/>
        <v>0.64631489138257192</v>
      </c>
      <c r="R141" s="3">
        <v>3334.2585483870967</v>
      </c>
      <c r="S141" s="3">
        <v>5158.8762580645162</v>
      </c>
      <c r="T141" s="32">
        <f t="shared" si="243"/>
        <v>0.9636321847069157</v>
      </c>
      <c r="U141" s="3">
        <v>5415.3532258064524</v>
      </c>
      <c r="V141" s="3">
        <v>5619.7305483870978</v>
      </c>
      <c r="W141" s="52">
        <f t="shared" ref="W141:W146" si="276">+U141+O141+R141</f>
        <v>12178.088258064518</v>
      </c>
      <c r="X141" s="6">
        <f t="shared" si="271"/>
        <v>0.52467567530024384</v>
      </c>
      <c r="Y141" s="19">
        <f t="shared" ref="Y141:Y146" si="277">+V141+S141+P141</f>
        <v>23210.697258064516</v>
      </c>
      <c r="Z141" s="20">
        <f t="shared" si="247"/>
        <v>6.3879649228908379E-3</v>
      </c>
      <c r="AA141" s="3">
        <v>5.4516129032258061</v>
      </c>
      <c r="AB141" s="3">
        <v>853.41935483870964</v>
      </c>
      <c r="AC141" s="32">
        <f t="shared" si="248"/>
        <v>0.15823037066560383</v>
      </c>
      <c r="AD141" s="3">
        <v>38.41935483870968</v>
      </c>
      <c r="AE141" s="3">
        <v>242.80645161290323</v>
      </c>
      <c r="AF141" s="32">
        <f t="shared" si="249"/>
        <v>0.97340976036939741</v>
      </c>
      <c r="AG141" s="3">
        <v>394.41935483870969</v>
      </c>
      <c r="AH141" s="3">
        <v>405.19354838709677</v>
      </c>
      <c r="AI141" s="52">
        <f t="shared" ref="AI141:AI146" si="278">AG141+AD141+AA141</f>
        <v>438.29032258064518</v>
      </c>
      <c r="AJ141" s="6">
        <f t="shared" si="272"/>
        <v>0.29191732554142319</v>
      </c>
      <c r="AK141" s="21">
        <f t="shared" ref="AK141:AK146" si="279">+AH141+AE141+AB141</f>
        <v>1501.4193548387098</v>
      </c>
      <c r="AL141" s="69">
        <f t="shared" ref="AL141:AL146" si="280">+AI141+W141+K141</f>
        <v>14251.664294930877</v>
      </c>
      <c r="AM141" s="6">
        <f t="shared" si="273"/>
        <v>0.49210621568827706</v>
      </c>
      <c r="AN141" s="3">
        <f t="shared" ref="AN141:AN146" si="281">+AK141+Y141+M141</f>
        <v>28960.545184331797</v>
      </c>
      <c r="AO141" s="6">
        <f t="shared" ref="AO141:AO146" si="282">(+AA141+O141+C141)/(D141+P141+AB141)</f>
        <v>0.23527590523308783</v>
      </c>
      <c r="AP141" s="6">
        <f t="shared" ref="AP141:AP146" si="283">(+AD141+R141+F141)/(G141+S141+AE141)</f>
        <v>0.62312672613514708</v>
      </c>
      <c r="AQ141" s="70">
        <f t="shared" ref="AQ141:AQ146" si="284">(AG141+U141+I141)/(AH141+V141+J141)</f>
        <v>0.95864087830459188</v>
      </c>
    </row>
    <row r="142" spans="1:43" x14ac:dyDescent="0.2">
      <c r="A142" s="133">
        <v>42036</v>
      </c>
      <c r="B142" s="20">
        <f t="shared" si="235"/>
        <v>0.10442604069544233</v>
      </c>
      <c r="C142" s="41">
        <v>272</v>
      </c>
      <c r="D142" s="161">
        <v>2604.7142857142858</v>
      </c>
      <c r="E142" s="32">
        <f t="shared" si="236"/>
        <v>0.60243575188357934</v>
      </c>
      <c r="F142" s="161">
        <v>833.85714285714289</v>
      </c>
      <c r="G142" s="161">
        <v>1384.1428571428571</v>
      </c>
      <c r="H142" s="32">
        <f t="shared" si="237"/>
        <v>0.97736093143596381</v>
      </c>
      <c r="I142" s="161">
        <v>647.57142857142856</v>
      </c>
      <c r="J142" s="161">
        <v>662.57142857142856</v>
      </c>
      <c r="K142" s="52">
        <f t="shared" si="274"/>
        <v>1753.4285714285716</v>
      </c>
      <c r="L142" s="6">
        <f t="shared" ref="L142:L148" si="285">K142/M142</f>
        <v>0.37696560196560197</v>
      </c>
      <c r="M142" s="21">
        <f t="shared" si="275"/>
        <v>4651.4285714285716</v>
      </c>
      <c r="N142" s="20">
        <f t="shared" si="241"/>
        <v>0.26247787137947315</v>
      </c>
      <c r="O142" s="3">
        <v>3816.5907142857141</v>
      </c>
      <c r="P142" s="130">
        <v>14540.618964285715</v>
      </c>
      <c r="Q142" s="32">
        <f t="shared" si="242"/>
        <v>0.6448346076550715</v>
      </c>
      <c r="R142" s="3">
        <v>3748.8385714285714</v>
      </c>
      <c r="S142" s="3">
        <v>5813.6435714285708</v>
      </c>
      <c r="T142" s="32">
        <f t="shared" si="243"/>
        <v>0.9626812771813984</v>
      </c>
      <c r="U142" s="3">
        <v>7367.7460357142854</v>
      </c>
      <c r="V142" s="3">
        <v>7653.3596428571427</v>
      </c>
      <c r="W142" s="52">
        <f t="shared" si="276"/>
        <v>14933.175321428571</v>
      </c>
      <c r="X142" s="6">
        <f t="shared" ref="X142:X148" si="286">W142/Y142</f>
        <v>0.53318254674450405</v>
      </c>
      <c r="Y142" s="19">
        <f t="shared" si="277"/>
        <v>28007.62217857143</v>
      </c>
      <c r="Z142" s="20">
        <f t="shared" si="247"/>
        <v>5.7319530327242406E-3</v>
      </c>
      <c r="AA142" s="3">
        <v>5.8928571428571432</v>
      </c>
      <c r="AB142" s="3">
        <v>1028.0714285714287</v>
      </c>
      <c r="AC142" s="32">
        <f t="shared" si="248"/>
        <v>0.15329606033025611</v>
      </c>
      <c r="AD142" s="3">
        <v>42.107142857142854</v>
      </c>
      <c r="AE142" s="3">
        <v>274.67857142857144</v>
      </c>
      <c r="AF142" s="32">
        <f t="shared" si="249"/>
        <v>0.9600250963520659</v>
      </c>
      <c r="AG142" s="3">
        <v>382.53571428571428</v>
      </c>
      <c r="AH142" s="3">
        <v>398.46428571428572</v>
      </c>
      <c r="AI142" s="52">
        <f t="shared" si="278"/>
        <v>430.53571428571428</v>
      </c>
      <c r="AJ142" s="6">
        <f t="shared" ref="AJ142:AJ148" si="287">AI142/AK142</f>
        <v>0.25307553428223534</v>
      </c>
      <c r="AK142" s="21">
        <f t="shared" si="279"/>
        <v>1701.2142857142858</v>
      </c>
      <c r="AL142" s="69">
        <f t="shared" si="280"/>
        <v>17117.139607142857</v>
      </c>
      <c r="AM142" s="6">
        <f t="shared" si="273"/>
        <v>0.49816669310761108</v>
      </c>
      <c r="AN142" s="3">
        <f t="shared" si="281"/>
        <v>34360.265035714285</v>
      </c>
      <c r="AO142" s="6">
        <f t="shared" si="282"/>
        <v>0.22530085274865677</v>
      </c>
      <c r="AP142" s="6">
        <f t="shared" si="283"/>
        <v>0.61891261546796905</v>
      </c>
      <c r="AQ142" s="70">
        <f t="shared" si="284"/>
        <v>0.96367594473299056</v>
      </c>
    </row>
    <row r="143" spans="1:43" x14ac:dyDescent="0.2">
      <c r="A143" s="133">
        <v>42005</v>
      </c>
      <c r="B143" s="20">
        <f t="shared" si="235"/>
        <v>0.11039310716208939</v>
      </c>
      <c r="C143" s="41">
        <v>292.85714285714283</v>
      </c>
      <c r="D143" s="161">
        <v>2652.8571428571427</v>
      </c>
      <c r="E143" s="32">
        <f t="shared" si="236"/>
        <v>0.62652916793044189</v>
      </c>
      <c r="F143" s="161">
        <v>885.28571428571433</v>
      </c>
      <c r="G143" s="161">
        <v>1413</v>
      </c>
      <c r="H143" s="32">
        <f t="shared" si="237"/>
        <v>0.86882865440464674</v>
      </c>
      <c r="I143" s="161">
        <v>769.28571428571433</v>
      </c>
      <c r="J143" s="161">
        <v>885.42857142857144</v>
      </c>
      <c r="K143" s="52">
        <f t="shared" si="274"/>
        <v>1947.4285714285716</v>
      </c>
      <c r="L143" s="6">
        <f t="shared" si="285"/>
        <v>0.39331775296459803</v>
      </c>
      <c r="M143" s="21">
        <f t="shared" si="275"/>
        <v>4951.2857142857138</v>
      </c>
      <c r="N143" s="20">
        <f t="shared" si="241"/>
        <v>0.27560363215778688</v>
      </c>
      <c r="O143" s="3">
        <v>3822.4762903225806</v>
      </c>
      <c r="P143" s="130">
        <v>13869.46993548387</v>
      </c>
      <c r="Q143" s="32">
        <f t="shared" si="242"/>
        <v>0.63609644947752741</v>
      </c>
      <c r="R143" s="3">
        <v>3502.0212258064516</v>
      </c>
      <c r="S143" s="3">
        <v>5505.4877741935488</v>
      </c>
      <c r="T143" s="32">
        <f t="shared" si="243"/>
        <v>0.97097826521838704</v>
      </c>
      <c r="U143" s="3">
        <v>7537.4500645161288</v>
      </c>
      <c r="V143" s="3">
        <v>7762.7381935483872</v>
      </c>
      <c r="W143" s="52">
        <f t="shared" si="276"/>
        <v>14861.947580645161</v>
      </c>
      <c r="X143" s="6">
        <f t="shared" si="286"/>
        <v>0.54764957325940666</v>
      </c>
      <c r="Y143" s="19">
        <f t="shared" si="277"/>
        <v>27137.695903225806</v>
      </c>
      <c r="Z143" s="20">
        <f t="shared" si="247"/>
        <v>5.904710194108864E-3</v>
      </c>
      <c r="AA143" s="3">
        <v>5.612903225806452</v>
      </c>
      <c r="AB143" s="3">
        <v>950.58064516129036</v>
      </c>
      <c r="AC143" s="32">
        <f t="shared" si="248"/>
        <v>0.14822629566134773</v>
      </c>
      <c r="AD143" s="3">
        <v>36.258064516129032</v>
      </c>
      <c r="AE143" s="3">
        <v>244.61290322580646</v>
      </c>
      <c r="AF143" s="32">
        <f t="shared" si="249"/>
        <v>0.95663464035315493</v>
      </c>
      <c r="AG143" s="3">
        <v>356.51612903225805</v>
      </c>
      <c r="AH143" s="3">
        <v>372.67741935483872</v>
      </c>
      <c r="AI143" s="52">
        <f t="shared" si="278"/>
        <v>398.38709677419354</v>
      </c>
      <c r="AJ143" s="6">
        <f t="shared" si="287"/>
        <v>0.25409431322524895</v>
      </c>
      <c r="AK143" s="21">
        <f t="shared" si="279"/>
        <v>1567.8709677419356</v>
      </c>
      <c r="AL143" s="69">
        <f t="shared" si="280"/>
        <v>17207.763248847925</v>
      </c>
      <c r="AM143" s="6">
        <f t="shared" si="273"/>
        <v>0.51127071984108829</v>
      </c>
      <c r="AN143" s="3">
        <f t="shared" si="281"/>
        <v>33656.852585253451</v>
      </c>
      <c r="AO143" s="6">
        <f t="shared" si="282"/>
        <v>0.23584777082423231</v>
      </c>
      <c r="AP143" s="6">
        <f t="shared" si="283"/>
        <v>0.61754890847101285</v>
      </c>
      <c r="AQ143" s="70">
        <f t="shared" si="284"/>
        <v>0.96035933342925994</v>
      </c>
    </row>
    <row r="144" spans="1:43" x14ac:dyDescent="0.2">
      <c r="A144" s="133">
        <v>41974</v>
      </c>
      <c r="B144" s="20">
        <f t="shared" si="235"/>
        <v>0.11407274895646988</v>
      </c>
      <c r="C144" s="41">
        <v>273.28571428571428</v>
      </c>
      <c r="D144" s="161">
        <v>2395.7142857142858</v>
      </c>
      <c r="E144" s="32">
        <f t="shared" si="236"/>
        <v>0.61448653800333575</v>
      </c>
      <c r="F144" s="161">
        <v>736.85714285714289</v>
      </c>
      <c r="G144" s="161">
        <v>1199.1428571428571</v>
      </c>
      <c r="H144" s="32">
        <f t="shared" si="237"/>
        <v>0.99239636987981361</v>
      </c>
      <c r="I144" s="161">
        <v>578</v>
      </c>
      <c r="J144" s="161">
        <v>582.42857142857144</v>
      </c>
      <c r="K144" s="52">
        <f t="shared" si="274"/>
        <v>1588.1428571428571</v>
      </c>
      <c r="L144" s="6">
        <f t="shared" si="285"/>
        <v>0.38018535617796934</v>
      </c>
      <c r="M144" s="21">
        <f t="shared" si="275"/>
        <v>4177.2857142857138</v>
      </c>
      <c r="N144" s="20">
        <f t="shared" si="241"/>
        <v>0.2947623154554293</v>
      </c>
      <c r="O144" s="3">
        <v>3643.9810967741937</v>
      </c>
      <c r="P144" s="130">
        <v>12362.438838709679</v>
      </c>
      <c r="Q144" s="32">
        <f t="shared" si="242"/>
        <v>0.62990683686020454</v>
      </c>
      <c r="R144" s="3">
        <v>3362.9290645161291</v>
      </c>
      <c r="S144" s="3">
        <v>5338.7721290322579</v>
      </c>
      <c r="T144" s="32">
        <f t="shared" si="243"/>
        <v>0.95964331216197063</v>
      </c>
      <c r="U144" s="3">
        <v>7721.5070000000005</v>
      </c>
      <c r="V144" s="3">
        <v>8046.2260322580651</v>
      </c>
      <c r="W144" s="52">
        <f t="shared" si="276"/>
        <v>14728.417161290323</v>
      </c>
      <c r="X144" s="6">
        <f t="shared" si="286"/>
        <v>0.57203430233814423</v>
      </c>
      <c r="Y144" s="19">
        <f t="shared" si="277"/>
        <v>25747.437000000002</v>
      </c>
      <c r="Z144" s="20">
        <f t="shared" si="247"/>
        <v>7.6251110453064855E-3</v>
      </c>
      <c r="AA144" s="3">
        <v>6.645161290322581</v>
      </c>
      <c r="AB144" s="3">
        <v>871.48387096774195</v>
      </c>
      <c r="AC144" s="32">
        <f t="shared" si="248"/>
        <v>0.153042233357194</v>
      </c>
      <c r="AD144" s="3">
        <v>34.483870967741936</v>
      </c>
      <c r="AE144" s="3">
        <v>225.32258064516128</v>
      </c>
      <c r="AF144" s="32">
        <f t="shared" si="249"/>
        <v>0.95276887871853533</v>
      </c>
      <c r="AG144" s="3">
        <v>335.77419354838707</v>
      </c>
      <c r="AH144" s="3">
        <v>352.41935483870969</v>
      </c>
      <c r="AI144" s="52">
        <f t="shared" si="278"/>
        <v>376.90322580645159</v>
      </c>
      <c r="AJ144" s="6">
        <f t="shared" si="287"/>
        <v>0.26007211859502288</v>
      </c>
      <c r="AK144" s="21">
        <f t="shared" si="279"/>
        <v>1449.2258064516129</v>
      </c>
      <c r="AL144" s="69">
        <f t="shared" si="280"/>
        <v>16693.463244239632</v>
      </c>
      <c r="AM144" s="6">
        <f t="shared" si="273"/>
        <v>0.53208040528292788</v>
      </c>
      <c r="AN144" s="3">
        <f t="shared" si="281"/>
        <v>31373.948520737329</v>
      </c>
      <c r="AO144" s="6">
        <f t="shared" si="282"/>
        <v>0.25105586095871385</v>
      </c>
      <c r="AP144" s="6">
        <f t="shared" si="283"/>
        <v>0.61128565091714404</v>
      </c>
      <c r="AQ144" s="70">
        <f t="shared" si="284"/>
        <v>0.96149761525472011</v>
      </c>
    </row>
    <row r="145" spans="1:43" x14ac:dyDescent="0.2">
      <c r="A145" s="133">
        <v>41944</v>
      </c>
      <c r="B145" s="20">
        <f t="shared" si="235"/>
        <v>0.13327674023769098</v>
      </c>
      <c r="C145" s="41">
        <v>291.57142857142856</v>
      </c>
      <c r="D145" s="161">
        <v>2187.7142857142858</v>
      </c>
      <c r="E145" s="32">
        <f t="shared" si="236"/>
        <v>0.59740259740259738</v>
      </c>
      <c r="F145" s="161">
        <v>788.57142857142856</v>
      </c>
      <c r="G145" s="161">
        <v>1320</v>
      </c>
      <c r="H145" s="32">
        <f t="shared" si="237"/>
        <v>0.95051227527546878</v>
      </c>
      <c r="I145" s="161">
        <v>702.42857142857144</v>
      </c>
      <c r="J145" s="161">
        <v>739</v>
      </c>
      <c r="K145" s="52">
        <f t="shared" si="274"/>
        <v>1782.5714285714284</v>
      </c>
      <c r="L145" s="6">
        <f t="shared" si="285"/>
        <v>0.41975308641975301</v>
      </c>
      <c r="M145" s="21">
        <f t="shared" si="275"/>
        <v>4246.7142857142862</v>
      </c>
      <c r="N145" s="20">
        <f t="shared" si="241"/>
        <v>0.30556968952279856</v>
      </c>
      <c r="O145" s="3">
        <v>3211.3205333333331</v>
      </c>
      <c r="P145" s="130">
        <v>10509.290166666666</v>
      </c>
      <c r="Q145" s="32">
        <f t="shared" si="242"/>
        <v>0.61837567185075348</v>
      </c>
      <c r="R145" s="3">
        <v>3162.6464666666666</v>
      </c>
      <c r="S145" s="3">
        <v>5114.4419333333335</v>
      </c>
      <c r="T145" s="32">
        <f t="shared" si="243"/>
        <v>0.95864260911138899</v>
      </c>
      <c r="U145" s="3">
        <v>8705.7650000000012</v>
      </c>
      <c r="V145" s="3">
        <v>9081.3457666666673</v>
      </c>
      <c r="W145" s="52">
        <f t="shared" si="276"/>
        <v>15079.732000000002</v>
      </c>
      <c r="X145" s="6">
        <f t="shared" si="286"/>
        <v>0.61038998060987026</v>
      </c>
      <c r="Y145" s="19">
        <f t="shared" si="277"/>
        <v>24705.077866666667</v>
      </c>
      <c r="Z145" s="20">
        <f t="shared" si="247"/>
        <v>9.5834062664099419E-3</v>
      </c>
      <c r="AA145" s="3">
        <v>7.3</v>
      </c>
      <c r="AB145" s="3">
        <v>761.73333333333335</v>
      </c>
      <c r="AC145" s="32">
        <f t="shared" si="248"/>
        <v>0.28613445378151259</v>
      </c>
      <c r="AD145" s="3">
        <v>68.099999999999994</v>
      </c>
      <c r="AE145" s="3">
        <v>238</v>
      </c>
      <c r="AF145" s="32">
        <f t="shared" si="249"/>
        <v>0.95328022912378063</v>
      </c>
      <c r="AG145" s="3">
        <v>355.03333333333336</v>
      </c>
      <c r="AH145" s="3">
        <v>372.43333333333334</v>
      </c>
      <c r="AI145" s="52">
        <f t="shared" si="278"/>
        <v>430.43333333333334</v>
      </c>
      <c r="AJ145" s="6">
        <f t="shared" si="287"/>
        <v>0.31368881331227982</v>
      </c>
      <c r="AK145" s="21">
        <f t="shared" si="279"/>
        <v>1372.1666666666667</v>
      </c>
      <c r="AL145" s="69">
        <f t="shared" si="280"/>
        <v>17292.736761904762</v>
      </c>
      <c r="AM145" s="6">
        <f t="shared" si="273"/>
        <v>0.57026646372578971</v>
      </c>
      <c r="AN145" s="3">
        <f t="shared" si="281"/>
        <v>30323.958819047621</v>
      </c>
      <c r="AO145" s="6">
        <f t="shared" si="282"/>
        <v>0.26081137903070217</v>
      </c>
      <c r="AP145" s="6">
        <f t="shared" si="283"/>
        <v>0.60237585210879085</v>
      </c>
      <c r="AQ145" s="70">
        <f t="shared" si="284"/>
        <v>0.95785720547616937</v>
      </c>
    </row>
    <row r="146" spans="1:43" x14ac:dyDescent="0.2">
      <c r="A146" s="133">
        <v>41926</v>
      </c>
      <c r="B146" s="20">
        <f t="shared" si="235"/>
        <v>0.13827277017461068</v>
      </c>
      <c r="C146" s="41">
        <v>293</v>
      </c>
      <c r="D146" s="161">
        <v>2119</v>
      </c>
      <c r="E146" s="32">
        <f t="shared" si="236"/>
        <v>0.5843325339728217</v>
      </c>
      <c r="F146" s="161">
        <v>731</v>
      </c>
      <c r="G146" s="161">
        <v>1251</v>
      </c>
      <c r="H146" s="32">
        <f t="shared" si="237"/>
        <v>0.93266832917705733</v>
      </c>
      <c r="I146" s="161">
        <v>748</v>
      </c>
      <c r="J146" s="161">
        <v>802</v>
      </c>
      <c r="K146" s="52">
        <f t="shared" si="274"/>
        <v>1772</v>
      </c>
      <c r="L146" s="6">
        <f t="shared" si="285"/>
        <v>0.42473633748801531</v>
      </c>
      <c r="M146" s="21">
        <f t="shared" si="275"/>
        <v>4172</v>
      </c>
      <c r="N146" s="20">
        <f t="shared" si="241"/>
        <v>0.31360214499329692</v>
      </c>
      <c r="O146" s="3">
        <v>3041</v>
      </c>
      <c r="P146" s="130">
        <v>9697</v>
      </c>
      <c r="Q146" s="32">
        <f t="shared" si="242"/>
        <v>0.61288483466362598</v>
      </c>
      <c r="R146" s="3">
        <v>3225</v>
      </c>
      <c r="S146" s="3">
        <v>5262</v>
      </c>
      <c r="T146" s="32">
        <f t="shared" si="243"/>
        <v>0.96155946270612647</v>
      </c>
      <c r="U146" s="3">
        <v>8805</v>
      </c>
      <c r="V146" s="3">
        <v>9157</v>
      </c>
      <c r="W146" s="52">
        <f t="shared" si="276"/>
        <v>15071</v>
      </c>
      <c r="X146" s="6">
        <f t="shared" si="286"/>
        <v>0.62493780063028692</v>
      </c>
      <c r="Y146" s="19">
        <f t="shared" si="277"/>
        <v>24116</v>
      </c>
      <c r="Z146" s="20">
        <f t="shared" si="247"/>
        <v>1.0914051841746248E-2</v>
      </c>
      <c r="AA146" s="3">
        <v>8</v>
      </c>
      <c r="AB146" s="3">
        <v>733</v>
      </c>
      <c r="AC146" s="32">
        <f t="shared" si="248"/>
        <v>0.50806451612903225</v>
      </c>
      <c r="AD146" s="3">
        <v>126</v>
      </c>
      <c r="AE146" s="3">
        <v>248</v>
      </c>
      <c r="AF146" s="32">
        <f t="shared" si="249"/>
        <v>0.94025974025974024</v>
      </c>
      <c r="AG146" s="3">
        <v>362</v>
      </c>
      <c r="AH146" s="3">
        <v>385</v>
      </c>
      <c r="AI146" s="52">
        <f t="shared" si="278"/>
        <v>496</v>
      </c>
      <c r="AJ146" s="6">
        <f t="shared" si="287"/>
        <v>0.36310395314787702</v>
      </c>
      <c r="AK146" s="21">
        <f t="shared" si="279"/>
        <v>1366</v>
      </c>
      <c r="AL146" s="69">
        <f t="shared" si="280"/>
        <v>17339</v>
      </c>
      <c r="AM146" s="6">
        <f t="shared" si="273"/>
        <v>0.58471032575706483</v>
      </c>
      <c r="AN146" s="3">
        <f t="shared" si="281"/>
        <v>29654</v>
      </c>
      <c r="AO146" s="6">
        <f t="shared" si="282"/>
        <v>0.26631604111881424</v>
      </c>
      <c r="AP146" s="6">
        <f t="shared" si="283"/>
        <v>0.6037568407040379</v>
      </c>
      <c r="AQ146" s="70">
        <f t="shared" si="284"/>
        <v>0.95852668213457082</v>
      </c>
    </row>
    <row r="147" spans="1:43" x14ac:dyDescent="0.2">
      <c r="A147" s="133">
        <v>41883</v>
      </c>
      <c r="B147" s="20">
        <f t="shared" si="235"/>
        <v>0.14301897479467571</v>
      </c>
      <c r="C147" s="41">
        <v>288.57142857142856</v>
      </c>
      <c r="D147" s="161">
        <v>2017.7142857142858</v>
      </c>
      <c r="E147" s="32">
        <f t="shared" si="236"/>
        <v>0.57187639946260627</v>
      </c>
      <c r="F147" s="161">
        <v>729.71428571428567</v>
      </c>
      <c r="G147" s="161">
        <v>1276</v>
      </c>
      <c r="H147" s="32">
        <f t="shared" si="237"/>
        <v>0.9552968960863697</v>
      </c>
      <c r="I147" s="161">
        <v>809</v>
      </c>
      <c r="J147" s="161">
        <v>846.85714285714289</v>
      </c>
      <c r="K147" s="52">
        <f t="shared" ref="K147:K152" si="288">SUM(C147+F147+I147)</f>
        <v>1827.2857142857142</v>
      </c>
      <c r="L147" s="6">
        <f t="shared" si="285"/>
        <v>0.44131244824730875</v>
      </c>
      <c r="M147" s="21">
        <f t="shared" ref="M147:M152" si="289">SUM(J147+G147+D147)</f>
        <v>4140.5714285714294</v>
      </c>
      <c r="N147" s="20">
        <f t="shared" si="241"/>
        <v>0.3228441549577219</v>
      </c>
      <c r="O147" s="3">
        <v>3663.4977666666668</v>
      </c>
      <c r="P147" s="130">
        <v>11347.573466666667</v>
      </c>
      <c r="Q147" s="32">
        <f t="shared" si="242"/>
        <v>0.60026728757497871</v>
      </c>
      <c r="R147" s="3">
        <v>3652.1662999999999</v>
      </c>
      <c r="S147" s="3">
        <v>6084.2334333333329</v>
      </c>
      <c r="T147" s="32">
        <f t="shared" si="243"/>
        <v>0.95606065854391364</v>
      </c>
      <c r="U147" s="3">
        <v>8941.7112666666671</v>
      </c>
      <c r="V147" s="3">
        <v>9352.6610333333338</v>
      </c>
      <c r="W147" s="52">
        <f t="shared" ref="W147:W152" si="290">+U147+O147+R147</f>
        <v>16257.375333333333</v>
      </c>
      <c r="X147" s="6">
        <f t="shared" si="286"/>
        <v>0.60697025506715374</v>
      </c>
      <c r="Y147" s="19">
        <f t="shared" ref="Y147:Y152" si="291">+V147+S147+P147</f>
        <v>26784.467933333333</v>
      </c>
      <c r="Z147" s="20">
        <f t="shared" si="247"/>
        <v>1.15868305779285E-2</v>
      </c>
      <c r="AA147" s="3">
        <v>8.1999999999999993</v>
      </c>
      <c r="AB147" s="3">
        <v>707.7</v>
      </c>
      <c r="AC147" s="32">
        <f t="shared" si="248"/>
        <v>0.41537499999999999</v>
      </c>
      <c r="AD147" s="3">
        <v>110.76666666666667</v>
      </c>
      <c r="AE147" s="3">
        <v>266.66666666666669</v>
      </c>
      <c r="AF147" s="32">
        <f t="shared" si="249"/>
        <v>0.94783534421575577</v>
      </c>
      <c r="AG147" s="3">
        <v>356.13333333333333</v>
      </c>
      <c r="AH147" s="3">
        <v>375.73333333333335</v>
      </c>
      <c r="AI147" s="52">
        <f t="shared" ref="AI147:AI152" si="292">AG147+AD147+AA147</f>
        <v>475.09999999999997</v>
      </c>
      <c r="AJ147" s="6">
        <f t="shared" si="287"/>
        <v>0.35189985926968365</v>
      </c>
      <c r="AK147" s="21">
        <f t="shared" ref="AK147:AK152" si="293">+AH147+AE147+AB147</f>
        <v>1350.1000000000001</v>
      </c>
      <c r="AL147" s="69">
        <f t="shared" ref="AL147:AL152" si="294">+AI147+W147+K147</f>
        <v>18559.761047619046</v>
      </c>
      <c r="AM147" s="6">
        <f t="shared" ref="AM147:AM153" si="295">AL147/AN147</f>
        <v>0.57504820783285748</v>
      </c>
      <c r="AN147" s="3">
        <f t="shared" ref="AN147:AN152" si="296">+AK147+Y147+M147</f>
        <v>32275.139361904759</v>
      </c>
      <c r="AO147" s="6">
        <f t="shared" ref="AO147:AO152" si="297">(+AA147+O147+C147)/(D147+P147+AB147)</f>
        <v>0.28140926894277107</v>
      </c>
      <c r="AP147" s="6">
        <f t="shared" ref="AP147:AP152" si="298">(+AD147+R147+F147)/(G147+S147+AE147)</f>
        <v>0.58905285154855413</v>
      </c>
      <c r="AQ147" s="70">
        <f t="shared" ref="AQ147:AQ152" si="299">(AG147+U147+I147)/(AH147+V147+J147)</f>
        <v>0.95570725584143557</v>
      </c>
    </row>
    <row r="148" spans="1:43" x14ac:dyDescent="0.2">
      <c r="A148" s="133">
        <v>41852</v>
      </c>
      <c r="B148" s="20">
        <f t="shared" si="235"/>
        <v>0.14796668299853016</v>
      </c>
      <c r="C148" s="41">
        <v>345.14285714285717</v>
      </c>
      <c r="D148" s="161">
        <v>2332.5714285714284</v>
      </c>
      <c r="E148" s="32">
        <f t="shared" si="236"/>
        <v>0.57450646357350432</v>
      </c>
      <c r="F148" s="161">
        <v>819</v>
      </c>
      <c r="G148" s="161">
        <v>1425.5714285714287</v>
      </c>
      <c r="H148" s="32">
        <f t="shared" si="237"/>
        <v>0.93734836591979454</v>
      </c>
      <c r="I148" s="161">
        <v>938.28571428571433</v>
      </c>
      <c r="J148" s="161">
        <v>1001</v>
      </c>
      <c r="K148" s="52">
        <f t="shared" si="288"/>
        <v>2102.4285714285716</v>
      </c>
      <c r="L148" s="6">
        <f t="shared" si="285"/>
        <v>0.44176622441015795</v>
      </c>
      <c r="M148" s="21">
        <f t="shared" si="289"/>
        <v>4759.1428571428569</v>
      </c>
      <c r="N148" s="20">
        <f t="shared" si="241"/>
        <v>0.33212449626882445</v>
      </c>
      <c r="O148" s="3">
        <v>3884.9064838709678</v>
      </c>
      <c r="P148" s="130">
        <v>11697.139258064515</v>
      </c>
      <c r="Q148" s="32">
        <f t="shared" si="242"/>
        <v>0.58928343633976499</v>
      </c>
      <c r="R148" s="3">
        <v>3606.1722258064519</v>
      </c>
      <c r="S148" s="3">
        <v>6119.5886451612905</v>
      </c>
      <c r="T148" s="32">
        <f t="shared" si="243"/>
        <v>0.96189314696295536</v>
      </c>
      <c r="U148" s="3">
        <v>8655.3153548387108</v>
      </c>
      <c r="V148" s="3">
        <v>8998.2087741935502</v>
      </c>
      <c r="W148" s="52">
        <f t="shared" si="290"/>
        <v>16146.394064516131</v>
      </c>
      <c r="X148" s="6">
        <f t="shared" si="286"/>
        <v>0.60214179353676722</v>
      </c>
      <c r="Y148" s="19">
        <f t="shared" si="291"/>
        <v>26814.936677419355</v>
      </c>
      <c r="Z148" s="20">
        <f t="shared" si="247"/>
        <v>1.2026745397707537E-2</v>
      </c>
      <c r="AA148" s="3">
        <v>8.935483870967742</v>
      </c>
      <c r="AB148" s="3">
        <v>742.9677419354839</v>
      </c>
      <c r="AC148" s="32">
        <f t="shared" si="248"/>
        <v>0.47891604406736732</v>
      </c>
      <c r="AD148" s="3">
        <v>122</v>
      </c>
      <c r="AE148" s="3">
        <v>254.74193548387098</v>
      </c>
      <c r="AF148" s="32">
        <f t="shared" si="249"/>
        <v>0.95442775763852916</v>
      </c>
      <c r="AG148" s="3">
        <v>356.70967741935482</v>
      </c>
      <c r="AH148" s="3">
        <v>373.74193548387098</v>
      </c>
      <c r="AI148" s="52">
        <f t="shared" si="292"/>
        <v>487.64516129032256</v>
      </c>
      <c r="AJ148" s="6">
        <f t="shared" si="287"/>
        <v>0.35556862283899798</v>
      </c>
      <c r="AK148" s="21">
        <f t="shared" si="293"/>
        <v>1371.4516129032259</v>
      </c>
      <c r="AL148" s="69">
        <f t="shared" si="294"/>
        <v>18736.467797235026</v>
      </c>
      <c r="AM148" s="6">
        <f t="shared" si="295"/>
        <v>0.56871044856948549</v>
      </c>
      <c r="AN148" s="3">
        <f t="shared" si="296"/>
        <v>32945.531147465437</v>
      </c>
      <c r="AO148" s="6">
        <f t="shared" si="297"/>
        <v>0.28694761382514694</v>
      </c>
      <c r="AP148" s="6">
        <f t="shared" si="298"/>
        <v>0.58297812208837774</v>
      </c>
      <c r="AQ148" s="70">
        <f t="shared" si="299"/>
        <v>0.95925557009160933</v>
      </c>
    </row>
    <row r="149" spans="1:43" x14ac:dyDescent="0.2">
      <c r="A149" s="133">
        <v>41821</v>
      </c>
      <c r="B149" s="20">
        <f t="shared" si="235"/>
        <v>0.15267953864780476</v>
      </c>
      <c r="C149" s="41">
        <v>342.28571428571428</v>
      </c>
      <c r="D149" s="161">
        <v>2241.8571428571427</v>
      </c>
      <c r="E149" s="32">
        <f t="shared" si="236"/>
        <v>0.58457661290322582</v>
      </c>
      <c r="F149" s="161">
        <v>828.42857142857144</v>
      </c>
      <c r="G149" s="161">
        <v>1417.1428571428571</v>
      </c>
      <c r="H149" s="32">
        <f t="shared" si="237"/>
        <v>0.83652456647398843</v>
      </c>
      <c r="I149" s="161">
        <v>661.57142857142856</v>
      </c>
      <c r="J149" s="161">
        <v>790.85714285714289</v>
      </c>
      <c r="K149" s="52">
        <f t="shared" si="288"/>
        <v>1832.2857142857142</v>
      </c>
      <c r="L149" s="6">
        <f t="shared" ref="L149:L155" si="300">K149/M149</f>
        <v>0.41176281742592052</v>
      </c>
      <c r="M149" s="21">
        <f t="shared" si="289"/>
        <v>4449.8571428571431</v>
      </c>
      <c r="N149" s="20">
        <f t="shared" si="241"/>
        <v>0.33870146200890816</v>
      </c>
      <c r="O149" s="3">
        <v>3838.454677419355</v>
      </c>
      <c r="P149" s="130">
        <v>11332.85535483871</v>
      </c>
      <c r="Q149" s="32">
        <f t="shared" si="242"/>
        <v>0.59702815659488506</v>
      </c>
      <c r="R149" s="3">
        <v>3555.54535483871</v>
      </c>
      <c r="S149" s="3">
        <v>5955.4064838709683</v>
      </c>
      <c r="T149" s="32">
        <f t="shared" si="243"/>
        <v>0.96160326472266611</v>
      </c>
      <c r="U149" s="3">
        <v>7900.883935483871</v>
      </c>
      <c r="V149" s="3">
        <v>8216.3655483870971</v>
      </c>
      <c r="W149" s="52">
        <f t="shared" si="290"/>
        <v>15294.883967741936</v>
      </c>
      <c r="X149" s="6">
        <f t="shared" ref="X149:X155" si="301">W149/Y149</f>
        <v>0.59969054774271591</v>
      </c>
      <c r="Y149" s="19">
        <f t="shared" si="291"/>
        <v>25504.627387096774</v>
      </c>
      <c r="Z149" s="20">
        <f t="shared" si="247"/>
        <v>1.2795693847679304E-2</v>
      </c>
      <c r="AA149" s="3">
        <v>8.741935483870968</v>
      </c>
      <c r="AB149" s="3">
        <v>683.19354838709683</v>
      </c>
      <c r="AC149" s="32">
        <f t="shared" si="248"/>
        <v>0.47804940483809039</v>
      </c>
      <c r="AD149" s="3">
        <v>120.48387096774194</v>
      </c>
      <c r="AE149" s="3">
        <v>252.03225806451613</v>
      </c>
      <c r="AF149" s="32">
        <f t="shared" si="249"/>
        <v>0.96763552068473613</v>
      </c>
      <c r="AG149" s="3">
        <v>350.09677419354841</v>
      </c>
      <c r="AH149" s="3">
        <v>361.80645161290323</v>
      </c>
      <c r="AI149" s="52">
        <f t="shared" si="292"/>
        <v>479.32258064516134</v>
      </c>
      <c r="AJ149" s="6">
        <f t="shared" ref="AJ149:AJ155" si="302">AI149/AK149</f>
        <v>0.36955332272184643</v>
      </c>
      <c r="AK149" s="21">
        <f t="shared" si="293"/>
        <v>1297.0322580645161</v>
      </c>
      <c r="AL149" s="69">
        <f t="shared" si="294"/>
        <v>17606.492262672811</v>
      </c>
      <c r="AM149" s="6">
        <f t="shared" si="295"/>
        <v>0.56338040748866924</v>
      </c>
      <c r="AN149" s="3">
        <f t="shared" si="296"/>
        <v>31251.516788018431</v>
      </c>
      <c r="AO149" s="6">
        <f t="shared" si="297"/>
        <v>0.29383573672376029</v>
      </c>
      <c r="AP149" s="6">
        <f t="shared" si="298"/>
        <v>0.5907809810546879</v>
      </c>
      <c r="AQ149" s="70">
        <f t="shared" si="299"/>
        <v>0.95127808894091148</v>
      </c>
    </row>
    <row r="150" spans="1:43" x14ac:dyDescent="0.2">
      <c r="A150" s="133">
        <v>41791</v>
      </c>
      <c r="B150" s="20">
        <f t="shared" si="235"/>
        <v>0.1555422726970844</v>
      </c>
      <c r="C150" s="41">
        <v>334.57142857142856</v>
      </c>
      <c r="D150" s="161">
        <v>2151</v>
      </c>
      <c r="E150" s="32">
        <f t="shared" si="236"/>
        <v>0.58831865573438613</v>
      </c>
      <c r="F150" s="161">
        <v>830.28571428571433</v>
      </c>
      <c r="G150" s="161">
        <v>1411.2857142857142</v>
      </c>
      <c r="H150" s="32">
        <f t="shared" si="237"/>
        <v>0.82405533063427805</v>
      </c>
      <c r="I150" s="161">
        <v>697.85714285714289</v>
      </c>
      <c r="J150" s="161">
        <v>846.85714285714289</v>
      </c>
      <c r="K150" s="52">
        <f t="shared" si="288"/>
        <v>1862.7142857142858</v>
      </c>
      <c r="L150" s="6">
        <f t="shared" si="300"/>
        <v>0.42246630378434424</v>
      </c>
      <c r="M150" s="21">
        <f t="shared" si="289"/>
        <v>4409.1428571428569</v>
      </c>
      <c r="N150" s="20">
        <f t="shared" si="241"/>
        <v>0.34194279877158323</v>
      </c>
      <c r="O150" s="3">
        <v>3419.4593666666669</v>
      </c>
      <c r="P150" s="130">
        <v>10000.091766666668</v>
      </c>
      <c r="Q150" s="32">
        <f t="shared" si="242"/>
        <v>0.61375985788376797</v>
      </c>
      <c r="R150" s="3">
        <v>3366.0659999999998</v>
      </c>
      <c r="S150" s="3">
        <v>5484.3371666666662</v>
      </c>
      <c r="T150" s="32">
        <f t="shared" si="243"/>
        <v>0.96993931254469001</v>
      </c>
      <c r="U150" s="3">
        <v>8776.9896333333345</v>
      </c>
      <c r="V150" s="3">
        <v>9049.0090666666674</v>
      </c>
      <c r="W150" s="52">
        <f t="shared" si="290"/>
        <v>15562.514999999999</v>
      </c>
      <c r="X150" s="6">
        <f t="shared" si="301"/>
        <v>0.63433893773877104</v>
      </c>
      <c r="Y150" s="19">
        <f t="shared" si="291"/>
        <v>24533.438000000002</v>
      </c>
      <c r="Z150" s="20">
        <f t="shared" si="247"/>
        <v>1.310148836761235E-2</v>
      </c>
      <c r="AA150" s="3">
        <v>9.0666666666666664</v>
      </c>
      <c r="AB150" s="3">
        <v>692.0333333333333</v>
      </c>
      <c r="AC150" s="32">
        <f t="shared" si="248"/>
        <v>0.47901028634973586</v>
      </c>
      <c r="AD150" s="3">
        <v>114.86666666666666</v>
      </c>
      <c r="AE150" s="3">
        <v>239.8</v>
      </c>
      <c r="AF150" s="32">
        <f t="shared" si="249"/>
        <v>0.9583895030106947</v>
      </c>
      <c r="AG150" s="3">
        <v>355.46666666666664</v>
      </c>
      <c r="AH150" s="3">
        <v>370.9</v>
      </c>
      <c r="AI150" s="52">
        <f t="shared" si="292"/>
        <v>479.4</v>
      </c>
      <c r="AJ150" s="6">
        <f t="shared" si="302"/>
        <v>0.36799549664807324</v>
      </c>
      <c r="AK150" s="21">
        <f t="shared" si="293"/>
        <v>1302.7333333333333</v>
      </c>
      <c r="AL150" s="69">
        <f t="shared" si="294"/>
        <v>17904.629285714283</v>
      </c>
      <c r="AM150" s="6">
        <f t="shared" si="295"/>
        <v>0.59198027082661908</v>
      </c>
      <c r="AN150" s="3">
        <f t="shared" si="296"/>
        <v>30245.314190476194</v>
      </c>
      <c r="AO150" s="6">
        <f t="shared" si="297"/>
        <v>0.29300481250507804</v>
      </c>
      <c r="AP150" s="6">
        <f t="shared" si="298"/>
        <v>0.60419942207783395</v>
      </c>
      <c r="AQ150" s="70">
        <f t="shared" si="299"/>
        <v>0.95748877906055785</v>
      </c>
    </row>
    <row r="151" spans="1:43" x14ac:dyDescent="0.2">
      <c r="A151" s="133">
        <v>41760</v>
      </c>
      <c r="B151" s="20">
        <f t="shared" si="235"/>
        <v>0.15212909646690836</v>
      </c>
      <c r="C151" s="41">
        <v>305.71428571428572</v>
      </c>
      <c r="D151" s="161">
        <v>2009.5714285714287</v>
      </c>
      <c r="E151" s="32">
        <f t="shared" si="236"/>
        <v>0.59061214614081781</v>
      </c>
      <c r="F151" s="161">
        <v>697.42857142857144</v>
      </c>
      <c r="G151" s="161">
        <v>1180.8571428571429</v>
      </c>
      <c r="H151" s="32">
        <f t="shared" si="237"/>
        <v>0.93069306930693074</v>
      </c>
      <c r="I151" s="161">
        <v>684.85714285714289</v>
      </c>
      <c r="J151" s="161">
        <v>735.85714285714289</v>
      </c>
      <c r="K151" s="52">
        <f t="shared" si="288"/>
        <v>1688</v>
      </c>
      <c r="L151" s="6">
        <f t="shared" si="300"/>
        <v>0.42992286421190506</v>
      </c>
      <c r="M151" s="21">
        <f t="shared" si="289"/>
        <v>3926.2857142857147</v>
      </c>
      <c r="N151" s="20">
        <f t="shared" si="241"/>
        <v>0.33918387781841763</v>
      </c>
      <c r="O151" s="3">
        <v>3363.1422903225803</v>
      </c>
      <c r="P151" s="130">
        <v>9915.3954838709669</v>
      </c>
      <c r="Q151" s="32">
        <f t="shared" si="242"/>
        <v>0.62250506028961183</v>
      </c>
      <c r="R151" s="3">
        <v>3088.9738064516127</v>
      </c>
      <c r="S151" s="3">
        <v>4962.166580645161</v>
      </c>
      <c r="T151" s="32">
        <f t="shared" si="243"/>
        <v>0.97024399317570398</v>
      </c>
      <c r="U151" s="3">
        <v>7601.8472580645166</v>
      </c>
      <c r="V151" s="3">
        <v>7834.9851290322586</v>
      </c>
      <c r="W151" s="52">
        <f t="shared" si="290"/>
        <v>14053.96335483871</v>
      </c>
      <c r="X151" s="6">
        <f t="shared" si="301"/>
        <v>0.6187753066653312</v>
      </c>
      <c r="Y151" s="19">
        <f t="shared" si="291"/>
        <v>22712.547193548387</v>
      </c>
      <c r="Z151" s="20">
        <f t="shared" si="247"/>
        <v>1.1858063934352315E-2</v>
      </c>
      <c r="AA151" s="3">
        <v>8.4838709677419359</v>
      </c>
      <c r="AB151" s="3">
        <v>715.45161290322585</v>
      </c>
      <c r="AC151" s="32">
        <f t="shared" si="248"/>
        <v>0.47043847241867048</v>
      </c>
      <c r="AD151" s="3">
        <v>107.29032258064517</v>
      </c>
      <c r="AE151" s="3">
        <v>228.06451612903226</v>
      </c>
      <c r="AF151" s="32">
        <f t="shared" si="249"/>
        <v>0.95633433283358327</v>
      </c>
      <c r="AG151" s="3">
        <v>329.22580645161293</v>
      </c>
      <c r="AH151" s="3">
        <v>344.25806451612902</v>
      </c>
      <c r="AI151" s="52">
        <f t="shared" si="292"/>
        <v>445.00000000000006</v>
      </c>
      <c r="AJ151" s="6">
        <f t="shared" si="302"/>
        <v>0.34555747601512993</v>
      </c>
      <c r="AK151" s="21">
        <f t="shared" si="293"/>
        <v>1287.7741935483871</v>
      </c>
      <c r="AL151" s="69">
        <f t="shared" si="294"/>
        <v>16186.96335483871</v>
      </c>
      <c r="AM151" s="6">
        <f t="shared" si="295"/>
        <v>0.5796251329807045</v>
      </c>
      <c r="AN151" s="3">
        <f t="shared" si="296"/>
        <v>27926.607101382488</v>
      </c>
      <c r="AO151" s="6">
        <f t="shared" si="297"/>
        <v>0.29091920015394113</v>
      </c>
      <c r="AP151" s="6">
        <f t="shared" si="298"/>
        <v>0.61115033319427681</v>
      </c>
      <c r="AQ151" s="70">
        <f t="shared" si="299"/>
        <v>0.96644231497759225</v>
      </c>
    </row>
    <row r="152" spans="1:43" x14ac:dyDescent="0.2">
      <c r="A152" s="133">
        <v>41730</v>
      </c>
      <c r="B152" s="20">
        <f t="shared" si="235"/>
        <v>0.14846775837466875</v>
      </c>
      <c r="C152" s="41">
        <v>312.14285714285717</v>
      </c>
      <c r="D152" s="161">
        <v>2102.4285714285716</v>
      </c>
      <c r="E152" s="32">
        <f t="shared" si="236"/>
        <v>0.56039649608114339</v>
      </c>
      <c r="F152" s="161">
        <v>694.57142857142856</v>
      </c>
      <c r="G152" s="161">
        <v>1239.4285714285713</v>
      </c>
      <c r="H152" s="32">
        <f t="shared" si="237"/>
        <v>0.94909420289855073</v>
      </c>
      <c r="I152" s="161">
        <v>748.42857142857144</v>
      </c>
      <c r="J152" s="161">
        <v>788.57142857142856</v>
      </c>
      <c r="K152" s="52">
        <f t="shared" si="288"/>
        <v>1755.1428571428573</v>
      </c>
      <c r="L152" s="6">
        <f t="shared" si="300"/>
        <v>0.42492996230069524</v>
      </c>
      <c r="M152" s="21">
        <f t="shared" si="289"/>
        <v>4130.4285714285716</v>
      </c>
      <c r="N152" s="20">
        <f t="shared" si="241"/>
        <v>0.33268419380272979</v>
      </c>
      <c r="O152" s="3">
        <v>3839.4755999999998</v>
      </c>
      <c r="P152" s="130">
        <v>11540.901766666666</v>
      </c>
      <c r="Q152" s="32">
        <f t="shared" si="242"/>
        <v>0.62338179812616201</v>
      </c>
      <c r="R152" s="3">
        <v>3298.3717333333334</v>
      </c>
      <c r="S152" s="3">
        <v>5291.0940666666665</v>
      </c>
      <c r="T152" s="32">
        <f t="shared" si="243"/>
        <v>0.97090501189373812</v>
      </c>
      <c r="U152" s="3">
        <v>8511.3471333333327</v>
      </c>
      <c r="V152" s="3">
        <v>8766.4056</v>
      </c>
      <c r="W152" s="52">
        <f t="shared" si="290"/>
        <v>15649.194466666666</v>
      </c>
      <c r="X152" s="6">
        <f t="shared" si="301"/>
        <v>0.61133483305284986</v>
      </c>
      <c r="Y152" s="19">
        <f t="shared" si="291"/>
        <v>25598.401433333333</v>
      </c>
      <c r="Z152" s="20">
        <f t="shared" si="247"/>
        <v>9.8691088529251868E-3</v>
      </c>
      <c r="AA152" s="3">
        <v>7.8666666666666663</v>
      </c>
      <c r="AB152" s="3">
        <v>797.1</v>
      </c>
      <c r="AC152" s="32">
        <f t="shared" si="248"/>
        <v>0.33858531679517262</v>
      </c>
      <c r="AD152" s="3">
        <v>67.333333333333329</v>
      </c>
      <c r="AE152" s="3">
        <v>198.86666666666667</v>
      </c>
      <c r="AF152" s="32">
        <f t="shared" si="249"/>
        <v>0.955710102489019</v>
      </c>
      <c r="AG152" s="3">
        <v>348.13333333333333</v>
      </c>
      <c r="AH152" s="3">
        <v>364.26666666666665</v>
      </c>
      <c r="AI152" s="52">
        <f t="shared" si="292"/>
        <v>423.33333333333331</v>
      </c>
      <c r="AJ152" s="6">
        <f t="shared" si="302"/>
        <v>0.3112211140245546</v>
      </c>
      <c r="AK152" s="21">
        <f t="shared" si="293"/>
        <v>1360.2333333333333</v>
      </c>
      <c r="AL152" s="69">
        <f t="shared" si="294"/>
        <v>17827.670657142859</v>
      </c>
      <c r="AM152" s="6">
        <f t="shared" si="295"/>
        <v>0.57343865472130762</v>
      </c>
      <c r="AN152" s="3">
        <f t="shared" si="296"/>
        <v>31089.063338095239</v>
      </c>
      <c r="AO152" s="6">
        <f t="shared" si="297"/>
        <v>0.28804440216967797</v>
      </c>
      <c r="AP152" s="6">
        <f t="shared" si="298"/>
        <v>0.60336477967843671</v>
      </c>
      <c r="AQ152" s="70">
        <f t="shared" si="299"/>
        <v>0.96861306499684841</v>
      </c>
    </row>
    <row r="153" spans="1:43" x14ac:dyDescent="0.2">
      <c r="A153" s="133">
        <v>41699</v>
      </c>
      <c r="B153" s="20">
        <f t="shared" si="235"/>
        <v>0.14414252294403457</v>
      </c>
      <c r="C153" s="41">
        <v>343.28571428571428</v>
      </c>
      <c r="D153" s="161">
        <v>2381.5714285714284</v>
      </c>
      <c r="E153" s="32">
        <f t="shared" si="236"/>
        <v>0.56137675634462481</v>
      </c>
      <c r="F153" s="161">
        <v>736.28571428571433</v>
      </c>
      <c r="G153" s="161">
        <v>1311.5714285714287</v>
      </c>
      <c r="H153" s="32">
        <f t="shared" si="237"/>
        <v>0.96552937038339781</v>
      </c>
      <c r="I153" s="161">
        <v>784.28571428571433</v>
      </c>
      <c r="J153" s="161">
        <v>812.28571428571433</v>
      </c>
      <c r="K153" s="52">
        <f t="shared" ref="K153:K158" si="303">SUM(C153+F153+I153)</f>
        <v>1863.8571428571431</v>
      </c>
      <c r="L153" s="6">
        <f t="shared" si="300"/>
        <v>0.41369141987443725</v>
      </c>
      <c r="M153" s="21">
        <f t="shared" ref="M153:M158" si="304">SUM(J153+G153+D153)</f>
        <v>4505.4285714285716</v>
      </c>
      <c r="N153" s="20">
        <f t="shared" si="241"/>
        <v>0.32832994673755173</v>
      </c>
      <c r="O153" s="3">
        <v>3948.9393225806452</v>
      </c>
      <c r="P153" s="130">
        <v>12027.35041935484</v>
      </c>
      <c r="Q153" s="32">
        <f t="shared" si="242"/>
        <v>0.61993797805692419</v>
      </c>
      <c r="R153" s="3">
        <v>3161.4227741935483</v>
      </c>
      <c r="S153" s="3">
        <v>5099.5791290322577</v>
      </c>
      <c r="T153" s="32">
        <f t="shared" si="243"/>
        <v>0.96837141155557038</v>
      </c>
      <c r="U153" s="3">
        <v>7097.3247741935484</v>
      </c>
      <c r="V153" s="3">
        <v>7329.1349677419357</v>
      </c>
      <c r="W153" s="52">
        <f t="shared" ref="W153:W158" si="305">+U153+O153+R153</f>
        <v>14207.686870967742</v>
      </c>
      <c r="X153" s="6">
        <f t="shared" si="301"/>
        <v>0.58094739084441083</v>
      </c>
      <c r="Y153" s="19">
        <f t="shared" ref="Y153:Y158" si="306">+V153+S153+P153</f>
        <v>24456.064516129034</v>
      </c>
      <c r="Z153" s="20">
        <f t="shared" si="247"/>
        <v>9.2426952892069175E-3</v>
      </c>
      <c r="AA153" s="3">
        <v>8</v>
      </c>
      <c r="AB153" s="3">
        <v>865.54838709677415</v>
      </c>
      <c r="AC153" s="32">
        <f t="shared" si="248"/>
        <v>0.45777233782129745</v>
      </c>
      <c r="AD153" s="3">
        <v>108.58064516129032</v>
      </c>
      <c r="AE153" s="3">
        <v>237.19354838709677</v>
      </c>
      <c r="AF153" s="32">
        <f t="shared" si="249"/>
        <v>0.95356223175965671</v>
      </c>
      <c r="AG153" s="3">
        <v>358.35483870967744</v>
      </c>
      <c r="AH153" s="3">
        <v>375.80645161290323</v>
      </c>
      <c r="AI153" s="52">
        <f t="shared" ref="AI153:AI158" si="307">AG153+AD153+AA153</f>
        <v>474.93548387096774</v>
      </c>
      <c r="AJ153" s="6">
        <f t="shared" si="302"/>
        <v>0.32121741027598999</v>
      </c>
      <c r="AK153" s="21">
        <f t="shared" ref="AK153:AK158" si="308">+AH153+AE153+AB153</f>
        <v>1478.5483870967741</v>
      </c>
      <c r="AL153" s="69">
        <f t="shared" ref="AL153:AL158" si="309">+AI153+W153+K153</f>
        <v>16546.479497695851</v>
      </c>
      <c r="AM153" s="6">
        <f t="shared" si="295"/>
        <v>0.54357611540947226</v>
      </c>
      <c r="AN153" s="3">
        <f t="shared" ref="AN153:AN158" si="310">+AK153+Y153+M153</f>
        <v>30440.041474654379</v>
      </c>
      <c r="AO153" s="6">
        <f t="shared" ref="AO153:AO158" si="311">(+AA153+O153+C153)/(D153+P153+AB153)</f>
        <v>0.28153022466247735</v>
      </c>
      <c r="AP153" s="6">
        <f t="shared" ref="AP153:AP158" si="312">(+AD153+R153+F153)/(G153+S153+AE153)</f>
        <v>0.60259954505521307</v>
      </c>
      <c r="AQ153" s="70">
        <f t="shared" ref="AQ153:AQ158" si="313">(AG153+U153+I153)/(AH153+V153+J153)</f>
        <v>0.96744693993700004</v>
      </c>
    </row>
    <row r="154" spans="1:43" x14ac:dyDescent="0.2">
      <c r="A154" s="133">
        <v>41671</v>
      </c>
      <c r="B154" s="20">
        <f t="shared" si="235"/>
        <v>0.14351581650519435</v>
      </c>
      <c r="C154" s="41">
        <v>351.28571428571428</v>
      </c>
      <c r="D154" s="161">
        <v>2447.7142857142858</v>
      </c>
      <c r="E154" s="32">
        <f t="shared" si="236"/>
        <v>0.57680355160932295</v>
      </c>
      <c r="F154" s="161">
        <v>742.42857142857144</v>
      </c>
      <c r="G154" s="161">
        <v>1287.1428571428571</v>
      </c>
      <c r="H154" s="32">
        <f t="shared" si="237"/>
        <v>0.79399727148703958</v>
      </c>
      <c r="I154" s="161">
        <v>665.14285714285711</v>
      </c>
      <c r="J154" s="161">
        <v>837.71428571428567</v>
      </c>
      <c r="K154" s="52">
        <f t="shared" si="303"/>
        <v>1758.8571428571429</v>
      </c>
      <c r="L154" s="6">
        <f t="shared" si="300"/>
        <v>0.38465383654086482</v>
      </c>
      <c r="M154" s="21">
        <f t="shared" si="304"/>
        <v>4572.5714285714284</v>
      </c>
      <c r="N154" s="20">
        <f t="shared" si="241"/>
        <v>0.33088110187086039</v>
      </c>
      <c r="O154" s="3">
        <v>4833.8154285714281</v>
      </c>
      <c r="P154" s="130">
        <v>14608.919642857143</v>
      </c>
      <c r="Q154" s="32">
        <f t="shared" si="242"/>
        <v>0.61184594658144409</v>
      </c>
      <c r="R154" s="3">
        <v>3737.2838571428574</v>
      </c>
      <c r="S154" s="3">
        <v>6108.2105357142864</v>
      </c>
      <c r="T154" s="32">
        <f t="shared" si="243"/>
        <v>0.96942436414470234</v>
      </c>
      <c r="U154" s="3">
        <v>7573.0454285714286</v>
      </c>
      <c r="V154" s="3">
        <v>7811.8992142857142</v>
      </c>
      <c r="W154" s="52">
        <f t="shared" si="305"/>
        <v>16144.144714285714</v>
      </c>
      <c r="X154" s="6">
        <f t="shared" si="301"/>
        <v>0.56588482180637212</v>
      </c>
      <c r="Y154" s="19">
        <f t="shared" si="306"/>
        <v>28529.029392857141</v>
      </c>
      <c r="Z154" s="20">
        <f t="shared" si="247"/>
        <v>1.0163880152292666E-2</v>
      </c>
      <c r="AA154" s="3">
        <v>10.964285714285714</v>
      </c>
      <c r="AB154" s="3">
        <v>1078.75</v>
      </c>
      <c r="AC154" s="32">
        <f t="shared" si="248"/>
        <v>0.53408353170309453</v>
      </c>
      <c r="AD154" s="3">
        <v>176.28571428571428</v>
      </c>
      <c r="AE154" s="3">
        <v>330.07142857142856</v>
      </c>
      <c r="AF154" s="32">
        <f t="shared" si="249"/>
        <v>0.94695891450801783</v>
      </c>
      <c r="AG154" s="3">
        <v>356.42857142857144</v>
      </c>
      <c r="AH154" s="3">
        <v>376.39285714285717</v>
      </c>
      <c r="AI154" s="52">
        <f t="shared" si="307"/>
        <v>543.67857142857144</v>
      </c>
      <c r="AJ154" s="6">
        <f t="shared" si="302"/>
        <v>0.3045452726763494</v>
      </c>
      <c r="AK154" s="21">
        <f t="shared" si="308"/>
        <v>1785.2142857142858</v>
      </c>
      <c r="AL154" s="69">
        <f t="shared" si="309"/>
        <v>18446.680428571428</v>
      </c>
      <c r="AM154" s="6">
        <f t="shared" ref="AM154:AM160" si="314">AL154/AN154</f>
        <v>0.52875793826174133</v>
      </c>
      <c r="AN154" s="3">
        <f t="shared" si="310"/>
        <v>34886.815107142858</v>
      </c>
      <c r="AO154" s="6">
        <f t="shared" si="311"/>
        <v>0.28651532545640107</v>
      </c>
      <c r="AP154" s="6">
        <f t="shared" si="312"/>
        <v>0.60268506269615918</v>
      </c>
      <c r="AQ154" s="70">
        <f t="shared" si="313"/>
        <v>0.95220593882491411</v>
      </c>
    </row>
    <row r="155" spans="1:43" x14ac:dyDescent="0.2">
      <c r="A155" s="133">
        <v>41640</v>
      </c>
      <c r="B155" s="20">
        <f t="shared" si="235"/>
        <v>0.14622057001239158</v>
      </c>
      <c r="C155" s="41">
        <v>387.71428571428572</v>
      </c>
      <c r="D155" s="161">
        <v>2651.5714285714284</v>
      </c>
      <c r="E155" s="32">
        <f t="shared" si="236"/>
        <v>0.57451898075923036</v>
      </c>
      <c r="F155" s="161">
        <v>789.14285714285711</v>
      </c>
      <c r="G155" s="161">
        <v>1373.5714285714287</v>
      </c>
      <c r="H155" s="32">
        <f t="shared" si="237"/>
        <v>0.80376681614349765</v>
      </c>
      <c r="I155" s="161">
        <v>640.14285714285711</v>
      </c>
      <c r="J155" s="161">
        <v>796.42857142857144</v>
      </c>
      <c r="K155" s="52">
        <f t="shared" si="303"/>
        <v>1817</v>
      </c>
      <c r="L155" s="6">
        <f t="shared" si="300"/>
        <v>0.3768480933898255</v>
      </c>
      <c r="M155" s="21">
        <f t="shared" si="304"/>
        <v>4821.5714285714284</v>
      </c>
      <c r="N155" s="20">
        <f t="shared" si="241"/>
        <v>0.34760259394712051</v>
      </c>
      <c r="O155" s="3">
        <v>5069.1964516129028</v>
      </c>
      <c r="P155" s="130">
        <v>14583.310193548386</v>
      </c>
      <c r="Q155" s="32">
        <f t="shared" si="242"/>
        <v>0.62183288161041883</v>
      </c>
      <c r="R155" s="3">
        <v>3594.1994516129034</v>
      </c>
      <c r="S155" s="3">
        <v>5780.0086774193551</v>
      </c>
      <c r="T155" s="32">
        <f t="shared" si="243"/>
        <v>0.97024501332106827</v>
      </c>
      <c r="U155" s="3">
        <v>7487.5236129032255</v>
      </c>
      <c r="V155" s="3">
        <v>7717.1472258064514</v>
      </c>
      <c r="W155" s="52">
        <f t="shared" si="305"/>
        <v>16150.919516129032</v>
      </c>
      <c r="X155" s="6">
        <f t="shared" si="301"/>
        <v>0.57516564933316416</v>
      </c>
      <c r="Y155" s="19">
        <f t="shared" si="306"/>
        <v>28080.466096774195</v>
      </c>
      <c r="Z155" s="20">
        <f t="shared" si="247"/>
        <v>8.3776677062312715E-3</v>
      </c>
      <c r="AA155" s="3">
        <v>8.8387096774193541</v>
      </c>
      <c r="AB155" s="3">
        <v>1055.0322580645161</v>
      </c>
      <c r="AC155" s="32">
        <f t="shared" si="248"/>
        <v>0.44954245043213015</v>
      </c>
      <c r="AD155" s="3">
        <v>114.09677419354838</v>
      </c>
      <c r="AE155" s="3">
        <v>253.80645161290323</v>
      </c>
      <c r="AF155" s="32">
        <f t="shared" si="249"/>
        <v>0.94931119745672898</v>
      </c>
      <c r="AG155" s="3">
        <v>346.77419354838707</v>
      </c>
      <c r="AH155" s="3">
        <v>365.29032258064518</v>
      </c>
      <c r="AI155" s="52">
        <f t="shared" si="307"/>
        <v>469.70967741935482</v>
      </c>
      <c r="AJ155" s="6">
        <f t="shared" si="302"/>
        <v>0.28056957878916339</v>
      </c>
      <c r="AK155" s="21">
        <f t="shared" si="308"/>
        <v>1674.1290322580644</v>
      </c>
      <c r="AL155" s="69">
        <f t="shared" si="309"/>
        <v>18437.629193548386</v>
      </c>
      <c r="AM155" s="6">
        <f t="shared" si="314"/>
        <v>0.53324677166947942</v>
      </c>
      <c r="AN155" s="3">
        <f t="shared" si="310"/>
        <v>34576.16655760369</v>
      </c>
      <c r="AO155" s="6">
        <f t="shared" si="311"/>
        <v>0.29883953980375566</v>
      </c>
      <c r="AP155" s="6">
        <f t="shared" si="312"/>
        <v>0.60715598517437763</v>
      </c>
      <c r="AQ155" s="70">
        <f t="shared" si="313"/>
        <v>0.9544507766235365</v>
      </c>
    </row>
    <row r="156" spans="1:43" x14ac:dyDescent="0.2">
      <c r="A156" s="133">
        <v>41609</v>
      </c>
      <c r="B156" s="20">
        <f t="shared" si="235"/>
        <v>0.16790983829694561</v>
      </c>
      <c r="C156" s="41">
        <v>440.57142857142856</v>
      </c>
      <c r="D156" s="161">
        <v>2623.8571428571427</v>
      </c>
      <c r="E156" s="32">
        <f t="shared" si="236"/>
        <v>0.58499670980478169</v>
      </c>
      <c r="F156" s="161">
        <v>762</v>
      </c>
      <c r="G156" s="161">
        <v>1302.5714285714287</v>
      </c>
      <c r="H156" s="32">
        <f t="shared" si="237"/>
        <v>0.76992578251048716</v>
      </c>
      <c r="I156" s="161">
        <v>681.71428571428567</v>
      </c>
      <c r="J156" s="161">
        <v>885.42857142857144</v>
      </c>
      <c r="K156" s="52">
        <f t="shared" si="303"/>
        <v>1884.2857142857142</v>
      </c>
      <c r="L156" s="6">
        <f t="shared" ref="L156:L161" si="315">K156/M156</f>
        <v>0.39159219784461002</v>
      </c>
      <c r="M156" s="21">
        <f t="shared" si="304"/>
        <v>4811.8571428571431</v>
      </c>
      <c r="N156" s="20">
        <f t="shared" si="241"/>
        <v>0.28014226842901901</v>
      </c>
      <c r="O156" s="3">
        <v>3565.4545483870966</v>
      </c>
      <c r="P156" s="130">
        <v>12727.299483870969</v>
      </c>
      <c r="Q156" s="32">
        <f t="shared" si="242"/>
        <v>0.62441807776589131</v>
      </c>
      <c r="R156" s="3">
        <v>3368.5898387096777</v>
      </c>
      <c r="S156" s="3">
        <v>5394.7666774193549</v>
      </c>
      <c r="T156" s="32">
        <f t="shared" si="243"/>
        <v>0.9704541821559477</v>
      </c>
      <c r="U156" s="3">
        <v>7579.909419354839</v>
      </c>
      <c r="V156" s="3">
        <v>7810.6824193548391</v>
      </c>
      <c r="W156" s="52">
        <f t="shared" si="305"/>
        <v>14513.953806451613</v>
      </c>
      <c r="X156" s="6">
        <f t="shared" ref="X156:X161" si="316">W156/Y156</f>
        <v>0.55967664828571473</v>
      </c>
      <c r="Y156" s="19">
        <f t="shared" si="306"/>
        <v>25932.748580645166</v>
      </c>
      <c r="Z156" s="20">
        <f t="shared" si="247"/>
        <v>7.6989847907310265E-3</v>
      </c>
      <c r="AA156" s="3">
        <v>6.580645161290323</v>
      </c>
      <c r="AB156" s="3">
        <v>854.74193548387098</v>
      </c>
      <c r="AC156" s="32">
        <f t="shared" si="248"/>
        <v>0.44496244496244497</v>
      </c>
      <c r="AD156" s="3">
        <v>110.83870967741936</v>
      </c>
      <c r="AE156" s="3">
        <v>249.09677419354838</v>
      </c>
      <c r="AF156" s="32">
        <f t="shared" si="249"/>
        <v>0.95235512159840885</v>
      </c>
      <c r="AG156" s="3">
        <v>339.80645161290323</v>
      </c>
      <c r="AH156" s="3">
        <v>356.80645161290323</v>
      </c>
      <c r="AI156" s="52">
        <f t="shared" si="307"/>
        <v>457.22580645161287</v>
      </c>
      <c r="AJ156" s="6">
        <f t="shared" ref="AJ156:AJ162" si="317">AI156/AK156</f>
        <v>0.31303003533568907</v>
      </c>
      <c r="AK156" s="21">
        <f t="shared" si="308"/>
        <v>1460.6451612903224</v>
      </c>
      <c r="AL156" s="69">
        <f t="shared" si="309"/>
        <v>16855.46532718894</v>
      </c>
      <c r="AM156" s="6">
        <f t="shared" si="314"/>
        <v>0.52337630864872775</v>
      </c>
      <c r="AN156" s="3">
        <f t="shared" si="310"/>
        <v>32205.250884792629</v>
      </c>
      <c r="AO156" s="6">
        <f t="shared" si="311"/>
        <v>0.24760161287669596</v>
      </c>
      <c r="AP156" s="6">
        <f t="shared" si="312"/>
        <v>0.61059070178378261</v>
      </c>
      <c r="AQ156" s="70">
        <f t="shared" si="313"/>
        <v>0.95012797934068238</v>
      </c>
    </row>
    <row r="157" spans="1:43" x14ac:dyDescent="0.2">
      <c r="A157" s="133">
        <v>41579</v>
      </c>
      <c r="B157" s="20">
        <f t="shared" si="235"/>
        <v>0.18031094376290541</v>
      </c>
      <c r="C157" s="41">
        <v>424.14285714285717</v>
      </c>
      <c r="D157" s="161">
        <v>2352.2857142857142</v>
      </c>
      <c r="E157" s="32">
        <f t="shared" si="236"/>
        <v>0.61587236653712418</v>
      </c>
      <c r="F157" s="161">
        <v>860.28571428571433</v>
      </c>
      <c r="G157" s="161">
        <v>1396.8571428571429</v>
      </c>
      <c r="H157" s="32">
        <f t="shared" si="237"/>
        <v>0.97126220886551462</v>
      </c>
      <c r="I157" s="161">
        <v>738.71428571428567</v>
      </c>
      <c r="J157" s="161">
        <v>760.57142857142856</v>
      </c>
      <c r="K157" s="52">
        <f t="shared" si="303"/>
        <v>2023.1428571428573</v>
      </c>
      <c r="L157" s="6">
        <f t="shared" si="315"/>
        <v>0.44861885453623923</v>
      </c>
      <c r="M157" s="21">
        <f t="shared" si="304"/>
        <v>4509.7142857142862</v>
      </c>
      <c r="N157" s="20">
        <f t="shared" si="241"/>
        <v>0.37499302389993255</v>
      </c>
      <c r="O157" s="3">
        <v>3943.5250999999998</v>
      </c>
      <c r="P157" s="130">
        <v>10516.262566666668</v>
      </c>
      <c r="Q157" s="32">
        <f t="shared" si="242"/>
        <v>0.63222544274983483</v>
      </c>
      <c r="R157" s="3">
        <v>3268.6531666666665</v>
      </c>
      <c r="S157" s="3">
        <v>5170.0753333333332</v>
      </c>
      <c r="T157" s="32">
        <f t="shared" si="243"/>
        <v>0.97152878313774094</v>
      </c>
      <c r="U157" s="3">
        <v>7760.0300333333334</v>
      </c>
      <c r="V157" s="3">
        <v>7987.4422333333332</v>
      </c>
      <c r="W157" s="52">
        <f t="shared" si="305"/>
        <v>14972.2083</v>
      </c>
      <c r="X157" s="6">
        <f t="shared" si="316"/>
        <v>0.63243842832343955</v>
      </c>
      <c r="Y157" s="19">
        <f t="shared" si="306"/>
        <v>23673.780133333334</v>
      </c>
      <c r="Z157" s="20">
        <f t="shared" si="247"/>
        <v>7.7884147330845371E-3</v>
      </c>
      <c r="AA157" s="3">
        <v>6.4</v>
      </c>
      <c r="AB157" s="3">
        <v>821.73333333333335</v>
      </c>
      <c r="AC157" s="32">
        <f t="shared" si="248"/>
        <v>0.46357334842269066</v>
      </c>
      <c r="AD157" s="3">
        <v>109.23333333333333</v>
      </c>
      <c r="AE157" s="3">
        <v>235.63333333333333</v>
      </c>
      <c r="AF157" s="32">
        <f t="shared" si="249"/>
        <v>0.95538399839582921</v>
      </c>
      <c r="AG157" s="3">
        <v>317.63333333333333</v>
      </c>
      <c r="AH157" s="3">
        <v>332.46666666666664</v>
      </c>
      <c r="AI157" s="52">
        <f t="shared" si="307"/>
        <v>433.26666666666665</v>
      </c>
      <c r="AJ157" s="6">
        <f t="shared" si="317"/>
        <v>0.31174001678858376</v>
      </c>
      <c r="AK157" s="21">
        <f t="shared" si="308"/>
        <v>1389.8333333333333</v>
      </c>
      <c r="AL157" s="69">
        <f t="shared" si="309"/>
        <v>17428.617823809524</v>
      </c>
      <c r="AM157" s="6">
        <f t="shared" si="314"/>
        <v>0.58933570038990091</v>
      </c>
      <c r="AN157" s="3">
        <f t="shared" si="310"/>
        <v>29573.327752380952</v>
      </c>
      <c r="AO157" s="6">
        <f t="shared" si="311"/>
        <v>0.31950167866368412</v>
      </c>
      <c r="AP157" s="6">
        <f t="shared" si="312"/>
        <v>0.62302553668090033</v>
      </c>
      <c r="AQ157" s="70">
        <f t="shared" si="313"/>
        <v>0.97091534074915753</v>
      </c>
    </row>
    <row r="158" spans="1:43" x14ac:dyDescent="0.2">
      <c r="A158" s="133">
        <v>41548</v>
      </c>
      <c r="B158" s="20">
        <f t="shared" si="235"/>
        <v>0.17975840679072805</v>
      </c>
      <c r="C158" s="41">
        <v>393.28571428571428</v>
      </c>
      <c r="D158" s="161">
        <v>2187.8571428571427</v>
      </c>
      <c r="E158" s="32">
        <f t="shared" si="236"/>
        <v>0.60617545424144459</v>
      </c>
      <c r="F158" s="161">
        <v>776.85714285714289</v>
      </c>
      <c r="G158" s="161">
        <v>1281.5714285714287</v>
      </c>
      <c r="H158" s="32">
        <f t="shared" si="237"/>
        <v>0.94268246083301499</v>
      </c>
      <c r="I158" s="161">
        <v>352.42857142857144</v>
      </c>
      <c r="J158" s="161">
        <v>373.85714285714283</v>
      </c>
      <c r="K158" s="52">
        <f t="shared" si="303"/>
        <v>1522.5714285714284</v>
      </c>
      <c r="L158" s="6">
        <f t="shared" si="315"/>
        <v>0.39616399658030699</v>
      </c>
      <c r="M158" s="21">
        <f t="shared" si="304"/>
        <v>3843.2857142857142</v>
      </c>
      <c r="N158" s="20">
        <f t="shared" si="241"/>
        <v>0.37805518590772691</v>
      </c>
      <c r="O158" s="3">
        <v>3469.4307096774191</v>
      </c>
      <c r="P158" s="130">
        <v>9177.0483225806456</v>
      </c>
      <c r="Q158" s="32">
        <f t="shared" si="242"/>
        <v>0.62742232523991059</v>
      </c>
      <c r="R158" s="3">
        <v>3176.0974838709676</v>
      </c>
      <c r="S158" s="3">
        <v>5062.1365483870968</v>
      </c>
      <c r="T158" s="32">
        <f t="shared" si="243"/>
        <v>0.97121000748914743</v>
      </c>
      <c r="U158" s="3">
        <v>7474.4286774193542</v>
      </c>
      <c r="V158" s="3">
        <v>7695.9963548387095</v>
      </c>
      <c r="W158" s="52">
        <f t="shared" si="305"/>
        <v>14119.956870967742</v>
      </c>
      <c r="X158" s="6">
        <f t="shared" si="316"/>
        <v>0.64371279751980337</v>
      </c>
      <c r="Y158" s="19">
        <f t="shared" si="306"/>
        <v>21935.181225806453</v>
      </c>
      <c r="Z158" s="20">
        <f t="shared" si="247"/>
        <v>8.7655222790357923E-3</v>
      </c>
      <c r="AA158" s="3">
        <v>6.193548387096774</v>
      </c>
      <c r="AB158" s="3">
        <v>706.58064516129036</v>
      </c>
      <c r="AC158" s="32">
        <f t="shared" si="248"/>
        <v>0.46850935093509349</v>
      </c>
      <c r="AD158" s="3">
        <v>109.90322580645162</v>
      </c>
      <c r="AE158" s="3">
        <v>234.58064516129033</v>
      </c>
      <c r="AF158" s="32">
        <f t="shared" si="249"/>
        <v>0.95184790334044067</v>
      </c>
      <c r="AG158" s="3">
        <v>345.61290322580646</v>
      </c>
      <c r="AH158" s="3">
        <v>363.09677419354841</v>
      </c>
      <c r="AI158" s="52">
        <f t="shared" si="307"/>
        <v>461.70967741935482</v>
      </c>
      <c r="AJ158" s="6">
        <f t="shared" si="317"/>
        <v>0.35400178076770866</v>
      </c>
      <c r="AK158" s="21">
        <f t="shared" si="308"/>
        <v>1304.2580645161293</v>
      </c>
      <c r="AL158" s="69">
        <f t="shared" si="309"/>
        <v>16104.237976958524</v>
      </c>
      <c r="AM158" s="6">
        <f t="shared" si="314"/>
        <v>0.59463137384507236</v>
      </c>
      <c r="AN158" s="3">
        <f t="shared" si="310"/>
        <v>27082.725004608295</v>
      </c>
      <c r="AO158" s="6">
        <f t="shared" si="311"/>
        <v>0.32049989014635294</v>
      </c>
      <c r="AP158" s="6">
        <f t="shared" si="312"/>
        <v>0.61761623515164787</v>
      </c>
      <c r="AQ158" s="70">
        <f t="shared" si="313"/>
        <v>0.96911162624971736</v>
      </c>
    </row>
    <row r="159" spans="1:43" x14ac:dyDescent="0.2">
      <c r="A159" s="133">
        <v>41518</v>
      </c>
      <c r="B159" s="20">
        <f t="shared" si="235"/>
        <v>0.1798678695744832</v>
      </c>
      <c r="C159" s="41">
        <v>361.71428571428572</v>
      </c>
      <c r="D159" s="161">
        <v>2011</v>
      </c>
      <c r="E159" s="32">
        <f t="shared" si="236"/>
        <v>0.59683572710951527</v>
      </c>
      <c r="F159" s="161">
        <v>759.85714285714289</v>
      </c>
      <c r="G159" s="161">
        <v>1273.1428571428571</v>
      </c>
      <c r="H159" s="32">
        <f t="shared" si="237"/>
        <v>0.91350555918901244</v>
      </c>
      <c r="I159" s="161">
        <v>798.14285714285711</v>
      </c>
      <c r="J159" s="161">
        <v>873.71428571428567</v>
      </c>
      <c r="K159" s="52">
        <f t="shared" ref="K159:K164" si="318">SUM(C159+F159+I159)</f>
        <v>1919.7142857142858</v>
      </c>
      <c r="L159" s="6">
        <f t="shared" si="315"/>
        <v>0.46170761037622399</v>
      </c>
      <c r="M159" s="21">
        <f t="shared" ref="M159:M164" si="319">SUM(J159+G159+D159)</f>
        <v>4157.8571428571431</v>
      </c>
      <c r="N159" s="20">
        <f t="shared" si="241"/>
        <v>0.37734191596967465</v>
      </c>
      <c r="O159" s="3">
        <v>4487.0335000000005</v>
      </c>
      <c r="P159" s="130">
        <v>11891.161066666667</v>
      </c>
      <c r="Q159" s="32">
        <f t="shared" si="242"/>
        <v>0.60958051908790045</v>
      </c>
      <c r="R159" s="3">
        <v>3896.2212</v>
      </c>
      <c r="S159" s="3">
        <v>6391.6432333333332</v>
      </c>
      <c r="T159" s="32">
        <f t="shared" si="243"/>
        <v>0.96110502604999382</v>
      </c>
      <c r="U159" s="3">
        <v>8509.7845333333335</v>
      </c>
      <c r="V159" s="3">
        <v>8854.1671333333343</v>
      </c>
      <c r="W159" s="52">
        <f t="shared" ref="W159:W164" si="320">+U159+O159+R159</f>
        <v>16893.039233333333</v>
      </c>
      <c r="X159" s="6">
        <f t="shared" si="316"/>
        <v>0.6225101159439993</v>
      </c>
      <c r="Y159" s="19">
        <f t="shared" ref="Y159:Y164" si="321">+V159+S159+P159</f>
        <v>27136.971433333336</v>
      </c>
      <c r="Z159" s="20">
        <f t="shared" si="247"/>
        <v>9.8114291184071972E-3</v>
      </c>
      <c r="AA159" s="3">
        <v>6.833333333333333</v>
      </c>
      <c r="AB159" s="3">
        <v>696.4666666666667</v>
      </c>
      <c r="AC159" s="32">
        <f t="shared" si="248"/>
        <v>0.46601682467619177</v>
      </c>
      <c r="AD159" s="3">
        <v>116.33333333333333</v>
      </c>
      <c r="AE159" s="3">
        <v>249.63333333333333</v>
      </c>
      <c r="AF159" s="32">
        <f t="shared" si="249"/>
        <v>0.94371685247321146</v>
      </c>
      <c r="AG159" s="3">
        <v>290.63333333333333</v>
      </c>
      <c r="AH159" s="3">
        <v>307.96666666666664</v>
      </c>
      <c r="AI159" s="52">
        <f t="shared" ref="AI159:AI164" si="322">AG159+AD159+AA159</f>
        <v>413.79999999999995</v>
      </c>
      <c r="AJ159" s="6">
        <f t="shared" si="317"/>
        <v>0.32996650895752483</v>
      </c>
      <c r="AK159" s="21">
        <f t="shared" ref="AK159:AK164" si="323">+AH159+AE159+AB159</f>
        <v>1254.0666666666666</v>
      </c>
      <c r="AL159" s="69">
        <f t="shared" ref="AL159:AL164" si="324">+AI159+W159+K159</f>
        <v>19226.553519047618</v>
      </c>
      <c r="AM159" s="6">
        <f t="shared" si="314"/>
        <v>0.59069757592669403</v>
      </c>
      <c r="AN159" s="3">
        <f t="shared" ref="AN159:AN164" si="325">+AK159+Y159+M159</f>
        <v>32548.895242857143</v>
      </c>
      <c r="AO159" s="6">
        <f t="shared" ref="AO159:AO164" si="326">(+AA159+O159+C159)/(D159+P159+AB159)</f>
        <v>0.33260531111158992</v>
      </c>
      <c r="AP159" s="6">
        <f t="shared" ref="AP159:AP164" si="327">(+AD159+R159+F159)/(G159+S159+AE159)</f>
        <v>0.60300211811283122</v>
      </c>
      <c r="AQ159" s="70">
        <f t="shared" ref="AQ159:AQ164" si="328">(AG159+U159+I159)/(AH159+V159+J159)</f>
        <v>0.95642746301359138</v>
      </c>
    </row>
    <row r="160" spans="1:43" x14ac:dyDescent="0.2">
      <c r="A160" s="133">
        <v>41487</v>
      </c>
      <c r="B160" s="20">
        <f t="shared" si="235"/>
        <v>0.17682581619173429</v>
      </c>
      <c r="C160" s="41">
        <v>401.57142857142856</v>
      </c>
      <c r="D160" s="161">
        <v>2271</v>
      </c>
      <c r="E160" s="32">
        <f t="shared" si="236"/>
        <v>0.60099250343152777</v>
      </c>
      <c r="F160" s="161">
        <v>813.14285714285711</v>
      </c>
      <c r="G160" s="161">
        <v>1353</v>
      </c>
      <c r="H160" s="32">
        <f t="shared" si="237"/>
        <v>0.96929112554112551</v>
      </c>
      <c r="I160" s="161">
        <v>1023.5714285714286</v>
      </c>
      <c r="J160" s="161">
        <v>1056</v>
      </c>
      <c r="K160" s="52">
        <f t="shared" si="318"/>
        <v>2238.2857142857142</v>
      </c>
      <c r="L160" s="6">
        <f t="shared" si="315"/>
        <v>0.47826617826617823</v>
      </c>
      <c r="M160" s="21">
        <f t="shared" si="319"/>
        <v>4680</v>
      </c>
      <c r="N160" s="20">
        <f t="shared" si="241"/>
        <v>0.37496136200690888</v>
      </c>
      <c r="O160" s="3">
        <v>4526.6279677419352</v>
      </c>
      <c r="P160" s="130">
        <v>12072.251774193548</v>
      </c>
      <c r="Q160" s="32">
        <f t="shared" si="242"/>
        <v>0.60385289586106172</v>
      </c>
      <c r="R160" s="3">
        <v>3708.9288064516131</v>
      </c>
      <c r="S160" s="3">
        <v>6142.1065161290326</v>
      </c>
      <c r="T160" s="32">
        <f t="shared" si="243"/>
        <v>0.96059541629810952</v>
      </c>
      <c r="U160" s="3">
        <v>8158.9494516129025</v>
      </c>
      <c r="V160" s="3">
        <v>8493.6377096774195</v>
      </c>
      <c r="W160" s="52">
        <f t="shared" si="320"/>
        <v>16394.50622580645</v>
      </c>
      <c r="X160" s="6">
        <f t="shared" si="316"/>
        <v>0.6138426194839347</v>
      </c>
      <c r="Y160" s="19">
        <f t="shared" si="321"/>
        <v>26707.995999999999</v>
      </c>
      <c r="Z160" s="20">
        <f t="shared" si="247"/>
        <v>8.7211929507455942E-3</v>
      </c>
      <c r="AA160" s="3">
        <v>6.225806451612903</v>
      </c>
      <c r="AB160" s="3">
        <v>713.87096774193549</v>
      </c>
      <c r="AC160" s="32">
        <f t="shared" si="248"/>
        <v>0.45159485170677111</v>
      </c>
      <c r="AD160" s="3">
        <v>104.12903225806451</v>
      </c>
      <c r="AE160" s="3">
        <v>230.58064516129033</v>
      </c>
      <c r="AF160" s="32">
        <f t="shared" si="249"/>
        <v>0.94655059440232137</v>
      </c>
      <c r="AG160" s="3">
        <v>326.19354838709677</v>
      </c>
      <c r="AH160" s="3">
        <v>344.61290322580646</v>
      </c>
      <c r="AI160" s="52">
        <f t="shared" si="322"/>
        <v>436.54838709677421</v>
      </c>
      <c r="AJ160" s="6">
        <f t="shared" si="317"/>
        <v>0.3386551888090889</v>
      </c>
      <c r="AK160" s="21">
        <f t="shared" si="323"/>
        <v>1289.0645161290322</v>
      </c>
      <c r="AL160" s="69">
        <f t="shared" si="324"/>
        <v>19069.340327188936</v>
      </c>
      <c r="AM160" s="6">
        <f t="shared" si="314"/>
        <v>0.58356963649703208</v>
      </c>
      <c r="AN160" s="3">
        <f t="shared" si="325"/>
        <v>32677.06051612903</v>
      </c>
      <c r="AO160" s="6">
        <f t="shared" si="326"/>
        <v>0.3277136865612541</v>
      </c>
      <c r="AP160" s="6">
        <f t="shared" si="327"/>
        <v>0.5988076658128465</v>
      </c>
      <c r="AQ160" s="70">
        <f t="shared" si="328"/>
        <v>0.96103432190922944</v>
      </c>
    </row>
    <row r="161" spans="1:43" x14ac:dyDescent="0.2">
      <c r="A161" s="133">
        <v>41456</v>
      </c>
      <c r="B161" s="20">
        <f t="shared" si="235"/>
        <v>0.17947600970813368</v>
      </c>
      <c r="C161" s="41">
        <v>412</v>
      </c>
      <c r="D161" s="161">
        <v>2295.5714285714284</v>
      </c>
      <c r="E161" s="32">
        <f t="shared" si="236"/>
        <v>0.60776125483805254</v>
      </c>
      <c r="F161" s="161">
        <v>852.42857142857144</v>
      </c>
      <c r="G161" s="161">
        <v>1402.5714285714287</v>
      </c>
      <c r="H161" s="32">
        <f t="shared" si="237"/>
        <v>0.93803708729081869</v>
      </c>
      <c r="I161" s="161">
        <v>888.85714285714289</v>
      </c>
      <c r="J161" s="161">
        <v>947.57142857142856</v>
      </c>
      <c r="K161" s="52">
        <f t="shared" si="318"/>
        <v>2153.2857142857147</v>
      </c>
      <c r="L161" s="6">
        <f t="shared" si="315"/>
        <v>0.46349938499384996</v>
      </c>
      <c r="M161" s="21">
        <f t="shared" si="319"/>
        <v>4645.7142857142862</v>
      </c>
      <c r="N161" s="20">
        <f t="shared" si="241"/>
        <v>0.38515562178612622</v>
      </c>
      <c r="O161" s="3">
        <v>4431.2742580645163</v>
      </c>
      <c r="P161" s="130">
        <v>11505.152741935484</v>
      </c>
      <c r="Q161" s="32">
        <f t="shared" si="242"/>
        <v>0.60812576789326245</v>
      </c>
      <c r="R161" s="3">
        <v>3496.1618064516128</v>
      </c>
      <c r="S161" s="3">
        <v>5749.0769032258067</v>
      </c>
      <c r="T161" s="32">
        <f t="shared" si="243"/>
        <v>0.96310895033680832</v>
      </c>
      <c r="U161" s="3">
        <v>7247.9897419354838</v>
      </c>
      <c r="V161" s="3">
        <v>7525.6176774193545</v>
      </c>
      <c r="W161" s="52">
        <f t="shared" si="320"/>
        <v>15175.425806451613</v>
      </c>
      <c r="X161" s="6">
        <f t="shared" si="316"/>
        <v>0.61240998013022463</v>
      </c>
      <c r="Y161" s="19">
        <f t="shared" si="321"/>
        <v>24779.847322580645</v>
      </c>
      <c r="Z161" s="20">
        <f t="shared" si="247"/>
        <v>8.8386151309763697E-3</v>
      </c>
      <c r="AA161" s="3">
        <v>6.225806451612903</v>
      </c>
      <c r="AB161" s="3">
        <v>704.38709677419354</v>
      </c>
      <c r="AC161" s="32">
        <f t="shared" si="248"/>
        <v>0.47474619289340103</v>
      </c>
      <c r="AD161" s="3">
        <v>120.6774193548387</v>
      </c>
      <c r="AE161" s="3">
        <v>254.19354838709677</v>
      </c>
      <c r="AF161" s="32">
        <f t="shared" si="249"/>
        <v>0.95527129120879117</v>
      </c>
      <c r="AG161" s="3">
        <v>358.93548387096774</v>
      </c>
      <c r="AH161" s="3">
        <v>375.74193548387098</v>
      </c>
      <c r="AI161" s="52">
        <f t="shared" si="322"/>
        <v>485.83870967741939</v>
      </c>
      <c r="AJ161" s="6">
        <f t="shared" si="317"/>
        <v>0.36410888695483995</v>
      </c>
      <c r="AK161" s="21">
        <f t="shared" si="323"/>
        <v>1334.3225806451615</v>
      </c>
      <c r="AL161" s="69">
        <f t="shared" si="324"/>
        <v>17814.550230414745</v>
      </c>
      <c r="AM161" s="6">
        <f t="shared" ref="AM161:AM167" si="329">AL161/AN161</f>
        <v>0.57914880696527704</v>
      </c>
      <c r="AN161" s="3">
        <f t="shared" si="325"/>
        <v>30759.884188940094</v>
      </c>
      <c r="AO161" s="6">
        <f t="shared" si="326"/>
        <v>0.33433042843697797</v>
      </c>
      <c r="AP161" s="6">
        <f t="shared" si="327"/>
        <v>0.60347869554079414</v>
      </c>
      <c r="AQ161" s="70">
        <f t="shared" si="328"/>
        <v>0.96009137474844553</v>
      </c>
    </row>
    <row r="162" spans="1:43" x14ac:dyDescent="0.2">
      <c r="A162" s="133">
        <v>41426</v>
      </c>
      <c r="B162" s="20">
        <f t="shared" si="235"/>
        <v>0.18367215230719589</v>
      </c>
      <c r="C162" s="41">
        <v>406.57142857142856</v>
      </c>
      <c r="D162" s="161">
        <v>2213.5714285714284</v>
      </c>
      <c r="E162" s="32">
        <f t="shared" si="236"/>
        <v>0.61978485975671049</v>
      </c>
      <c r="F162" s="161">
        <v>880.71428571428567</v>
      </c>
      <c r="G162" s="161">
        <v>1421</v>
      </c>
      <c r="H162" s="32">
        <f t="shared" si="237"/>
        <v>0.96752109536697972</v>
      </c>
      <c r="I162" s="161">
        <v>868.14285714285711</v>
      </c>
      <c r="J162" s="161">
        <v>897.28571428571433</v>
      </c>
      <c r="K162" s="52">
        <f t="shared" si="318"/>
        <v>2155.4285714285716</v>
      </c>
      <c r="L162" s="6">
        <f t="shared" ref="L162:L168" si="330">K162/M162</f>
        <v>0.47561706017715855</v>
      </c>
      <c r="M162" s="21">
        <f t="shared" si="319"/>
        <v>4531.8571428571431</v>
      </c>
      <c r="N162" s="20">
        <f t="shared" si="241"/>
        <v>0.40006194861423333</v>
      </c>
      <c r="O162" s="3">
        <v>4345.6073333333334</v>
      </c>
      <c r="P162" s="130">
        <v>10862.336066666667</v>
      </c>
      <c r="Q162" s="32">
        <f t="shared" si="242"/>
        <v>0.62489734626909255</v>
      </c>
      <c r="R162" s="3">
        <v>3598.8883000000001</v>
      </c>
      <c r="S162" s="3">
        <v>5759.1671999999999</v>
      </c>
      <c r="T162" s="32">
        <f t="shared" si="243"/>
        <v>0.97093385183052427</v>
      </c>
      <c r="U162" s="3">
        <v>7880.0515333333333</v>
      </c>
      <c r="V162" s="3">
        <v>8115.9509666666663</v>
      </c>
      <c r="W162" s="52">
        <f t="shared" si="320"/>
        <v>15824.547166666667</v>
      </c>
      <c r="X162" s="6">
        <f t="shared" ref="X162:X168" si="331">W162/Y162</f>
        <v>0.63969990676499511</v>
      </c>
      <c r="Y162" s="19">
        <f t="shared" si="321"/>
        <v>24737.454233333334</v>
      </c>
      <c r="Z162" s="20">
        <f t="shared" si="247"/>
        <v>9.2060424190020858E-3</v>
      </c>
      <c r="AA162" s="3">
        <v>6.0333333333333332</v>
      </c>
      <c r="AB162" s="3">
        <v>655.36666666666667</v>
      </c>
      <c r="AC162" s="32">
        <f t="shared" si="248"/>
        <v>0.45458490020248771</v>
      </c>
      <c r="AD162" s="3">
        <v>104.76666666666667</v>
      </c>
      <c r="AE162" s="3">
        <v>230.46666666666667</v>
      </c>
      <c r="AF162" s="32">
        <f t="shared" si="249"/>
        <v>0.98147771219214308</v>
      </c>
      <c r="AG162" s="3">
        <v>321.46666666666664</v>
      </c>
      <c r="AH162" s="3">
        <v>327.53333333333336</v>
      </c>
      <c r="AI162" s="52">
        <f t="shared" si="322"/>
        <v>432.26666666666665</v>
      </c>
      <c r="AJ162" s="6">
        <f t="shared" si="317"/>
        <v>0.35625394906733326</v>
      </c>
      <c r="AK162" s="21">
        <f t="shared" si="323"/>
        <v>1213.3666666666668</v>
      </c>
      <c r="AL162" s="69">
        <f t="shared" si="324"/>
        <v>18412.242404761906</v>
      </c>
      <c r="AM162" s="6">
        <f t="shared" si="329"/>
        <v>0.60402312352199505</v>
      </c>
      <c r="AN162" s="3">
        <f t="shared" si="325"/>
        <v>30482.678042857144</v>
      </c>
      <c r="AO162" s="6">
        <f t="shared" si="326"/>
        <v>0.34652371215768157</v>
      </c>
      <c r="AP162" s="6">
        <f t="shared" si="327"/>
        <v>0.61862039534858582</v>
      </c>
      <c r="AQ162" s="70">
        <f t="shared" si="328"/>
        <v>0.97097573789653058</v>
      </c>
    </row>
    <row r="163" spans="1:43" x14ac:dyDescent="0.2">
      <c r="A163" s="133">
        <v>41395</v>
      </c>
      <c r="B163" s="20">
        <f t="shared" si="235"/>
        <v>0.18232403526521174</v>
      </c>
      <c r="C163" s="41">
        <v>360.42857142857144</v>
      </c>
      <c r="D163" s="161">
        <v>1976.8571428571429</v>
      </c>
      <c r="E163" s="32">
        <f t="shared" si="236"/>
        <v>0.61953758624863819</v>
      </c>
      <c r="F163" s="161">
        <v>731.14285714285711</v>
      </c>
      <c r="G163" s="161">
        <v>1180.1428571428571</v>
      </c>
      <c r="H163" s="32">
        <f t="shared" si="237"/>
        <v>0.95617474096891619</v>
      </c>
      <c r="I163" s="161">
        <v>975.57142857142856</v>
      </c>
      <c r="J163" s="161">
        <v>1020.2857142857143</v>
      </c>
      <c r="K163" s="52">
        <f t="shared" si="318"/>
        <v>2067.1428571428569</v>
      </c>
      <c r="L163" s="6">
        <f t="shared" si="330"/>
        <v>0.4948531171984541</v>
      </c>
      <c r="M163" s="21">
        <f t="shared" si="319"/>
        <v>4177.2857142857147</v>
      </c>
      <c r="N163" s="20">
        <f t="shared" si="241"/>
        <v>0.40053758834975955</v>
      </c>
      <c r="O163" s="3">
        <v>3803.6513548387097</v>
      </c>
      <c r="P163" s="130">
        <v>9496.3655483870971</v>
      </c>
      <c r="Q163" s="32">
        <f t="shared" si="242"/>
        <v>0.63341227472152428</v>
      </c>
      <c r="R163" s="3">
        <v>3124.3327096774192</v>
      </c>
      <c r="S163" s="3">
        <v>4932.5420967741939</v>
      </c>
      <c r="T163" s="32">
        <f t="shared" si="243"/>
        <v>0.97631371044379012</v>
      </c>
      <c r="U163" s="3">
        <v>7738.483903225806</v>
      </c>
      <c r="V163" s="3">
        <v>7926.226806451612</v>
      </c>
      <c r="W163" s="52">
        <f t="shared" si="320"/>
        <v>14666.467967741935</v>
      </c>
      <c r="X163" s="6">
        <f t="shared" si="331"/>
        <v>0.65606708827840499</v>
      </c>
      <c r="Y163" s="19">
        <f t="shared" si="321"/>
        <v>22355.134451612903</v>
      </c>
      <c r="Z163" s="20">
        <f t="shared" si="247"/>
        <v>8.8099630996309967E-3</v>
      </c>
      <c r="AA163" s="3">
        <v>6.161290322580645</v>
      </c>
      <c r="AB163" s="3">
        <v>699.35483870967744</v>
      </c>
      <c r="AC163" s="32">
        <f t="shared" si="248"/>
        <v>0.46675066498670026</v>
      </c>
      <c r="AD163" s="3">
        <v>107.54838709677419</v>
      </c>
      <c r="AE163" s="3">
        <v>230.41935483870967</v>
      </c>
      <c r="AF163" s="32">
        <f t="shared" si="249"/>
        <v>0.94228837549082278</v>
      </c>
      <c r="AG163" s="3">
        <v>332.87096774193549</v>
      </c>
      <c r="AH163" s="3">
        <v>353.25806451612902</v>
      </c>
      <c r="AI163" s="52">
        <f t="shared" si="322"/>
        <v>446.58064516129036</v>
      </c>
      <c r="AJ163" s="6">
        <f t="shared" ref="AJ163:AJ169" si="332">AI163/AK163</f>
        <v>0.34806657615527736</v>
      </c>
      <c r="AK163" s="21">
        <f t="shared" si="323"/>
        <v>1283.0322580645161</v>
      </c>
      <c r="AL163" s="69">
        <f t="shared" si="324"/>
        <v>17180.191470046084</v>
      </c>
      <c r="AM163" s="6">
        <f t="shared" si="329"/>
        <v>0.61764918320168238</v>
      </c>
      <c r="AN163" s="3">
        <f t="shared" si="325"/>
        <v>27815.452423963132</v>
      </c>
      <c r="AO163" s="6">
        <f t="shared" si="326"/>
        <v>0.34259311196234776</v>
      </c>
      <c r="AP163" s="6">
        <f t="shared" si="327"/>
        <v>0.62477672776824045</v>
      </c>
      <c r="AQ163" s="70">
        <f t="shared" si="328"/>
        <v>0.97281177171023814</v>
      </c>
    </row>
    <row r="164" spans="1:43" x14ac:dyDescent="0.2">
      <c r="A164" s="133">
        <v>41365</v>
      </c>
      <c r="B164" s="20">
        <f t="shared" si="235"/>
        <v>0.18038639227215456</v>
      </c>
      <c r="C164" s="41">
        <v>368.14285714285717</v>
      </c>
      <c r="D164" s="161">
        <v>2040.8571428571429</v>
      </c>
      <c r="E164" s="32">
        <f t="shared" si="236"/>
        <v>0.62262552934059279</v>
      </c>
      <c r="F164" s="161">
        <v>735.14285714285711</v>
      </c>
      <c r="G164" s="161">
        <v>1180.7142857142858</v>
      </c>
      <c r="H164" s="32">
        <f t="shared" si="237"/>
        <v>0.8438837920489296</v>
      </c>
      <c r="I164" s="161">
        <v>788.42857142857144</v>
      </c>
      <c r="J164" s="161">
        <v>934.28571428571433</v>
      </c>
      <c r="K164" s="52">
        <f t="shared" si="318"/>
        <v>1891.7142857142858</v>
      </c>
      <c r="L164" s="6">
        <f t="shared" si="330"/>
        <v>0.45519232752397648</v>
      </c>
      <c r="M164" s="21">
        <f t="shared" si="319"/>
        <v>4155.8571428571431</v>
      </c>
      <c r="N164" s="20">
        <f t="shared" si="241"/>
        <v>0.39382494453229622</v>
      </c>
      <c r="O164" s="3">
        <v>4376.0257000000001</v>
      </c>
      <c r="P164" s="130">
        <v>11111.601133333334</v>
      </c>
      <c r="Q164" s="32">
        <f t="shared" si="242"/>
        <v>0.63763188247088665</v>
      </c>
      <c r="R164" s="3">
        <v>3265.3827333333334</v>
      </c>
      <c r="S164" s="3">
        <v>5121.109566666667</v>
      </c>
      <c r="T164" s="32">
        <f t="shared" si="243"/>
        <v>0.98188886902142936</v>
      </c>
      <c r="U164" s="3">
        <v>8643.7184666666672</v>
      </c>
      <c r="V164" s="3">
        <v>8803.1535333333341</v>
      </c>
      <c r="W164" s="52">
        <f t="shared" si="320"/>
        <v>16285.126900000001</v>
      </c>
      <c r="X164" s="6">
        <f t="shared" si="331"/>
        <v>0.6504719289185793</v>
      </c>
      <c r="Y164" s="19">
        <f t="shared" si="321"/>
        <v>25035.864233333334</v>
      </c>
      <c r="Z164" s="20">
        <f t="shared" si="247"/>
        <v>8.8090047604217642E-3</v>
      </c>
      <c r="AA164" s="3">
        <v>6.6</v>
      </c>
      <c r="AB164" s="3">
        <v>749.23333333333335</v>
      </c>
      <c r="AC164" s="32">
        <f t="shared" si="248"/>
        <v>0.45891702586206895</v>
      </c>
      <c r="AD164" s="3">
        <v>113.56666666666666</v>
      </c>
      <c r="AE164" s="3">
        <v>247.46666666666667</v>
      </c>
      <c r="AF164" s="32">
        <f t="shared" si="249"/>
        <v>0.94773277950848045</v>
      </c>
      <c r="AG164" s="3">
        <v>365.06666666666666</v>
      </c>
      <c r="AH164" s="3">
        <v>385.2</v>
      </c>
      <c r="AI164" s="52">
        <f t="shared" si="322"/>
        <v>485.23333333333335</v>
      </c>
      <c r="AJ164" s="6">
        <f t="shared" si="332"/>
        <v>0.35113491087150539</v>
      </c>
      <c r="AK164" s="21">
        <f t="shared" si="323"/>
        <v>1381.9</v>
      </c>
      <c r="AL164" s="69">
        <f t="shared" si="324"/>
        <v>18662.074519047619</v>
      </c>
      <c r="AM164" s="6">
        <f t="shared" si="329"/>
        <v>0.61039790770683455</v>
      </c>
      <c r="AN164" s="3">
        <f t="shared" si="325"/>
        <v>30573.62137619048</v>
      </c>
      <c r="AO164" s="6">
        <f t="shared" si="326"/>
        <v>0.34174032129213594</v>
      </c>
      <c r="AP164" s="6">
        <f t="shared" si="327"/>
        <v>0.6281737304487629</v>
      </c>
      <c r="AQ164" s="70">
        <f t="shared" si="328"/>
        <v>0.96785170992498948</v>
      </c>
    </row>
    <row r="165" spans="1:43" x14ac:dyDescent="0.2">
      <c r="A165" s="133">
        <v>41334</v>
      </c>
      <c r="B165" s="20">
        <f t="shared" si="235"/>
        <v>0.17662237130692815</v>
      </c>
      <c r="C165" s="41">
        <v>391.14285714285717</v>
      </c>
      <c r="D165" s="161">
        <v>2214.5714285714284</v>
      </c>
      <c r="E165" s="32">
        <f t="shared" si="236"/>
        <v>0.62607466729478267</v>
      </c>
      <c r="F165" s="161">
        <v>759.42857142857144</v>
      </c>
      <c r="G165" s="161">
        <v>1213</v>
      </c>
      <c r="H165" s="32">
        <f t="shared" si="237"/>
        <v>0.96446428571428566</v>
      </c>
      <c r="I165" s="161">
        <v>771.57142857142856</v>
      </c>
      <c r="J165" s="161">
        <v>800</v>
      </c>
      <c r="K165" s="52">
        <f t="shared" ref="K165:K170" si="333">SUM(C165+F165+I165)</f>
        <v>1922.1428571428573</v>
      </c>
      <c r="L165" s="6">
        <f t="shared" si="330"/>
        <v>0.45466833372757076</v>
      </c>
      <c r="M165" s="21">
        <f t="shared" ref="M165:M170" si="334">SUM(J165+G165+D165)</f>
        <v>4227.5714285714284</v>
      </c>
      <c r="N165" s="20">
        <f t="shared" ref="N165:N179" si="335">O165/P165</f>
        <v>0.36380925841182427</v>
      </c>
      <c r="O165" s="3">
        <v>4069.3832258064517</v>
      </c>
      <c r="P165" s="130">
        <v>11185.485612903225</v>
      </c>
      <c r="Q165" s="32">
        <f t="shared" si="242"/>
        <v>0.63989724522092339</v>
      </c>
      <c r="R165" s="3">
        <v>3136.788</v>
      </c>
      <c r="S165" s="3">
        <v>4902.0182903225805</v>
      </c>
      <c r="T165" s="32">
        <f t="shared" si="243"/>
        <v>0.97454187559935501</v>
      </c>
      <c r="U165" s="3">
        <v>7024.0891290322579</v>
      </c>
      <c r="V165" s="3">
        <v>7207.5806129032253</v>
      </c>
      <c r="W165" s="52">
        <f t="shared" ref="W165:W170" si="336">+U165+O165+R165</f>
        <v>14230.260354838711</v>
      </c>
      <c r="X165" s="6">
        <f t="shared" si="331"/>
        <v>0.61086965986261932</v>
      </c>
      <c r="Y165" s="19">
        <f t="shared" ref="Y165:Y170" si="337">+V165+S165+P165</f>
        <v>23295.084516129031</v>
      </c>
      <c r="Z165" s="20">
        <f t="shared" ref="Z165:Z179" si="338">AA165/AB165</f>
        <v>9.0618336886993597E-3</v>
      </c>
      <c r="AA165" s="3">
        <v>7.129032258064516</v>
      </c>
      <c r="AB165" s="3">
        <v>786.70967741935488</v>
      </c>
      <c r="AC165" s="32">
        <f t="shared" si="248"/>
        <v>0.45699305653960604</v>
      </c>
      <c r="AD165" s="3">
        <v>104.03225806451613</v>
      </c>
      <c r="AE165" s="3">
        <v>227.64516129032259</v>
      </c>
      <c r="AF165" s="32">
        <f t="shared" si="249"/>
        <v>0.91752117699509594</v>
      </c>
      <c r="AG165" s="3">
        <v>343</v>
      </c>
      <c r="AH165" s="3">
        <v>373.83333333333331</v>
      </c>
      <c r="AI165" s="52">
        <f t="shared" ref="AI165:AI170" si="339">AG165+AD165+AA165</f>
        <v>454.16129032258061</v>
      </c>
      <c r="AJ165" s="6">
        <f t="shared" si="332"/>
        <v>0.32716118712795744</v>
      </c>
      <c r="AK165" s="21">
        <f t="shared" ref="AK165:AK170" si="340">+AH165+AE165+AB165</f>
        <v>1388.1881720430108</v>
      </c>
      <c r="AL165" s="69">
        <f t="shared" ref="AL165:AL170" si="341">+AI165+W165+K165</f>
        <v>16606.564502304151</v>
      </c>
      <c r="AM165" s="6">
        <f t="shared" si="329"/>
        <v>0.57440607528600662</v>
      </c>
      <c r="AN165" s="3">
        <f t="shared" ref="AN165:AN170" si="342">+AK165+Y165+M165</f>
        <v>28910.844116743468</v>
      </c>
      <c r="AO165" s="6">
        <f t="shared" ref="AO165:AO170" si="343">(+AA165+O165+C165)/(D165+P165+AB165)</f>
        <v>0.31491707756477927</v>
      </c>
      <c r="AP165" s="6">
        <f t="shared" ref="AP165:AP170" si="344">(+AD165+R165+F165)/(G165+S165+AE165)</f>
        <v>0.63068911980121645</v>
      </c>
      <c r="AQ165" s="70">
        <f t="shared" ref="AQ165:AQ170" si="345">(AG165+U165+I165)/(AH165+V165+J165)</f>
        <v>0.97103670213760607</v>
      </c>
    </row>
    <row r="166" spans="1:43" x14ac:dyDescent="0.2">
      <c r="A166" s="133">
        <v>41306</v>
      </c>
      <c r="B166" s="20">
        <f t="shared" si="235"/>
        <v>0.15643552236979008</v>
      </c>
      <c r="C166" s="41">
        <v>365.14285714285717</v>
      </c>
      <c r="D166" s="161">
        <v>2334.1428571428573</v>
      </c>
      <c r="E166" s="32">
        <f t="shared" si="236"/>
        <v>0.59912124699236313</v>
      </c>
      <c r="F166" s="161">
        <v>818.14285714285711</v>
      </c>
      <c r="G166" s="161">
        <v>1365.5714285714287</v>
      </c>
      <c r="H166" s="32">
        <f t="shared" si="237"/>
        <v>0.93080781871648499</v>
      </c>
      <c r="I166" s="161">
        <v>768.71428571428567</v>
      </c>
      <c r="J166" s="161">
        <v>825.85714285714289</v>
      </c>
      <c r="K166" s="52">
        <f t="shared" si="333"/>
        <v>1952</v>
      </c>
      <c r="L166" s="6">
        <f t="shared" si="330"/>
        <v>0.43132674642507646</v>
      </c>
      <c r="M166" s="21">
        <f t="shared" si="334"/>
        <v>4525.5714285714294</v>
      </c>
      <c r="N166" s="20">
        <f t="shared" si="335"/>
        <v>0.35239247240825772</v>
      </c>
      <c r="O166" s="3">
        <v>4990.7582142857145</v>
      </c>
      <c r="P166" s="130">
        <v>14162.499500000002</v>
      </c>
      <c r="Q166" s="32">
        <f t="shared" si="242"/>
        <v>0.64055706492204234</v>
      </c>
      <c r="R166" s="3">
        <v>3783.4276785714287</v>
      </c>
      <c r="S166" s="3">
        <v>5906.4646785714285</v>
      </c>
      <c r="T166" s="32">
        <f t="shared" si="243"/>
        <v>0.97636696916701471</v>
      </c>
      <c r="U166" s="3">
        <v>7741.912571428571</v>
      </c>
      <c r="V166" s="3">
        <v>7929.3061071428565</v>
      </c>
      <c r="W166" s="52">
        <f t="shared" si="336"/>
        <v>16516.098464285715</v>
      </c>
      <c r="X166" s="6">
        <f t="shared" si="331"/>
        <v>0.58989710063313505</v>
      </c>
      <c r="Y166" s="19">
        <f t="shared" si="337"/>
        <v>27998.270285714287</v>
      </c>
      <c r="Z166" s="20">
        <f t="shared" si="338"/>
        <v>7.1447560813505248E-3</v>
      </c>
      <c r="AA166" s="3">
        <v>7.6785714285714288</v>
      </c>
      <c r="AB166" s="3">
        <v>1074.7142857142858</v>
      </c>
      <c r="AC166" s="32">
        <f t="shared" si="248"/>
        <v>0.44523715153917298</v>
      </c>
      <c r="AD166" s="3">
        <v>120.35714285714286</v>
      </c>
      <c r="AE166" s="3">
        <v>270.32142857142856</v>
      </c>
      <c r="AF166" s="32">
        <f t="shared" si="249"/>
        <v>0.94703266963077526</v>
      </c>
      <c r="AG166" s="3">
        <v>349.92857142857144</v>
      </c>
      <c r="AH166" s="3">
        <v>369.5</v>
      </c>
      <c r="AI166" s="52">
        <f t="shared" si="339"/>
        <v>477.96428571428578</v>
      </c>
      <c r="AJ166" s="6">
        <f t="shared" si="332"/>
        <v>0.27877184577249153</v>
      </c>
      <c r="AK166" s="21">
        <f t="shared" si="340"/>
        <v>1714.5357142857142</v>
      </c>
      <c r="AL166" s="69">
        <f t="shared" si="341"/>
        <v>18946.062750000001</v>
      </c>
      <c r="AM166" s="6">
        <f t="shared" si="329"/>
        <v>0.55335749451110916</v>
      </c>
      <c r="AN166" s="3">
        <f t="shared" si="342"/>
        <v>34238.377428571432</v>
      </c>
      <c r="AO166" s="6">
        <f t="shared" si="343"/>
        <v>0.30524561944040146</v>
      </c>
      <c r="AP166" s="6">
        <f t="shared" si="344"/>
        <v>0.62605460642940025</v>
      </c>
      <c r="AQ166" s="70">
        <f t="shared" si="345"/>
        <v>0.97105560893673837</v>
      </c>
    </row>
    <row r="167" spans="1:43" x14ac:dyDescent="0.2">
      <c r="A167" s="133">
        <v>41275</v>
      </c>
      <c r="B167" s="20">
        <f t="shared" si="235"/>
        <v>0.1519489099317331</v>
      </c>
      <c r="C167" s="41">
        <v>394.28571428571428</v>
      </c>
      <c r="D167" s="161">
        <v>2594.8571428571427</v>
      </c>
      <c r="E167" s="32">
        <f t="shared" si="236"/>
        <v>0.62943705629437052</v>
      </c>
      <c r="F167" s="161">
        <v>899.28571428571433</v>
      </c>
      <c r="G167" s="161">
        <v>1428.7142857142858</v>
      </c>
      <c r="H167" s="32">
        <f t="shared" si="237"/>
        <v>0.92447777182645952</v>
      </c>
      <c r="I167" s="161">
        <v>739.71428571428567</v>
      </c>
      <c r="J167" s="161">
        <v>800.14285714285711</v>
      </c>
      <c r="K167" s="52">
        <f t="shared" si="333"/>
        <v>2033.2857142857142</v>
      </c>
      <c r="L167" s="6">
        <f t="shared" si="330"/>
        <v>0.42151868743706683</v>
      </c>
      <c r="M167" s="21">
        <f t="shared" si="334"/>
        <v>4823.7142857142862</v>
      </c>
      <c r="N167" s="20">
        <f t="shared" si="335"/>
        <v>0.35783396370245818</v>
      </c>
      <c r="O167" s="3">
        <v>4623.6156774193551</v>
      </c>
      <c r="P167" s="130">
        <v>12921.120258064517</v>
      </c>
      <c r="Q167" s="32">
        <f t="shared" si="242"/>
        <v>0.63709929624568662</v>
      </c>
      <c r="R167" s="3">
        <v>3342.239</v>
      </c>
      <c r="S167" s="3">
        <v>5246.0252580645165</v>
      </c>
      <c r="T167" s="32">
        <f t="shared" si="243"/>
        <v>0.97386622713896642</v>
      </c>
      <c r="U167" s="3">
        <v>7201.6220322580648</v>
      </c>
      <c r="V167" s="3">
        <v>7394.8780967741941</v>
      </c>
      <c r="W167" s="52">
        <f t="shared" si="336"/>
        <v>15167.476709677419</v>
      </c>
      <c r="X167" s="6">
        <f t="shared" si="331"/>
        <v>0.59335978009272961</v>
      </c>
      <c r="Y167" s="19">
        <f t="shared" si="337"/>
        <v>25562.023612903227</v>
      </c>
      <c r="Z167" s="20">
        <f t="shared" si="338"/>
        <v>4.3393896630799086E-3</v>
      </c>
      <c r="AA167" s="3">
        <v>3.967741935483871</v>
      </c>
      <c r="AB167" s="3">
        <v>914.35483870967744</v>
      </c>
      <c r="AC167" s="32">
        <f t="shared" si="248"/>
        <v>0.43995899013200046</v>
      </c>
      <c r="AD167" s="3">
        <v>110.74193548387096</v>
      </c>
      <c r="AE167" s="3">
        <v>251.70967741935485</v>
      </c>
      <c r="AF167" s="32">
        <f t="shared" si="249"/>
        <v>0.94681997844053178</v>
      </c>
      <c r="AG167" s="3">
        <v>340</v>
      </c>
      <c r="AH167" s="3">
        <v>359.09677419354841</v>
      </c>
      <c r="AI167" s="52">
        <f t="shared" si="339"/>
        <v>454.70967741935482</v>
      </c>
      <c r="AJ167" s="6">
        <f t="shared" si="332"/>
        <v>0.29813874788494077</v>
      </c>
      <c r="AK167" s="21">
        <f t="shared" si="340"/>
        <v>1525.1612903225807</v>
      </c>
      <c r="AL167" s="69">
        <f t="shared" si="341"/>
        <v>17655.472101382489</v>
      </c>
      <c r="AM167" s="6">
        <f t="shared" si="329"/>
        <v>0.55327403959527566</v>
      </c>
      <c r="AN167" s="3">
        <f t="shared" si="342"/>
        <v>31910.899188940093</v>
      </c>
      <c r="AO167" s="6">
        <f t="shared" si="343"/>
        <v>0.30564623164024551</v>
      </c>
      <c r="AP167" s="6">
        <f t="shared" si="344"/>
        <v>0.6283546606318321</v>
      </c>
      <c r="AQ167" s="70">
        <f t="shared" si="345"/>
        <v>0.96811109937827577</v>
      </c>
    </row>
    <row r="168" spans="1:43" x14ac:dyDescent="0.2">
      <c r="A168" s="133">
        <v>41244</v>
      </c>
      <c r="B168" s="20">
        <f t="shared" si="235"/>
        <v>0.14118936694984927</v>
      </c>
      <c r="C168" s="41">
        <v>368</v>
      </c>
      <c r="D168" s="161">
        <v>2606.4285714285716</v>
      </c>
      <c r="E168" s="32">
        <f t="shared" si="236"/>
        <v>0.63616699113130004</v>
      </c>
      <c r="F168" s="161">
        <v>840.28571428571433</v>
      </c>
      <c r="G168" s="161">
        <v>1320.8571428571429</v>
      </c>
      <c r="H168" s="32">
        <f t="shared" si="237"/>
        <v>0.98914823914823913</v>
      </c>
      <c r="I168" s="161">
        <v>690.14285714285711</v>
      </c>
      <c r="J168" s="161">
        <v>697.71428571428567</v>
      </c>
      <c r="K168" s="52">
        <f t="shared" si="333"/>
        <v>1898.4285714285713</v>
      </c>
      <c r="L168" s="6">
        <f t="shared" si="330"/>
        <v>0.41047104247104244</v>
      </c>
      <c r="M168" s="21">
        <f t="shared" si="334"/>
        <v>4625</v>
      </c>
      <c r="N168" s="20">
        <f t="shared" si="335"/>
        <v>0.3533521483367198</v>
      </c>
      <c r="O168" s="3">
        <v>4250.7177741935484</v>
      </c>
      <c r="P168" s="130">
        <v>12029.692741935483</v>
      </c>
      <c r="Q168" s="32">
        <f t="shared" si="242"/>
        <v>0.65125789753522256</v>
      </c>
      <c r="R168" s="3">
        <v>3370.5466774193546</v>
      </c>
      <c r="S168" s="3">
        <v>5175.4407741935484</v>
      </c>
      <c r="T168" s="32">
        <f t="shared" si="243"/>
        <v>0.97565198811712406</v>
      </c>
      <c r="U168" s="3">
        <v>7419.1462903225811</v>
      </c>
      <c r="V168" s="3">
        <v>7604.2957741935488</v>
      </c>
      <c r="W168" s="52">
        <f t="shared" si="336"/>
        <v>15040.410741935484</v>
      </c>
      <c r="X168" s="6">
        <f t="shared" si="331"/>
        <v>0.60623767543908402</v>
      </c>
      <c r="Y168" s="19">
        <f t="shared" si="337"/>
        <v>24809.42929032258</v>
      </c>
      <c r="Z168" s="20">
        <f t="shared" si="338"/>
        <v>3.9221777795037088E-3</v>
      </c>
      <c r="AA168" s="3">
        <v>3.2580645161290325</v>
      </c>
      <c r="AB168" s="3">
        <v>830.67741935483866</v>
      </c>
      <c r="AC168" s="32">
        <f t="shared" si="248"/>
        <v>0.4420955882352941</v>
      </c>
      <c r="AD168" s="3">
        <v>108.61290322580645</v>
      </c>
      <c r="AE168" s="3">
        <v>245.67741935483872</v>
      </c>
      <c r="AF168" s="32">
        <f t="shared" si="249"/>
        <v>0.95249900833002765</v>
      </c>
      <c r="AG168" s="3">
        <v>309.83870967741933</v>
      </c>
      <c r="AH168" s="3">
        <v>325.29032258064518</v>
      </c>
      <c r="AI168" s="52">
        <f t="shared" si="339"/>
        <v>421.70967741935482</v>
      </c>
      <c r="AJ168" s="6">
        <f t="shared" si="332"/>
        <v>0.30086764401279603</v>
      </c>
      <c r="AK168" s="21">
        <f t="shared" si="340"/>
        <v>1401.6451612903224</v>
      </c>
      <c r="AL168" s="69">
        <f t="shared" si="341"/>
        <v>17360.548990783409</v>
      </c>
      <c r="AM168" s="6">
        <f t="shared" ref="AM168:AM174" si="346">AL168/AN168</f>
        <v>0.56299478125936853</v>
      </c>
      <c r="AN168" s="3">
        <f t="shared" si="342"/>
        <v>30836.074451612902</v>
      </c>
      <c r="AO168" s="6">
        <f t="shared" si="343"/>
        <v>0.2988320930906162</v>
      </c>
      <c r="AP168" s="6">
        <f t="shared" si="344"/>
        <v>0.64067948626370652</v>
      </c>
      <c r="AQ168" s="70">
        <f t="shared" si="345"/>
        <v>0.97587049063828046</v>
      </c>
    </row>
    <row r="169" spans="1:43" x14ac:dyDescent="0.2">
      <c r="A169" s="133">
        <v>41214</v>
      </c>
      <c r="B169" s="20">
        <f t="shared" si="235"/>
        <v>0.12606733349597463</v>
      </c>
      <c r="C169" s="41">
        <v>295.28571428571428</v>
      </c>
      <c r="D169" s="161">
        <v>2342.2857142857142</v>
      </c>
      <c r="E169" s="32">
        <f t="shared" si="236"/>
        <v>0.64398653473426504</v>
      </c>
      <c r="F169" s="161">
        <v>901.85714285714289</v>
      </c>
      <c r="G169" s="161">
        <v>1400.4285714285713</v>
      </c>
      <c r="H169" s="32">
        <f t="shared" si="237"/>
        <v>0.93010752688172038</v>
      </c>
      <c r="I169" s="161">
        <v>815.57142857142856</v>
      </c>
      <c r="J169" s="161">
        <v>876.85714285714289</v>
      </c>
      <c r="K169" s="52">
        <f t="shared" si="333"/>
        <v>2012.7142857142858</v>
      </c>
      <c r="L169" s="6">
        <f t="shared" ref="L169:L175" si="347">K169/M169</f>
        <v>0.43569285957262582</v>
      </c>
      <c r="M169" s="21">
        <f t="shared" si="334"/>
        <v>4619.5714285714284</v>
      </c>
      <c r="N169" s="20">
        <f t="shared" si="335"/>
        <v>0.33859274075298745</v>
      </c>
      <c r="O169" s="3">
        <v>3545.7322333333336</v>
      </c>
      <c r="P169" s="130">
        <v>10471.967666666667</v>
      </c>
      <c r="Q169" s="32">
        <f t="shared" si="242"/>
        <v>0.65589788735528998</v>
      </c>
      <c r="R169" s="3">
        <v>3438.2487333333333</v>
      </c>
      <c r="S169" s="3">
        <v>5242.0488000000005</v>
      </c>
      <c r="T169" s="32">
        <f t="shared" si="243"/>
        <v>0.97762112634323306</v>
      </c>
      <c r="U169" s="3">
        <v>7921.5905999999995</v>
      </c>
      <c r="V169" s="3">
        <v>8102.9249333333328</v>
      </c>
      <c r="W169" s="52">
        <f t="shared" si="336"/>
        <v>14905.571566666667</v>
      </c>
      <c r="X169" s="6">
        <f t="shared" ref="X169:X175" si="348">W169/Y169</f>
        <v>0.62583903265877239</v>
      </c>
      <c r="Y169" s="19">
        <f t="shared" si="337"/>
        <v>23816.9414</v>
      </c>
      <c r="Z169" s="20">
        <f t="shared" si="338"/>
        <v>3.6766296120074398E-3</v>
      </c>
      <c r="AA169" s="3">
        <v>2.8333333333333335</v>
      </c>
      <c r="AB169" s="3">
        <v>770.63333333333333</v>
      </c>
      <c r="AC169" s="32">
        <f t="shared" si="248"/>
        <v>0.44750919424941488</v>
      </c>
      <c r="AD169" s="3">
        <v>89.233333333333334</v>
      </c>
      <c r="AE169" s="3">
        <v>199.4</v>
      </c>
      <c r="AF169" s="32">
        <f t="shared" si="249"/>
        <v>0.95174092496560481</v>
      </c>
      <c r="AG169" s="3">
        <v>299.76666666666665</v>
      </c>
      <c r="AH169" s="3">
        <v>314.96666666666664</v>
      </c>
      <c r="AI169" s="52">
        <f t="shared" si="339"/>
        <v>391.83333333333331</v>
      </c>
      <c r="AJ169" s="6">
        <f t="shared" si="332"/>
        <v>0.30492866407263292</v>
      </c>
      <c r="AK169" s="21">
        <f t="shared" si="340"/>
        <v>1285</v>
      </c>
      <c r="AL169" s="69">
        <f t="shared" si="341"/>
        <v>17310.119185714288</v>
      </c>
      <c r="AM169" s="6">
        <f t="shared" si="346"/>
        <v>0.58241043400300907</v>
      </c>
      <c r="AN169" s="3">
        <f t="shared" si="342"/>
        <v>29721.512828571427</v>
      </c>
      <c r="AO169" s="6">
        <f t="shared" si="343"/>
        <v>0.28295055835174765</v>
      </c>
      <c r="AP169" s="6">
        <f t="shared" si="344"/>
        <v>0.64738652405852337</v>
      </c>
      <c r="AQ169" s="70">
        <f t="shared" si="345"/>
        <v>0.97226175179644558</v>
      </c>
    </row>
    <row r="170" spans="1:43" x14ac:dyDescent="0.2">
      <c r="A170" s="133">
        <v>41183</v>
      </c>
      <c r="B170" s="20">
        <f t="shared" si="235"/>
        <v>0.10998182674833411</v>
      </c>
      <c r="C170" s="41">
        <v>233.42857142857142</v>
      </c>
      <c r="D170" s="161">
        <v>2122.4285714285716</v>
      </c>
      <c r="E170" s="32">
        <f t="shared" si="236"/>
        <v>0.63394495412844032</v>
      </c>
      <c r="F170" s="161">
        <v>789.71428571428567</v>
      </c>
      <c r="G170" s="161">
        <v>1245.7142857142858</v>
      </c>
      <c r="H170" s="32">
        <f t="shared" si="237"/>
        <v>0.98447472830774552</v>
      </c>
      <c r="I170" s="161">
        <v>815.28571428571433</v>
      </c>
      <c r="J170" s="161">
        <v>828.14285714285711</v>
      </c>
      <c r="K170" s="52">
        <f t="shared" si="333"/>
        <v>1838.4285714285716</v>
      </c>
      <c r="L170" s="6">
        <f t="shared" si="347"/>
        <v>0.43810853135425887</v>
      </c>
      <c r="M170" s="21">
        <f t="shared" si="334"/>
        <v>4196.2857142857147</v>
      </c>
      <c r="N170" s="20">
        <f t="shared" si="335"/>
        <v>0.31886312320350951</v>
      </c>
      <c r="O170" s="3">
        <v>3156.8820000000001</v>
      </c>
      <c r="P170" s="130">
        <v>9900.4299032258059</v>
      </c>
      <c r="Q170" s="32">
        <f t="shared" si="242"/>
        <v>0.63938327131239181</v>
      </c>
      <c r="R170" s="3">
        <v>3303.5010322580647</v>
      </c>
      <c r="S170" s="3">
        <v>5166.6991935483875</v>
      </c>
      <c r="T170" s="32">
        <f t="shared" si="243"/>
        <v>0.97119112169650146</v>
      </c>
      <c r="U170" s="3">
        <v>7506.4411935483868</v>
      </c>
      <c r="V170" s="3">
        <v>7729.1081290322581</v>
      </c>
      <c r="W170" s="52">
        <f t="shared" si="336"/>
        <v>13966.824225806453</v>
      </c>
      <c r="X170" s="6">
        <f t="shared" si="348"/>
        <v>0.6126811230932151</v>
      </c>
      <c r="Y170" s="19">
        <f t="shared" si="337"/>
        <v>22796.23722580645</v>
      </c>
      <c r="Z170" s="20">
        <f t="shared" si="338"/>
        <v>3.7937654264558001E-3</v>
      </c>
      <c r="AA170" s="3">
        <v>2.6774193548387095</v>
      </c>
      <c r="AB170" s="3">
        <v>705.74193548387098</v>
      </c>
      <c r="AC170" s="32">
        <f t="shared" si="248"/>
        <v>0.44580534703015934</v>
      </c>
      <c r="AD170" s="3">
        <v>109.19354838709677</v>
      </c>
      <c r="AE170" s="3">
        <v>244.93548387096774</v>
      </c>
      <c r="AF170" s="32">
        <f t="shared" si="249"/>
        <v>0.96063552288356657</v>
      </c>
      <c r="AG170" s="3">
        <v>392.03225806451616</v>
      </c>
      <c r="AH170" s="3">
        <v>408.09677419354841</v>
      </c>
      <c r="AI170" s="52">
        <f t="shared" si="339"/>
        <v>503.90322580645164</v>
      </c>
      <c r="AJ170" s="6">
        <f t="shared" ref="AJ170:AJ175" si="349">AI170/AK170</f>
        <v>0.37085133659370401</v>
      </c>
      <c r="AK170" s="21">
        <f t="shared" si="340"/>
        <v>1358.7741935483871</v>
      </c>
      <c r="AL170" s="69">
        <f t="shared" si="341"/>
        <v>16309.156023041476</v>
      </c>
      <c r="AM170" s="6">
        <f t="shared" si="346"/>
        <v>0.57525255180263568</v>
      </c>
      <c r="AN170" s="3">
        <f t="shared" si="342"/>
        <v>28351.29713364055</v>
      </c>
      <c r="AO170" s="6">
        <f t="shared" si="343"/>
        <v>0.26656410614327375</v>
      </c>
      <c r="AP170" s="6">
        <f t="shared" si="344"/>
        <v>0.63124359104969552</v>
      </c>
      <c r="AQ170" s="70">
        <f t="shared" si="345"/>
        <v>0.97193766475158994</v>
      </c>
    </row>
    <row r="171" spans="1:43" x14ac:dyDescent="0.2">
      <c r="A171" s="133">
        <v>41153</v>
      </c>
      <c r="B171" s="20">
        <f t="shared" si="235"/>
        <v>0.10697452011749436</v>
      </c>
      <c r="C171" s="41">
        <v>223.71428571428572</v>
      </c>
      <c r="D171" s="161">
        <v>2091.2857142857142</v>
      </c>
      <c r="E171" s="32">
        <f t="shared" si="236"/>
        <v>0.62625820568927781</v>
      </c>
      <c r="F171" s="161">
        <v>817.71428571428567</v>
      </c>
      <c r="G171" s="161">
        <v>1305.7142857142858</v>
      </c>
      <c r="H171" s="32">
        <f t="shared" si="237"/>
        <v>0.96255770217131142</v>
      </c>
      <c r="I171" s="161">
        <v>804.28571428571433</v>
      </c>
      <c r="J171" s="161">
        <v>835.57142857142856</v>
      </c>
      <c r="K171" s="52">
        <f t="shared" ref="K171:K176" si="350">SUM(C171+F171+I171)</f>
        <v>1845.7142857142858</v>
      </c>
      <c r="L171" s="6">
        <f t="shared" si="347"/>
        <v>0.43607398406912384</v>
      </c>
      <c r="M171" s="21">
        <f t="shared" ref="M171:M176" si="351">SUM(J171+G171+D171)</f>
        <v>4232.5714285714284</v>
      </c>
      <c r="N171" s="20">
        <f t="shared" si="335"/>
        <v>0.30403251159746614</v>
      </c>
      <c r="O171" s="3">
        <v>3449.0062666666663</v>
      </c>
      <c r="P171" s="130">
        <v>11344.202133333332</v>
      </c>
      <c r="Q171" s="32">
        <f t="shared" si="242"/>
        <v>0.62104778598751675</v>
      </c>
      <c r="R171" s="3">
        <v>3751.0831666666663</v>
      </c>
      <c r="S171" s="3">
        <v>6039.9267999999993</v>
      </c>
      <c r="T171" s="32">
        <f t="shared" si="243"/>
        <v>0.97213949824495527</v>
      </c>
      <c r="U171" s="3">
        <v>7964.574066666667</v>
      </c>
      <c r="V171" s="3">
        <v>8192.8304333333344</v>
      </c>
      <c r="W171" s="52">
        <f t="shared" ref="W171:W176" si="352">+U171+O171+R171</f>
        <v>15164.663499999999</v>
      </c>
      <c r="X171" s="6">
        <f t="shared" si="348"/>
        <v>0.59290329560297317</v>
      </c>
      <c r="Y171" s="19">
        <f t="shared" ref="Y171:Y176" si="353">+V171+S171+P171</f>
        <v>25576.959366666666</v>
      </c>
      <c r="Z171" s="20">
        <f t="shared" si="338"/>
        <v>3.7556922210224873E-3</v>
      </c>
      <c r="AA171" s="3">
        <v>2.6666666666666665</v>
      </c>
      <c r="AB171" s="3">
        <v>710.0333333333333</v>
      </c>
      <c r="AC171" s="32">
        <f t="shared" si="248"/>
        <v>0.46120927664273881</v>
      </c>
      <c r="AD171" s="3">
        <v>111.36666666666666</v>
      </c>
      <c r="AE171" s="3">
        <v>241.46666666666667</v>
      </c>
      <c r="AF171" s="32">
        <f t="shared" si="249"/>
        <v>0.95679076002887486</v>
      </c>
      <c r="AG171" s="3">
        <v>309.26666666666665</v>
      </c>
      <c r="AH171" s="3">
        <v>323.23333333333335</v>
      </c>
      <c r="AI171" s="52">
        <f t="shared" ref="AI171:AI176" si="354">AG171+AD171+AA171</f>
        <v>423.3</v>
      </c>
      <c r="AJ171" s="6">
        <f t="shared" si="349"/>
        <v>0.33206945243449609</v>
      </c>
      <c r="AK171" s="21">
        <f t="shared" ref="AK171:AK176" si="355">+AH171+AE171+AB171</f>
        <v>1274.7333333333333</v>
      </c>
      <c r="AL171" s="69">
        <f t="shared" ref="AL171:AL176" si="356">+AI171+W171+K171</f>
        <v>17433.677785714284</v>
      </c>
      <c r="AM171" s="6">
        <f t="shared" si="346"/>
        <v>0.56085219561913113</v>
      </c>
      <c r="AN171" s="3">
        <f t="shared" ref="AN171:AN176" si="357">+AK171+Y171+M171</f>
        <v>31084.264128571427</v>
      </c>
      <c r="AO171" s="6">
        <f t="shared" ref="AO171:AO176" si="358">(+AA171+O171+C171)/(D171+P171+AB171)</f>
        <v>0.25982692132946672</v>
      </c>
      <c r="AP171" s="6">
        <f t="shared" ref="AP171:AP176" si="359">(+AD171+R171+F171)/(G171+S171+AE171)</f>
        <v>0.61685747346594766</v>
      </c>
      <c r="AQ171" s="70">
        <f t="shared" ref="AQ171:AQ176" si="360">(AG171+U171+I171)/(AH171+V171+J171)</f>
        <v>0.97075284248060478</v>
      </c>
    </row>
    <row r="172" spans="1:43" x14ac:dyDescent="0.2">
      <c r="A172" s="133">
        <v>41122</v>
      </c>
      <c r="B172" s="20">
        <f t="shared" si="235"/>
        <v>0.10165499287175354</v>
      </c>
      <c r="C172" s="41">
        <v>234.28571428571428</v>
      </c>
      <c r="D172" s="161">
        <v>2304.7142857142858</v>
      </c>
      <c r="E172" s="32">
        <f t="shared" si="236"/>
        <v>0.61187036313939869</v>
      </c>
      <c r="F172" s="161">
        <v>895.42857142857144</v>
      </c>
      <c r="G172" s="161">
        <v>1463.4285714285713</v>
      </c>
      <c r="H172" s="32">
        <f t="shared" si="237"/>
        <v>0.84816259009807393</v>
      </c>
      <c r="I172" s="161">
        <v>1025.4285714285713</v>
      </c>
      <c r="J172" s="161">
        <v>1209</v>
      </c>
      <c r="K172" s="52">
        <f t="shared" si="350"/>
        <v>2155.1428571428569</v>
      </c>
      <c r="L172" s="6">
        <f t="shared" si="347"/>
        <v>0.43300803673937999</v>
      </c>
      <c r="M172" s="21">
        <f t="shared" si="351"/>
        <v>4977.1428571428569</v>
      </c>
      <c r="N172" s="20">
        <f t="shared" si="335"/>
        <v>0.29497543635885004</v>
      </c>
      <c r="O172" s="3">
        <v>3650.0181612903225</v>
      </c>
      <c r="P172" s="130">
        <v>12373.973258064518</v>
      </c>
      <c r="Q172" s="32">
        <f t="shared" si="242"/>
        <v>0.60920278081675183</v>
      </c>
      <c r="R172" s="3">
        <v>3788.9000645161291</v>
      </c>
      <c r="S172" s="3">
        <v>6219.4398709677425</v>
      </c>
      <c r="T172" s="32">
        <f t="shared" si="243"/>
        <v>0.968513955627473</v>
      </c>
      <c r="U172" s="3">
        <v>8007.077967741935</v>
      </c>
      <c r="V172" s="3">
        <v>8267.3852258064508</v>
      </c>
      <c r="W172" s="52">
        <f t="shared" si="352"/>
        <v>15445.996193548386</v>
      </c>
      <c r="X172" s="6">
        <f t="shared" si="348"/>
        <v>0.57503861164148684</v>
      </c>
      <c r="Y172" s="19">
        <f t="shared" si="353"/>
        <v>26860.798354838713</v>
      </c>
      <c r="Z172" s="20">
        <f t="shared" si="338"/>
        <v>4.3101571683573517E-3</v>
      </c>
      <c r="AA172" s="3">
        <v>3.193548387096774</v>
      </c>
      <c r="AB172" s="3">
        <v>740.93548387096769</v>
      </c>
      <c r="AC172" s="32">
        <f t="shared" si="248"/>
        <v>0.45293818366827776</v>
      </c>
      <c r="AD172" s="3">
        <v>114.87096774193549</v>
      </c>
      <c r="AE172" s="3">
        <v>253.61290322580646</v>
      </c>
      <c r="AF172" s="32">
        <f t="shared" si="249"/>
        <v>0.943630214205186</v>
      </c>
      <c r="AG172" s="3">
        <v>270</v>
      </c>
      <c r="AH172" s="3">
        <v>286.12903225806451</v>
      </c>
      <c r="AI172" s="52">
        <f t="shared" si="354"/>
        <v>388.06451612903226</v>
      </c>
      <c r="AJ172" s="6">
        <f t="shared" si="349"/>
        <v>0.3030150374045994</v>
      </c>
      <c r="AK172" s="21">
        <f t="shared" si="355"/>
        <v>1280.6774193548385</v>
      </c>
      <c r="AL172" s="69">
        <f t="shared" si="356"/>
        <v>17989.203566820273</v>
      </c>
      <c r="AM172" s="6">
        <f t="shared" si="346"/>
        <v>0.54317493634227609</v>
      </c>
      <c r="AN172" s="3">
        <f t="shared" si="357"/>
        <v>33118.618631336409</v>
      </c>
      <c r="AO172" s="6">
        <f t="shared" si="358"/>
        <v>0.25211364875731712</v>
      </c>
      <c r="AP172" s="6">
        <f t="shared" si="359"/>
        <v>0.60470117608654672</v>
      </c>
      <c r="AQ172" s="70">
        <f t="shared" si="360"/>
        <v>0.95288020004539176</v>
      </c>
    </row>
    <row r="173" spans="1:43" x14ac:dyDescent="0.2">
      <c r="A173" s="133">
        <v>41091</v>
      </c>
      <c r="B173" s="20">
        <f t="shared" si="235"/>
        <v>0.1013338161627135</v>
      </c>
      <c r="C173" s="41">
        <v>239.85714285714286</v>
      </c>
      <c r="D173" s="161">
        <v>2367</v>
      </c>
      <c r="E173" s="32">
        <f t="shared" si="236"/>
        <v>0.63935211807552228</v>
      </c>
      <c r="F173" s="161">
        <v>953</v>
      </c>
      <c r="G173" s="161">
        <v>1490.5714285714287</v>
      </c>
      <c r="H173" s="32">
        <f t="shared" si="237"/>
        <v>0.95187969924812033</v>
      </c>
      <c r="I173" s="161">
        <v>904.28571428571433</v>
      </c>
      <c r="J173" s="161">
        <v>950</v>
      </c>
      <c r="K173" s="52">
        <f t="shared" si="350"/>
        <v>2097.1428571428573</v>
      </c>
      <c r="L173" s="6">
        <f t="shared" si="347"/>
        <v>0.4362166820194337</v>
      </c>
      <c r="M173" s="21">
        <f t="shared" si="351"/>
        <v>4807.5714285714284</v>
      </c>
      <c r="N173" s="20">
        <f t="shared" si="335"/>
        <v>0.27860511878294481</v>
      </c>
      <c r="O173" s="3">
        <v>3216.722548387097</v>
      </c>
      <c r="P173" s="130">
        <v>11545.812806451613</v>
      </c>
      <c r="Q173" s="32">
        <f t="shared" si="242"/>
        <v>0.60860491173438103</v>
      </c>
      <c r="R173" s="3">
        <v>3602.5481935483872</v>
      </c>
      <c r="S173" s="3">
        <v>5919.3544516129041</v>
      </c>
      <c r="T173" s="32">
        <f t="shared" si="243"/>
        <v>0.96944843972037043</v>
      </c>
      <c r="U173" s="3">
        <v>7985.5768387096778</v>
      </c>
      <c r="V173" s="3">
        <v>8237.2372903225805</v>
      </c>
      <c r="W173" s="52">
        <f t="shared" si="352"/>
        <v>14804.847580645162</v>
      </c>
      <c r="X173" s="6">
        <f t="shared" si="348"/>
        <v>0.5760102154167599</v>
      </c>
      <c r="Y173" s="19">
        <f t="shared" si="353"/>
        <v>25702.404548387098</v>
      </c>
      <c r="Z173" s="20">
        <f t="shared" si="338"/>
        <v>4.3387050634118435E-3</v>
      </c>
      <c r="AA173" s="3">
        <v>2.935483870967742</v>
      </c>
      <c r="AB173" s="3">
        <v>676.58064516129036</v>
      </c>
      <c r="AC173" s="32">
        <f t="shared" si="248"/>
        <v>0.46180728906640045</v>
      </c>
      <c r="AD173" s="3">
        <v>119.35483870967742</v>
      </c>
      <c r="AE173" s="3">
        <v>258.45161290322579</v>
      </c>
      <c r="AF173" s="32">
        <f t="shared" si="249"/>
        <v>0.96768320436959476</v>
      </c>
      <c r="AG173" s="3">
        <v>342.90322580645159</v>
      </c>
      <c r="AH173" s="3">
        <v>354.35483870967744</v>
      </c>
      <c r="AI173" s="52">
        <f t="shared" si="354"/>
        <v>465.19354838709677</v>
      </c>
      <c r="AJ173" s="6">
        <f t="shared" si="349"/>
        <v>0.36078657026344096</v>
      </c>
      <c r="AK173" s="21">
        <f t="shared" si="355"/>
        <v>1289.3870967741937</v>
      </c>
      <c r="AL173" s="69">
        <f t="shared" si="356"/>
        <v>17367.183986175118</v>
      </c>
      <c r="AM173" s="6">
        <f t="shared" si="346"/>
        <v>0.54614880008464584</v>
      </c>
      <c r="AN173" s="3">
        <f t="shared" si="357"/>
        <v>31799.363073732718</v>
      </c>
      <c r="AO173" s="6">
        <f t="shared" si="358"/>
        <v>0.23712536004934101</v>
      </c>
      <c r="AP173" s="6">
        <f t="shared" si="359"/>
        <v>0.60963392014440132</v>
      </c>
      <c r="AQ173" s="70">
        <f t="shared" si="360"/>
        <v>0.96763366678703977</v>
      </c>
    </row>
    <row r="174" spans="1:43" x14ac:dyDescent="0.2">
      <c r="A174" s="133">
        <v>41061</v>
      </c>
      <c r="B174" s="20">
        <f t="shared" si="235"/>
        <v>9.5520812718517062E-2</v>
      </c>
      <c r="C174" s="41">
        <v>206.85714285714286</v>
      </c>
      <c r="D174" s="161">
        <v>2165.5714285714284</v>
      </c>
      <c r="E174" s="32">
        <f t="shared" si="236"/>
        <v>0.61083349990005997</v>
      </c>
      <c r="F174" s="161">
        <v>873.14285714285711</v>
      </c>
      <c r="G174" s="161">
        <v>1429.4285714285713</v>
      </c>
      <c r="H174" s="32">
        <f t="shared" si="237"/>
        <v>0.93431372549019609</v>
      </c>
      <c r="I174" s="161">
        <v>816.85714285714289</v>
      </c>
      <c r="J174" s="161">
        <v>874.28571428571433</v>
      </c>
      <c r="K174" s="52">
        <f t="shared" si="350"/>
        <v>1896.8571428571429</v>
      </c>
      <c r="L174" s="6">
        <f t="shared" si="347"/>
        <v>0.42442064887326203</v>
      </c>
      <c r="M174" s="21">
        <f t="shared" si="351"/>
        <v>4469.2857142857138</v>
      </c>
      <c r="N174" s="20">
        <f t="shared" si="335"/>
        <v>0.26412870803069871</v>
      </c>
      <c r="O174" s="3">
        <v>2763.6211000000003</v>
      </c>
      <c r="P174" s="130">
        <v>10463.160633333333</v>
      </c>
      <c r="Q174" s="32">
        <f t="shared" si="242"/>
        <v>0.61701219981431799</v>
      </c>
      <c r="R174" s="3">
        <v>3455.1590666666666</v>
      </c>
      <c r="S174" s="3">
        <v>5599.8229333333329</v>
      </c>
      <c r="T174" s="32">
        <f t="shared" si="243"/>
        <v>0.96898595077305849</v>
      </c>
      <c r="U174" s="3">
        <v>7798.6832000000004</v>
      </c>
      <c r="V174" s="3">
        <v>8048.2933666666668</v>
      </c>
      <c r="W174" s="52">
        <f t="shared" si="352"/>
        <v>14017.463366666667</v>
      </c>
      <c r="X174" s="6">
        <f t="shared" si="348"/>
        <v>0.58136545009309804</v>
      </c>
      <c r="Y174" s="19">
        <f t="shared" si="353"/>
        <v>24111.276933333334</v>
      </c>
      <c r="Z174" s="20">
        <f t="shared" si="338"/>
        <v>4.2352488208682254E-3</v>
      </c>
      <c r="AA174" s="3">
        <v>2.9333333333333331</v>
      </c>
      <c r="AB174" s="3">
        <v>692.6</v>
      </c>
      <c r="AC174" s="32">
        <f t="shared" si="248"/>
        <v>0.45086218982195431</v>
      </c>
      <c r="AD174" s="3">
        <v>107.2</v>
      </c>
      <c r="AE174" s="3">
        <v>237.76666666666668</v>
      </c>
      <c r="AF174" s="32">
        <f t="shared" si="249"/>
        <v>0.95324454519693969</v>
      </c>
      <c r="AG174" s="3">
        <v>336.4</v>
      </c>
      <c r="AH174" s="3">
        <v>352.9</v>
      </c>
      <c r="AI174" s="52">
        <f t="shared" si="354"/>
        <v>446.5333333333333</v>
      </c>
      <c r="AJ174" s="6">
        <f t="shared" si="349"/>
        <v>0.34796612811055116</v>
      </c>
      <c r="AK174" s="21">
        <f t="shared" si="355"/>
        <v>1283.2666666666667</v>
      </c>
      <c r="AL174" s="69">
        <f t="shared" si="356"/>
        <v>16360.853842857143</v>
      </c>
      <c r="AM174" s="6">
        <f t="shared" si="346"/>
        <v>0.54784849158747151</v>
      </c>
      <c r="AN174" s="3">
        <f t="shared" si="357"/>
        <v>29863.829314285715</v>
      </c>
      <c r="AO174" s="6">
        <f t="shared" si="358"/>
        <v>0.22320677559668314</v>
      </c>
      <c r="AP174" s="6">
        <f t="shared" si="359"/>
        <v>0.61036064850482963</v>
      </c>
      <c r="AQ174" s="70">
        <f t="shared" si="360"/>
        <v>0.96511891889663792</v>
      </c>
    </row>
    <row r="175" spans="1:43" x14ac:dyDescent="0.2">
      <c r="A175" s="133">
        <v>41030</v>
      </c>
      <c r="B175" s="20">
        <f t="shared" si="235"/>
        <v>8.9098103424750996E-2</v>
      </c>
      <c r="C175" s="41">
        <v>186.57142857142858</v>
      </c>
      <c r="D175" s="161">
        <v>2094</v>
      </c>
      <c r="E175" s="32">
        <f t="shared" si="236"/>
        <v>0.59655285980898021</v>
      </c>
      <c r="F175" s="161">
        <v>776.28571428571433</v>
      </c>
      <c r="G175" s="161">
        <v>1301.2857142857142</v>
      </c>
      <c r="H175" s="32">
        <f t="shared" si="237"/>
        <v>0.90413566360962105</v>
      </c>
      <c r="I175" s="161">
        <v>746.42857142857144</v>
      </c>
      <c r="J175" s="161">
        <v>825.57142857142856</v>
      </c>
      <c r="K175" s="52">
        <f t="shared" si="350"/>
        <v>1709.2857142857142</v>
      </c>
      <c r="L175" s="6">
        <f t="shared" si="347"/>
        <v>0.40496175455222361</v>
      </c>
      <c r="M175" s="21">
        <f t="shared" si="351"/>
        <v>4220.8571428571431</v>
      </c>
      <c r="N175" s="20">
        <f t="shared" si="335"/>
        <v>0.24922627125689836</v>
      </c>
      <c r="O175" s="3">
        <v>2242.157709677419</v>
      </c>
      <c r="P175" s="130">
        <v>8996.4741612903217</v>
      </c>
      <c r="Q175" s="32">
        <f t="shared" si="242"/>
        <v>0.61875628502355351</v>
      </c>
      <c r="R175" s="3">
        <v>2910.070548387097</v>
      </c>
      <c r="S175" s="3">
        <v>4703.0965483870968</v>
      </c>
      <c r="T175" s="32">
        <f t="shared" si="243"/>
        <v>0.97210986981805969</v>
      </c>
      <c r="U175" s="3">
        <v>6951.9906129032261</v>
      </c>
      <c r="V175" s="3">
        <v>7151.44535483871</v>
      </c>
      <c r="W175" s="52">
        <f t="shared" si="352"/>
        <v>12104.218870967741</v>
      </c>
      <c r="X175" s="6">
        <f t="shared" si="348"/>
        <v>0.58050978587880309</v>
      </c>
      <c r="Y175" s="19">
        <f t="shared" si="353"/>
        <v>20851.01606451613</v>
      </c>
      <c r="Z175" s="20">
        <f t="shared" si="338"/>
        <v>4.0710221699038649E-3</v>
      </c>
      <c r="AA175" s="3">
        <v>2.6774193548387095</v>
      </c>
      <c r="AB175" s="3">
        <v>657.67741935483866</v>
      </c>
      <c r="AC175" s="32">
        <f t="shared" si="248"/>
        <v>0.47542475728155337</v>
      </c>
      <c r="AD175" s="3">
        <v>101.09677419354838</v>
      </c>
      <c r="AE175" s="33">
        <v>212.64516129032259</v>
      </c>
      <c r="AF175" s="6">
        <f t="shared" si="249"/>
        <v>0.94058744993324428</v>
      </c>
      <c r="AG175" s="3">
        <v>272.70967741935482</v>
      </c>
      <c r="AH175" s="3">
        <v>289.93548387096774</v>
      </c>
      <c r="AI175" s="52">
        <f t="shared" si="354"/>
        <v>376.48387096774189</v>
      </c>
      <c r="AJ175" s="6">
        <f t="shared" si="349"/>
        <v>0.3244828736654804</v>
      </c>
      <c r="AK175" s="21">
        <f t="shared" si="355"/>
        <v>1160.258064516129</v>
      </c>
      <c r="AL175" s="69">
        <f t="shared" si="356"/>
        <v>14189.988456221197</v>
      </c>
      <c r="AM175" s="6">
        <f t="shared" ref="AM175:AM181" si="361">AL175/AN175</f>
        <v>0.54093921340761664</v>
      </c>
      <c r="AN175" s="3">
        <f t="shared" si="357"/>
        <v>26232.131271889404</v>
      </c>
      <c r="AO175" s="6">
        <f t="shared" si="358"/>
        <v>0.20696077514094885</v>
      </c>
      <c r="AP175" s="6">
        <f t="shared" si="359"/>
        <v>0.60920642271383019</v>
      </c>
      <c r="AQ175" s="70">
        <f t="shared" si="360"/>
        <v>0.96421614689844493</v>
      </c>
    </row>
    <row r="176" spans="1:43" x14ac:dyDescent="0.2">
      <c r="A176" s="133">
        <v>41000</v>
      </c>
      <c r="B176" s="20">
        <f t="shared" si="235"/>
        <v>8.0094144497539405E-2</v>
      </c>
      <c r="C176" s="41">
        <v>160.42857142857142</v>
      </c>
      <c r="D176" s="161">
        <v>2003</v>
      </c>
      <c r="E176" s="32">
        <f t="shared" si="236"/>
        <v>0.57789509154217678</v>
      </c>
      <c r="F176" s="161">
        <v>735</v>
      </c>
      <c r="G176" s="161">
        <v>1271.8571428571429</v>
      </c>
      <c r="H176" s="32">
        <f t="shared" si="237"/>
        <v>0.92652529761904756</v>
      </c>
      <c r="I176" s="161">
        <v>711.57142857142856</v>
      </c>
      <c r="J176" s="161">
        <v>768</v>
      </c>
      <c r="K176" s="52">
        <f t="shared" si="350"/>
        <v>1607</v>
      </c>
      <c r="L176" s="6">
        <f t="shared" ref="L176:L182" si="362">K176/M176</f>
        <v>0.39749116607773849</v>
      </c>
      <c r="M176" s="21">
        <f t="shared" si="351"/>
        <v>4042.8571428571431</v>
      </c>
      <c r="N176" s="20">
        <f t="shared" si="335"/>
        <v>0.2159630854261734</v>
      </c>
      <c r="O176" s="3">
        <v>2285.5747666666666</v>
      </c>
      <c r="P176" s="130">
        <v>10583.173333333332</v>
      </c>
      <c r="Q176" s="32">
        <f t="shared" si="242"/>
        <v>0.60265316752688247</v>
      </c>
      <c r="R176" s="3">
        <v>3142.4527000000003</v>
      </c>
      <c r="S176" s="3">
        <v>5214.3635333333332</v>
      </c>
      <c r="T176" s="32">
        <f t="shared" si="243"/>
        <v>0.97755175383500936</v>
      </c>
      <c r="U176" s="3">
        <v>8184.6373666666659</v>
      </c>
      <c r="V176" s="3">
        <v>8372.5872666666655</v>
      </c>
      <c r="W176" s="52">
        <f t="shared" si="352"/>
        <v>13612.664833333332</v>
      </c>
      <c r="X176" s="6">
        <f t="shared" ref="X176:X182" si="363">W176/Y176</f>
        <v>0.56320210679265525</v>
      </c>
      <c r="Y176" s="19">
        <f t="shared" si="353"/>
        <v>24170.124133333331</v>
      </c>
      <c r="Z176" s="20">
        <f t="shared" si="338"/>
        <v>3.5364161332199291E-3</v>
      </c>
      <c r="AA176" s="3">
        <v>2.6333333333333333</v>
      </c>
      <c r="AB176" s="3">
        <v>744.63333333333333</v>
      </c>
      <c r="AC176" s="32">
        <f t="shared" si="248"/>
        <v>0.44400000000000001</v>
      </c>
      <c r="AD176" s="3">
        <v>107.3</v>
      </c>
      <c r="AE176" s="33">
        <v>241.66666666666666</v>
      </c>
      <c r="AF176" s="6">
        <f t="shared" si="249"/>
        <v>0.95392165772971016</v>
      </c>
      <c r="AG176" s="3">
        <v>349.86666666666667</v>
      </c>
      <c r="AH176" s="3">
        <v>366.76666666666665</v>
      </c>
      <c r="AI176" s="52">
        <f t="shared" si="354"/>
        <v>459.8</v>
      </c>
      <c r="AJ176" s="6">
        <f t="shared" ref="AJ176:AJ182" si="364">AI176/AK176</f>
        <v>0.33982065431612141</v>
      </c>
      <c r="AK176" s="21">
        <f t="shared" si="355"/>
        <v>1353.0666666666666</v>
      </c>
      <c r="AL176" s="69">
        <f t="shared" si="356"/>
        <v>15679.464833333332</v>
      </c>
      <c r="AM176" s="6">
        <f t="shared" si="361"/>
        <v>0.53031994210512434</v>
      </c>
      <c r="AN176" s="3">
        <f t="shared" si="357"/>
        <v>29566.047942857142</v>
      </c>
      <c r="AO176" s="6">
        <f t="shared" si="358"/>
        <v>0.18368255820192214</v>
      </c>
      <c r="AP176" s="6">
        <f t="shared" si="359"/>
        <v>0.59227399285015214</v>
      </c>
      <c r="AQ176" s="70">
        <f t="shared" si="360"/>
        <v>0.9725182765614192</v>
      </c>
    </row>
    <row r="177" spans="1:43" x14ac:dyDescent="0.2">
      <c r="A177" s="133">
        <v>40969</v>
      </c>
      <c r="B177" s="20">
        <f t="shared" si="235"/>
        <v>6.8501170960187346E-2</v>
      </c>
      <c r="C177" s="41">
        <v>150.42857142857142</v>
      </c>
      <c r="D177" s="161">
        <v>2196</v>
      </c>
      <c r="E177" s="32">
        <f t="shared" si="236"/>
        <v>0.57483400457167744</v>
      </c>
      <c r="F177" s="161">
        <v>754.42857142857144</v>
      </c>
      <c r="G177" s="161">
        <v>1312.4285714285713</v>
      </c>
      <c r="H177" s="32">
        <f t="shared" si="237"/>
        <v>0.97380557092787301</v>
      </c>
      <c r="I177" s="161">
        <v>754.14285714285711</v>
      </c>
      <c r="J177" s="161">
        <v>774.42857142857144</v>
      </c>
      <c r="K177" s="52">
        <f t="shared" ref="K177:K182" si="365">SUM(C177+F177+I177)</f>
        <v>1659</v>
      </c>
      <c r="L177" s="6">
        <f t="shared" si="362"/>
        <v>0.38735823882588388</v>
      </c>
      <c r="M177" s="21">
        <f t="shared" ref="M177:M182" si="366">SUM(J177+G177+D177)</f>
        <v>4282.8571428571431</v>
      </c>
      <c r="N177" s="20">
        <f t="shared" si="335"/>
        <v>0.16554963980287132</v>
      </c>
      <c r="O177" s="3">
        <v>1756.8124838709678</v>
      </c>
      <c r="P177" s="130">
        <v>10611.998225806452</v>
      </c>
      <c r="Q177" s="32">
        <f t="shared" si="242"/>
        <v>0.5914747923274184</v>
      </c>
      <c r="R177" s="3">
        <v>2840.1718387096776</v>
      </c>
      <c r="S177" s="3">
        <v>4801.8476451612905</v>
      </c>
      <c r="T177" s="32">
        <f t="shared" si="243"/>
        <v>0.97677344547817779</v>
      </c>
      <c r="U177" s="3">
        <v>6826.1255161290328</v>
      </c>
      <c r="V177" s="3">
        <v>6988.4429677419357</v>
      </c>
      <c r="W177" s="52">
        <f t="shared" ref="W177:W182" si="367">+U177+O177+R177</f>
        <v>11423.109838709677</v>
      </c>
      <c r="X177" s="6">
        <f t="shared" si="363"/>
        <v>0.50990815808835099</v>
      </c>
      <c r="Y177" s="19">
        <f t="shared" ref="Y177:Y182" si="368">+V177+S177+P177</f>
        <v>22402.288838709679</v>
      </c>
      <c r="Z177" s="20">
        <f t="shared" si="338"/>
        <v>2.9152190407731324E-3</v>
      </c>
      <c r="AA177" s="3">
        <v>2.3548387096774195</v>
      </c>
      <c r="AB177" s="3">
        <v>807.77419354838707</v>
      </c>
      <c r="AC177" s="32">
        <f t="shared" si="248"/>
        <v>0.42579694615590674</v>
      </c>
      <c r="AD177" s="3">
        <v>102.54838709677419</v>
      </c>
      <c r="AE177" s="33">
        <v>240.83870967741936</v>
      </c>
      <c r="AF177" s="6">
        <f t="shared" si="249"/>
        <v>0.9545330792267902</v>
      </c>
      <c r="AG177" s="3">
        <v>339.29032258064518</v>
      </c>
      <c r="AH177" s="3">
        <v>355.45161290322579</v>
      </c>
      <c r="AI177" s="52">
        <f t="shared" ref="AI177:AI182" si="369">AG177+AD177+AA177</f>
        <v>444.19354838709683</v>
      </c>
      <c r="AJ177" s="6">
        <f t="shared" si="364"/>
        <v>0.31636263382805685</v>
      </c>
      <c r="AK177" s="21">
        <f t="shared" ref="AK177:AK182" si="370">+AH177+AE177+AB177</f>
        <v>1404.0645161290322</v>
      </c>
      <c r="AL177" s="69">
        <f t="shared" ref="AL177:AL182" si="371">+AI177+W177+K177</f>
        <v>13526.303387096774</v>
      </c>
      <c r="AM177" s="6">
        <f t="shared" si="361"/>
        <v>0.48154800891275773</v>
      </c>
      <c r="AN177" s="3">
        <f t="shared" ref="AN177:AN182" si="372">+AK177+Y177+M177</f>
        <v>28089.210497695858</v>
      </c>
      <c r="AO177" s="6">
        <f t="shared" ref="AO177:AO182" si="373">(+AA177+O177+C177)/(D177+P177+AB177)</f>
        <v>0.14024881109901069</v>
      </c>
      <c r="AP177" s="6">
        <f t="shared" ref="AP177:AP182" si="374">(+AD177+R177+F177)/(G177+S177+AE177)</f>
        <v>0.58175954961157061</v>
      </c>
      <c r="AQ177" s="70">
        <f t="shared" ref="AQ177:AQ182" si="375">(AG177+U177+I177)/(AH177+V177+J177)</f>
        <v>0.97551656265734799</v>
      </c>
    </row>
    <row r="178" spans="1:43" x14ac:dyDescent="0.2">
      <c r="A178" s="133">
        <v>40940</v>
      </c>
      <c r="B178" s="20">
        <f t="shared" si="235"/>
        <v>6.4095432350577908E-2</v>
      </c>
      <c r="C178" s="41">
        <v>148.14285714285714</v>
      </c>
      <c r="D178" s="161">
        <v>2311.2857142857142</v>
      </c>
      <c r="E178" s="32">
        <f t="shared" si="236"/>
        <v>0.56164952737093599</v>
      </c>
      <c r="F178" s="161">
        <v>772.42857142857144</v>
      </c>
      <c r="G178" s="161">
        <v>1375.2857142857142</v>
      </c>
      <c r="H178" s="32">
        <f t="shared" si="237"/>
        <v>0.97345666599638037</v>
      </c>
      <c r="I178" s="161">
        <v>691.57142857142856</v>
      </c>
      <c r="J178" s="161">
        <v>710.42857142857144</v>
      </c>
      <c r="K178" s="52">
        <f t="shared" si="365"/>
        <v>1612.1428571428571</v>
      </c>
      <c r="L178" s="6">
        <f t="shared" si="362"/>
        <v>0.36664608986646741</v>
      </c>
      <c r="M178" s="21">
        <f t="shared" si="366"/>
        <v>4397</v>
      </c>
      <c r="N178" s="20">
        <f t="shared" si="335"/>
        <v>8.5011896436478912E-2</v>
      </c>
      <c r="O178" s="3">
        <v>1073.4457586206897</v>
      </c>
      <c r="P178" s="130">
        <v>12627.006379310345</v>
      </c>
      <c r="Q178" s="32">
        <f t="shared" si="242"/>
        <v>0.57404926243470278</v>
      </c>
      <c r="R178" s="3">
        <v>3121.0351724137931</v>
      </c>
      <c r="S178" s="3">
        <v>5436.8768965517238</v>
      </c>
      <c r="T178" s="32">
        <f t="shared" si="243"/>
        <v>0.97279130631889754</v>
      </c>
      <c r="U178" s="3">
        <v>7560.1752068965516</v>
      </c>
      <c r="V178" s="3">
        <v>7771.6311379310346</v>
      </c>
      <c r="W178" s="52">
        <f t="shared" si="367"/>
        <v>11754.656137931033</v>
      </c>
      <c r="X178" s="6">
        <f t="shared" si="363"/>
        <v>0.45498053375919773</v>
      </c>
      <c r="Y178" s="19">
        <f t="shared" si="368"/>
        <v>25835.514413793106</v>
      </c>
      <c r="Z178" s="20">
        <f t="shared" si="338"/>
        <v>2.4444274692536857E-3</v>
      </c>
      <c r="AA178" s="3">
        <v>2.2068965517241379</v>
      </c>
      <c r="AB178" s="3">
        <v>902.82758620689651</v>
      </c>
      <c r="AC178" s="32">
        <f t="shared" si="248"/>
        <v>0.42183786638500131</v>
      </c>
      <c r="AD178" s="3">
        <v>110.17241379310344</v>
      </c>
      <c r="AE178" s="33">
        <v>261.17241379310343</v>
      </c>
      <c r="AF178" s="6">
        <f t="shared" si="249"/>
        <v>0.7135362997658079</v>
      </c>
      <c r="AG178" s="3">
        <v>262.65517241379308</v>
      </c>
      <c r="AH178" s="3">
        <v>368.10344827586209</v>
      </c>
      <c r="AI178" s="52">
        <f t="shared" si="369"/>
        <v>375.03448275862064</v>
      </c>
      <c r="AJ178" s="6">
        <f t="shared" si="364"/>
        <v>0.24478404717427019</v>
      </c>
      <c r="AK178" s="21">
        <f t="shared" si="370"/>
        <v>1532.1034482758621</v>
      </c>
      <c r="AL178" s="69">
        <f t="shared" si="371"/>
        <v>13741.833477832512</v>
      </c>
      <c r="AM178" s="6">
        <f t="shared" si="361"/>
        <v>0.43261447493256405</v>
      </c>
      <c r="AN178" s="3">
        <f t="shared" si="372"/>
        <v>31764.617862068968</v>
      </c>
      <c r="AO178" s="6">
        <f t="shared" si="373"/>
        <v>7.7254356829055501E-2</v>
      </c>
      <c r="AP178" s="6">
        <f t="shared" si="374"/>
        <v>0.56601817158301337</v>
      </c>
      <c r="AQ178" s="70">
        <f t="shared" si="375"/>
        <v>0.96206156386348463</v>
      </c>
    </row>
    <row r="179" spans="1:43" ht="14.25" customHeight="1" x14ac:dyDescent="0.2">
      <c r="A179" s="133">
        <v>40909</v>
      </c>
      <c r="B179" s="20">
        <f t="shared" si="235"/>
        <v>6.1924686192468617E-2</v>
      </c>
      <c r="C179" s="41">
        <v>148</v>
      </c>
      <c r="D179" s="161">
        <v>2390</v>
      </c>
      <c r="E179" s="32">
        <f t="shared" si="236"/>
        <v>0.57445652173913042</v>
      </c>
      <c r="F179" s="161">
        <v>755</v>
      </c>
      <c r="G179" s="162">
        <v>1314.2857142857142</v>
      </c>
      <c r="H179" s="32">
        <f t="shared" si="237"/>
        <v>0.96603432700993686</v>
      </c>
      <c r="I179" s="161">
        <v>763.85714285714289</v>
      </c>
      <c r="J179" s="161">
        <v>790.71428571428567</v>
      </c>
      <c r="K179" s="52">
        <f t="shared" si="365"/>
        <v>1666.8571428571429</v>
      </c>
      <c r="L179" s="6">
        <f t="shared" si="362"/>
        <v>0.37082472588590498</v>
      </c>
      <c r="M179" s="21">
        <f t="shared" si="366"/>
        <v>4495</v>
      </c>
      <c r="N179" s="20">
        <f t="shared" si="335"/>
        <v>6.7179559171118272E-2</v>
      </c>
      <c r="O179" s="3">
        <v>840.79919354838717</v>
      </c>
      <c r="P179" s="130">
        <v>12515.699774193548</v>
      </c>
      <c r="Q179" s="32">
        <f t="shared" si="242"/>
        <v>0.56089331510994311</v>
      </c>
      <c r="R179" s="3">
        <v>2860.3460967741935</v>
      </c>
      <c r="S179" s="3">
        <v>5099.6259354838712</v>
      </c>
      <c r="T179" s="32">
        <f t="shared" si="243"/>
        <v>0.97319480794963187</v>
      </c>
      <c r="U179" s="3">
        <v>7577.4493870967735</v>
      </c>
      <c r="V179" s="3">
        <v>7786.1588709677417</v>
      </c>
      <c r="W179" s="52">
        <f t="shared" si="367"/>
        <v>11278.594677419354</v>
      </c>
      <c r="X179" s="6">
        <f t="shared" si="363"/>
        <v>0.44401320881902934</v>
      </c>
      <c r="Y179" s="19">
        <f t="shared" si="368"/>
        <v>25401.484580645163</v>
      </c>
      <c r="Z179" s="20">
        <f t="shared" si="338"/>
        <v>2.5882596542085102E-3</v>
      </c>
      <c r="AA179" s="3">
        <v>2.4193548387096775</v>
      </c>
      <c r="AB179" s="3">
        <v>934.74193548387098</v>
      </c>
      <c r="AC179" s="32">
        <f t="shared" si="248"/>
        <v>0.4167373137943563</v>
      </c>
      <c r="AD179" s="3">
        <v>111</v>
      </c>
      <c r="AE179" s="33">
        <v>266.35483870967744</v>
      </c>
      <c r="AF179" s="6">
        <f t="shared" si="249"/>
        <v>0.73164850866226117</v>
      </c>
      <c r="AG179" s="3">
        <v>264.29032258064518</v>
      </c>
      <c r="AH179" s="3">
        <v>361.22580645161293</v>
      </c>
      <c r="AI179" s="52">
        <f t="shared" si="369"/>
        <v>377.70967741935488</v>
      </c>
      <c r="AJ179" s="6">
        <f t="shared" si="364"/>
        <v>0.24176164519326065</v>
      </c>
      <c r="AK179" s="21">
        <f t="shared" si="370"/>
        <v>1562.3225806451615</v>
      </c>
      <c r="AL179" s="69">
        <f t="shared" si="371"/>
        <v>13323.161497695852</v>
      </c>
      <c r="AM179" s="6">
        <f t="shared" si="361"/>
        <v>0.42351133752108178</v>
      </c>
      <c r="AN179" s="3">
        <f t="shared" si="372"/>
        <v>31458.807161290326</v>
      </c>
      <c r="AO179" s="6">
        <f t="shared" si="373"/>
        <v>6.2575183606245685E-2</v>
      </c>
      <c r="AP179" s="6">
        <f t="shared" si="374"/>
        <v>0.55781398888811129</v>
      </c>
      <c r="AQ179" s="70">
        <f t="shared" si="375"/>
        <v>0.96279945970943859</v>
      </c>
    </row>
    <row r="180" spans="1:43" x14ac:dyDescent="0.2">
      <c r="A180" s="133">
        <v>40878</v>
      </c>
      <c r="B180" s="20">
        <f t="shared" ref="B180:B189" si="376">C180/D180</f>
        <v>5.7377973171006652E-2</v>
      </c>
      <c r="C180" s="41">
        <v>145.42857142857142</v>
      </c>
      <c r="D180" s="161">
        <v>2534.5714285714284</v>
      </c>
      <c r="E180" s="32">
        <f t="shared" ref="E180:E189" si="377">F180/G180</f>
        <v>0.56065998058880617</v>
      </c>
      <c r="F180" s="161">
        <v>742.71428571428567</v>
      </c>
      <c r="G180" s="161">
        <v>1324.7142857142858</v>
      </c>
      <c r="H180" s="32">
        <f t="shared" ref="H180:H189" si="378">I180/J180</f>
        <v>0.96266770367489807</v>
      </c>
      <c r="I180" s="161">
        <v>707.28571428571433</v>
      </c>
      <c r="J180" s="161">
        <v>734.71428571428567</v>
      </c>
      <c r="K180" s="52">
        <f t="shared" si="365"/>
        <v>1595.4285714285716</v>
      </c>
      <c r="L180" s="6">
        <f t="shared" si="362"/>
        <v>0.34728527893525718</v>
      </c>
      <c r="M180" s="21">
        <f t="shared" si="366"/>
        <v>4594</v>
      </c>
      <c r="N180" s="20">
        <f t="shared" ref="N180:N189" si="379">O180/P180</f>
        <v>6.6653254207372725E-2</v>
      </c>
      <c r="O180" s="3">
        <v>882.91499999999996</v>
      </c>
      <c r="P180" s="130">
        <v>13246.39</v>
      </c>
      <c r="Q180" s="32">
        <f t="shared" ref="Q180:Q189" si="380">R180/S180</f>
        <v>0.56149625302807393</v>
      </c>
      <c r="R180" s="3">
        <v>2993.77</v>
      </c>
      <c r="S180" s="3">
        <v>5331.7719999999999</v>
      </c>
      <c r="T180" s="32">
        <f t="shared" ref="T180:T188" si="381">U180/V180</f>
        <v>0.9665027200353894</v>
      </c>
      <c r="U180" s="3">
        <v>6239.902</v>
      </c>
      <c r="V180" s="3">
        <v>6456.1660000000002</v>
      </c>
      <c r="W180" s="52">
        <f t="shared" si="367"/>
        <v>10116.587</v>
      </c>
      <c r="X180" s="6">
        <f t="shared" si="363"/>
        <v>0.40410859041233299</v>
      </c>
      <c r="Y180" s="19">
        <f t="shared" si="368"/>
        <v>25034.328000000001</v>
      </c>
      <c r="Z180" s="20">
        <f t="shared" ref="Z180:Z191" si="382">AA180/AB180</f>
        <v>3.1228730431997437E-3</v>
      </c>
      <c r="AA180" s="3">
        <v>2.5161290322580645</v>
      </c>
      <c r="AB180" s="3">
        <v>805.70967741935488</v>
      </c>
      <c r="AC180" s="32">
        <f t="shared" ref="AC180:AC191" si="383">AD180/AE180</f>
        <v>0.4213023991563406</v>
      </c>
      <c r="AD180" s="3">
        <v>103.09677419354838</v>
      </c>
      <c r="AE180" s="33">
        <v>244.70967741935485</v>
      </c>
      <c r="AF180" s="6">
        <f t="shared" ref="AF180:AF191" si="384">AG180/AH180</f>
        <v>0.71912882679268542</v>
      </c>
      <c r="AG180" s="3">
        <v>225.80645161290323</v>
      </c>
      <c r="AH180" s="3">
        <v>314</v>
      </c>
      <c r="AI180" s="52">
        <f t="shared" si="369"/>
        <v>331.41935483870964</v>
      </c>
      <c r="AJ180" s="6">
        <f t="shared" si="364"/>
        <v>0.24290138780528164</v>
      </c>
      <c r="AK180" s="21">
        <f t="shared" si="370"/>
        <v>1364.4193548387098</v>
      </c>
      <c r="AL180" s="69">
        <f t="shared" si="371"/>
        <v>12043.43492626728</v>
      </c>
      <c r="AM180" s="6">
        <f t="shared" si="361"/>
        <v>0.38858881364665504</v>
      </c>
      <c r="AN180" s="3">
        <f t="shared" si="372"/>
        <v>30992.74735483871</v>
      </c>
      <c r="AO180" s="6">
        <f t="shared" si="373"/>
        <v>6.2149884921061882E-2</v>
      </c>
      <c r="AP180" s="6">
        <f t="shared" si="374"/>
        <v>0.55636458961880975</v>
      </c>
      <c r="AQ180" s="70">
        <f t="shared" si="375"/>
        <v>0.9557772932837556</v>
      </c>
    </row>
    <row r="181" spans="1:43" x14ac:dyDescent="0.2">
      <c r="A181" s="133">
        <v>40848</v>
      </c>
      <c r="B181" s="20">
        <f t="shared" si="376"/>
        <v>5.7979637709903484E-2</v>
      </c>
      <c r="C181" s="41">
        <v>125.28571428571429</v>
      </c>
      <c r="D181" s="161">
        <v>2160.8571428571427</v>
      </c>
      <c r="E181" s="32">
        <f t="shared" si="377"/>
        <v>0.55004922874958984</v>
      </c>
      <c r="F181" s="161">
        <v>718.28571428571433</v>
      </c>
      <c r="G181" s="161">
        <v>1305.8571428571429</v>
      </c>
      <c r="H181" s="32">
        <f t="shared" si="378"/>
        <v>0.96877787689562889</v>
      </c>
      <c r="I181" s="161">
        <v>775.71428571428567</v>
      </c>
      <c r="J181" s="161">
        <v>800.71428571428567</v>
      </c>
      <c r="K181" s="52">
        <f t="shared" si="365"/>
        <v>1619.2857142857142</v>
      </c>
      <c r="L181" s="6">
        <f t="shared" si="362"/>
        <v>0.37945232994108202</v>
      </c>
      <c r="M181" s="21">
        <f t="shared" si="366"/>
        <v>4267.4285714285706</v>
      </c>
      <c r="N181" s="20">
        <f t="shared" si="379"/>
        <v>5.0000385167690689E-2</v>
      </c>
      <c r="O181" s="3">
        <v>551.71199999999999</v>
      </c>
      <c r="P181" s="130">
        <v>11034.154999999999</v>
      </c>
      <c r="Q181" s="32">
        <f t="shared" si="380"/>
        <v>0.55433017794348116</v>
      </c>
      <c r="R181" s="3">
        <v>2789.6959999999999</v>
      </c>
      <c r="S181" s="3">
        <v>5032.5529999999999</v>
      </c>
      <c r="T181" s="32">
        <f t="shared" si="381"/>
        <v>0.96407120079803521</v>
      </c>
      <c r="U181" s="3">
        <v>5935.9040000000005</v>
      </c>
      <c r="V181" s="3">
        <v>6157.1220000000003</v>
      </c>
      <c r="W181" s="52">
        <f t="shared" si="367"/>
        <v>9277.3119999999999</v>
      </c>
      <c r="X181" s="6">
        <f t="shared" si="363"/>
        <v>0.41744883757660134</v>
      </c>
      <c r="Y181" s="19">
        <f t="shared" si="368"/>
        <v>22223.829999999998</v>
      </c>
      <c r="Z181" s="20">
        <f t="shared" si="382"/>
        <v>4.4230348149770097E-3</v>
      </c>
      <c r="AA181" s="3">
        <v>3.3666666666666667</v>
      </c>
      <c r="AB181" s="3">
        <v>761.16666666666663</v>
      </c>
      <c r="AC181" s="32">
        <f t="shared" si="383"/>
        <v>0.42617857625287048</v>
      </c>
      <c r="AD181" s="3">
        <v>105.16666666666667</v>
      </c>
      <c r="AE181" s="33">
        <v>246.76666666666668</v>
      </c>
      <c r="AF181" s="6">
        <f t="shared" si="384"/>
        <v>0.75013296457823631</v>
      </c>
      <c r="AG181" s="3">
        <v>235.06666666666666</v>
      </c>
      <c r="AH181" s="3">
        <v>313.36666666666667</v>
      </c>
      <c r="AI181" s="52">
        <f t="shared" si="369"/>
        <v>343.6</v>
      </c>
      <c r="AJ181" s="6">
        <f t="shared" si="364"/>
        <v>0.26004692348444713</v>
      </c>
      <c r="AK181" s="21">
        <f t="shared" si="370"/>
        <v>1321.3</v>
      </c>
      <c r="AL181" s="69">
        <f t="shared" si="371"/>
        <v>11240.197714285714</v>
      </c>
      <c r="AM181" s="6">
        <f t="shared" si="361"/>
        <v>0.40414108919244141</v>
      </c>
      <c r="AN181" s="3">
        <f t="shared" si="372"/>
        <v>27812.55857142857</v>
      </c>
      <c r="AO181" s="6">
        <f t="shared" si="373"/>
        <v>4.8750047576640025E-2</v>
      </c>
      <c r="AP181" s="6">
        <f t="shared" si="374"/>
        <v>0.54867902342832564</v>
      </c>
      <c r="AQ181" s="70">
        <f t="shared" si="375"/>
        <v>0.95536942069623609</v>
      </c>
    </row>
    <row r="182" spans="1:43" x14ac:dyDescent="0.2">
      <c r="A182" s="133">
        <v>40817</v>
      </c>
      <c r="B182" s="20">
        <f t="shared" si="376"/>
        <v>5.678295851744377E-2</v>
      </c>
      <c r="C182" s="41">
        <v>123</v>
      </c>
      <c r="D182" s="159">
        <v>2166.1428571428573</v>
      </c>
      <c r="E182" s="32">
        <f t="shared" si="377"/>
        <v>0.53847011596788585</v>
      </c>
      <c r="F182" s="161">
        <v>689.85714285714289</v>
      </c>
      <c r="G182" s="159">
        <v>1281.1428571428571</v>
      </c>
      <c r="H182" s="32">
        <f t="shared" si="378"/>
        <v>0.96616283064239095</v>
      </c>
      <c r="I182" s="161">
        <v>803.57142857142856</v>
      </c>
      <c r="J182" s="159">
        <v>831.71428571428567</v>
      </c>
      <c r="K182" s="52">
        <f t="shared" si="365"/>
        <v>1616.4285714285716</v>
      </c>
      <c r="L182" s="6">
        <f t="shared" si="362"/>
        <v>0.37775848829833408</v>
      </c>
      <c r="M182" s="21">
        <f t="shared" si="366"/>
        <v>4279</v>
      </c>
      <c r="N182" s="20">
        <f t="shared" si="379"/>
        <v>4.6775948844110113E-2</v>
      </c>
      <c r="O182" s="3">
        <v>490.05404397899997</v>
      </c>
      <c r="P182" s="130">
        <v>10476.62433555757</v>
      </c>
      <c r="Q182" s="32">
        <f t="shared" si="380"/>
        <v>0.54407163402356806</v>
      </c>
      <c r="R182" s="3">
        <v>2993.9431765647146</v>
      </c>
      <c r="S182" s="130">
        <v>5502.8473997507153</v>
      </c>
      <c r="T182" s="32">
        <f t="shared" si="381"/>
        <v>0.9580758024460112</v>
      </c>
      <c r="U182" s="3">
        <v>7637.467912362571</v>
      </c>
      <c r="V182" s="130">
        <v>7971.6739456979994</v>
      </c>
      <c r="W182" s="52">
        <f t="shared" si="367"/>
        <v>11121.465132906285</v>
      </c>
      <c r="X182" s="6">
        <f t="shared" si="363"/>
        <v>0.46433958863712393</v>
      </c>
      <c r="Y182" s="19">
        <f t="shared" si="368"/>
        <v>23951.145681006285</v>
      </c>
      <c r="Z182" s="20">
        <f t="shared" si="382"/>
        <v>5.0000000000000001E-3</v>
      </c>
      <c r="AA182" s="3">
        <v>3.3548387096774195</v>
      </c>
      <c r="AB182" s="130">
        <v>670.9677419354839</v>
      </c>
      <c r="AC182" s="32">
        <f t="shared" si="383"/>
        <v>0.43858450608006561</v>
      </c>
      <c r="AD182" s="3">
        <v>103.54838709677419</v>
      </c>
      <c r="AE182" s="131">
        <v>236.09677419354838</v>
      </c>
      <c r="AF182" s="6">
        <f t="shared" si="384"/>
        <v>0.7651961228372135</v>
      </c>
      <c r="AG182" s="3">
        <v>272.48387096774195</v>
      </c>
      <c r="AH182" s="130">
        <v>356.09677419354841</v>
      </c>
      <c r="AI182" s="52">
        <f t="shared" si="369"/>
        <v>379.38709677419359</v>
      </c>
      <c r="AJ182" s="6">
        <f t="shared" si="364"/>
        <v>0.30034731089432559</v>
      </c>
      <c r="AK182" s="21">
        <f t="shared" si="370"/>
        <v>1263.1612903225807</v>
      </c>
      <c r="AL182" s="69">
        <f t="shared" si="371"/>
        <v>13117.280801109049</v>
      </c>
      <c r="AM182" s="6">
        <f t="shared" ref="AM182:AM189" si="385">AL182/AN182</f>
        <v>0.44475449341305351</v>
      </c>
      <c r="AN182" s="3">
        <f t="shared" si="372"/>
        <v>29493.306971328864</v>
      </c>
      <c r="AO182" s="6">
        <f t="shared" si="373"/>
        <v>4.6298719759327568E-2</v>
      </c>
      <c r="AP182" s="6">
        <f t="shared" si="374"/>
        <v>0.53950167423097151</v>
      </c>
      <c r="AQ182" s="70">
        <f t="shared" si="375"/>
        <v>0.95131147729035492</v>
      </c>
    </row>
    <row r="183" spans="1:43" x14ac:dyDescent="0.2">
      <c r="A183" s="133">
        <v>40797</v>
      </c>
      <c r="B183" s="20">
        <f t="shared" si="376"/>
        <v>5.6620150898043668E-2</v>
      </c>
      <c r="C183" s="41">
        <v>121.14285714285714</v>
      </c>
      <c r="D183" s="161">
        <v>2139.5714285714284</v>
      </c>
      <c r="E183" s="32">
        <f t="shared" si="377"/>
        <v>0.52730158730158727</v>
      </c>
      <c r="F183" s="161">
        <v>711.85714285714289</v>
      </c>
      <c r="G183" s="161">
        <v>1350</v>
      </c>
      <c r="H183" s="32">
        <f t="shared" si="378"/>
        <v>0.93242981606969988</v>
      </c>
      <c r="I183" s="161">
        <v>688</v>
      </c>
      <c r="J183" s="161">
        <v>737.85714285714289</v>
      </c>
      <c r="K183" s="52">
        <f t="shared" ref="K183:K188" si="386">SUM(C183+F183+I183)</f>
        <v>1521</v>
      </c>
      <c r="L183" s="6">
        <f t="shared" ref="L183:L188" si="387">K183/M183</f>
        <v>0.35979318734793186</v>
      </c>
      <c r="M183" s="21">
        <f t="shared" ref="M183:M188" si="388">SUM(J183+G183+D183)</f>
        <v>4227.4285714285716</v>
      </c>
      <c r="N183" s="20">
        <f t="shared" si="379"/>
        <v>4.373036680363631E-2</v>
      </c>
      <c r="O183" s="3">
        <v>441.01900000000001</v>
      </c>
      <c r="P183" s="130">
        <v>10084.959999999999</v>
      </c>
      <c r="Q183" s="32">
        <f t="shared" si="380"/>
        <v>0.53144785652023474</v>
      </c>
      <c r="R183" s="3">
        <v>2952.1109999999999</v>
      </c>
      <c r="S183" s="3">
        <v>5554.8459999999995</v>
      </c>
      <c r="T183" s="32">
        <f t="shared" si="381"/>
        <v>0.94859023770106565</v>
      </c>
      <c r="U183" s="3">
        <v>7169.1869999999999</v>
      </c>
      <c r="V183" s="3">
        <v>7557.7280000000001</v>
      </c>
      <c r="W183" s="52">
        <f t="shared" ref="W183:W190" si="389">+U183+O183+R183</f>
        <v>10562.316999999999</v>
      </c>
      <c r="X183" s="6">
        <f t="shared" ref="X183:X188" si="390">W183/Y183</f>
        <v>0.45532068193110525</v>
      </c>
      <c r="Y183" s="19">
        <f t="shared" ref="Y183:Y190" si="391">+V183+S183+P183</f>
        <v>23197.534</v>
      </c>
      <c r="Z183" s="20">
        <f t="shared" si="382"/>
        <v>3.9629510160822078E-3</v>
      </c>
      <c r="AA183" s="3">
        <v>2.8666666666666667</v>
      </c>
      <c r="AB183" s="3">
        <v>723.36666666666667</v>
      </c>
      <c r="AC183" s="32">
        <f t="shared" si="383"/>
        <v>0.41597154072620213</v>
      </c>
      <c r="AD183" s="3">
        <v>113.03333333333333</v>
      </c>
      <c r="AE183" s="33">
        <v>271.73333333333335</v>
      </c>
      <c r="AF183" s="6">
        <f t="shared" si="384"/>
        <v>0.62588097102584173</v>
      </c>
      <c r="AG183" s="3">
        <v>213.13333333333333</v>
      </c>
      <c r="AH183" s="3">
        <v>340.53333333333336</v>
      </c>
      <c r="AI183" s="52">
        <f t="shared" ref="AI183:AI192" si="392">AG183+AD183+AA183</f>
        <v>329.0333333333333</v>
      </c>
      <c r="AJ183" s="6">
        <f t="shared" ref="AJ183:AJ192" si="393">AI183/AK183</f>
        <v>0.24635004617035614</v>
      </c>
      <c r="AK183" s="21">
        <f t="shared" ref="AK183:AK192" si="394">+AH183+AE183+AB183</f>
        <v>1335.6333333333332</v>
      </c>
      <c r="AL183" s="69">
        <f t="shared" ref="AL183:AL190" si="395">+AI183+W183+K183</f>
        <v>12412.350333333332</v>
      </c>
      <c r="AM183" s="6">
        <f t="shared" si="385"/>
        <v>0.43157486633572201</v>
      </c>
      <c r="AN183" s="3">
        <f t="shared" ref="AN183:AN190" si="396">+AK183+Y183+M183</f>
        <v>28760.595904761904</v>
      </c>
      <c r="AO183" s="6">
        <f t="shared" ref="AO183:AO190" si="397">(+AA183+O183+C183)/(D183+P183+AB183)</f>
        <v>4.3638629193206803E-2</v>
      </c>
      <c r="AP183" s="6">
        <f t="shared" ref="AP183:AP188" si="398">(+AD183+R183+F183)/(G183+S183+AE183)</f>
        <v>0.52629550942846715</v>
      </c>
      <c r="AQ183" s="70">
        <f t="shared" ref="AQ183:AQ188" si="399">(AG183+U183+I183)/(AH183+V183+J183)</f>
        <v>0.9344846710455591</v>
      </c>
    </row>
    <row r="184" spans="1:43" x14ac:dyDescent="0.2">
      <c r="A184" s="133">
        <v>40756</v>
      </c>
      <c r="B184" s="20">
        <f t="shared" si="376"/>
        <v>5.5910543130990413E-2</v>
      </c>
      <c r="C184" s="41">
        <v>125</v>
      </c>
      <c r="D184" s="161">
        <v>2235.7142857142858</v>
      </c>
      <c r="E184" s="32">
        <f t="shared" si="377"/>
        <v>0.52197802197802201</v>
      </c>
      <c r="F184" s="161">
        <v>732.85714285714289</v>
      </c>
      <c r="G184" s="161">
        <v>1404</v>
      </c>
      <c r="H184" s="32">
        <f t="shared" si="378"/>
        <v>0.93213122965189066</v>
      </c>
      <c r="I184" s="161">
        <v>1063.4285714285713</v>
      </c>
      <c r="J184" s="161">
        <v>1140.8571428571429</v>
      </c>
      <c r="K184" s="52">
        <f t="shared" si="386"/>
        <v>1921.2857142857142</v>
      </c>
      <c r="L184" s="6">
        <f t="shared" si="387"/>
        <v>0.40189457327277067</v>
      </c>
      <c r="M184" s="21">
        <f t="shared" si="388"/>
        <v>4780.5714285714294</v>
      </c>
      <c r="N184" s="20">
        <f t="shared" si="379"/>
        <v>3.8858024748781812E-2</v>
      </c>
      <c r="O184" s="3">
        <v>417.709</v>
      </c>
      <c r="P184" s="130">
        <v>10749.62</v>
      </c>
      <c r="Q184" s="32">
        <f t="shared" si="380"/>
        <v>0.5243742257022288</v>
      </c>
      <c r="R184" s="3">
        <v>2923.498</v>
      </c>
      <c r="S184" s="3">
        <v>5575.2129999999997</v>
      </c>
      <c r="T184" s="32">
        <f t="shared" si="381"/>
        <v>0.95227358105282278</v>
      </c>
      <c r="U184" s="3">
        <v>6981.15</v>
      </c>
      <c r="V184" s="3">
        <v>7331.0339999999997</v>
      </c>
      <c r="W184" s="52">
        <f t="shared" si="389"/>
        <v>10322.357</v>
      </c>
      <c r="X184" s="6">
        <f t="shared" si="390"/>
        <v>0.43635504883418563</v>
      </c>
      <c r="Y184" s="19">
        <f t="shared" si="391"/>
        <v>23655.866999999998</v>
      </c>
      <c r="Z184" s="20">
        <f t="shared" si="382"/>
        <v>5.878510777269759E-3</v>
      </c>
      <c r="AA184" s="3">
        <v>4.064516129032258</v>
      </c>
      <c r="AB184" s="3">
        <v>691.41935483870964</v>
      </c>
      <c r="AC184" s="32">
        <f t="shared" si="383"/>
        <v>0.413823758195355</v>
      </c>
      <c r="AD184" s="3">
        <v>120.12903225806451</v>
      </c>
      <c r="AE184" s="33">
        <v>290.29032258064518</v>
      </c>
      <c r="AF184" s="6">
        <f t="shared" si="384"/>
        <v>0.66950610205586047</v>
      </c>
      <c r="AG184" s="3">
        <v>263.67741935483872</v>
      </c>
      <c r="AH184" s="3">
        <v>393.83870967741933</v>
      </c>
      <c r="AI184" s="52">
        <f t="shared" si="392"/>
        <v>387.87096774193549</v>
      </c>
      <c r="AJ184" s="6">
        <f t="shared" si="393"/>
        <v>0.28197551709582103</v>
      </c>
      <c r="AK184" s="21">
        <f t="shared" si="394"/>
        <v>1375.5483870967741</v>
      </c>
      <c r="AL184" s="69">
        <f t="shared" si="395"/>
        <v>12631.513682027649</v>
      </c>
      <c r="AM184" s="6">
        <f t="shared" si="385"/>
        <v>0.42370586570194446</v>
      </c>
      <c r="AN184" s="3">
        <f t="shared" si="396"/>
        <v>29811.986815668199</v>
      </c>
      <c r="AO184" s="6">
        <f t="shared" si="397"/>
        <v>3.9978311410669265E-2</v>
      </c>
      <c r="AP184" s="6">
        <f t="shared" si="398"/>
        <v>0.51949686347685309</v>
      </c>
      <c r="AQ184" s="70">
        <f t="shared" si="399"/>
        <v>0.93712036447943659</v>
      </c>
    </row>
    <row r="185" spans="1:43" x14ac:dyDescent="0.2">
      <c r="A185" s="133">
        <v>40725</v>
      </c>
      <c r="B185" s="20">
        <f t="shared" si="376"/>
        <v>5.7957510249720456E-2</v>
      </c>
      <c r="C185" s="41">
        <v>133.28571428571428</v>
      </c>
      <c r="D185" s="161">
        <v>2299.7142857142858</v>
      </c>
      <c r="E185" s="32">
        <f t="shared" si="377"/>
        <v>0.5398662808102983</v>
      </c>
      <c r="F185" s="161">
        <v>772.85714285714289</v>
      </c>
      <c r="G185" s="161">
        <v>1431.5714285714287</v>
      </c>
      <c r="H185" s="32">
        <f t="shared" si="378"/>
        <v>0.90646853146853157</v>
      </c>
      <c r="I185" s="161">
        <v>888.85714285714289</v>
      </c>
      <c r="J185" s="161">
        <v>980.57142857142856</v>
      </c>
      <c r="K185" s="52">
        <f t="shared" si="386"/>
        <v>1795</v>
      </c>
      <c r="L185" s="6">
        <f t="shared" si="387"/>
        <v>0.38095382469757144</v>
      </c>
      <c r="M185" s="21">
        <f t="shared" si="388"/>
        <v>4711.8571428571431</v>
      </c>
      <c r="N185" s="20">
        <f t="shared" si="379"/>
        <v>3.7751345326449658E-2</v>
      </c>
      <c r="O185" s="3">
        <v>456.02100000000002</v>
      </c>
      <c r="P185" s="130">
        <v>12079.596000000001</v>
      </c>
      <c r="Q185" s="32">
        <f t="shared" si="380"/>
        <v>0.53597551612829974</v>
      </c>
      <c r="R185" s="3">
        <v>3162.4560000000001</v>
      </c>
      <c r="S185" s="3">
        <v>5900.3739999999998</v>
      </c>
      <c r="T185" s="32">
        <f t="shared" si="381"/>
        <v>0.94595995533989052</v>
      </c>
      <c r="U185" s="3">
        <v>7064.393</v>
      </c>
      <c r="V185" s="3">
        <v>7467.9620000000004</v>
      </c>
      <c r="W185" s="52">
        <f t="shared" si="389"/>
        <v>10682.869999999999</v>
      </c>
      <c r="X185" s="6">
        <f t="shared" si="390"/>
        <v>0.4197932468540076</v>
      </c>
      <c r="Y185" s="19">
        <f t="shared" si="391"/>
        <v>25447.932000000001</v>
      </c>
      <c r="Z185" s="20">
        <f t="shared" si="382"/>
        <v>4.0731174249950325E-3</v>
      </c>
      <c r="AA185" s="3">
        <v>2.6451612903225805</v>
      </c>
      <c r="AB185" s="3">
        <v>649.41935483870964</v>
      </c>
      <c r="AC185" s="32">
        <f t="shared" si="383"/>
        <v>0.37368150244404419</v>
      </c>
      <c r="AD185" s="3">
        <v>93.709677419354833</v>
      </c>
      <c r="AE185" s="33">
        <v>250.7741935483871</v>
      </c>
      <c r="AF185" s="6">
        <f t="shared" si="384"/>
        <v>0.67463961558996255</v>
      </c>
      <c r="AG185" s="3">
        <v>203.80645161290323</v>
      </c>
      <c r="AH185" s="3">
        <v>302.09677419354841</v>
      </c>
      <c r="AI185" s="52">
        <f t="shared" si="392"/>
        <v>300.16129032258061</v>
      </c>
      <c r="AJ185" s="6">
        <f t="shared" si="393"/>
        <v>0.24965791097636231</v>
      </c>
      <c r="AK185" s="21">
        <f t="shared" si="394"/>
        <v>1202.2903225806451</v>
      </c>
      <c r="AL185" s="69">
        <f t="shared" si="395"/>
        <v>12778.03129032258</v>
      </c>
      <c r="AM185" s="6">
        <f t="shared" si="385"/>
        <v>0.40743571561970116</v>
      </c>
      <c r="AN185" s="3">
        <f t="shared" si="396"/>
        <v>31362.07946543779</v>
      </c>
      <c r="AO185" s="6">
        <f t="shared" si="397"/>
        <v>3.9388018131534863E-2</v>
      </c>
      <c r="AP185" s="6">
        <f t="shared" si="398"/>
        <v>0.53134271357248852</v>
      </c>
      <c r="AQ185" s="70">
        <f t="shared" si="399"/>
        <v>0.93216790167782693</v>
      </c>
    </row>
    <row r="186" spans="1:43" x14ac:dyDescent="0.2">
      <c r="A186" s="133">
        <v>40695</v>
      </c>
      <c r="B186" s="20">
        <f t="shared" si="376"/>
        <v>6.0055581915542604E-2</v>
      </c>
      <c r="C186" s="41">
        <v>126.57142857142857</v>
      </c>
      <c r="D186" s="161">
        <v>2107.5714285714284</v>
      </c>
      <c r="E186" s="32">
        <f t="shared" si="377"/>
        <v>0.55329037709939799</v>
      </c>
      <c r="F186" s="161">
        <v>748.28571428571433</v>
      </c>
      <c r="G186" s="161">
        <v>1352.4285714285713</v>
      </c>
      <c r="H186" s="32">
        <f t="shared" si="378"/>
        <v>0.93800322061191621</v>
      </c>
      <c r="I186" s="161">
        <v>832.14285714285711</v>
      </c>
      <c r="J186" s="161">
        <v>887.14285714285711</v>
      </c>
      <c r="K186" s="52">
        <f t="shared" si="386"/>
        <v>1707</v>
      </c>
      <c r="L186" s="6">
        <f t="shared" si="387"/>
        <v>0.39267170555372988</v>
      </c>
      <c r="M186" s="21">
        <f t="shared" si="388"/>
        <v>4347.1428571428569</v>
      </c>
      <c r="N186" s="20">
        <f>O186/P186</f>
        <v>4.1877253013298026E-2</v>
      </c>
      <c r="O186" s="3">
        <v>439.21600000000001</v>
      </c>
      <c r="P186" s="130">
        <v>10488.175999999999</v>
      </c>
      <c r="Q186" s="32">
        <f>R186/S186</f>
        <v>0.55057095248702836</v>
      </c>
      <c r="R186" s="3">
        <v>3190.8290000000002</v>
      </c>
      <c r="S186" s="3">
        <v>5795.491</v>
      </c>
      <c r="T186" s="32">
        <f>U186/V186</f>
        <v>0.9491360922881904</v>
      </c>
      <c r="U186" s="3">
        <v>6674.3810000000003</v>
      </c>
      <c r="V186" s="3">
        <v>7032.0590000000002</v>
      </c>
      <c r="W186" s="52">
        <f t="shared" si="389"/>
        <v>10304.426000000001</v>
      </c>
      <c r="X186" s="6">
        <f>W186/Y186</f>
        <v>0.44195175393637759</v>
      </c>
      <c r="Y186" s="19">
        <f t="shared" si="391"/>
        <v>23315.725999999999</v>
      </c>
      <c r="Z186" s="20">
        <f t="shared" si="382"/>
        <v>4.2963528737827005E-3</v>
      </c>
      <c r="AA186" s="3">
        <v>2.903225806451613</v>
      </c>
      <c r="AB186" s="3">
        <v>675.74193548387098</v>
      </c>
      <c r="AC186" s="32">
        <f t="shared" si="383"/>
        <v>0.38187399893219437</v>
      </c>
      <c r="AD186" s="3">
        <v>92.290322580645167</v>
      </c>
      <c r="AE186" s="33">
        <v>241.67741935483872</v>
      </c>
      <c r="AF186" s="6">
        <f t="shared" si="384"/>
        <v>0.69181633030920198</v>
      </c>
      <c r="AG186" s="3">
        <v>241.06451612903226</v>
      </c>
      <c r="AH186" s="3">
        <v>348.45161290322579</v>
      </c>
      <c r="AI186" s="52">
        <f t="shared" si="392"/>
        <v>336.25806451612902</v>
      </c>
      <c r="AJ186" s="6">
        <f t="shared" si="393"/>
        <v>0.2656337597472096</v>
      </c>
      <c r="AK186" s="21">
        <f t="shared" si="394"/>
        <v>1265.8709677419356</v>
      </c>
      <c r="AL186" s="69">
        <f t="shared" si="395"/>
        <v>12347.68406451613</v>
      </c>
      <c r="AM186" s="6">
        <f t="shared" si="385"/>
        <v>0.42683103858864013</v>
      </c>
      <c r="AN186" s="3">
        <f t="shared" si="396"/>
        <v>28928.739824884789</v>
      </c>
      <c r="AO186" s="6">
        <f t="shared" si="397"/>
        <v>4.2850552698187022E-2</v>
      </c>
      <c r="AP186" s="6">
        <f t="shared" si="398"/>
        <v>0.54555140718695261</v>
      </c>
      <c r="AQ186" s="70">
        <f t="shared" si="399"/>
        <v>0.93709640847207698</v>
      </c>
    </row>
    <row r="187" spans="1:43" x14ac:dyDescent="0.2">
      <c r="A187" s="133">
        <v>40664</v>
      </c>
      <c r="B187" s="20">
        <f t="shared" si="376"/>
        <v>5.5296057150707512E-2</v>
      </c>
      <c r="C187" s="41">
        <v>115</v>
      </c>
      <c r="D187" s="159">
        <v>2079.7142857142858</v>
      </c>
      <c r="E187" s="32">
        <f t="shared" si="377"/>
        <v>0.55605902172650157</v>
      </c>
      <c r="F187" s="161">
        <v>683.71428571428567</v>
      </c>
      <c r="G187" s="159">
        <v>1229.5714285714287</v>
      </c>
      <c r="H187" s="32">
        <f t="shared" si="378"/>
        <v>0.92558139534883721</v>
      </c>
      <c r="I187" s="161">
        <v>796</v>
      </c>
      <c r="J187" s="159">
        <v>860</v>
      </c>
      <c r="K187" s="52">
        <f t="shared" si="386"/>
        <v>1594.7142857142858</v>
      </c>
      <c r="L187" s="6">
        <f t="shared" si="387"/>
        <v>0.38249100565358923</v>
      </c>
      <c r="M187" s="21">
        <f t="shared" si="388"/>
        <v>4169.2857142857138</v>
      </c>
      <c r="N187" s="20">
        <f t="shared" si="379"/>
        <v>4.0747895003012548E-2</v>
      </c>
      <c r="O187" s="3">
        <v>441.22</v>
      </c>
      <c r="P187" s="130">
        <v>10828.044</v>
      </c>
      <c r="Q187" s="32">
        <f t="shared" si="380"/>
        <v>0.56000442198108136</v>
      </c>
      <c r="R187" s="3">
        <v>2978.598</v>
      </c>
      <c r="S187" s="3">
        <v>5318.8829999999998</v>
      </c>
      <c r="T187" s="32">
        <f t="shared" si="381"/>
        <v>0.96191421978916891</v>
      </c>
      <c r="U187" s="3">
        <v>6378.357</v>
      </c>
      <c r="V187" s="3">
        <v>6630.9</v>
      </c>
      <c r="W187" s="52">
        <f t="shared" si="389"/>
        <v>9798.1749999999993</v>
      </c>
      <c r="X187" s="6">
        <f t="shared" si="390"/>
        <v>0.43016285091637585</v>
      </c>
      <c r="Y187" s="19">
        <f t="shared" si="391"/>
        <v>22777.826999999997</v>
      </c>
      <c r="Z187" s="20">
        <f t="shared" si="382"/>
        <v>3.3925364198762716E-3</v>
      </c>
      <c r="AA187" s="41">
        <v>2.193548387096774</v>
      </c>
      <c r="AB187" s="129">
        <v>646.58064516129036</v>
      </c>
      <c r="AC187" s="32">
        <f t="shared" si="383"/>
        <v>0.37956975056090808</v>
      </c>
      <c r="AD187" s="41">
        <v>92.774193548387103</v>
      </c>
      <c r="AE187" s="132">
        <v>244.41935483870967</v>
      </c>
      <c r="AF187" s="6">
        <f t="shared" si="384"/>
        <v>0.70024398745207395</v>
      </c>
      <c r="AG187" s="41">
        <v>259.22580645161293</v>
      </c>
      <c r="AH187" s="129">
        <v>370.19354838709677</v>
      </c>
      <c r="AI187" s="52">
        <f t="shared" si="392"/>
        <v>354.19354838709677</v>
      </c>
      <c r="AJ187" s="6">
        <f t="shared" si="393"/>
        <v>0.28083996214543316</v>
      </c>
      <c r="AK187" s="21">
        <f t="shared" si="394"/>
        <v>1261.1935483870968</v>
      </c>
      <c r="AL187" s="69">
        <f t="shared" si="395"/>
        <v>11747.082834101382</v>
      </c>
      <c r="AM187" s="6">
        <f t="shared" si="385"/>
        <v>0.41644055919961198</v>
      </c>
      <c r="AN187" s="3">
        <f t="shared" si="396"/>
        <v>28208.30626267281</v>
      </c>
      <c r="AO187" s="6">
        <f t="shared" si="397"/>
        <v>4.1198139668403938E-2</v>
      </c>
      <c r="AP187" s="6">
        <f t="shared" si="398"/>
        <v>0.55279791719868465</v>
      </c>
      <c r="AQ187" s="70">
        <f t="shared" si="399"/>
        <v>0.94561688659420695</v>
      </c>
    </row>
    <row r="188" spans="1:43" x14ac:dyDescent="0.2">
      <c r="A188" s="133">
        <v>40634</v>
      </c>
      <c r="B188" s="20">
        <f t="shared" si="376"/>
        <v>5.419863447596255E-2</v>
      </c>
      <c r="C188" s="41">
        <v>110</v>
      </c>
      <c r="D188" s="159">
        <v>2029.5714285714287</v>
      </c>
      <c r="E188" s="32">
        <f t="shared" si="377"/>
        <v>0.54990990990990996</v>
      </c>
      <c r="F188" s="161">
        <v>654</v>
      </c>
      <c r="G188" s="169">
        <v>1189.2857142857142</v>
      </c>
      <c r="H188" s="6">
        <f t="shared" si="378"/>
        <v>0.93638101859899181</v>
      </c>
      <c r="I188" s="161">
        <v>769.57142857142856</v>
      </c>
      <c r="J188" s="159">
        <v>821.85714285714289</v>
      </c>
      <c r="K188" s="52">
        <f t="shared" si="386"/>
        <v>1533.5714285714284</v>
      </c>
      <c r="L188" s="6">
        <f t="shared" si="387"/>
        <v>0.3795297861057097</v>
      </c>
      <c r="M188" s="21">
        <f t="shared" si="388"/>
        <v>4040.7142857142858</v>
      </c>
      <c r="N188" s="20">
        <f t="shared" si="379"/>
        <v>4.0047612770436614E-2</v>
      </c>
      <c r="O188" s="3">
        <v>396.0675157384286</v>
      </c>
      <c r="P188" s="130">
        <v>9889.9157362710012</v>
      </c>
      <c r="Q188" s="32">
        <f t="shared" si="380"/>
        <v>0.56506480853083008</v>
      </c>
      <c r="R188" s="3">
        <v>2729.5123910905713</v>
      </c>
      <c r="S188" s="130">
        <v>4830.4413049315717</v>
      </c>
      <c r="T188" s="32">
        <f t="shared" si="381"/>
        <v>0.96512023611505227</v>
      </c>
      <c r="U188" s="3">
        <v>6793.7844707774266</v>
      </c>
      <c r="V188" s="130">
        <v>7039.3140839371408</v>
      </c>
      <c r="W188" s="52">
        <f t="shared" si="389"/>
        <v>9919.3643776064273</v>
      </c>
      <c r="X188" s="6">
        <f t="shared" si="390"/>
        <v>0.45586003210067988</v>
      </c>
      <c r="Y188" s="19">
        <f t="shared" si="391"/>
        <v>21759.671125139714</v>
      </c>
      <c r="Z188" s="20">
        <f t="shared" si="382"/>
        <v>2.9255558556125663E-3</v>
      </c>
      <c r="AA188" s="41">
        <v>2.096774193548387</v>
      </c>
      <c r="AB188" s="129">
        <v>716.70967741935488</v>
      </c>
      <c r="AC188" s="32">
        <f t="shared" si="383"/>
        <v>0.39021447721179625</v>
      </c>
      <c r="AD188" s="41">
        <v>93.903225806451616</v>
      </c>
      <c r="AE188" s="132">
        <v>240.64516129032259</v>
      </c>
      <c r="AF188" s="6">
        <f t="shared" si="384"/>
        <v>0.65578692493946733</v>
      </c>
      <c r="AG188" s="41">
        <v>218.41935483870967</v>
      </c>
      <c r="AH188" s="129">
        <v>333.06451612903226</v>
      </c>
      <c r="AI188" s="52">
        <f t="shared" si="392"/>
        <v>314.41935483870969</v>
      </c>
      <c r="AJ188" s="6">
        <f t="shared" si="393"/>
        <v>0.24365672574556907</v>
      </c>
      <c r="AK188" s="21">
        <f t="shared" si="394"/>
        <v>1290.4193548387098</v>
      </c>
      <c r="AL188" s="69">
        <f t="shared" si="395"/>
        <v>11767.355161016567</v>
      </c>
      <c r="AM188" s="6">
        <f t="shared" si="385"/>
        <v>0.43436713168146729</v>
      </c>
      <c r="AN188" s="3">
        <f t="shared" si="396"/>
        <v>27090.804765692708</v>
      </c>
      <c r="AO188" s="6">
        <f t="shared" si="397"/>
        <v>4.0214971029291072E-2</v>
      </c>
      <c r="AP188" s="6">
        <f t="shared" si="398"/>
        <v>0.55546467791872789</v>
      </c>
      <c r="AQ188" s="70">
        <f t="shared" si="399"/>
        <v>0.94966455668645366</v>
      </c>
    </row>
    <row r="189" spans="1:43" x14ac:dyDescent="0.2">
      <c r="A189" s="133">
        <v>40603</v>
      </c>
      <c r="B189" s="20">
        <f t="shared" si="376"/>
        <v>5.2330284363138573E-2</v>
      </c>
      <c r="C189" s="41">
        <v>120.14285714285714</v>
      </c>
      <c r="D189" s="159">
        <v>2295.8571428571427</v>
      </c>
      <c r="E189" s="32">
        <f t="shared" si="377"/>
        <v>0.54981936837198464</v>
      </c>
      <c r="F189" s="161">
        <v>674</v>
      </c>
      <c r="G189" s="169">
        <v>1225.8571428571429</v>
      </c>
      <c r="H189" s="6">
        <f t="shared" si="378"/>
        <v>0.96626134612091119</v>
      </c>
      <c r="I189" s="161">
        <v>806</v>
      </c>
      <c r="J189" s="159">
        <v>834.14285714285711</v>
      </c>
      <c r="K189" s="52">
        <f>SUM(C189+F189+I189)</f>
        <v>1600.1428571428571</v>
      </c>
      <c r="L189" s="6">
        <f>K189/M189</f>
        <v>0.36735430126922697</v>
      </c>
      <c r="M189" s="21">
        <f>SUM(J189+G189+D189)</f>
        <v>4355.8571428571431</v>
      </c>
      <c r="N189" s="20">
        <f t="shared" si="379"/>
        <v>3.8716547857817085E-2</v>
      </c>
      <c r="O189" s="3">
        <v>443.25667175542861</v>
      </c>
      <c r="P189" s="130">
        <v>11448.765354371146</v>
      </c>
      <c r="Q189" s="32">
        <f t="shared" si="380"/>
        <v>0.56021120134539304</v>
      </c>
      <c r="R189" s="3">
        <v>2971.6844494624293</v>
      </c>
      <c r="S189" s="131">
        <v>5304.5787772998574</v>
      </c>
      <c r="T189" s="6">
        <f>U189/V189</f>
        <v>0.96593027874973725</v>
      </c>
      <c r="U189" s="3">
        <v>6089.2900902951433</v>
      </c>
      <c r="V189" s="130">
        <v>6304.0679273217156</v>
      </c>
      <c r="W189" s="52">
        <f t="shared" si="389"/>
        <v>9504.2312115130007</v>
      </c>
      <c r="X189" s="6">
        <f>W189/Y189</f>
        <v>0.41219852371967369</v>
      </c>
      <c r="Y189" s="19">
        <f t="shared" si="391"/>
        <v>23057.412058992719</v>
      </c>
      <c r="Z189" s="20">
        <f t="shared" si="382"/>
        <v>2.8382581648522553E-3</v>
      </c>
      <c r="AA189" s="41">
        <v>2.3548387096774195</v>
      </c>
      <c r="AB189" s="129">
        <v>829.67741935483866</v>
      </c>
      <c r="AC189" s="32">
        <f t="shared" si="383"/>
        <v>0.39172625127681304</v>
      </c>
      <c r="AD189" s="41">
        <v>98.967741935483872</v>
      </c>
      <c r="AE189" s="132">
        <v>252.64516129032259</v>
      </c>
      <c r="AF189" s="6">
        <f t="shared" si="384"/>
        <v>0.64440346375881974</v>
      </c>
      <c r="AG189" s="41">
        <v>259.25806451612902</v>
      </c>
      <c r="AH189" s="129">
        <v>402.32258064516128</v>
      </c>
      <c r="AI189" s="52">
        <f t="shared" si="392"/>
        <v>360.58064516129036</v>
      </c>
      <c r="AJ189" s="6">
        <f t="shared" si="393"/>
        <v>0.24287328350425869</v>
      </c>
      <c r="AK189" s="21">
        <f t="shared" si="394"/>
        <v>1484.6451612903224</v>
      </c>
      <c r="AL189" s="69">
        <f t="shared" si="395"/>
        <v>11464.954713817147</v>
      </c>
      <c r="AM189" s="6">
        <f t="shared" si="385"/>
        <v>0.39673986744319883</v>
      </c>
      <c r="AN189" s="3">
        <f t="shared" si="396"/>
        <v>28897.914363140182</v>
      </c>
      <c r="AO189" s="6">
        <f t="shared" si="397"/>
        <v>3.8818630798466612E-2</v>
      </c>
      <c r="AP189" s="6">
        <f t="shared" ref="AP189:AP194" si="400">(+AD189+R189+F189)/(G189+S189+AE189)</f>
        <v>0.55205770746866956</v>
      </c>
      <c r="AQ189" s="70">
        <f t="shared" ref="AQ189:AQ194" si="401">(AG189+U189+I189)/(AH189+V189+J189)</f>
        <v>0.94881194849101447</v>
      </c>
    </row>
    <row r="190" spans="1:43" x14ac:dyDescent="0.2">
      <c r="A190" s="133">
        <v>40575</v>
      </c>
      <c r="B190" s="20">
        <f t="shared" ref="B190:B196" si="402">C190/D190</f>
        <v>5.1679737797026809E-2</v>
      </c>
      <c r="C190" s="41">
        <v>126.14285714285714</v>
      </c>
      <c r="D190" s="159">
        <v>2440.8571428571427</v>
      </c>
      <c r="E190" s="32">
        <f t="shared" ref="E190:E196" si="403">F190/G190</f>
        <v>0.53609442512382754</v>
      </c>
      <c r="F190" s="161">
        <v>726.71428571428567</v>
      </c>
      <c r="G190" s="169">
        <v>1355.5714285714287</v>
      </c>
      <c r="H190" s="6">
        <f t="shared" ref="H190:H196" si="404">I190/J190</f>
        <v>0.96439317953861581</v>
      </c>
      <c r="I190" s="161">
        <v>824.14285714285711</v>
      </c>
      <c r="J190" s="159">
        <v>854.57142857142856</v>
      </c>
      <c r="K190" s="52">
        <f>SUM(C190+F190+I190)</f>
        <v>1677</v>
      </c>
      <c r="L190" s="6">
        <f t="shared" ref="L190:L195" si="405">K190/M190</f>
        <v>0.36056761986669533</v>
      </c>
      <c r="M190" s="21">
        <f t="shared" ref="M190:M195" si="406">SUM(J190+G190+D190)</f>
        <v>4651</v>
      </c>
      <c r="N190" s="20">
        <f t="shared" ref="N190:N196" si="407">O190/P190</f>
        <v>3.9636226521359279E-2</v>
      </c>
      <c r="O190" s="3">
        <v>486.94415044257141</v>
      </c>
      <c r="P190" s="130">
        <v>12285.330698172431</v>
      </c>
      <c r="Q190" s="32">
        <f t="shared" ref="Q190:Q196" si="408">R190/S190</f>
        <v>0.56470267720382861</v>
      </c>
      <c r="R190" s="3">
        <v>3142.1160094522857</v>
      </c>
      <c r="S190" s="131">
        <v>5564.1953479142858</v>
      </c>
      <c r="T190" s="6">
        <f t="shared" ref="T190:T196" si="409">U190/V190</f>
        <v>0.95717774083014218</v>
      </c>
      <c r="U190" s="3">
        <v>6159.4920023307131</v>
      </c>
      <c r="V190" s="130">
        <v>6435.0556219461414</v>
      </c>
      <c r="W190" s="52">
        <f t="shared" si="389"/>
        <v>9788.5521622255692</v>
      </c>
      <c r="X190" s="6">
        <f t="shared" ref="X190:X195" si="410">W190/Y190</f>
        <v>0.40307682858341282</v>
      </c>
      <c r="Y190" s="19">
        <f t="shared" si="391"/>
        <v>24284.581668032857</v>
      </c>
      <c r="Z190" s="20">
        <f t="shared" si="382"/>
        <v>2.8023032629558541E-3</v>
      </c>
      <c r="AA190" s="41">
        <v>2.6071428571428572</v>
      </c>
      <c r="AB190" s="129">
        <v>930.35714285714289</v>
      </c>
      <c r="AC190" s="32">
        <f t="shared" si="383"/>
        <v>0.42661708062159642</v>
      </c>
      <c r="AD190" s="41">
        <v>114.71428571428571</v>
      </c>
      <c r="AE190" s="132">
        <v>268.89285714285717</v>
      </c>
      <c r="AF190" s="6">
        <f t="shared" si="384"/>
        <v>0.61985070500414707</v>
      </c>
      <c r="AG190" s="41">
        <v>240.21428571428572</v>
      </c>
      <c r="AH190" s="129">
        <v>387.53571428571428</v>
      </c>
      <c r="AI190" s="52">
        <f t="shared" si="392"/>
        <v>357.53571428571428</v>
      </c>
      <c r="AJ190" s="6">
        <f t="shared" si="393"/>
        <v>0.22532072923700203</v>
      </c>
      <c r="AK190" s="21">
        <f t="shared" si="394"/>
        <v>1586.7857142857142</v>
      </c>
      <c r="AL190" s="69">
        <f t="shared" si="395"/>
        <v>11823.087876511283</v>
      </c>
      <c r="AM190" s="6">
        <f t="shared" ref="AM190:AM195" si="411">AL190/AN190</f>
        <v>0.38735815372435128</v>
      </c>
      <c r="AN190" s="3">
        <f t="shared" si="396"/>
        <v>30522.367382318571</v>
      </c>
      <c r="AO190" s="6">
        <f t="shared" si="397"/>
        <v>3.9325033145960794E-2</v>
      </c>
      <c r="AP190" s="6">
        <f t="shared" si="400"/>
        <v>0.55414288391758371</v>
      </c>
      <c r="AQ190" s="70">
        <f t="shared" si="401"/>
        <v>0.94095297527184252</v>
      </c>
    </row>
    <row r="191" spans="1:43" x14ac:dyDescent="0.2">
      <c r="A191" s="110">
        <v>40544</v>
      </c>
      <c r="B191" s="20">
        <f t="shared" si="402"/>
        <v>5.1928701506539367E-2</v>
      </c>
      <c r="C191" s="41">
        <v>134.42857142857142</v>
      </c>
      <c r="D191" s="161">
        <v>2588.7142857142858</v>
      </c>
      <c r="E191" s="32">
        <f t="shared" si="403"/>
        <v>0.53258472027270909</v>
      </c>
      <c r="F191" s="161">
        <v>758.85714285714289</v>
      </c>
      <c r="G191" s="162">
        <v>1424.8571428571429</v>
      </c>
      <c r="H191" s="6">
        <f t="shared" si="404"/>
        <v>0.95767032287965403</v>
      </c>
      <c r="I191" s="161">
        <v>885.57142857142856</v>
      </c>
      <c r="J191" s="178">
        <v>924.71428571428567</v>
      </c>
      <c r="K191" s="52">
        <f t="shared" ref="K191:K196" si="412">SUM(C191+F191+I191)</f>
        <v>1778.8571428571429</v>
      </c>
      <c r="L191" s="6">
        <f t="shared" si="405"/>
        <v>0.36021754223559366</v>
      </c>
      <c r="M191" s="21">
        <f t="shared" si="406"/>
        <v>4938.2857142857138</v>
      </c>
      <c r="N191" s="20">
        <f t="shared" si="407"/>
        <v>3.6083667509186138E-2</v>
      </c>
      <c r="O191" s="10">
        <v>494.0055656020001</v>
      </c>
      <c r="P191" s="3">
        <v>13690.558629502855</v>
      </c>
      <c r="Q191" s="32">
        <f t="shared" si="408"/>
        <v>0.55159688429793052</v>
      </c>
      <c r="R191" s="3">
        <v>2851.4461888065712</v>
      </c>
      <c r="S191" s="33">
        <v>5169.4385337869999</v>
      </c>
      <c r="T191" s="6">
        <f t="shared" si="409"/>
        <v>0.96684807600779687</v>
      </c>
      <c r="U191" s="3">
        <v>6559.305714404285</v>
      </c>
      <c r="V191" s="21">
        <v>6784.2155113844274</v>
      </c>
      <c r="W191" s="52">
        <f t="shared" ref="W191:W196" si="413">+U191+O191+R191</f>
        <v>9904.757468812857</v>
      </c>
      <c r="X191" s="6">
        <f t="shared" si="410"/>
        <v>0.38623753415501033</v>
      </c>
      <c r="Y191" s="19">
        <f t="shared" ref="Y191:Y196" si="414">+V191+S191+P191</f>
        <v>25644.212674674283</v>
      </c>
      <c r="Z191" s="20">
        <f t="shared" si="382"/>
        <v>3.1717098067808969E-3</v>
      </c>
      <c r="AA191" s="41">
        <v>2.806451612903226</v>
      </c>
      <c r="AB191" s="41">
        <v>884.83870967741939</v>
      </c>
      <c r="AC191" s="32">
        <f t="shared" si="383"/>
        <v>0.39733671528218134</v>
      </c>
      <c r="AD191" s="41">
        <v>101.06451612903226</v>
      </c>
      <c r="AE191" s="100">
        <v>254.35483870967741</v>
      </c>
      <c r="AF191" s="6">
        <f t="shared" si="384"/>
        <v>0.62041366906474826</v>
      </c>
      <c r="AG191" s="41">
        <v>222.54838709677421</v>
      </c>
      <c r="AH191" s="75">
        <v>358.70967741935482</v>
      </c>
      <c r="AI191" s="52">
        <f t="shared" si="392"/>
        <v>326.41935483870969</v>
      </c>
      <c r="AJ191" s="6">
        <f t="shared" si="393"/>
        <v>0.21791751911273824</v>
      </c>
      <c r="AK191" s="21">
        <f t="shared" si="394"/>
        <v>1497.9032258064517</v>
      </c>
      <c r="AL191" s="69">
        <f t="shared" ref="AL191:AL196" si="415">+AI191+W191+K191</f>
        <v>12010.03396650871</v>
      </c>
      <c r="AM191" s="6">
        <f t="shared" si="411"/>
        <v>0.37437293057392873</v>
      </c>
      <c r="AN191" s="3">
        <f t="shared" ref="AN191:AN196" si="416">+AK191+Y191+M191</f>
        <v>32080.401614766448</v>
      </c>
      <c r="AO191" s="6">
        <f t="shared" ref="AO191:AO196" si="417">(+AA191+O191+C191)/(D191+P191+AB191)</f>
        <v>3.6776770184128449E-2</v>
      </c>
      <c r="AP191" s="6">
        <f t="shared" si="400"/>
        <v>0.54191228468620534</v>
      </c>
      <c r="AQ191" s="70">
        <f t="shared" si="401"/>
        <v>0.95039268354644879</v>
      </c>
    </row>
    <row r="192" spans="1:43" x14ac:dyDescent="0.2">
      <c r="A192" s="110">
        <v>40513</v>
      </c>
      <c r="B192" s="20">
        <f t="shared" si="402"/>
        <v>4.8620088808948345E-2</v>
      </c>
      <c r="C192" s="41">
        <v>123.57142857142857</v>
      </c>
      <c r="D192" s="161">
        <v>2541.5714285714284</v>
      </c>
      <c r="E192" s="32">
        <f t="shared" si="403"/>
        <v>0.54149148041602124</v>
      </c>
      <c r="F192" s="161">
        <v>699.14285714285711</v>
      </c>
      <c r="G192" s="162">
        <v>1291.1428571428571</v>
      </c>
      <c r="H192" s="6">
        <f t="shared" si="404"/>
        <v>0.96809854706253939</v>
      </c>
      <c r="I192" s="161">
        <v>875.71428571428567</v>
      </c>
      <c r="J192" s="178">
        <v>904.57142857142856</v>
      </c>
      <c r="K192" s="52">
        <f t="shared" si="412"/>
        <v>1698.4285714285713</v>
      </c>
      <c r="L192" s="6">
        <f t="shared" si="405"/>
        <v>0.35852356684056574</v>
      </c>
      <c r="M192" s="21">
        <f t="shared" si="406"/>
        <v>4737.2857142857138</v>
      </c>
      <c r="N192" s="20">
        <f t="shared" si="407"/>
        <v>3.7825928049017736E-2</v>
      </c>
      <c r="O192" s="10">
        <v>509.81400000000002</v>
      </c>
      <c r="P192" s="3">
        <v>13477.897999999999</v>
      </c>
      <c r="Q192" s="32">
        <f t="shared" si="408"/>
        <v>0.55428335672676021</v>
      </c>
      <c r="R192" s="3">
        <v>3100.752</v>
      </c>
      <c r="S192" s="33">
        <v>5594.1639999999998</v>
      </c>
      <c r="T192" s="6">
        <f t="shared" si="409"/>
        <v>0.96899919738458018</v>
      </c>
      <c r="U192" s="3">
        <v>6112.57</v>
      </c>
      <c r="V192" s="21">
        <v>6308.1270000000004</v>
      </c>
      <c r="W192" s="52">
        <f t="shared" si="413"/>
        <v>9723.1360000000004</v>
      </c>
      <c r="X192" s="6">
        <f t="shared" si="410"/>
        <v>0.38309943239587385</v>
      </c>
      <c r="Y192" s="19">
        <f t="shared" si="414"/>
        <v>25380.188999999998</v>
      </c>
      <c r="Z192" s="20">
        <f>AA192/AB192</f>
        <v>3.2413629535931691E-3</v>
      </c>
      <c r="AA192" s="41">
        <v>2.6451612903225805</v>
      </c>
      <c r="AB192" s="41">
        <v>816.06451612903231</v>
      </c>
      <c r="AC192" s="32">
        <f>AD192/AE192</f>
        <v>0.42740998838559818</v>
      </c>
      <c r="AD192" s="41">
        <v>106.83870967741936</v>
      </c>
      <c r="AE192" s="100">
        <v>249.96774193548387</v>
      </c>
      <c r="AF192" s="6">
        <f>AG192/AH192</f>
        <v>0.6108649585821615</v>
      </c>
      <c r="AG192" s="41">
        <v>204.58064516129033</v>
      </c>
      <c r="AH192" s="75">
        <v>334.90322580645159</v>
      </c>
      <c r="AI192" s="52">
        <f t="shared" si="392"/>
        <v>314.06451612903226</v>
      </c>
      <c r="AJ192" s="6">
        <f t="shared" si="393"/>
        <v>0.22418199820396509</v>
      </c>
      <c r="AK192" s="21">
        <f t="shared" si="394"/>
        <v>1400.9354838709678</v>
      </c>
      <c r="AL192" s="69">
        <f t="shared" si="415"/>
        <v>11735.629087557603</v>
      </c>
      <c r="AM192" s="6">
        <f t="shared" si="411"/>
        <v>0.37234203799542998</v>
      </c>
      <c r="AN192" s="3">
        <f t="shared" si="416"/>
        <v>31518.410198156682</v>
      </c>
      <c r="AO192" s="6">
        <f t="shared" si="417"/>
        <v>3.7779056604377123E-2</v>
      </c>
      <c r="AP192" s="6">
        <f t="shared" si="400"/>
        <v>0.54752392673505623</v>
      </c>
      <c r="AQ192" s="70">
        <f t="shared" si="401"/>
        <v>0.95300007343438098</v>
      </c>
    </row>
    <row r="193" spans="1:43" x14ac:dyDescent="0.2">
      <c r="A193" s="110">
        <v>40483</v>
      </c>
      <c r="B193" s="20">
        <f t="shared" si="402"/>
        <v>5.0263729444616809E-2</v>
      </c>
      <c r="C193" s="41">
        <v>115.71428571428571</v>
      </c>
      <c r="D193" s="161">
        <v>2302.1428571428573</v>
      </c>
      <c r="E193" s="32">
        <f t="shared" si="403"/>
        <v>0.52682450043440487</v>
      </c>
      <c r="F193" s="161">
        <v>693</v>
      </c>
      <c r="G193" s="162">
        <v>1315.4285714285713</v>
      </c>
      <c r="H193" s="6">
        <f t="shared" si="404"/>
        <v>0.96645021645021645</v>
      </c>
      <c r="I193" s="161">
        <v>893</v>
      </c>
      <c r="J193" s="178">
        <v>924</v>
      </c>
      <c r="K193" s="52">
        <f t="shared" si="412"/>
        <v>1701.7142857142858</v>
      </c>
      <c r="L193" s="6">
        <f t="shared" si="405"/>
        <v>0.37469724135761689</v>
      </c>
      <c r="M193" s="21">
        <f t="shared" si="406"/>
        <v>4541.5714285714294</v>
      </c>
      <c r="N193" s="20">
        <f t="shared" si="407"/>
        <v>3.8632131948727194E-2</v>
      </c>
      <c r="O193" s="10">
        <v>465.23899999999998</v>
      </c>
      <c r="P193" s="3">
        <v>12042.799000000001</v>
      </c>
      <c r="Q193" s="32">
        <f t="shared" si="408"/>
        <v>0.55199333641913795</v>
      </c>
      <c r="R193" s="3">
        <v>3015.942</v>
      </c>
      <c r="S193" s="33">
        <v>5463.7290000000003</v>
      </c>
      <c r="T193" s="6">
        <f t="shared" si="409"/>
        <v>0.9725778726480272</v>
      </c>
      <c r="U193" s="3">
        <v>5976.4920000000002</v>
      </c>
      <c r="V193" s="21">
        <v>6145.0010000000002</v>
      </c>
      <c r="W193" s="52">
        <f t="shared" si="413"/>
        <v>9457.6729999999989</v>
      </c>
      <c r="X193" s="6">
        <f t="shared" si="410"/>
        <v>0.39987575433283817</v>
      </c>
      <c r="Y193" s="19">
        <f t="shared" si="414"/>
        <v>23651.529000000002</v>
      </c>
      <c r="Z193" s="20">
        <f>AA193/AB193</f>
        <v>4.5647934763339828E-3</v>
      </c>
      <c r="AA193" s="41">
        <v>3.4333333333333331</v>
      </c>
      <c r="AB193" s="41">
        <v>752.13333333333333</v>
      </c>
      <c r="AC193" s="32">
        <f>AD193/AE193</f>
        <v>0.42366554684583801</v>
      </c>
      <c r="AD193" s="41">
        <v>113.5</v>
      </c>
      <c r="AE193" s="100">
        <v>267.89999999999998</v>
      </c>
      <c r="AF193" s="6">
        <f>AG193/AH193</f>
        <v>0.66864295125164697</v>
      </c>
      <c r="AG193" s="41">
        <v>236.83333333333334</v>
      </c>
      <c r="AH193" s="75">
        <v>354.2</v>
      </c>
      <c r="AI193" s="52">
        <f>AG193+AD193+AA193</f>
        <v>353.76666666666671</v>
      </c>
      <c r="AJ193" s="6">
        <f>AI193/AK193</f>
        <v>0.25742838431125242</v>
      </c>
      <c r="AK193" s="21">
        <f>+AH193+AE193+AB193</f>
        <v>1374.2333333333331</v>
      </c>
      <c r="AL193" s="69">
        <f t="shared" si="415"/>
        <v>11513.153952380952</v>
      </c>
      <c r="AM193" s="6">
        <f t="shared" si="411"/>
        <v>0.3893876277479833</v>
      </c>
      <c r="AN193" s="3">
        <f t="shared" si="416"/>
        <v>29567.333761904767</v>
      </c>
      <c r="AO193" s="6">
        <f t="shared" si="417"/>
        <v>3.8708598299640996E-2</v>
      </c>
      <c r="AP193" s="6">
        <f t="shared" si="400"/>
        <v>0.54241674078236868</v>
      </c>
      <c r="AQ193" s="70">
        <f t="shared" si="401"/>
        <v>0.95731279987344187</v>
      </c>
    </row>
    <row r="194" spans="1:43" x14ac:dyDescent="0.2">
      <c r="A194" s="110">
        <v>40452</v>
      </c>
      <c r="B194" s="20">
        <f t="shared" si="402"/>
        <v>5.1619299405155319E-2</v>
      </c>
      <c r="C194" s="41">
        <f>781/7</f>
        <v>111.57142857142857</v>
      </c>
      <c r="D194" s="161">
        <f>15130/7</f>
        <v>2161.4285714285716</v>
      </c>
      <c r="E194" s="32">
        <f t="shared" si="403"/>
        <v>0.53058877644894209</v>
      </c>
      <c r="F194" s="161">
        <f>4614/7</f>
        <v>659.14285714285711</v>
      </c>
      <c r="G194" s="162">
        <f>8696/7</f>
        <v>1242.2857142857142</v>
      </c>
      <c r="H194" s="6">
        <f t="shared" si="404"/>
        <v>0.96590088137552377</v>
      </c>
      <c r="I194" s="161">
        <f>6685/7</f>
        <v>955</v>
      </c>
      <c r="J194" s="178">
        <f>6921/7</f>
        <v>988.71428571428567</v>
      </c>
      <c r="K194" s="52">
        <f t="shared" si="412"/>
        <v>1725.7142857142858</v>
      </c>
      <c r="L194" s="6">
        <f t="shared" si="405"/>
        <v>0.3928838585878297</v>
      </c>
      <c r="M194" s="21">
        <f t="shared" si="406"/>
        <v>4392.4285714285716</v>
      </c>
      <c r="N194" s="20">
        <f t="shared" si="407"/>
        <v>3.8771897312215586E-2</v>
      </c>
      <c r="O194" s="10">
        <v>412.57299999999998</v>
      </c>
      <c r="P194" s="3">
        <v>10641.031999999999</v>
      </c>
      <c r="Q194" s="32">
        <f t="shared" si="408"/>
        <v>0.54531228076337646</v>
      </c>
      <c r="R194" s="3">
        <v>2918.7179999999998</v>
      </c>
      <c r="S194" s="33">
        <v>5352.3789999999999</v>
      </c>
      <c r="T194" s="6">
        <f t="shared" si="409"/>
        <v>0.96444649678067829</v>
      </c>
      <c r="U194" s="3">
        <v>6585.232</v>
      </c>
      <c r="V194" s="21">
        <v>6827.991</v>
      </c>
      <c r="W194" s="52">
        <f t="shared" si="413"/>
        <v>9916.523000000001</v>
      </c>
      <c r="X194" s="6">
        <f t="shared" si="410"/>
        <v>0.43452733534951105</v>
      </c>
      <c r="Y194" s="19">
        <f t="shared" si="414"/>
        <v>22821.401999999998</v>
      </c>
      <c r="Z194" s="20">
        <f>AA194/AB194</f>
        <v>4.9230475097982989E-3</v>
      </c>
      <c r="AA194" s="41">
        <f>103/31</f>
        <v>3.3225806451612905</v>
      </c>
      <c r="AB194" s="41">
        <f>20922/31</f>
        <v>674.90322580645159</v>
      </c>
      <c r="AC194" s="32">
        <f>AD194/AE194</f>
        <v>0.4032834635244274</v>
      </c>
      <c r="AD194" s="41">
        <f>3046/31</f>
        <v>98.258064516129039</v>
      </c>
      <c r="AE194" s="100">
        <f>7553/31</f>
        <v>243.64516129032259</v>
      </c>
      <c r="AF194" s="6">
        <f>AG194/AH194</f>
        <v>0.65735567970204845</v>
      </c>
      <c r="AG194" s="41">
        <f>7060/31</f>
        <v>227.74193548387098</v>
      </c>
      <c r="AH194" s="75">
        <f>10740/31</f>
        <v>346.45161290322579</v>
      </c>
      <c r="AI194" s="52">
        <f>AG194+AD194+AA194</f>
        <v>329.32258064516128</v>
      </c>
      <c r="AJ194" s="6">
        <f>AI194/AK194</f>
        <v>0.2603340558459773</v>
      </c>
      <c r="AK194" s="21">
        <f>+AH194+AE194+AB194</f>
        <v>1265</v>
      </c>
      <c r="AL194" s="69">
        <f t="shared" si="415"/>
        <v>11971.559866359448</v>
      </c>
      <c r="AM194" s="6">
        <f t="shared" si="411"/>
        <v>0.42036697526372213</v>
      </c>
      <c r="AN194" s="3">
        <f t="shared" si="416"/>
        <v>28478.830571428571</v>
      </c>
      <c r="AO194" s="6">
        <f t="shared" si="417"/>
        <v>3.9137253928309294E-2</v>
      </c>
      <c r="AP194" s="6">
        <f t="shared" si="400"/>
        <v>0.53757711898794613</v>
      </c>
      <c r="AQ194" s="70">
        <f t="shared" si="401"/>
        <v>0.95158944412785129</v>
      </c>
    </row>
    <row r="195" spans="1:43" x14ac:dyDescent="0.2">
      <c r="A195" s="110">
        <v>40422</v>
      </c>
      <c r="B195" s="20">
        <f t="shared" si="402"/>
        <v>5.1925515584328903E-2</v>
      </c>
      <c r="C195" s="41">
        <f>778/7</f>
        <v>111.14285714285714</v>
      </c>
      <c r="D195" s="161">
        <f>14983/7</f>
        <v>2140.4285714285716</v>
      </c>
      <c r="E195" s="32">
        <f t="shared" si="403"/>
        <v>0.52057902128119271</v>
      </c>
      <c r="F195" s="161">
        <f>4819/7</f>
        <v>688.42857142857144</v>
      </c>
      <c r="G195" s="162">
        <f>9257/7</f>
        <v>1322.4285714285713</v>
      </c>
      <c r="H195" s="6">
        <f t="shared" si="404"/>
        <v>0.96787202580992071</v>
      </c>
      <c r="I195" s="161">
        <f>7200/7</f>
        <v>1028.5714285714287</v>
      </c>
      <c r="J195" s="178">
        <f>7439/7</f>
        <v>1062.7142857142858</v>
      </c>
      <c r="K195" s="52">
        <f t="shared" si="412"/>
        <v>1828.1428571428573</v>
      </c>
      <c r="L195" s="6">
        <f t="shared" si="405"/>
        <v>0.40395845828466814</v>
      </c>
      <c r="M195" s="21">
        <f t="shared" si="406"/>
        <v>4525.5714285714284</v>
      </c>
      <c r="N195" s="20">
        <f t="shared" si="407"/>
        <v>3.7891749212277934E-2</v>
      </c>
      <c r="O195" s="10">
        <f>397655/1000</f>
        <v>397.65499999999997</v>
      </c>
      <c r="P195" s="3">
        <f>10494501/1000</f>
        <v>10494.501</v>
      </c>
      <c r="Q195" s="32">
        <f t="shared" si="408"/>
        <v>0.52773527221212391</v>
      </c>
      <c r="R195" s="3">
        <f>3039771/1000</f>
        <v>3039.7710000000002</v>
      </c>
      <c r="S195" s="33">
        <f>5760030/1000</f>
        <v>5760.03</v>
      </c>
      <c r="T195" s="6">
        <f t="shared" si="409"/>
        <v>0.96925795647153545</v>
      </c>
      <c r="U195" s="3">
        <f>7032612/1000</f>
        <v>7032.6120000000001</v>
      </c>
      <c r="V195" s="21">
        <f>7255666/1000</f>
        <v>7255.6660000000002</v>
      </c>
      <c r="W195" s="52">
        <f t="shared" si="413"/>
        <v>10470.038</v>
      </c>
      <c r="X195" s="6">
        <f t="shared" si="410"/>
        <v>0.44534029212941095</v>
      </c>
      <c r="Y195" s="19">
        <f t="shared" si="414"/>
        <v>23510.197</v>
      </c>
      <c r="Z195" s="20">
        <f>AA195/AB195</f>
        <v>2.4398411711237626E-3</v>
      </c>
      <c r="AA195" s="41">
        <v>1.6451612903225807</v>
      </c>
      <c r="AB195" s="41">
        <f>20903/31</f>
        <v>674.29032258064512</v>
      </c>
      <c r="AC195" s="32">
        <f>AD195/AE195</f>
        <v>0.37733617222616517</v>
      </c>
      <c r="AD195" s="41">
        <v>102.90322580645162</v>
      </c>
      <c r="AE195" s="100">
        <f>8454/31</f>
        <v>272.70967741935482</v>
      </c>
      <c r="AF195" s="6">
        <f>AG195/AH195</f>
        <v>0.59965958971602618</v>
      </c>
      <c r="AG195" s="41">
        <v>215.93548387096774</v>
      </c>
      <c r="AH195" s="75">
        <v>360.09677419354841</v>
      </c>
      <c r="AI195" s="52">
        <f>AG195+AD195+AA195</f>
        <v>320.48387096774195</v>
      </c>
      <c r="AJ195" s="6">
        <f>AI195/AK195</f>
        <v>0.24518756169792696</v>
      </c>
      <c r="AK195" s="21">
        <f>+AH195+AE195+AB195</f>
        <v>1307.0967741935483</v>
      </c>
      <c r="AL195" s="69">
        <f t="shared" si="415"/>
        <v>12618.6647281106</v>
      </c>
      <c r="AM195" s="6">
        <f t="shared" si="411"/>
        <v>0.43004200990302555</v>
      </c>
      <c r="AN195" s="3">
        <f t="shared" si="416"/>
        <v>29342.865202764977</v>
      </c>
      <c r="AO195" s="6">
        <f t="shared" si="417"/>
        <v>3.8352587341572257E-2</v>
      </c>
      <c r="AP195" s="6">
        <f t="shared" ref="AP195:AP250" si="418">(+AD195+R195+F195)/(G195+S195+AE195)</f>
        <v>0.52087221768653713</v>
      </c>
      <c r="AQ195" s="70">
        <f t="shared" ref="AQ195:AQ250" si="419">(AG195+U195+I195)/(AH195+V195+J195)</f>
        <v>0.95375246777806189</v>
      </c>
    </row>
    <row r="196" spans="1:43" x14ac:dyDescent="0.2">
      <c r="A196" s="110">
        <v>40391</v>
      </c>
      <c r="B196" s="20">
        <f t="shared" si="402"/>
        <v>4.8080903660772369E-2</v>
      </c>
      <c r="C196" s="41">
        <v>116.14285714285714</v>
      </c>
      <c r="D196" s="161">
        <v>2415.5714285714284</v>
      </c>
      <c r="E196" s="32">
        <f t="shared" si="403"/>
        <v>0.52174778540857969</v>
      </c>
      <c r="F196" s="161">
        <v>748.85714285714289</v>
      </c>
      <c r="G196" s="162">
        <v>1435.2857142857142</v>
      </c>
      <c r="H196" s="6">
        <f t="shared" si="404"/>
        <v>0.94805781391147237</v>
      </c>
      <c r="I196" s="161">
        <v>1199.4285714285713</v>
      </c>
      <c r="J196" s="178">
        <v>1265.1428571428571</v>
      </c>
      <c r="K196" s="52">
        <f t="shared" si="412"/>
        <v>2064.4285714285716</v>
      </c>
      <c r="L196" s="6">
        <f t="shared" ref="L196:L201" si="420">K196/M196</f>
        <v>0.4035239584496817</v>
      </c>
      <c r="M196" s="21">
        <f t="shared" ref="M196:M201" si="421">SUM(J196+G196+D196)</f>
        <v>5116</v>
      </c>
      <c r="N196" s="20">
        <f t="shared" si="407"/>
        <v>3.3946411271104607E-2</v>
      </c>
      <c r="O196" s="10">
        <v>424.14699999999999</v>
      </c>
      <c r="P196" s="3">
        <v>12494.605</v>
      </c>
      <c r="Q196" s="32">
        <f t="shared" si="408"/>
        <v>0.51594926106552674</v>
      </c>
      <c r="R196" s="3">
        <v>3181.0149999999999</v>
      </c>
      <c r="S196" s="33">
        <v>6165.3639999999996</v>
      </c>
      <c r="T196" s="6">
        <f t="shared" si="409"/>
        <v>0.96849329744406731</v>
      </c>
      <c r="U196" s="3">
        <v>7114.4830000000002</v>
      </c>
      <c r="V196" s="21">
        <v>7345.9290000000001</v>
      </c>
      <c r="W196" s="52">
        <f t="shared" si="413"/>
        <v>10719.645</v>
      </c>
      <c r="X196" s="6">
        <f t="shared" ref="X196:X201" si="422">W196/Y196</f>
        <v>0.41220053235616011</v>
      </c>
      <c r="Y196" s="19">
        <f t="shared" si="414"/>
        <v>26005.898000000001</v>
      </c>
      <c r="Z196" s="20">
        <f t="shared" ref="Z196:Z201" si="423">AA196/AB196</f>
        <v>1.8169429934135816E-3</v>
      </c>
      <c r="AA196" s="41">
        <v>1.2903225806451613</v>
      </c>
      <c r="AB196" s="41">
        <v>710.16129032258061</v>
      </c>
      <c r="AC196" s="32">
        <f t="shared" ref="AC196:AC201" si="424">AD196/AE196</f>
        <v>0.40774640026788705</v>
      </c>
      <c r="AD196" s="41">
        <v>117.83870967741936</v>
      </c>
      <c r="AE196" s="100">
        <v>289</v>
      </c>
      <c r="AF196" s="6">
        <f t="shared" ref="AF196:AF201" si="425">AG196/AH196</f>
        <v>0.61892476697736354</v>
      </c>
      <c r="AG196" s="41">
        <v>239.90322580645162</v>
      </c>
      <c r="AH196" s="75">
        <v>387.61290322580646</v>
      </c>
      <c r="AI196" s="52">
        <f>AG196+AD196+AA196</f>
        <v>359.03225806451616</v>
      </c>
      <c r="AJ196" s="6">
        <f t="shared" ref="AJ196:AJ201" si="426">AI196/AK196</f>
        <v>0.25889741800418703</v>
      </c>
      <c r="AK196" s="21">
        <f>+AH196+AE196+AB196</f>
        <v>1386.7741935483871</v>
      </c>
      <c r="AL196" s="69">
        <f t="shared" si="415"/>
        <v>13143.105829493088</v>
      </c>
      <c r="AM196" s="6">
        <f t="shared" ref="AM196:AM201" si="427">AL196/AN196</f>
        <v>0.40429537543835598</v>
      </c>
      <c r="AN196" s="3">
        <f t="shared" si="416"/>
        <v>32508.672193548387</v>
      </c>
      <c r="AO196" s="6">
        <f t="shared" si="417"/>
        <v>3.4671476985316335E-2</v>
      </c>
      <c r="AP196" s="6">
        <f t="shared" si="418"/>
        <v>0.51304062906689141</v>
      </c>
      <c r="AQ196" s="70">
        <f t="shared" si="419"/>
        <v>0.95056277945273693</v>
      </c>
    </row>
    <row r="197" spans="1:43" x14ac:dyDescent="0.2">
      <c r="A197" s="110">
        <v>40360</v>
      </c>
      <c r="B197" s="20">
        <f t="shared" ref="B197:B202" si="428">C197/D197</f>
        <v>4.6245226983453541E-2</v>
      </c>
      <c r="C197" s="41">
        <f>763/7</f>
        <v>109</v>
      </c>
      <c r="D197" s="161">
        <f>16499/7</f>
        <v>2357</v>
      </c>
      <c r="E197" s="32">
        <f t="shared" ref="E197:E202" si="429">F197/G197</f>
        <v>0.51493123772102167</v>
      </c>
      <c r="F197" s="161">
        <f>5242/7</f>
        <v>748.85714285714289</v>
      </c>
      <c r="G197" s="162">
        <f>10180/7</f>
        <v>1454.2857142857142</v>
      </c>
      <c r="H197" s="6">
        <f t="shared" ref="H197:H202" si="430">I197/J197</f>
        <v>0.94848216264125862</v>
      </c>
      <c r="I197" s="161">
        <f>8561/7</f>
        <v>1223</v>
      </c>
      <c r="J197" s="178">
        <f>9026/7</f>
        <v>1289.4285714285713</v>
      </c>
      <c r="K197" s="52">
        <f t="shared" ref="K197:K202" si="431">SUM(C197+F197+I197)</f>
        <v>2080.8571428571431</v>
      </c>
      <c r="L197" s="6">
        <f t="shared" si="420"/>
        <v>0.40795406805769507</v>
      </c>
      <c r="M197" s="21">
        <f t="shared" si="421"/>
        <v>5100.7142857142853</v>
      </c>
      <c r="N197" s="20">
        <f t="shared" ref="N197:N202" si="432">O197/P197</f>
        <v>3.1919074898896733E-2</v>
      </c>
      <c r="O197" s="10">
        <v>408.65199999999999</v>
      </c>
      <c r="P197" s="3">
        <v>12802.752</v>
      </c>
      <c r="Q197" s="32">
        <f t="shared" ref="Q197:Q202" si="433">R197/S197</f>
        <v>0.51943743644250828</v>
      </c>
      <c r="R197" s="3">
        <v>3276.7489999999998</v>
      </c>
      <c r="S197" s="33">
        <v>6308.2650000000003</v>
      </c>
      <c r="T197" s="6">
        <f t="shared" ref="T197:T202" si="434">U197/V197</f>
        <v>0.96652155387204164</v>
      </c>
      <c r="U197" s="3">
        <v>6691.567</v>
      </c>
      <c r="V197" s="21">
        <v>6923.35</v>
      </c>
      <c r="W197" s="52">
        <f t="shared" ref="W197:W202" si="435">+U197+O197+R197</f>
        <v>10376.968000000001</v>
      </c>
      <c r="X197" s="6">
        <f t="shared" si="422"/>
        <v>0.39858729808948301</v>
      </c>
      <c r="Y197" s="19">
        <f t="shared" ref="Y197:Y202" si="436">+V197+S197+P197</f>
        <v>26034.367000000002</v>
      </c>
      <c r="Z197" s="20">
        <f t="shared" si="423"/>
        <v>1.6331935555065108E-3</v>
      </c>
      <c r="AA197" s="41">
        <f>37/31</f>
        <v>1.1935483870967742</v>
      </c>
      <c r="AB197" s="41">
        <f>22655/31</f>
        <v>730.80645161290317</v>
      </c>
      <c r="AC197" s="32">
        <f t="shared" si="424"/>
        <v>0.41439177612792688</v>
      </c>
      <c r="AD197" s="41">
        <f>3628/31</f>
        <v>117.03225806451613</v>
      </c>
      <c r="AE197" s="100">
        <f>8755/31</f>
        <v>282.41935483870969</v>
      </c>
      <c r="AF197" s="6">
        <f t="shared" si="425"/>
        <v>0.63497697620874904</v>
      </c>
      <c r="AG197" s="41">
        <v>213.51612903225808</v>
      </c>
      <c r="AH197" s="75">
        <f>10424/31</f>
        <v>336.25806451612902</v>
      </c>
      <c r="AI197" s="52">
        <f t="shared" ref="AI197:AI202" si="437">AG197+AD197+AA197</f>
        <v>331.74193548387098</v>
      </c>
      <c r="AJ197" s="6">
        <f t="shared" si="426"/>
        <v>0.24582875173304011</v>
      </c>
      <c r="AK197" s="21">
        <f t="shared" ref="AK197:AK202" si="438">+AH197+AE197+AB197</f>
        <v>1349.483870967742</v>
      </c>
      <c r="AL197" s="69">
        <f t="shared" ref="AL197:AL202" si="439">+AI197+W197+K197</f>
        <v>12789.567078341015</v>
      </c>
      <c r="AM197" s="6">
        <f t="shared" si="427"/>
        <v>0.39371212194632743</v>
      </c>
      <c r="AN197" s="3">
        <f t="shared" ref="AN197:AN202" si="440">+AK197+Y197+M197</f>
        <v>32484.565156682031</v>
      </c>
      <c r="AO197" s="6">
        <f t="shared" ref="AO197:AO202" si="441">(+AA197+O197+C197)/(D197+P197+AB197)</f>
        <v>3.2651184032769696E-2</v>
      </c>
      <c r="AP197" s="6">
        <f t="shared" si="418"/>
        <v>0.51493521608247872</v>
      </c>
      <c r="AQ197" s="70">
        <f t="shared" si="419"/>
        <v>0.95076012364451346</v>
      </c>
    </row>
    <row r="198" spans="1:43" x14ac:dyDescent="0.2">
      <c r="A198" s="110">
        <v>40330</v>
      </c>
      <c r="B198" s="20">
        <f t="shared" si="428"/>
        <v>4.5989304812834225E-2</v>
      </c>
      <c r="C198" s="41">
        <v>98.285714285714292</v>
      </c>
      <c r="D198" s="161">
        <v>2137.1428571428573</v>
      </c>
      <c r="E198" s="32">
        <f t="shared" si="429"/>
        <v>0.5153237264055206</v>
      </c>
      <c r="F198" s="161">
        <v>725.42857142857144</v>
      </c>
      <c r="G198" s="162">
        <v>1407.7142857142858</v>
      </c>
      <c r="H198" s="6">
        <f t="shared" si="430"/>
        <v>0.97015720756727952</v>
      </c>
      <c r="I198" s="161">
        <v>1040.2857142857142</v>
      </c>
      <c r="J198" s="178">
        <v>1072.2857142857142</v>
      </c>
      <c r="K198" s="52">
        <f t="shared" si="431"/>
        <v>1864</v>
      </c>
      <c r="L198" s="6">
        <f t="shared" si="420"/>
        <v>0.40371287128712874</v>
      </c>
      <c r="M198" s="21">
        <f t="shared" si="421"/>
        <v>4617.1428571428569</v>
      </c>
      <c r="N198" s="20">
        <f t="shared" si="432"/>
        <v>3.3784229168738328E-2</v>
      </c>
      <c r="O198" s="10">
        <v>389.00799999999998</v>
      </c>
      <c r="P198" s="3">
        <v>11514.485000000001</v>
      </c>
      <c r="Q198" s="32">
        <f t="shared" si="433"/>
        <v>0.5316395260021215</v>
      </c>
      <c r="R198" s="3">
        <v>3330.5010000000002</v>
      </c>
      <c r="S198" s="33">
        <v>6264.585</v>
      </c>
      <c r="T198" s="6">
        <f t="shared" si="434"/>
        <v>0.96563442388462206</v>
      </c>
      <c r="U198" s="3">
        <v>6359.34</v>
      </c>
      <c r="V198" s="21">
        <v>6585.66</v>
      </c>
      <c r="W198" s="52">
        <f t="shared" si="435"/>
        <v>10078.849</v>
      </c>
      <c r="X198" s="6">
        <f t="shared" si="422"/>
        <v>0.4136655321031672</v>
      </c>
      <c r="Y198" s="19">
        <f t="shared" si="436"/>
        <v>24364.73</v>
      </c>
      <c r="Z198" s="20">
        <f t="shared" si="423"/>
        <v>2.3534333978348413E-3</v>
      </c>
      <c r="AA198" s="41">
        <v>1.5</v>
      </c>
      <c r="AB198" s="41">
        <v>637.36666666666667</v>
      </c>
      <c r="AC198" s="32">
        <f t="shared" si="424"/>
        <v>0.43045970288922686</v>
      </c>
      <c r="AD198" s="41">
        <v>122.66666666666667</v>
      </c>
      <c r="AE198" s="100">
        <v>284.96666666666664</v>
      </c>
      <c r="AF198" s="6">
        <f t="shared" si="425"/>
        <v>0.61667897890503154</v>
      </c>
      <c r="AG198" s="41">
        <v>250.43333333333334</v>
      </c>
      <c r="AH198" s="75">
        <v>406.1</v>
      </c>
      <c r="AI198" s="52">
        <f t="shared" si="437"/>
        <v>374.6</v>
      </c>
      <c r="AJ198" s="6">
        <f t="shared" si="426"/>
        <v>0.28198629965121824</v>
      </c>
      <c r="AK198" s="21">
        <f t="shared" si="438"/>
        <v>1328.4333333333334</v>
      </c>
      <c r="AL198" s="69">
        <f t="shared" si="439"/>
        <v>12317.449000000001</v>
      </c>
      <c r="AM198" s="6">
        <f t="shared" si="427"/>
        <v>0.40637824384203247</v>
      </c>
      <c r="AN198" s="3">
        <f t="shared" si="440"/>
        <v>30310.306190476193</v>
      </c>
      <c r="AO198" s="6">
        <f t="shared" si="441"/>
        <v>3.4207705340725342E-2</v>
      </c>
      <c r="AP198" s="6">
        <f t="shared" si="418"/>
        <v>0.52512964416439156</v>
      </c>
      <c r="AQ198" s="70">
        <f t="shared" si="419"/>
        <v>0.94866265875287947</v>
      </c>
    </row>
    <row r="199" spans="1:43" x14ac:dyDescent="0.2">
      <c r="A199" s="110">
        <v>40299</v>
      </c>
      <c r="B199" s="20">
        <f t="shared" si="428"/>
        <v>3.8771990341497073E-2</v>
      </c>
      <c r="C199" s="41">
        <v>80.285714285714292</v>
      </c>
      <c r="D199" s="161">
        <v>2070.7142857142858</v>
      </c>
      <c r="E199" s="32">
        <f t="shared" si="429"/>
        <v>0.50824742268041245</v>
      </c>
      <c r="F199" s="161">
        <v>633.85714285714289</v>
      </c>
      <c r="G199" s="162">
        <v>1247.1428571428571</v>
      </c>
      <c r="H199" s="6">
        <f t="shared" si="430"/>
        <v>0.81517458650564456</v>
      </c>
      <c r="I199" s="161">
        <v>887.14285714285711</v>
      </c>
      <c r="J199" s="178">
        <v>1088.2857142857142</v>
      </c>
      <c r="K199" s="52">
        <f t="shared" si="431"/>
        <v>1601.2857142857142</v>
      </c>
      <c r="L199" s="6">
        <f t="shared" si="420"/>
        <v>0.36342119767856562</v>
      </c>
      <c r="M199" s="21">
        <f t="shared" si="421"/>
        <v>4406.1428571428569</v>
      </c>
      <c r="N199" s="20">
        <f t="shared" si="432"/>
        <v>3.228904041898438E-2</v>
      </c>
      <c r="O199" s="10">
        <v>347.89</v>
      </c>
      <c r="P199" s="3">
        <v>10774.244000000001</v>
      </c>
      <c r="Q199" s="32">
        <f t="shared" si="433"/>
        <v>0.5373310136910564</v>
      </c>
      <c r="R199" s="3">
        <v>3008.9</v>
      </c>
      <c r="S199" s="33">
        <v>5599.7139999999999</v>
      </c>
      <c r="T199" s="6">
        <f t="shared" si="434"/>
        <v>0.966345169225173</v>
      </c>
      <c r="U199" s="3">
        <v>6619.9930000000004</v>
      </c>
      <c r="V199" s="21">
        <v>6850.5469999999996</v>
      </c>
      <c r="W199" s="52">
        <f t="shared" si="435"/>
        <v>9976.7830000000013</v>
      </c>
      <c r="X199" s="6">
        <f t="shared" si="422"/>
        <v>0.42958000611853742</v>
      </c>
      <c r="Y199" s="19">
        <f t="shared" si="436"/>
        <v>23224.504999999997</v>
      </c>
      <c r="Z199" s="20">
        <f t="shared" si="423"/>
        <v>2.4178198466999327E-3</v>
      </c>
      <c r="AA199" s="41">
        <v>1.5161290322580645</v>
      </c>
      <c r="AB199" s="41">
        <f>19439/31</f>
        <v>627.06451612903231</v>
      </c>
      <c r="AC199" s="32">
        <f t="shared" si="424"/>
        <v>0.41597106288258207</v>
      </c>
      <c r="AD199" s="41">
        <f>2990/31</f>
        <v>96.451612903225808</v>
      </c>
      <c r="AE199" s="100">
        <f>7188/31</f>
        <v>231.87096774193549</v>
      </c>
      <c r="AF199" s="6">
        <f t="shared" si="425"/>
        <v>0.63459883331739508</v>
      </c>
      <c r="AG199" s="41">
        <f>6636/31</f>
        <v>214.06451612903226</v>
      </c>
      <c r="AH199" s="75">
        <f>10457/31</f>
        <v>337.32258064516128</v>
      </c>
      <c r="AI199" s="52">
        <f t="shared" si="437"/>
        <v>312.0322580645161</v>
      </c>
      <c r="AJ199" s="6">
        <f t="shared" si="426"/>
        <v>0.26084025455722137</v>
      </c>
      <c r="AK199" s="21">
        <f t="shared" si="438"/>
        <v>1196.2580645161293</v>
      </c>
      <c r="AL199" s="69">
        <f t="shared" si="439"/>
        <v>11890.100972350232</v>
      </c>
      <c r="AM199" s="6">
        <f t="shared" si="427"/>
        <v>0.41246538926734594</v>
      </c>
      <c r="AN199" s="3">
        <f t="shared" si="440"/>
        <v>28826.905921658981</v>
      </c>
      <c r="AO199" s="6">
        <f t="shared" si="441"/>
        <v>3.1895124409912622E-2</v>
      </c>
      <c r="AP199" s="6">
        <f t="shared" si="418"/>
        <v>0.52823174562743203</v>
      </c>
      <c r="AQ199" s="70">
        <f t="shared" si="419"/>
        <v>0.93294532281204356</v>
      </c>
    </row>
    <row r="200" spans="1:43" x14ac:dyDescent="0.2">
      <c r="A200" s="110">
        <v>40269</v>
      </c>
      <c r="B200" s="20">
        <f t="shared" si="428"/>
        <v>3.3628444952163362E-2</v>
      </c>
      <c r="C200" s="41">
        <f>471/7</f>
        <v>67.285714285714292</v>
      </c>
      <c r="D200" s="161">
        <f>14006/7</f>
        <v>2000.8571428571429</v>
      </c>
      <c r="E200" s="32">
        <f t="shared" si="429"/>
        <v>0.50904331270823411</v>
      </c>
      <c r="F200" s="161">
        <f>4278/7</f>
        <v>611.14285714285711</v>
      </c>
      <c r="G200" s="162">
        <f>8404/7</f>
        <v>1200.5714285714287</v>
      </c>
      <c r="H200" s="6">
        <f t="shared" si="430"/>
        <v>0.87152186257808062</v>
      </c>
      <c r="I200" s="161">
        <f>6139/7</f>
        <v>877</v>
      </c>
      <c r="J200" s="178">
        <f>7044/7</f>
        <v>1006.2857142857143</v>
      </c>
      <c r="K200" s="52">
        <f t="shared" si="431"/>
        <v>1555.4285714285716</v>
      </c>
      <c r="L200" s="6">
        <f t="shared" si="420"/>
        <v>0.3696611665648129</v>
      </c>
      <c r="M200" s="21">
        <f t="shared" si="421"/>
        <v>4207.7142857142862</v>
      </c>
      <c r="N200" s="20">
        <f t="shared" si="432"/>
        <v>3.107757778104191E-2</v>
      </c>
      <c r="O200" s="10">
        <v>309.536</v>
      </c>
      <c r="P200" s="3">
        <v>9960.107</v>
      </c>
      <c r="Q200" s="32">
        <f t="shared" si="433"/>
        <v>0.53457253768929747</v>
      </c>
      <c r="R200" s="3">
        <v>2732.413</v>
      </c>
      <c r="S200" s="33">
        <v>5111.3980000000001</v>
      </c>
      <c r="T200" s="6">
        <f t="shared" si="434"/>
        <v>0.95371856047978598</v>
      </c>
      <c r="U200" s="3">
        <v>5879.1170000000002</v>
      </c>
      <c r="V200" s="21">
        <v>6164.415</v>
      </c>
      <c r="W200" s="52">
        <f t="shared" si="435"/>
        <v>8921.0660000000007</v>
      </c>
      <c r="X200" s="6">
        <f t="shared" si="422"/>
        <v>0.42009321941314537</v>
      </c>
      <c r="Y200" s="19">
        <f t="shared" si="436"/>
        <v>21235.919999999998</v>
      </c>
      <c r="Z200" s="20">
        <f t="shared" si="423"/>
        <v>2.289812494599499E-3</v>
      </c>
      <c r="AA200" s="41">
        <f>53/30</f>
        <v>1.7666666666666666</v>
      </c>
      <c r="AB200" s="41">
        <f>23146/30</f>
        <v>771.5333333333333</v>
      </c>
      <c r="AC200" s="32">
        <f t="shared" si="424"/>
        <v>0.41975801090280551</v>
      </c>
      <c r="AD200" s="41">
        <f>3157/30</f>
        <v>105.23333333333333</v>
      </c>
      <c r="AE200" s="100">
        <f>7521/30</f>
        <v>250.7</v>
      </c>
      <c r="AF200" s="6">
        <f t="shared" si="425"/>
        <v>0.6282290279627164</v>
      </c>
      <c r="AG200" s="41">
        <f>7077/30</f>
        <v>235.9</v>
      </c>
      <c r="AH200" s="75">
        <f>11265/30</f>
        <v>375.5</v>
      </c>
      <c r="AI200" s="52">
        <f t="shared" si="437"/>
        <v>342.9</v>
      </c>
      <c r="AJ200" s="6">
        <f t="shared" si="426"/>
        <v>0.24532576552513591</v>
      </c>
      <c r="AK200" s="21">
        <f t="shared" si="438"/>
        <v>1397.7333333333333</v>
      </c>
      <c r="AL200" s="69">
        <f t="shared" si="439"/>
        <v>10819.394571428573</v>
      </c>
      <c r="AM200" s="6">
        <f t="shared" si="427"/>
        <v>0.40308656119857073</v>
      </c>
      <c r="AN200" s="3">
        <f t="shared" si="440"/>
        <v>26841.367619047618</v>
      </c>
      <c r="AO200" s="6">
        <f t="shared" si="441"/>
        <v>2.9734023639928765E-2</v>
      </c>
      <c r="AP200" s="6">
        <f t="shared" si="418"/>
        <v>0.52551621379273517</v>
      </c>
      <c r="AQ200" s="70">
        <f t="shared" si="419"/>
        <v>0.92656122792538642</v>
      </c>
    </row>
    <row r="201" spans="1:43" x14ac:dyDescent="0.2">
      <c r="A201" s="110">
        <v>40238</v>
      </c>
      <c r="B201" s="20">
        <f t="shared" si="428"/>
        <v>3.0990315526397999E-2</v>
      </c>
      <c r="C201" s="41">
        <v>70.857142857142861</v>
      </c>
      <c r="D201" s="161">
        <v>2286.4285714285716</v>
      </c>
      <c r="E201" s="32">
        <f t="shared" si="429"/>
        <v>0.50592601460553088</v>
      </c>
      <c r="F201" s="161">
        <v>603.71428571428567</v>
      </c>
      <c r="G201" s="162">
        <v>1193.2857142857142</v>
      </c>
      <c r="H201" s="6">
        <f t="shared" si="430"/>
        <v>0.85541448842419709</v>
      </c>
      <c r="I201" s="161">
        <v>818.14285714285711</v>
      </c>
      <c r="J201" s="178">
        <v>956.42857142857144</v>
      </c>
      <c r="K201" s="52">
        <f t="shared" si="431"/>
        <v>1492.7142857142858</v>
      </c>
      <c r="L201" s="6">
        <f t="shared" si="420"/>
        <v>0.33648922809390402</v>
      </c>
      <c r="M201" s="21">
        <f t="shared" si="421"/>
        <v>4436.1428571428569</v>
      </c>
      <c r="N201" s="20">
        <f t="shared" si="432"/>
        <v>2.966069899074078E-2</v>
      </c>
      <c r="O201" s="10">
        <v>339.541</v>
      </c>
      <c r="P201" s="3">
        <v>11447.504999999999</v>
      </c>
      <c r="Q201" s="32">
        <f t="shared" si="433"/>
        <v>0.52980101895966414</v>
      </c>
      <c r="R201" s="3">
        <v>2767.4490000000001</v>
      </c>
      <c r="S201" s="33">
        <v>5223.5630000000001</v>
      </c>
      <c r="T201" s="6">
        <f t="shared" si="434"/>
        <v>0.96515151924519216</v>
      </c>
      <c r="U201" s="3">
        <v>6072.7709999999997</v>
      </c>
      <c r="V201" s="21">
        <v>6292.0389999999998</v>
      </c>
      <c r="W201" s="52">
        <f t="shared" si="435"/>
        <v>9179.7610000000004</v>
      </c>
      <c r="X201" s="6">
        <f t="shared" si="422"/>
        <v>0.39976127794901628</v>
      </c>
      <c r="Y201" s="19">
        <f t="shared" si="436"/>
        <v>22963.106999999996</v>
      </c>
      <c r="Z201" s="20">
        <f t="shared" si="423"/>
        <v>1.957883745214062E-3</v>
      </c>
      <c r="AA201" s="41">
        <v>1.5</v>
      </c>
      <c r="AB201" s="41">
        <v>766.13333333333333</v>
      </c>
      <c r="AC201" s="32">
        <f t="shared" si="424"/>
        <v>0.41877900749732233</v>
      </c>
      <c r="AD201" s="41">
        <v>117.3</v>
      </c>
      <c r="AE201" s="100">
        <v>280.10000000000002</v>
      </c>
      <c r="AF201" s="6">
        <f t="shared" si="425"/>
        <v>0.61628292198111645</v>
      </c>
      <c r="AG201" s="41">
        <v>248.03333333333333</v>
      </c>
      <c r="AH201" s="75">
        <v>402.46666666666664</v>
      </c>
      <c r="AI201" s="52">
        <f t="shared" si="437"/>
        <v>366.83333333333331</v>
      </c>
      <c r="AJ201" s="6">
        <f t="shared" si="426"/>
        <v>0.25321552656404595</v>
      </c>
      <c r="AK201" s="21">
        <f t="shared" si="438"/>
        <v>1448.6999999999998</v>
      </c>
      <c r="AL201" s="69">
        <f t="shared" si="439"/>
        <v>11039.308619047621</v>
      </c>
      <c r="AM201" s="6">
        <f t="shared" si="427"/>
        <v>0.38267220629941051</v>
      </c>
      <c r="AN201" s="3">
        <f t="shared" si="440"/>
        <v>28847.949857142856</v>
      </c>
      <c r="AO201" s="6">
        <f t="shared" si="441"/>
        <v>2.8406637401229725E-2</v>
      </c>
      <c r="AP201" s="6">
        <f t="shared" si="418"/>
        <v>0.52090338966950855</v>
      </c>
      <c r="AQ201" s="70">
        <f t="shared" si="419"/>
        <v>0.93308176077768634</v>
      </c>
    </row>
    <row r="202" spans="1:43" x14ac:dyDescent="0.2">
      <c r="A202" s="110">
        <v>40210</v>
      </c>
      <c r="B202" s="20">
        <f t="shared" si="428"/>
        <v>2.6904106079046825E-2</v>
      </c>
      <c r="C202" s="41">
        <v>60</v>
      </c>
      <c r="D202" s="161">
        <v>2230.1428571428573</v>
      </c>
      <c r="E202" s="32">
        <f t="shared" si="429"/>
        <v>0.49850395383628981</v>
      </c>
      <c r="F202" s="161">
        <v>666.42857142857144</v>
      </c>
      <c r="G202" s="162">
        <v>1336.8571428571429</v>
      </c>
      <c r="H202" s="6">
        <f t="shared" si="430"/>
        <v>0.95865551522802583</v>
      </c>
      <c r="I202" s="161">
        <v>867.85714285714289</v>
      </c>
      <c r="J202" s="178">
        <v>905.28571428571433</v>
      </c>
      <c r="K202" s="52">
        <f t="shared" si="431"/>
        <v>1594.2857142857142</v>
      </c>
      <c r="L202" s="6">
        <f t="shared" ref="L202:L207" si="442">K202/M202</f>
        <v>0.35648118571519832</v>
      </c>
      <c r="M202" s="21">
        <f t="shared" ref="M202:M207" si="443">SUM(J202+G202+D202)</f>
        <v>4472.2857142857147</v>
      </c>
      <c r="N202" s="20">
        <f t="shared" si="432"/>
        <v>2.8808789451885114E-2</v>
      </c>
      <c r="O202" s="10">
        <v>340.05799999999999</v>
      </c>
      <c r="P202" s="3">
        <v>11803.967000000001</v>
      </c>
      <c r="Q202" s="32">
        <f t="shared" si="433"/>
        <v>0.52622215252287408</v>
      </c>
      <c r="R202" s="3">
        <v>2677.6930000000002</v>
      </c>
      <c r="S202" s="33">
        <v>5088.5219999999999</v>
      </c>
      <c r="T202" s="6">
        <f t="shared" si="434"/>
        <v>0.96396002923833546</v>
      </c>
      <c r="U202" s="3">
        <v>5930.4719999999998</v>
      </c>
      <c r="V202" s="21">
        <v>6152.1970000000001</v>
      </c>
      <c r="W202" s="52">
        <f t="shared" si="435"/>
        <v>8948.223</v>
      </c>
      <c r="X202" s="6">
        <f t="shared" ref="X202:X207" si="444">W202/Y202</f>
        <v>0.388298760069892</v>
      </c>
      <c r="Y202" s="19">
        <f t="shared" si="436"/>
        <v>23044.686000000002</v>
      </c>
      <c r="Z202" s="20">
        <f t="shared" ref="Z202:Z208" si="445">AA202/AB202</f>
        <v>2.1339382983562986E-3</v>
      </c>
      <c r="AA202" s="41">
        <v>1.6428571428571428</v>
      </c>
      <c r="AB202" s="41">
        <v>769.87096774193549</v>
      </c>
      <c r="AC202" s="32">
        <f t="shared" ref="AC202:AC208" si="446">AD202/AE202</f>
        <v>0.40902021772939345</v>
      </c>
      <c r="AD202" s="41">
        <v>112.71428571428571</v>
      </c>
      <c r="AE202" s="100">
        <v>275.57142857142856</v>
      </c>
      <c r="AF202" s="6">
        <f t="shared" ref="AF202:AF208" si="447">AG202/AH202</f>
        <v>0.59147193928500097</v>
      </c>
      <c r="AG202" s="41">
        <v>211.53571428571428</v>
      </c>
      <c r="AH202" s="75">
        <v>357.64285714285717</v>
      </c>
      <c r="AI202" s="52">
        <f t="shared" si="437"/>
        <v>325.89285714285717</v>
      </c>
      <c r="AJ202" s="6">
        <f t="shared" ref="AJ202:AJ207" si="448">AI202/AK202</f>
        <v>0.23226874941496603</v>
      </c>
      <c r="AK202" s="21">
        <f t="shared" si="438"/>
        <v>1403.0852534562214</v>
      </c>
      <c r="AL202" s="69">
        <f t="shared" si="439"/>
        <v>10868.401571428571</v>
      </c>
      <c r="AM202" s="6">
        <f t="shared" ref="AM202:AM207" si="449">AL202/AN202</f>
        <v>0.37580844268569119</v>
      </c>
      <c r="AN202" s="3">
        <f t="shared" si="440"/>
        <v>28920.056967741937</v>
      </c>
      <c r="AO202" s="6">
        <f t="shared" si="441"/>
        <v>2.7134651273501852E-2</v>
      </c>
      <c r="AP202" s="6">
        <f t="shared" si="418"/>
        <v>0.51587246022707145</v>
      </c>
      <c r="AQ202" s="70">
        <f t="shared" si="419"/>
        <v>0.94534674964275245</v>
      </c>
    </row>
    <row r="203" spans="1:43" x14ac:dyDescent="0.2">
      <c r="A203" s="110">
        <v>40179</v>
      </c>
      <c r="B203" s="20">
        <f t="shared" ref="B203:B208" si="450">C203/D203</f>
        <v>2.7011225444340505E-2</v>
      </c>
      <c r="C203" s="41">
        <v>66</v>
      </c>
      <c r="D203" s="161">
        <v>2443.4285714285716</v>
      </c>
      <c r="E203" s="32">
        <f t="shared" ref="E203:E208" si="451">F203/G203</f>
        <v>0.50434604765313429</v>
      </c>
      <c r="F203" s="161">
        <v>704.57142857142856</v>
      </c>
      <c r="G203" s="162">
        <v>1397</v>
      </c>
      <c r="H203" s="6">
        <f t="shared" ref="H203:H208" si="452">I203/J203</f>
        <v>0.94473930689978147</v>
      </c>
      <c r="I203" s="161">
        <v>864.57142857142856</v>
      </c>
      <c r="J203" s="178">
        <v>915.14285714285711</v>
      </c>
      <c r="K203" s="52">
        <f t="shared" ref="K203:K208" si="453">SUM(C203+F203+I203)</f>
        <v>1635.1428571428571</v>
      </c>
      <c r="L203" s="6">
        <f t="shared" si="442"/>
        <v>0.34383730361380638</v>
      </c>
      <c r="M203" s="21">
        <f t="shared" si="443"/>
        <v>4755.5714285714284</v>
      </c>
      <c r="N203" s="20">
        <f t="shared" ref="N203:N208" si="454">O203/P203</f>
        <v>2.6374880220112033E-2</v>
      </c>
      <c r="O203" s="10">
        <v>351.40300000000002</v>
      </c>
      <c r="P203" s="3">
        <v>13323.397000000001</v>
      </c>
      <c r="Q203" s="32">
        <f t="shared" ref="Q203:Q208" si="455">R203/S203</f>
        <v>0.52553603841163743</v>
      </c>
      <c r="R203" s="3">
        <v>2761.2930000000001</v>
      </c>
      <c r="S203" s="33">
        <v>5254.241</v>
      </c>
      <c r="T203" s="6">
        <f t="shared" ref="T203:T208" si="456">U203/V203</f>
        <v>0.95734037710197117</v>
      </c>
      <c r="U203" s="3">
        <v>6050.1260000000002</v>
      </c>
      <c r="V203" s="21">
        <v>6319.723</v>
      </c>
      <c r="W203" s="52">
        <f t="shared" ref="W203:W208" si="457">+U203+O203+R203</f>
        <v>9162.8220000000001</v>
      </c>
      <c r="X203" s="6">
        <f t="shared" si="444"/>
        <v>0.36802382389041149</v>
      </c>
      <c r="Y203" s="19">
        <f t="shared" ref="Y203:Y208" si="458">+V203+S203+P203</f>
        <v>24897.361000000001</v>
      </c>
      <c r="Z203" s="20">
        <f t="shared" si="445"/>
        <v>1.4471269236199351E-3</v>
      </c>
      <c r="AA203" s="41">
        <v>1.3225806451612903</v>
      </c>
      <c r="AB203" s="41">
        <v>913.93548387096769</v>
      </c>
      <c r="AC203" s="32">
        <f t="shared" si="446"/>
        <v>0.40734804586364198</v>
      </c>
      <c r="AD203" s="41">
        <v>106.58064516129032</v>
      </c>
      <c r="AE203" s="100">
        <v>261.64516129032256</v>
      </c>
      <c r="AF203" s="6">
        <f t="shared" si="447"/>
        <v>0.59895782125651365</v>
      </c>
      <c r="AG203" s="41">
        <v>196.51612903225808</v>
      </c>
      <c r="AH203" s="75">
        <v>328.09677419354841</v>
      </c>
      <c r="AI203" s="52">
        <f t="shared" ref="AI203:AI208" si="459">AG203+AD203+AA203</f>
        <v>304.41935483870969</v>
      </c>
      <c r="AJ203" s="6">
        <f t="shared" si="448"/>
        <v>0.20244990775303559</v>
      </c>
      <c r="AK203" s="21">
        <f t="shared" ref="AK203:AK208" si="460">+AH203+AE203+AB203</f>
        <v>1503.6774193548385</v>
      </c>
      <c r="AL203" s="69">
        <f t="shared" ref="AL203:AL208" si="461">+AI203+W203+K203</f>
        <v>11102.384211981567</v>
      </c>
      <c r="AM203" s="6">
        <f t="shared" si="449"/>
        <v>0.35634121511203259</v>
      </c>
      <c r="AN203" s="3">
        <f t="shared" ref="AN203:AN208" si="462">+AK203+Y203+M203</f>
        <v>31156.609847926266</v>
      </c>
      <c r="AO203" s="6">
        <f t="shared" ref="AO203:AO208" si="463">(+AA203+O203+C203)/(D203+P203+AB203)</f>
        <v>2.5102306738704266E-2</v>
      </c>
      <c r="AP203" s="6">
        <f t="shared" si="418"/>
        <v>0.5167805443892779</v>
      </c>
      <c r="AQ203" s="70">
        <f t="shared" si="419"/>
        <v>0.94026823934565806</v>
      </c>
    </row>
    <row r="204" spans="1:43" x14ac:dyDescent="0.2">
      <c r="A204" s="110">
        <v>40148</v>
      </c>
      <c r="B204" s="20">
        <f t="shared" si="450"/>
        <v>2.1951080449284451E-2</v>
      </c>
      <c r="C204" s="41">
        <v>55</v>
      </c>
      <c r="D204" s="161">
        <v>2505.5714285714284</v>
      </c>
      <c r="E204" s="32">
        <f t="shared" si="451"/>
        <v>0.50944013969224056</v>
      </c>
      <c r="F204" s="161">
        <v>666.85714285714289</v>
      </c>
      <c r="G204" s="162">
        <v>1309</v>
      </c>
      <c r="H204" s="6">
        <f t="shared" si="452"/>
        <v>0.96310646900269536</v>
      </c>
      <c r="I204" s="161">
        <v>816.71428571428567</v>
      </c>
      <c r="J204" s="178">
        <v>848</v>
      </c>
      <c r="K204" s="52">
        <f t="shared" si="453"/>
        <v>1538.5714285714284</v>
      </c>
      <c r="L204" s="6">
        <f t="shared" si="442"/>
        <v>0.32998345486855812</v>
      </c>
      <c r="M204" s="21">
        <f t="shared" si="443"/>
        <v>4662.5714285714284</v>
      </c>
      <c r="N204" s="20">
        <f t="shared" si="454"/>
        <v>2.1819695717336107E-2</v>
      </c>
      <c r="O204" s="10">
        <v>293.971</v>
      </c>
      <c r="P204" s="3">
        <v>13472.736000000001</v>
      </c>
      <c r="Q204" s="32">
        <f t="shared" si="455"/>
        <v>0.52650961585079781</v>
      </c>
      <c r="R204" s="3">
        <v>2888.6750000000002</v>
      </c>
      <c r="S204" s="33">
        <v>5486.4620000000004</v>
      </c>
      <c r="T204" s="6">
        <f t="shared" si="456"/>
        <v>0.956776582344534</v>
      </c>
      <c r="U204" s="3">
        <v>5674.817</v>
      </c>
      <c r="V204" s="21">
        <v>5931.183</v>
      </c>
      <c r="W204" s="52">
        <f t="shared" si="457"/>
        <v>8857.4629999999997</v>
      </c>
      <c r="X204" s="6">
        <f t="shared" si="444"/>
        <v>0.35585887576409536</v>
      </c>
      <c r="Y204" s="19">
        <f t="shared" si="458"/>
        <v>24890.381000000001</v>
      </c>
      <c r="Z204" s="20">
        <f t="shared" si="445"/>
        <v>1.159180293935003E-3</v>
      </c>
      <c r="AA204" s="41">
        <v>0.90322580645161288</v>
      </c>
      <c r="AB204" s="41">
        <v>779.19354838709683</v>
      </c>
      <c r="AC204" s="32">
        <f t="shared" si="446"/>
        <v>0.39931099279674281</v>
      </c>
      <c r="AD204" s="41">
        <v>109.6774193548387</v>
      </c>
      <c r="AE204" s="100">
        <v>274.66666666666669</v>
      </c>
      <c r="AF204" s="6">
        <f t="shared" si="447"/>
        <v>0.57821919161972524</v>
      </c>
      <c r="AG204" s="41">
        <v>188.74193548387098</v>
      </c>
      <c r="AH204" s="75">
        <v>326.41935483870969</v>
      </c>
      <c r="AI204" s="52">
        <f t="shared" si="459"/>
        <v>299.32258064516128</v>
      </c>
      <c r="AJ204" s="6">
        <f t="shared" si="448"/>
        <v>0.21685648847825745</v>
      </c>
      <c r="AK204" s="21">
        <f t="shared" si="460"/>
        <v>1380.2795698924733</v>
      </c>
      <c r="AL204" s="69">
        <f t="shared" si="461"/>
        <v>10695.35700921659</v>
      </c>
      <c r="AM204" s="6">
        <f t="shared" si="449"/>
        <v>0.34575620839580246</v>
      </c>
      <c r="AN204" s="3">
        <f t="shared" si="462"/>
        <v>30933.231998463903</v>
      </c>
      <c r="AO204" s="6">
        <f t="shared" si="463"/>
        <v>2.0878663607868903E-2</v>
      </c>
      <c r="AP204" s="6">
        <f t="shared" si="418"/>
        <v>0.51840775960588092</v>
      </c>
      <c r="AQ204" s="70">
        <f t="shared" si="419"/>
        <v>0.94014172023700204</v>
      </c>
    </row>
    <row r="205" spans="1:43" x14ac:dyDescent="0.2">
      <c r="A205" s="110">
        <v>40118</v>
      </c>
      <c r="B205" s="20">
        <f t="shared" si="450"/>
        <v>1.5446783549501401E-2</v>
      </c>
      <c r="C205" s="41">
        <v>33.857142857142854</v>
      </c>
      <c r="D205" s="161">
        <v>2191.8571428571427</v>
      </c>
      <c r="E205" s="32">
        <f t="shared" si="451"/>
        <v>0.49024937950596853</v>
      </c>
      <c r="F205" s="161">
        <v>592.57142857142856</v>
      </c>
      <c r="G205" s="162">
        <v>1208.7142857142858</v>
      </c>
      <c r="H205" s="6">
        <f t="shared" si="452"/>
        <v>0.96049046321525877</v>
      </c>
      <c r="I205" s="161">
        <v>805.71428571428567</v>
      </c>
      <c r="J205" s="178">
        <v>838.85714285714289</v>
      </c>
      <c r="K205" s="52">
        <f t="shared" si="453"/>
        <v>1432.1428571428571</v>
      </c>
      <c r="L205" s="6">
        <f t="shared" si="442"/>
        <v>0.33781506941636336</v>
      </c>
      <c r="M205" s="21">
        <f t="shared" si="443"/>
        <v>4239.4285714285716</v>
      </c>
      <c r="N205" s="20">
        <f t="shared" si="454"/>
        <v>2.0533113771176309E-2</v>
      </c>
      <c r="O205" s="10">
        <v>237.48699999999999</v>
      </c>
      <c r="P205" s="3">
        <v>11566.049000000001</v>
      </c>
      <c r="Q205" s="32">
        <f t="shared" si="455"/>
        <v>0.51632458013537508</v>
      </c>
      <c r="R205" s="3">
        <v>2561.2730000000001</v>
      </c>
      <c r="S205" s="33">
        <v>4960.5870000000004</v>
      </c>
      <c r="T205" s="6">
        <f t="shared" si="456"/>
        <v>0.95772356266534975</v>
      </c>
      <c r="U205" s="3">
        <v>5771.473</v>
      </c>
      <c r="V205" s="21">
        <v>6026.241</v>
      </c>
      <c r="W205" s="52">
        <f t="shared" si="457"/>
        <v>8570.2330000000002</v>
      </c>
      <c r="X205" s="6">
        <f t="shared" si="444"/>
        <v>0.38000619610526853</v>
      </c>
      <c r="Y205" s="19">
        <f t="shared" si="458"/>
        <v>22552.877</v>
      </c>
      <c r="Z205" s="20">
        <f t="shared" si="445"/>
        <v>1.9274281404508507E-3</v>
      </c>
      <c r="AA205" s="41">
        <v>1.5333333333333334</v>
      </c>
      <c r="AB205" s="41">
        <v>795.5333333333333</v>
      </c>
      <c r="AC205" s="32">
        <f t="shared" si="446"/>
        <v>0.40902021772939351</v>
      </c>
      <c r="AD205" s="41">
        <v>105.2</v>
      </c>
      <c r="AE205" s="100">
        <v>257.2</v>
      </c>
      <c r="AF205" s="6">
        <f t="shared" si="447"/>
        <v>0.59147193928500097</v>
      </c>
      <c r="AG205" s="41">
        <v>197.43333333333334</v>
      </c>
      <c r="AH205" s="75">
        <v>333.8</v>
      </c>
      <c r="AI205" s="52">
        <f t="shared" si="459"/>
        <v>304.16666666666669</v>
      </c>
      <c r="AJ205" s="6">
        <f t="shared" si="448"/>
        <v>0.219372055005289</v>
      </c>
      <c r="AK205" s="21">
        <f t="shared" si="460"/>
        <v>1386.5333333333333</v>
      </c>
      <c r="AL205" s="69">
        <f t="shared" si="461"/>
        <v>10306.542523809523</v>
      </c>
      <c r="AM205" s="6">
        <f t="shared" si="449"/>
        <v>0.36575469126472182</v>
      </c>
      <c r="AN205" s="3">
        <f t="shared" si="462"/>
        <v>28178.838904761906</v>
      </c>
      <c r="AO205" s="6">
        <f t="shared" si="463"/>
        <v>1.8750033394985804E-2</v>
      </c>
      <c r="AP205" s="6">
        <f t="shared" si="418"/>
        <v>0.50712577243485224</v>
      </c>
      <c r="AQ205" s="70">
        <f t="shared" si="419"/>
        <v>0.94106354675534631</v>
      </c>
    </row>
    <row r="206" spans="1:43" x14ac:dyDescent="0.2">
      <c r="A206" s="110">
        <v>40087</v>
      </c>
      <c r="B206" s="20">
        <f t="shared" si="450"/>
        <v>1.430172016081197E-2</v>
      </c>
      <c r="C206" s="41">
        <v>31</v>
      </c>
      <c r="D206" s="161">
        <v>2167.5714285714284</v>
      </c>
      <c r="E206" s="32">
        <f t="shared" si="451"/>
        <v>0.4787367460950861</v>
      </c>
      <c r="F206" s="161">
        <v>599.85714285714289</v>
      </c>
      <c r="G206" s="162">
        <v>1253</v>
      </c>
      <c r="H206" s="6">
        <f t="shared" si="452"/>
        <v>0.95669736629503965</v>
      </c>
      <c r="I206" s="161">
        <v>845.85714285714289</v>
      </c>
      <c r="J206" s="178">
        <v>884.14285714285711</v>
      </c>
      <c r="K206" s="52">
        <f t="shared" si="453"/>
        <v>1476.7142857142858</v>
      </c>
      <c r="L206" s="6">
        <f t="shared" si="442"/>
        <v>0.34304583015298845</v>
      </c>
      <c r="M206" s="21">
        <f t="shared" si="443"/>
        <v>4304.7142857142853</v>
      </c>
      <c r="N206" s="20">
        <f t="shared" si="454"/>
        <v>2.0013250386895401E-2</v>
      </c>
      <c r="O206" s="10">
        <v>211.51499999999999</v>
      </c>
      <c r="P206" s="3">
        <v>10568.748</v>
      </c>
      <c r="Q206" s="32">
        <f t="shared" si="455"/>
        <v>0.49533746222494057</v>
      </c>
      <c r="R206" s="3">
        <v>2627.1529999999998</v>
      </c>
      <c r="S206" s="33">
        <v>5303.7640000000001</v>
      </c>
      <c r="T206" s="6">
        <f t="shared" si="456"/>
        <v>0.95290835275414587</v>
      </c>
      <c r="U206" s="3">
        <v>6573.6639999999998</v>
      </c>
      <c r="V206" s="21">
        <v>6898.527</v>
      </c>
      <c r="W206" s="52">
        <f t="shared" si="457"/>
        <v>9412.3320000000003</v>
      </c>
      <c r="X206" s="6">
        <f t="shared" si="444"/>
        <v>0.41334661980070386</v>
      </c>
      <c r="Y206" s="19">
        <f t="shared" si="458"/>
        <v>22771.039000000001</v>
      </c>
      <c r="Z206" s="20">
        <f t="shared" si="445"/>
        <v>2.7545721381801759E-3</v>
      </c>
      <c r="AA206" s="41">
        <v>2.0333333333333332</v>
      </c>
      <c r="AB206" s="41">
        <v>738.16666666666663</v>
      </c>
      <c r="AC206" s="32">
        <f t="shared" si="446"/>
        <v>0.40022491565662877</v>
      </c>
      <c r="AD206" s="41">
        <v>106.76666666666667</v>
      </c>
      <c r="AE206" s="100">
        <v>266.76666666666665</v>
      </c>
      <c r="AF206" s="6">
        <f t="shared" si="447"/>
        <v>0.54248822195079394</v>
      </c>
      <c r="AG206" s="41">
        <v>207.26666666666668</v>
      </c>
      <c r="AH206" s="75">
        <v>382.06666666666666</v>
      </c>
      <c r="AI206" s="52">
        <f t="shared" si="459"/>
        <v>316.06666666666672</v>
      </c>
      <c r="AJ206" s="6">
        <f t="shared" si="448"/>
        <v>0.2278779139629897</v>
      </c>
      <c r="AK206" s="21">
        <f t="shared" si="460"/>
        <v>1387</v>
      </c>
      <c r="AL206" s="69">
        <f t="shared" si="461"/>
        <v>11205.112952380954</v>
      </c>
      <c r="AM206" s="6">
        <f t="shared" si="449"/>
        <v>0.39367635449395899</v>
      </c>
      <c r="AN206" s="3">
        <f t="shared" si="462"/>
        <v>28462.753285714287</v>
      </c>
      <c r="AO206" s="6">
        <f t="shared" si="463"/>
        <v>1.8148991479516027E-2</v>
      </c>
      <c r="AP206" s="6">
        <f t="shared" si="418"/>
        <v>0.48857064947469175</v>
      </c>
      <c r="AQ206" s="70">
        <f t="shared" si="419"/>
        <v>0.93411315690139174</v>
      </c>
    </row>
    <row r="207" spans="1:43" x14ac:dyDescent="0.2">
      <c r="A207" s="110">
        <v>40057</v>
      </c>
      <c r="B207" s="20">
        <f t="shared" si="450"/>
        <v>1.4171413072959048E-2</v>
      </c>
      <c r="C207" s="41">
        <v>29.857142857142858</v>
      </c>
      <c r="D207" s="161">
        <f>14748/7</f>
        <v>2106.8571428571427</v>
      </c>
      <c r="E207" s="32">
        <f t="shared" si="451"/>
        <v>0.46676480579775786</v>
      </c>
      <c r="F207" s="161">
        <v>588.85714285714289</v>
      </c>
      <c r="G207" s="162">
        <f>8831/7</f>
        <v>1261.5714285714287</v>
      </c>
      <c r="H207" s="6">
        <f t="shared" si="452"/>
        <v>0.93980288097043219</v>
      </c>
      <c r="I207" s="161">
        <f>6198/7</f>
        <v>885.42857142857144</v>
      </c>
      <c r="J207" s="178">
        <f>6595/7</f>
        <v>942.14285714285711</v>
      </c>
      <c r="K207" s="52">
        <f t="shared" si="453"/>
        <v>1504.1428571428573</v>
      </c>
      <c r="L207" s="6">
        <f t="shared" si="442"/>
        <v>0.34894279843573944</v>
      </c>
      <c r="M207" s="21">
        <f t="shared" si="443"/>
        <v>4310.5714285714284</v>
      </c>
      <c r="N207" s="20">
        <f t="shared" si="454"/>
        <v>1.7120876954517261E-2</v>
      </c>
      <c r="O207" s="10">
        <v>176.82</v>
      </c>
      <c r="P207" s="3">
        <v>10327.742</v>
      </c>
      <c r="Q207" s="32">
        <f t="shared" si="455"/>
        <v>0.47146099775320327</v>
      </c>
      <c r="R207" s="3">
        <v>2536.7190000000001</v>
      </c>
      <c r="S207" s="33">
        <v>5380.549</v>
      </c>
      <c r="T207" s="6">
        <f t="shared" si="456"/>
        <v>0.95122815914090764</v>
      </c>
      <c r="U207" s="3">
        <v>6377.7470000000003</v>
      </c>
      <c r="V207" s="21">
        <v>6704.75</v>
      </c>
      <c r="W207" s="52">
        <f t="shared" si="457"/>
        <v>9091.2860000000001</v>
      </c>
      <c r="X207" s="6">
        <f t="shared" si="444"/>
        <v>0.4056248324357235</v>
      </c>
      <c r="Y207" s="19">
        <f t="shared" si="458"/>
        <v>22413.040999999997</v>
      </c>
      <c r="Z207" s="20">
        <f t="shared" si="445"/>
        <v>8.8300220750551876E-4</v>
      </c>
      <c r="AA207" s="41">
        <v>0.6</v>
      </c>
      <c r="AB207" s="41">
        <f>20385/30</f>
        <v>679.5</v>
      </c>
      <c r="AC207" s="32">
        <f t="shared" si="446"/>
        <v>0.40171358629130971</v>
      </c>
      <c r="AD207" s="41">
        <v>109.4</v>
      </c>
      <c r="AE207" s="100">
        <v>272.33333333333331</v>
      </c>
      <c r="AF207" s="6">
        <f t="shared" si="447"/>
        <v>0.62197110904007458</v>
      </c>
      <c r="AG207" s="41">
        <v>177.96666666666667</v>
      </c>
      <c r="AH207" s="75">
        <v>286.13333333333333</v>
      </c>
      <c r="AI207" s="52">
        <f t="shared" si="459"/>
        <v>287.9666666666667</v>
      </c>
      <c r="AJ207" s="6">
        <f t="shared" si="448"/>
        <v>0.23261261746412129</v>
      </c>
      <c r="AK207" s="21">
        <f t="shared" si="460"/>
        <v>1237.9666666666667</v>
      </c>
      <c r="AL207" s="69">
        <f t="shared" si="461"/>
        <v>10883.395523809524</v>
      </c>
      <c r="AM207" s="6">
        <f t="shared" si="449"/>
        <v>0.38922678460827653</v>
      </c>
      <c r="AN207" s="3">
        <f t="shared" si="462"/>
        <v>27961.579095238092</v>
      </c>
      <c r="AO207" s="6">
        <f t="shared" si="463"/>
        <v>1.5805671483735923E-2</v>
      </c>
      <c r="AP207" s="6">
        <f t="shared" si="418"/>
        <v>0.46785707942401322</v>
      </c>
      <c r="AQ207" s="70">
        <f t="shared" si="419"/>
        <v>0.93799542059101337</v>
      </c>
    </row>
    <row r="208" spans="1:43" x14ac:dyDescent="0.2">
      <c r="A208" s="110">
        <v>40026</v>
      </c>
      <c r="B208" s="20">
        <f t="shared" si="450"/>
        <v>1.4005069708491762E-2</v>
      </c>
      <c r="C208" s="41">
        <v>31.571428571428573</v>
      </c>
      <c r="D208" s="161">
        <v>2254.2857142857142</v>
      </c>
      <c r="E208" s="32">
        <f t="shared" si="451"/>
        <v>0.45025619128949618</v>
      </c>
      <c r="F208" s="161">
        <v>602.57142857142856</v>
      </c>
      <c r="G208" s="162">
        <v>1338.2857142857142</v>
      </c>
      <c r="H208" s="6">
        <f t="shared" si="452"/>
        <v>0.82378462565357669</v>
      </c>
      <c r="I208" s="161">
        <v>1057.8571428571429</v>
      </c>
      <c r="J208" s="178">
        <v>1284.1428571428571</v>
      </c>
      <c r="K208" s="52">
        <f t="shared" si="453"/>
        <v>1692</v>
      </c>
      <c r="L208" s="6">
        <f t="shared" ref="L208:L213" si="464">K208/M208</f>
        <v>0.34695491695228048</v>
      </c>
      <c r="M208" s="21">
        <f t="shared" ref="M208:M213" si="465">SUM(J208+G208+D208)</f>
        <v>4876.7142857142862</v>
      </c>
      <c r="N208" s="20">
        <f t="shared" si="454"/>
        <v>1.5676005430802054E-2</v>
      </c>
      <c r="O208" s="10">
        <v>180.10599999999999</v>
      </c>
      <c r="P208" s="3">
        <v>11489.279</v>
      </c>
      <c r="Q208" s="32">
        <f t="shared" si="455"/>
        <v>0.45947189088169121</v>
      </c>
      <c r="R208" s="3">
        <v>2628.1930000000002</v>
      </c>
      <c r="S208" s="33">
        <v>5720.03</v>
      </c>
      <c r="T208" s="6">
        <f t="shared" si="456"/>
        <v>0.94794984047915276</v>
      </c>
      <c r="U208" s="3">
        <v>6616.36</v>
      </c>
      <c r="V208" s="21">
        <v>6979.652</v>
      </c>
      <c r="W208" s="52">
        <f t="shared" si="457"/>
        <v>9424.6589999999997</v>
      </c>
      <c r="X208" s="6">
        <f t="shared" ref="X208:X213" si="466">W208/Y208</f>
        <v>0.38962644985040895</v>
      </c>
      <c r="Y208" s="19">
        <f t="shared" si="458"/>
        <v>24188.961000000003</v>
      </c>
      <c r="Z208" s="20">
        <f t="shared" si="445"/>
        <v>5.7822965354406585E-4</v>
      </c>
      <c r="AA208" s="41">
        <f>12/31</f>
        <v>0.38709677419354838</v>
      </c>
      <c r="AB208" s="41">
        <v>669.45161290322585</v>
      </c>
      <c r="AC208" s="32">
        <f t="shared" si="446"/>
        <v>0.39287689414887733</v>
      </c>
      <c r="AD208" s="41">
        <v>114.58064516129032</v>
      </c>
      <c r="AE208" s="100">
        <v>291.64516129032256</v>
      </c>
      <c r="AF208" s="6">
        <f t="shared" si="447"/>
        <v>0.65255091752369432</v>
      </c>
      <c r="AG208" s="41">
        <v>208.7741935483871</v>
      </c>
      <c r="AH208" s="75">
        <v>319.93548387096774</v>
      </c>
      <c r="AI208" s="52">
        <f t="shared" si="459"/>
        <v>323.74193548387098</v>
      </c>
      <c r="AJ208" s="6">
        <f t="shared" ref="AJ208:AJ213" si="467">AI208/AK208</f>
        <v>0.25271958098307817</v>
      </c>
      <c r="AK208" s="21">
        <f t="shared" si="460"/>
        <v>1281.0322580645161</v>
      </c>
      <c r="AL208" s="69">
        <f t="shared" si="461"/>
        <v>11440.400935483871</v>
      </c>
      <c r="AM208" s="6">
        <f t="shared" ref="AM208:AM213" si="468">AL208/AN208</f>
        <v>0.37698985693850662</v>
      </c>
      <c r="AN208" s="3">
        <f t="shared" si="462"/>
        <v>30346.707543778804</v>
      </c>
      <c r="AO208" s="6">
        <f t="shared" si="463"/>
        <v>1.4713403532720647E-2</v>
      </c>
      <c r="AP208" s="6">
        <f t="shared" si="418"/>
        <v>0.45515141241762525</v>
      </c>
      <c r="AQ208" s="70">
        <f t="shared" si="419"/>
        <v>0.91836428024071293</v>
      </c>
    </row>
    <row r="209" spans="1:43" x14ac:dyDescent="0.2">
      <c r="A209" s="110">
        <v>39995</v>
      </c>
      <c r="B209" s="20">
        <f t="shared" ref="B209:B214" si="469">C209/D209</f>
        <v>1.3955174288648583E-2</v>
      </c>
      <c r="C209" s="41">
        <v>33</v>
      </c>
      <c r="D209" s="161">
        <v>2364.7142857142858</v>
      </c>
      <c r="E209" s="32">
        <f t="shared" ref="E209:E214" si="470">F209/G209</f>
        <v>0.45586481113320076</v>
      </c>
      <c r="F209" s="161">
        <v>655.14285714285711</v>
      </c>
      <c r="G209" s="162">
        <v>1437.1428571428571</v>
      </c>
      <c r="H209" s="6">
        <f t="shared" ref="H209:H214" si="471">I209/J209</f>
        <v>0.92054597701149421</v>
      </c>
      <c r="I209" s="161">
        <v>915.28571428571433</v>
      </c>
      <c r="J209" s="178">
        <v>994.28571428571433</v>
      </c>
      <c r="K209" s="52">
        <f t="shared" ref="K209:K214" si="472">SUM(C209+F209+I209)</f>
        <v>1603.4285714285716</v>
      </c>
      <c r="L209" s="6">
        <f t="shared" si="464"/>
        <v>0.33431626604712122</v>
      </c>
      <c r="M209" s="21">
        <f t="shared" si="465"/>
        <v>4796.1428571428569</v>
      </c>
      <c r="N209" s="20">
        <f t="shared" ref="N209:N214" si="473">O209/P209</f>
        <v>1.5115301297027438E-2</v>
      </c>
      <c r="O209" s="10">
        <v>192.05</v>
      </c>
      <c r="P209" s="3">
        <v>12705.668</v>
      </c>
      <c r="Q209" s="32">
        <f t="shared" ref="Q209:Q214" si="474">R209/S209</f>
        <v>0.46775440672529439</v>
      </c>
      <c r="R209" s="3">
        <v>2983.5929999999998</v>
      </c>
      <c r="S209" s="33">
        <v>6378.5460000000003</v>
      </c>
      <c r="T209" s="6">
        <f t="shared" ref="T209:T214" si="475">U209/V209</f>
        <v>0.94915040437791254</v>
      </c>
      <c r="U209" s="3">
        <v>6681.7359999999999</v>
      </c>
      <c r="V209" s="21">
        <v>7039.7020000000002</v>
      </c>
      <c r="W209" s="52">
        <f t="shared" ref="W209:W214" si="476">+U209+O209+R209</f>
        <v>9857.3790000000008</v>
      </c>
      <c r="X209" s="6">
        <f t="shared" si="466"/>
        <v>0.37733159913697478</v>
      </c>
      <c r="Y209" s="19">
        <f t="shared" ref="Y209:Y214" si="477">+V209+S209+P209</f>
        <v>26123.915999999997</v>
      </c>
      <c r="Z209" s="20">
        <f t="shared" ref="Z209:Z214" si="478">AA209/AB209</f>
        <v>5.5591587139812838E-4</v>
      </c>
      <c r="AA209" s="41">
        <v>0.38709677419354838</v>
      </c>
      <c r="AB209" s="41">
        <v>696.32258064516134</v>
      </c>
      <c r="AC209" s="32">
        <f t="shared" ref="AC209:AC214" si="479">AD209/AE209</f>
        <v>0.41157670454545453</v>
      </c>
      <c r="AD209" s="41">
        <v>112.16129032258064</v>
      </c>
      <c r="AE209" s="100">
        <v>272.51612903225805</v>
      </c>
      <c r="AF209" s="6">
        <f t="shared" ref="AF209:AF214" si="480">AG209/AH209</f>
        <v>0.80564445737561818</v>
      </c>
      <c r="AG209" s="41">
        <f>8307/31</f>
        <v>267.96774193548384</v>
      </c>
      <c r="AH209" s="75">
        <v>332.61290322580646</v>
      </c>
      <c r="AI209" s="52">
        <f t="shared" ref="AI209:AI214" si="481">AG209+AD209+AA209</f>
        <v>380.51612903225805</v>
      </c>
      <c r="AJ209" s="6">
        <f t="shared" si="467"/>
        <v>0.29237823769983889</v>
      </c>
      <c r="AK209" s="21">
        <f t="shared" ref="AK209:AK214" si="482">+AH209+AE209+AB209</f>
        <v>1301.4516129032259</v>
      </c>
      <c r="AL209" s="69">
        <f t="shared" ref="AL209:AL214" si="483">+AI209+W209+K209</f>
        <v>11841.323700460831</v>
      </c>
      <c r="AM209" s="6">
        <f t="shared" si="468"/>
        <v>0.36749747382168257</v>
      </c>
      <c r="AN209" s="3">
        <f t="shared" ref="AN209:AN214" si="484">+AK209+Y209+M209</f>
        <v>32221.51047004608</v>
      </c>
      <c r="AO209" s="6">
        <f t="shared" ref="AO209:AO214" si="485">(+AA209+O209+C209)/(D209+P209+AB209)</f>
        <v>1.4298301305505903E-2</v>
      </c>
      <c r="AP209" s="6">
        <f t="shared" si="418"/>
        <v>0.46374902143018309</v>
      </c>
      <c r="AQ209" s="70">
        <f t="shared" si="419"/>
        <v>0.9400460014500468</v>
      </c>
    </row>
    <row r="210" spans="1:43" x14ac:dyDescent="0.2">
      <c r="A210" s="110">
        <v>39965</v>
      </c>
      <c r="B210" s="20">
        <f t="shared" si="469"/>
        <v>1.3649189579368726E-2</v>
      </c>
      <c r="C210" s="41">
        <v>29.714285714285715</v>
      </c>
      <c r="D210" s="161">
        <v>2177</v>
      </c>
      <c r="E210" s="32">
        <f t="shared" si="470"/>
        <v>0.45414534288638692</v>
      </c>
      <c r="F210" s="161">
        <v>633.85714285714289</v>
      </c>
      <c r="G210" s="162">
        <v>1395.7142857142858</v>
      </c>
      <c r="H210" s="6">
        <f t="shared" si="471"/>
        <v>0.91076044075635976</v>
      </c>
      <c r="I210" s="161">
        <v>956.42857142857144</v>
      </c>
      <c r="J210" s="178">
        <v>1050.1428571428571</v>
      </c>
      <c r="K210" s="52">
        <f t="shared" si="472"/>
        <v>1620</v>
      </c>
      <c r="L210" s="6">
        <f t="shared" si="464"/>
        <v>0.35043263288009885</v>
      </c>
      <c r="M210" s="21">
        <f t="shared" si="465"/>
        <v>4622.8571428571431</v>
      </c>
      <c r="N210" s="20">
        <f t="shared" si="473"/>
        <v>1.5194472680746956E-2</v>
      </c>
      <c r="O210" s="10">
        <v>168.73</v>
      </c>
      <c r="P210" s="3">
        <v>11104.696</v>
      </c>
      <c r="Q210" s="32">
        <f t="shared" si="474"/>
        <v>0.4726162036825946</v>
      </c>
      <c r="R210" s="3">
        <v>2767.5540000000001</v>
      </c>
      <c r="S210" s="33">
        <v>5855.817</v>
      </c>
      <c r="T210" s="6">
        <f t="shared" si="475"/>
        <v>0.95334736672015874</v>
      </c>
      <c r="U210" s="3">
        <v>6277.576</v>
      </c>
      <c r="V210" s="21">
        <v>6584.7730000000001</v>
      </c>
      <c r="W210" s="52">
        <f t="shared" si="476"/>
        <v>9213.86</v>
      </c>
      <c r="X210" s="6">
        <f t="shared" si="466"/>
        <v>0.39132504060473083</v>
      </c>
      <c r="Y210" s="19">
        <f t="shared" si="477"/>
        <v>23545.286</v>
      </c>
      <c r="Z210" s="20">
        <f t="shared" si="478"/>
        <v>6.3599745601017603E-4</v>
      </c>
      <c r="AA210" s="41">
        <v>0.4</v>
      </c>
      <c r="AB210" s="41">
        <v>628.93333333333328</v>
      </c>
      <c r="AC210" s="32">
        <f t="shared" si="479"/>
        <v>0.39791026429010445</v>
      </c>
      <c r="AD210" s="41">
        <v>107.9</v>
      </c>
      <c r="AE210" s="100">
        <v>271.16666666666669</v>
      </c>
      <c r="AF210" s="6">
        <f t="shared" si="480"/>
        <v>0.74694969079057327</v>
      </c>
      <c r="AG210" s="41">
        <v>297.93333333333334</v>
      </c>
      <c r="AH210" s="75">
        <v>398.86666666666667</v>
      </c>
      <c r="AI210" s="52">
        <f t="shared" si="481"/>
        <v>406.23333333333335</v>
      </c>
      <c r="AJ210" s="6">
        <f t="shared" si="467"/>
        <v>0.3127357643254895</v>
      </c>
      <c r="AK210" s="21">
        <f t="shared" si="482"/>
        <v>1298.9666666666667</v>
      </c>
      <c r="AL210" s="69">
        <f t="shared" si="483"/>
        <v>11240.093333333334</v>
      </c>
      <c r="AM210" s="6">
        <f t="shared" si="468"/>
        <v>0.38144539474653599</v>
      </c>
      <c r="AN210" s="3">
        <f t="shared" si="484"/>
        <v>29467.109809523812</v>
      </c>
      <c r="AO210" s="6">
        <f t="shared" si="485"/>
        <v>1.4294413354671544E-2</v>
      </c>
      <c r="AP210" s="6">
        <f t="shared" si="418"/>
        <v>0.46649635078681279</v>
      </c>
      <c r="AQ210" s="70">
        <f t="shared" si="419"/>
        <v>0.93753320835356024</v>
      </c>
    </row>
    <row r="211" spans="1:43" x14ac:dyDescent="0.2">
      <c r="A211" s="110">
        <v>39934</v>
      </c>
      <c r="B211" s="20">
        <f t="shared" si="469"/>
        <v>8.9197224975222991E-3</v>
      </c>
      <c r="C211" s="41">
        <v>18</v>
      </c>
      <c r="D211" s="161">
        <v>2018</v>
      </c>
      <c r="E211" s="32">
        <f t="shared" si="470"/>
        <v>0.4445357436318817</v>
      </c>
      <c r="F211" s="161">
        <v>541</v>
      </c>
      <c r="G211" s="162">
        <v>1217</v>
      </c>
      <c r="H211" s="6">
        <f t="shared" si="471"/>
        <v>0.91044776119402981</v>
      </c>
      <c r="I211" s="161">
        <v>854</v>
      </c>
      <c r="J211" s="178">
        <v>938</v>
      </c>
      <c r="K211" s="52">
        <f t="shared" si="472"/>
        <v>1413</v>
      </c>
      <c r="L211" s="6">
        <f t="shared" si="464"/>
        <v>0.33860531991373111</v>
      </c>
      <c r="M211" s="21">
        <f t="shared" si="465"/>
        <v>4173</v>
      </c>
      <c r="N211" s="20">
        <f t="shared" si="473"/>
        <v>1.3229571984435798E-2</v>
      </c>
      <c r="O211" s="10">
        <v>136</v>
      </c>
      <c r="P211" s="3">
        <v>10280</v>
      </c>
      <c r="Q211" s="32">
        <f t="shared" si="474"/>
        <v>0.47222759821946969</v>
      </c>
      <c r="R211" s="3">
        <v>2440</v>
      </c>
      <c r="S211" s="33">
        <v>5167</v>
      </c>
      <c r="T211" s="6">
        <f t="shared" si="475"/>
        <v>0.94771653543307088</v>
      </c>
      <c r="U211" s="3">
        <v>6018</v>
      </c>
      <c r="V211" s="21">
        <v>6350</v>
      </c>
      <c r="W211" s="52">
        <f t="shared" si="476"/>
        <v>8594</v>
      </c>
      <c r="X211" s="6">
        <f t="shared" si="466"/>
        <v>0.394274441436895</v>
      </c>
      <c r="Y211" s="19">
        <f t="shared" si="477"/>
        <v>21797</v>
      </c>
      <c r="Z211" s="20">
        <f t="shared" si="478"/>
        <v>5.4942310573897406E-4</v>
      </c>
      <c r="AA211" s="41">
        <v>0.35483870967741937</v>
      </c>
      <c r="AB211" s="41">
        <f>20021/31</f>
        <v>645.83870967741939</v>
      </c>
      <c r="AC211" s="32">
        <f t="shared" si="479"/>
        <v>0.39746213671715108</v>
      </c>
      <c r="AD211" s="41">
        <v>93.967741935483872</v>
      </c>
      <c r="AE211" s="100">
        <v>236.41935483870967</v>
      </c>
      <c r="AF211" s="6">
        <f t="shared" si="480"/>
        <v>0.72258576244299022</v>
      </c>
      <c r="AG211" s="41">
        <v>235.09677419354838</v>
      </c>
      <c r="AH211" s="75">
        <v>325.35483870967744</v>
      </c>
      <c r="AI211" s="52">
        <f t="shared" si="481"/>
        <v>329.41935483870969</v>
      </c>
      <c r="AJ211" s="6">
        <f t="shared" si="467"/>
        <v>0.27278555401218085</v>
      </c>
      <c r="AK211" s="21">
        <f t="shared" si="482"/>
        <v>1207.6129032258063</v>
      </c>
      <c r="AL211" s="69">
        <f t="shared" si="483"/>
        <v>10336.41935483871</v>
      </c>
      <c r="AM211" s="6">
        <f t="shared" si="468"/>
        <v>0.38032844869947513</v>
      </c>
      <c r="AN211" s="3">
        <f t="shared" si="484"/>
        <v>27177.612903225807</v>
      </c>
      <c r="AO211" s="6">
        <f t="shared" si="485"/>
        <v>1.1924966168983125E-2</v>
      </c>
      <c r="AP211" s="6">
        <f t="shared" si="418"/>
        <v>0.46446721531137786</v>
      </c>
      <c r="AQ211" s="70">
        <f t="shared" si="419"/>
        <v>0.93350394468124775</v>
      </c>
    </row>
    <row r="212" spans="1:43" x14ac:dyDescent="0.2">
      <c r="A212" s="110">
        <v>39904</v>
      </c>
      <c r="B212" s="20">
        <f t="shared" si="469"/>
        <v>8.531468531468531E-3</v>
      </c>
      <c r="C212" s="41">
        <v>17.428571428571427</v>
      </c>
      <c r="D212" s="161">
        <v>2042.8571428571429</v>
      </c>
      <c r="E212" s="32">
        <f t="shared" si="470"/>
        <v>0.44165527525786002</v>
      </c>
      <c r="F212" s="161">
        <v>507.71428571428572</v>
      </c>
      <c r="G212" s="162">
        <v>1149.5714285714287</v>
      </c>
      <c r="H212" s="6">
        <f t="shared" si="471"/>
        <v>0.90048279084254779</v>
      </c>
      <c r="I212" s="161">
        <v>826</v>
      </c>
      <c r="J212" s="178">
        <v>917.28571428571433</v>
      </c>
      <c r="K212" s="52">
        <f t="shared" si="472"/>
        <v>1351.1428571428571</v>
      </c>
      <c r="L212" s="6">
        <f t="shared" si="464"/>
        <v>0.32876807563959953</v>
      </c>
      <c r="M212" s="21">
        <f t="shared" si="465"/>
        <v>4109.7142857142862</v>
      </c>
      <c r="N212" s="20">
        <f t="shared" si="473"/>
        <v>1.2796061673336249E-2</v>
      </c>
      <c r="O212" s="10">
        <v>127.23</v>
      </c>
      <c r="P212" s="3">
        <v>9942.9030000000002</v>
      </c>
      <c r="Q212" s="32">
        <f t="shared" si="474"/>
        <v>0.4809917355371901</v>
      </c>
      <c r="R212" s="3">
        <v>2328</v>
      </c>
      <c r="S212" s="33">
        <v>4840</v>
      </c>
      <c r="T212" s="6">
        <f t="shared" si="475"/>
        <v>0.94643992371265095</v>
      </c>
      <c r="U212" s="3">
        <v>5955</v>
      </c>
      <c r="V212" s="21">
        <v>6292</v>
      </c>
      <c r="W212" s="52">
        <f t="shared" si="476"/>
        <v>8410.23</v>
      </c>
      <c r="X212" s="6">
        <f t="shared" si="466"/>
        <v>0.39906375844292141</v>
      </c>
      <c r="Y212" s="19">
        <f t="shared" si="477"/>
        <v>21074.902999999998</v>
      </c>
      <c r="Z212" s="20">
        <f t="shared" si="478"/>
        <v>8.0540516354199302E-4</v>
      </c>
      <c r="AA212" s="41">
        <v>0.58064516129032262</v>
      </c>
      <c r="AB212" s="41">
        <v>720.93548387096769</v>
      </c>
      <c r="AC212" s="32">
        <f t="shared" si="479"/>
        <v>0.32758620689655171</v>
      </c>
      <c r="AD212" s="41">
        <v>80.903225806451616</v>
      </c>
      <c r="AE212" s="100">
        <v>246.96774193548387</v>
      </c>
      <c r="AF212" s="6">
        <f t="shared" si="480"/>
        <v>0.71755110260799515</v>
      </c>
      <c r="AG212" s="41">
        <f>7126/31</f>
        <v>229.87096774193549</v>
      </c>
      <c r="AH212" s="75">
        <v>320.35483870967744</v>
      </c>
      <c r="AI212" s="52">
        <f t="shared" si="481"/>
        <v>311.35483870967738</v>
      </c>
      <c r="AJ212" s="6">
        <f t="shared" si="467"/>
        <v>0.24168669871794868</v>
      </c>
      <c r="AK212" s="21">
        <f t="shared" si="482"/>
        <v>1288.258064516129</v>
      </c>
      <c r="AL212" s="69">
        <f t="shared" si="483"/>
        <v>10072.727695852534</v>
      </c>
      <c r="AM212" s="6">
        <f t="shared" si="468"/>
        <v>0.38049239316064182</v>
      </c>
      <c r="AN212" s="3">
        <f t="shared" si="484"/>
        <v>26472.875350230413</v>
      </c>
      <c r="AO212" s="6">
        <f t="shared" si="485"/>
        <v>1.143013265261158E-2</v>
      </c>
      <c r="AP212" s="6">
        <f t="shared" si="418"/>
        <v>0.46766602947250818</v>
      </c>
      <c r="AQ212" s="70">
        <f t="shared" si="419"/>
        <v>0.93110300795871559</v>
      </c>
    </row>
    <row r="213" spans="1:43" x14ac:dyDescent="0.2">
      <c r="A213" s="110">
        <v>39873</v>
      </c>
      <c r="B213" s="20">
        <f t="shared" si="469"/>
        <v>8.0213903743315516E-3</v>
      </c>
      <c r="C213" s="41">
        <v>18</v>
      </c>
      <c r="D213" s="161">
        <v>2244</v>
      </c>
      <c r="E213" s="32">
        <f t="shared" si="470"/>
        <v>0.44003451251078518</v>
      </c>
      <c r="F213" s="161">
        <v>510</v>
      </c>
      <c r="G213" s="162">
        <v>1159</v>
      </c>
      <c r="H213" s="6">
        <f t="shared" si="471"/>
        <v>0.90738813735691992</v>
      </c>
      <c r="I213" s="161">
        <v>872</v>
      </c>
      <c r="J213" s="178">
        <v>961</v>
      </c>
      <c r="K213" s="52">
        <f t="shared" si="472"/>
        <v>1400</v>
      </c>
      <c r="L213" s="6">
        <f t="shared" si="464"/>
        <v>0.3208065994500458</v>
      </c>
      <c r="M213" s="21">
        <f t="shared" si="465"/>
        <v>4364</v>
      </c>
      <c r="N213" s="20">
        <f t="shared" si="473"/>
        <v>1.1684952279011685E-2</v>
      </c>
      <c r="O213" s="10">
        <v>131</v>
      </c>
      <c r="P213" s="3">
        <v>11211</v>
      </c>
      <c r="Q213" s="32">
        <f t="shared" si="474"/>
        <v>0.47399845916795069</v>
      </c>
      <c r="R213" s="3">
        <v>2461</v>
      </c>
      <c r="S213" s="33">
        <v>5192</v>
      </c>
      <c r="T213" s="6">
        <f t="shared" si="475"/>
        <v>0.93939393939393945</v>
      </c>
      <c r="U213" s="3">
        <v>5146</v>
      </c>
      <c r="V213" s="21">
        <v>5478</v>
      </c>
      <c r="W213" s="52">
        <f t="shared" si="476"/>
        <v>7738</v>
      </c>
      <c r="X213" s="6">
        <f t="shared" si="466"/>
        <v>0.35364014441753117</v>
      </c>
      <c r="Y213" s="19">
        <f t="shared" si="477"/>
        <v>21881</v>
      </c>
      <c r="Z213" s="20">
        <f t="shared" si="478"/>
        <v>4.3981298042634126E-3</v>
      </c>
      <c r="AA213" s="41">
        <v>3.5806451612903225</v>
      </c>
      <c r="AB213" s="41">
        <v>814.12903225806451</v>
      </c>
      <c r="AC213" s="32">
        <f t="shared" si="479"/>
        <v>0.23935985155978196</v>
      </c>
      <c r="AD213" s="41">
        <v>66.58064516129032</v>
      </c>
      <c r="AE213" s="100">
        <v>278.16129032258067</v>
      </c>
      <c r="AF213" s="6">
        <f t="shared" si="480"/>
        <v>0.86647837943124262</v>
      </c>
      <c r="AG213" s="41">
        <v>287</v>
      </c>
      <c r="AH213" s="75">
        <v>331.22580645161293</v>
      </c>
      <c r="AI213" s="52">
        <f t="shared" si="481"/>
        <v>357.16129032258061</v>
      </c>
      <c r="AJ213" s="6">
        <f t="shared" si="467"/>
        <v>0.25090076820231594</v>
      </c>
      <c r="AK213" s="21">
        <f t="shared" si="482"/>
        <v>1423.516129032258</v>
      </c>
      <c r="AL213" s="69">
        <f t="shared" si="483"/>
        <v>9495.1612903225796</v>
      </c>
      <c r="AM213" s="6">
        <f t="shared" si="468"/>
        <v>0.34317566023569351</v>
      </c>
      <c r="AN213" s="3">
        <f t="shared" si="484"/>
        <v>27668.516129032258</v>
      </c>
      <c r="AO213" s="6">
        <f t="shared" si="485"/>
        <v>1.0693059458384106E-2</v>
      </c>
      <c r="AP213" s="6">
        <f t="shared" si="418"/>
        <v>0.45821492525692931</v>
      </c>
      <c r="AQ213" s="70">
        <f t="shared" si="419"/>
        <v>0.93128356132401358</v>
      </c>
    </row>
    <row r="214" spans="1:43" x14ac:dyDescent="0.2">
      <c r="A214" s="110">
        <v>39845</v>
      </c>
      <c r="B214" s="20">
        <f t="shared" si="469"/>
        <v>7.5535039865715489E-3</v>
      </c>
      <c r="C214" s="41">
        <v>18</v>
      </c>
      <c r="D214" s="161">
        <v>2383</v>
      </c>
      <c r="E214" s="32">
        <f t="shared" si="470"/>
        <v>0.419175911251981</v>
      </c>
      <c r="F214" s="161">
        <v>529</v>
      </c>
      <c r="G214" s="162">
        <v>1262</v>
      </c>
      <c r="H214" s="6">
        <f t="shared" si="471"/>
        <v>0.90966386554621848</v>
      </c>
      <c r="I214" s="161">
        <v>866</v>
      </c>
      <c r="J214" s="178">
        <v>952</v>
      </c>
      <c r="K214" s="52">
        <f t="shared" si="472"/>
        <v>1413</v>
      </c>
      <c r="L214" s="6">
        <f t="shared" ref="L214:L233" si="486">K214/M214</f>
        <v>0.3073743745921253</v>
      </c>
      <c r="M214" s="21">
        <f t="shared" ref="M214:M219" si="487">SUM(J214+G214+D214)</f>
        <v>4597</v>
      </c>
      <c r="N214" s="20">
        <f t="shared" si="473"/>
        <v>1.1215864759427829E-2</v>
      </c>
      <c r="O214" s="10">
        <v>138</v>
      </c>
      <c r="P214" s="3">
        <v>12304</v>
      </c>
      <c r="Q214" s="32">
        <f t="shared" si="474"/>
        <v>0.45808966861598438</v>
      </c>
      <c r="R214" s="3">
        <v>2350</v>
      </c>
      <c r="S214" s="33">
        <v>5130</v>
      </c>
      <c r="T214" s="6">
        <f t="shared" si="475"/>
        <v>0.94268374915711395</v>
      </c>
      <c r="U214" s="3">
        <v>5592</v>
      </c>
      <c r="V214" s="21">
        <v>5932</v>
      </c>
      <c r="W214" s="52">
        <f t="shared" si="476"/>
        <v>8080</v>
      </c>
      <c r="X214" s="6">
        <f t="shared" ref="X214:X237" si="488">W214/Y214</f>
        <v>0.34580159205683469</v>
      </c>
      <c r="Y214" s="19">
        <f t="shared" si="477"/>
        <v>23366</v>
      </c>
      <c r="Z214" s="20">
        <f t="shared" si="478"/>
        <v>2.9682741605951968E-3</v>
      </c>
      <c r="AA214" s="41">
        <v>2.4838709677419355</v>
      </c>
      <c r="AB214" s="41">
        <v>836.80645161290317</v>
      </c>
      <c r="AC214" s="32">
        <f t="shared" si="479"/>
        <v>0.24529027297193387</v>
      </c>
      <c r="AD214" s="41">
        <v>61.741935483870968</v>
      </c>
      <c r="AE214" s="100">
        <v>251.70967741935485</v>
      </c>
      <c r="AF214" s="6">
        <f t="shared" si="480"/>
        <v>0.89544848600266624</v>
      </c>
      <c r="AG214" s="41">
        <v>303.35483870967744</v>
      </c>
      <c r="AH214" s="75">
        <v>338.77419354838707</v>
      </c>
      <c r="AI214" s="52">
        <f t="shared" si="481"/>
        <v>367.58064516129036</v>
      </c>
      <c r="AJ214" s="6">
        <f t="shared" ref="AJ214:AJ234" si="489">AI214/AK214</f>
        <v>0.25753740451114226</v>
      </c>
      <c r="AK214" s="21">
        <f t="shared" si="482"/>
        <v>1427.2903225806451</v>
      </c>
      <c r="AL214" s="69">
        <f t="shared" si="483"/>
        <v>9860.5806451612898</v>
      </c>
      <c r="AM214" s="6">
        <f t="shared" ref="AM214:AM234" si="490">AL214/AN214</f>
        <v>0.33550470366008522</v>
      </c>
      <c r="AN214" s="3">
        <f t="shared" si="484"/>
        <v>29390.290322580644</v>
      </c>
      <c r="AO214" s="6">
        <f t="shared" si="485"/>
        <v>1.0209085733046849E-2</v>
      </c>
      <c r="AP214" s="6">
        <f t="shared" si="418"/>
        <v>0.44263552717826704</v>
      </c>
      <c r="AQ214" s="70">
        <f t="shared" si="419"/>
        <v>0.93611604869900755</v>
      </c>
    </row>
    <row r="215" spans="1:43" x14ac:dyDescent="0.2">
      <c r="A215" s="110">
        <v>39814</v>
      </c>
      <c r="B215" s="20">
        <f t="shared" ref="B215:B233" si="491">C215/D215</f>
        <v>7.2713356295445852E-3</v>
      </c>
      <c r="C215" s="41">
        <v>19</v>
      </c>
      <c r="D215" s="161">
        <v>2613</v>
      </c>
      <c r="E215" s="32">
        <f t="shared" ref="E215:E233" si="492">F215/G215</f>
        <v>0.4565718677940046</v>
      </c>
      <c r="F215" s="161">
        <v>594</v>
      </c>
      <c r="G215" s="162">
        <v>1301</v>
      </c>
      <c r="H215" s="6">
        <f t="shared" ref="H215:H233" si="493">I215/J215</f>
        <v>0.93985637342908435</v>
      </c>
      <c r="I215" s="161">
        <v>1047</v>
      </c>
      <c r="J215" s="178">
        <v>1114</v>
      </c>
      <c r="K215" s="52">
        <f t="shared" ref="K215:K220" si="494">SUM(C215+F215+I215)</f>
        <v>1660</v>
      </c>
      <c r="L215" s="6">
        <f t="shared" si="486"/>
        <v>0.33015115354017505</v>
      </c>
      <c r="M215" s="21">
        <f t="shared" si="487"/>
        <v>5028</v>
      </c>
      <c r="N215" s="20">
        <f t="shared" ref="N215:N234" si="495">O215/P215</f>
        <v>1.1060600913835629E-2</v>
      </c>
      <c r="O215" s="10">
        <v>155.96799999999999</v>
      </c>
      <c r="P215" s="3">
        <v>14101.223</v>
      </c>
      <c r="Q215" s="32">
        <f t="shared" ref="Q215:Q234" si="496">R215/S215</f>
        <v>0.44767371395814337</v>
      </c>
      <c r="R215" s="3">
        <v>2515.4110000000001</v>
      </c>
      <c r="S215" s="33">
        <v>5618.8490000000002</v>
      </c>
      <c r="T215" s="6">
        <f t="shared" ref="T215:T234" si="497">U215/V215</f>
        <v>0.93287812130567682</v>
      </c>
      <c r="U215" s="3">
        <v>5574.3050000000003</v>
      </c>
      <c r="V215" s="21">
        <v>5975.384</v>
      </c>
      <c r="W215" s="52">
        <f t="shared" ref="W215:W234" si="498">+U215+O215+R215</f>
        <v>8245.6840000000011</v>
      </c>
      <c r="X215" s="6">
        <f t="shared" si="488"/>
        <v>0.3209004736090304</v>
      </c>
      <c r="Y215" s="19">
        <f t="shared" ref="Y215:Y234" si="499">+V215+S215+P215</f>
        <v>25695.455999999998</v>
      </c>
      <c r="Z215" s="20">
        <f t="shared" ref="Z215:Z234" si="500">AA215/AB215</f>
        <v>3.0120481927710845E-3</v>
      </c>
      <c r="AA215" s="41">
        <v>3</v>
      </c>
      <c r="AB215" s="41">
        <v>996</v>
      </c>
      <c r="AC215" s="32">
        <f t="shared" ref="AC215:AC234" si="501">AD215/AE215</f>
        <v>0.24232081911262798</v>
      </c>
      <c r="AD215" s="41">
        <v>71</v>
      </c>
      <c r="AE215" s="100">
        <v>293</v>
      </c>
      <c r="AF215" s="6">
        <f t="shared" ref="AF215:AF234" si="502">AG215/AH215</f>
        <v>0.69428571428571428</v>
      </c>
      <c r="AG215" s="41">
        <v>243</v>
      </c>
      <c r="AH215" s="75">
        <v>350</v>
      </c>
      <c r="AI215" s="52">
        <f t="shared" ref="AI215:AI234" si="503">AG215+AD215+AA215</f>
        <v>317</v>
      </c>
      <c r="AJ215" s="6">
        <f t="shared" si="489"/>
        <v>0.19341061622940817</v>
      </c>
      <c r="AK215" s="21">
        <f t="shared" ref="AK215:AK234" si="504">+AH215+AE215+AB215</f>
        <v>1639</v>
      </c>
      <c r="AL215" s="69">
        <f t="shared" ref="AL215:AL234" si="505">+AI215+W215+K215</f>
        <v>10222.684000000001</v>
      </c>
      <c r="AM215" s="6">
        <f t="shared" si="490"/>
        <v>0.31588097022055439</v>
      </c>
      <c r="AN215" s="3">
        <f t="shared" ref="AN215:AN234" si="506">+AK215+Y215+M215</f>
        <v>32362.455999999998</v>
      </c>
      <c r="AO215" s="6">
        <f t="shared" ref="AO215:AO249" si="507">(+AA215+O215+C215)/(D215+P215+AB215)</f>
        <v>1.0048885324594728E-2</v>
      </c>
      <c r="AP215" s="6">
        <f t="shared" si="418"/>
        <v>0.44093686142604677</v>
      </c>
      <c r="AQ215" s="70">
        <f t="shared" si="419"/>
        <v>0.92269803521366822</v>
      </c>
    </row>
    <row r="216" spans="1:43" x14ac:dyDescent="0.2">
      <c r="A216" s="110">
        <v>39783</v>
      </c>
      <c r="B216" s="32">
        <f t="shared" si="491"/>
        <v>6.8434559452523521E-3</v>
      </c>
      <c r="C216" s="41">
        <v>17.142857142857142</v>
      </c>
      <c r="D216" s="162">
        <v>2505</v>
      </c>
      <c r="E216" s="6">
        <f t="shared" si="492"/>
        <v>0.43461237274862963</v>
      </c>
      <c r="F216" s="161">
        <v>555</v>
      </c>
      <c r="G216" s="161">
        <v>1277</v>
      </c>
      <c r="H216" s="32">
        <f t="shared" si="493"/>
        <v>0.8957617411225659</v>
      </c>
      <c r="I216" s="161">
        <v>782</v>
      </c>
      <c r="J216" s="178">
        <v>873</v>
      </c>
      <c r="K216" s="52">
        <f t="shared" si="494"/>
        <v>1354.1428571428571</v>
      </c>
      <c r="L216" s="6">
        <f t="shared" si="486"/>
        <v>0.2909007211907319</v>
      </c>
      <c r="M216" s="21">
        <f t="shared" si="487"/>
        <v>4655</v>
      </c>
      <c r="N216" s="20">
        <f t="shared" si="495"/>
        <v>1.1029919596740606E-2</v>
      </c>
      <c r="O216" s="10">
        <v>146.84700000000001</v>
      </c>
      <c r="P216" s="3">
        <v>13313.514999999999</v>
      </c>
      <c r="Q216" s="32">
        <f t="shared" si="496"/>
        <v>0.43149632433707458</v>
      </c>
      <c r="R216" s="3">
        <v>2264.683</v>
      </c>
      <c r="S216" s="33">
        <v>5248.4409999999998</v>
      </c>
      <c r="T216" s="6">
        <f t="shared" si="497"/>
        <v>0.92464156798082719</v>
      </c>
      <c r="U216" s="3">
        <v>4699.2179999999998</v>
      </c>
      <c r="V216" s="21">
        <v>5082.2049999999999</v>
      </c>
      <c r="W216" s="52">
        <f t="shared" si="498"/>
        <v>7110.7479999999996</v>
      </c>
      <c r="X216" s="6">
        <f t="shared" si="488"/>
        <v>0.30074012776346765</v>
      </c>
      <c r="Y216" s="19">
        <f t="shared" si="499"/>
        <v>23644.161</v>
      </c>
      <c r="Z216" s="20">
        <f t="shared" si="500"/>
        <v>4.9504950495049506E-3</v>
      </c>
      <c r="AA216" s="41">
        <v>4</v>
      </c>
      <c r="AB216" s="41">
        <v>808</v>
      </c>
      <c r="AC216" s="32">
        <f t="shared" si="501"/>
        <v>0.24210526315789474</v>
      </c>
      <c r="AD216" s="41">
        <v>69</v>
      </c>
      <c r="AE216" s="100">
        <v>285</v>
      </c>
      <c r="AF216" s="6">
        <f t="shared" si="502"/>
        <v>0.71823204419889508</v>
      </c>
      <c r="AG216" s="41">
        <v>260</v>
      </c>
      <c r="AH216" s="75">
        <v>362</v>
      </c>
      <c r="AI216" s="52">
        <f t="shared" si="503"/>
        <v>333</v>
      </c>
      <c r="AJ216" s="6">
        <f t="shared" si="489"/>
        <v>0.22886597938144329</v>
      </c>
      <c r="AK216" s="21">
        <f t="shared" si="504"/>
        <v>1455</v>
      </c>
      <c r="AL216" s="69">
        <f t="shared" si="505"/>
        <v>8797.8908571428565</v>
      </c>
      <c r="AM216" s="6">
        <f t="shared" si="490"/>
        <v>0.29568606747617104</v>
      </c>
      <c r="AN216" s="3">
        <f t="shared" si="506"/>
        <v>29754.161</v>
      </c>
      <c r="AO216" s="6">
        <f t="shared" si="507"/>
        <v>1.010373233012794E-2</v>
      </c>
      <c r="AP216" s="6">
        <f t="shared" si="418"/>
        <v>0.42415505838755524</v>
      </c>
      <c r="AQ216" s="70">
        <f t="shared" si="419"/>
        <v>0.90882249349197941</v>
      </c>
    </row>
    <row r="217" spans="1:43" x14ac:dyDescent="0.2">
      <c r="A217" s="110">
        <v>39753</v>
      </c>
      <c r="B217" s="20">
        <f t="shared" si="491"/>
        <v>5.7167985927880386E-3</v>
      </c>
      <c r="C217" s="41">
        <v>13</v>
      </c>
      <c r="D217" s="161">
        <v>2274</v>
      </c>
      <c r="E217" s="32">
        <f t="shared" si="492"/>
        <v>0.4145785876993166</v>
      </c>
      <c r="F217" s="161">
        <v>546</v>
      </c>
      <c r="G217" s="162">
        <v>1317</v>
      </c>
      <c r="H217" s="6">
        <f t="shared" si="493"/>
        <v>0.92540540540540539</v>
      </c>
      <c r="I217" s="161">
        <v>856</v>
      </c>
      <c r="J217" s="178">
        <v>925</v>
      </c>
      <c r="K217" s="52">
        <f t="shared" si="494"/>
        <v>1415</v>
      </c>
      <c r="L217" s="6">
        <f t="shared" si="486"/>
        <v>0.31333038086802478</v>
      </c>
      <c r="M217" s="21">
        <f t="shared" si="487"/>
        <v>4516</v>
      </c>
      <c r="N217" s="20">
        <f t="shared" si="495"/>
        <v>1.1242864609471223E-2</v>
      </c>
      <c r="O217" s="10">
        <v>138.27099999999999</v>
      </c>
      <c r="P217" s="3">
        <v>12298.556</v>
      </c>
      <c r="Q217" s="32">
        <f t="shared" si="496"/>
        <v>0.41624570891266638</v>
      </c>
      <c r="R217" s="3">
        <v>2256.6908431107099</v>
      </c>
      <c r="S217" s="33">
        <v>5421.5353931352893</v>
      </c>
      <c r="T217" s="6">
        <f t="shared" si="497"/>
        <v>0.93698363374527949</v>
      </c>
      <c r="U217" s="3">
        <v>6300.1743792847101</v>
      </c>
      <c r="V217" s="21">
        <v>6723.8894601625698</v>
      </c>
      <c r="W217" s="52">
        <f t="shared" si="498"/>
        <v>8695.1362223954202</v>
      </c>
      <c r="X217" s="6">
        <f t="shared" si="488"/>
        <v>0.35571686439209083</v>
      </c>
      <c r="Y217" s="19">
        <f t="shared" si="499"/>
        <v>24443.98085329786</v>
      </c>
      <c r="Z217" s="20">
        <f t="shared" si="500"/>
        <v>4.7796535847401886E-3</v>
      </c>
      <c r="AA217" s="41">
        <f>109/30</f>
        <v>3.6333333333333333</v>
      </c>
      <c r="AB217" s="41">
        <f>22805/30</f>
        <v>760.16666666666663</v>
      </c>
      <c r="AC217" s="32">
        <f t="shared" si="501"/>
        <v>0.24382249117498742</v>
      </c>
      <c r="AD217" s="41">
        <f>1934/30</f>
        <v>64.466666666666669</v>
      </c>
      <c r="AE217" s="100">
        <f>7932/30</f>
        <v>264.39999999999998</v>
      </c>
      <c r="AF217" s="6">
        <f t="shared" si="502"/>
        <v>0.79642393367295972</v>
      </c>
      <c r="AG217" s="41">
        <f>7973/30</f>
        <v>265.76666666666665</v>
      </c>
      <c r="AH217" s="75">
        <f>10011/30</f>
        <v>333.7</v>
      </c>
      <c r="AI217" s="52">
        <f t="shared" si="503"/>
        <v>333.86666666666667</v>
      </c>
      <c r="AJ217" s="6">
        <f t="shared" si="489"/>
        <v>0.24580347501717881</v>
      </c>
      <c r="AK217" s="21">
        <f t="shared" si="504"/>
        <v>1358.2666666666664</v>
      </c>
      <c r="AL217" s="69">
        <f t="shared" si="505"/>
        <v>10444.002889062087</v>
      </c>
      <c r="AM217" s="6">
        <f t="shared" si="490"/>
        <v>0.34447910889917777</v>
      </c>
      <c r="AN217" s="3">
        <f t="shared" si="506"/>
        <v>30318.247519964527</v>
      </c>
      <c r="AO217" s="6">
        <f t="shared" si="507"/>
        <v>1.0102858879075357E-2</v>
      </c>
      <c r="AP217" s="6">
        <f t="shared" si="418"/>
        <v>0.40942224207693562</v>
      </c>
      <c r="AQ217" s="70">
        <f t="shared" si="419"/>
        <v>0.92976609695273305</v>
      </c>
    </row>
    <row r="218" spans="1:43" x14ac:dyDescent="0.2">
      <c r="A218" s="110">
        <v>39722</v>
      </c>
      <c r="B218" s="20">
        <f t="shared" si="491"/>
        <v>5.8596442851233969E-3</v>
      </c>
      <c r="C218" s="41">
        <f>85/7</f>
        <v>12.142857142857142</v>
      </c>
      <c r="D218" s="161">
        <f>14506/7</f>
        <v>2072.2857142857142</v>
      </c>
      <c r="E218" s="32">
        <f t="shared" si="492"/>
        <v>0.40507302075326673</v>
      </c>
      <c r="F218" s="161">
        <v>527</v>
      </c>
      <c r="G218" s="162">
        <v>1301</v>
      </c>
      <c r="H218" s="6">
        <f t="shared" si="493"/>
        <v>0.92532188841201723</v>
      </c>
      <c r="I218" s="161">
        <v>924</v>
      </c>
      <c r="J218" s="178">
        <v>998.57142857142856</v>
      </c>
      <c r="K218" s="52">
        <f t="shared" si="494"/>
        <v>1463.1428571428571</v>
      </c>
      <c r="L218" s="6">
        <f t="shared" si="486"/>
        <v>0.33467307126752277</v>
      </c>
      <c r="M218" s="21">
        <f t="shared" si="487"/>
        <v>4371.8571428571431</v>
      </c>
      <c r="N218" s="20">
        <f t="shared" si="495"/>
        <v>9.6494592373226606E-3</v>
      </c>
      <c r="O218" s="10">
        <v>100.286</v>
      </c>
      <c r="P218" s="3">
        <v>10392.914000000001</v>
      </c>
      <c r="Q218" s="32">
        <f t="shared" si="496"/>
        <v>0.37765577629927966</v>
      </c>
      <c r="R218" s="3">
        <v>2165.2689999999998</v>
      </c>
      <c r="S218" s="33">
        <v>5733.4459999999999</v>
      </c>
      <c r="T218" s="6">
        <f t="shared" si="497"/>
        <v>0.94774283194837627</v>
      </c>
      <c r="U218" s="3">
        <v>9277.4470000000001</v>
      </c>
      <c r="V218" s="21">
        <v>9788.9920000000002</v>
      </c>
      <c r="W218" s="52">
        <f t="shared" si="498"/>
        <v>11543.002</v>
      </c>
      <c r="X218" s="6">
        <f t="shared" si="488"/>
        <v>0.44541173895689323</v>
      </c>
      <c r="Y218" s="19">
        <f t="shared" si="499"/>
        <v>25915.351999999999</v>
      </c>
      <c r="Z218" s="20">
        <f t="shared" si="500"/>
        <v>3.8935124349053388E-3</v>
      </c>
      <c r="AA218" s="41">
        <f>80/30</f>
        <v>2.6666666666666665</v>
      </c>
      <c r="AB218" s="41">
        <f>20547/30</f>
        <v>684.9</v>
      </c>
      <c r="AC218" s="32">
        <f t="shared" si="501"/>
        <v>0.22403153571502279</v>
      </c>
      <c r="AD218" s="41">
        <f>2171/31</f>
        <v>70.032258064516128</v>
      </c>
      <c r="AE218" s="100">
        <f>9378/30</f>
        <v>312.60000000000002</v>
      </c>
      <c r="AF218" s="6">
        <f t="shared" si="502"/>
        <v>0.68964698432800386</v>
      </c>
      <c r="AG218" s="41">
        <f>8713/30</f>
        <v>290.43333333333334</v>
      </c>
      <c r="AH218" s="75">
        <f>12634/30</f>
        <v>421.13333333333333</v>
      </c>
      <c r="AI218" s="52">
        <f t="shared" si="503"/>
        <v>363.13225806451618</v>
      </c>
      <c r="AJ218" s="6">
        <f t="shared" si="489"/>
        <v>0.25597330157981829</v>
      </c>
      <c r="AK218" s="21">
        <f t="shared" si="504"/>
        <v>1418.6333333333332</v>
      </c>
      <c r="AL218" s="69">
        <f t="shared" si="505"/>
        <v>13369.277115207373</v>
      </c>
      <c r="AM218" s="6">
        <f t="shared" si="490"/>
        <v>0.42166604231529381</v>
      </c>
      <c r="AN218" s="3">
        <f t="shared" si="506"/>
        <v>31705.842476190475</v>
      </c>
      <c r="AO218" s="6">
        <f t="shared" si="507"/>
        <v>8.7524449479640734E-3</v>
      </c>
      <c r="AP218" s="6">
        <f t="shared" si="418"/>
        <v>0.37597440632119572</v>
      </c>
      <c r="AQ218" s="70">
        <f t="shared" si="419"/>
        <v>0.93604819152502283</v>
      </c>
    </row>
    <row r="219" spans="1:43" x14ac:dyDescent="0.2">
      <c r="A219" s="110">
        <v>39692</v>
      </c>
      <c r="B219" s="20">
        <f t="shared" si="491"/>
        <v>5.5045871559633031E-3</v>
      </c>
      <c r="C219" s="41">
        <v>12</v>
      </c>
      <c r="D219" s="161">
        <v>2180</v>
      </c>
      <c r="E219" s="32">
        <f t="shared" si="492"/>
        <v>0.39563636363636362</v>
      </c>
      <c r="F219" s="161">
        <v>544</v>
      </c>
      <c r="G219" s="162">
        <v>1375</v>
      </c>
      <c r="H219" s="6">
        <f t="shared" si="493"/>
        <v>0.75960752248569097</v>
      </c>
      <c r="I219" s="161">
        <v>929</v>
      </c>
      <c r="J219" s="178">
        <v>1223</v>
      </c>
      <c r="K219" s="52">
        <f t="shared" si="494"/>
        <v>1485</v>
      </c>
      <c r="L219" s="6">
        <f t="shared" si="486"/>
        <v>0.31079949769778148</v>
      </c>
      <c r="M219" s="21">
        <f t="shared" si="487"/>
        <v>4778</v>
      </c>
      <c r="N219" s="20">
        <f t="shared" si="495"/>
        <v>8.5664335664335668E-3</v>
      </c>
      <c r="O219" s="10">
        <v>98</v>
      </c>
      <c r="P219" s="3">
        <v>11440</v>
      </c>
      <c r="Q219" s="32">
        <f t="shared" si="496"/>
        <v>0.36538134873449973</v>
      </c>
      <c r="R219" s="3">
        <v>2151</v>
      </c>
      <c r="S219" s="33">
        <v>5887</v>
      </c>
      <c r="T219" s="6">
        <f t="shared" si="497"/>
        <v>0.92858036272670419</v>
      </c>
      <c r="U219" s="3">
        <v>7424</v>
      </c>
      <c r="V219" s="21">
        <v>7995</v>
      </c>
      <c r="W219" s="52">
        <f t="shared" si="498"/>
        <v>9673</v>
      </c>
      <c r="X219" s="6">
        <f t="shared" si="488"/>
        <v>0.38199984203459442</v>
      </c>
      <c r="Y219" s="19">
        <f t="shared" si="499"/>
        <v>25322</v>
      </c>
      <c r="Z219" s="20">
        <f t="shared" si="500"/>
        <v>4.3795620437956208E-3</v>
      </c>
      <c r="AA219" s="41">
        <v>3</v>
      </c>
      <c r="AB219" s="41">
        <v>685</v>
      </c>
      <c r="AC219" s="32">
        <f t="shared" si="501"/>
        <v>0.2413793103448276</v>
      </c>
      <c r="AD219" s="41">
        <v>70</v>
      </c>
      <c r="AE219" s="100">
        <v>290</v>
      </c>
      <c r="AF219" s="6">
        <f t="shared" si="502"/>
        <v>0.71393643031784837</v>
      </c>
      <c r="AG219" s="41">
        <v>292</v>
      </c>
      <c r="AH219" s="75">
        <v>409</v>
      </c>
      <c r="AI219" s="52">
        <f t="shared" si="503"/>
        <v>365</v>
      </c>
      <c r="AJ219" s="6">
        <f t="shared" si="489"/>
        <v>0.26372832369942195</v>
      </c>
      <c r="AK219" s="21">
        <f t="shared" si="504"/>
        <v>1384</v>
      </c>
      <c r="AL219" s="69">
        <f t="shared" si="505"/>
        <v>11523</v>
      </c>
      <c r="AM219" s="6">
        <f t="shared" si="490"/>
        <v>0.3659954262482531</v>
      </c>
      <c r="AN219" s="3">
        <f t="shared" si="506"/>
        <v>31484</v>
      </c>
      <c r="AO219" s="6">
        <f t="shared" si="507"/>
        <v>7.899335896539671E-3</v>
      </c>
      <c r="AP219" s="6">
        <f t="shared" si="418"/>
        <v>0.3661281779661017</v>
      </c>
      <c r="AQ219" s="70">
        <f t="shared" si="419"/>
        <v>0.89799522177209934</v>
      </c>
    </row>
    <row r="220" spans="1:43" x14ac:dyDescent="0.2">
      <c r="A220" s="110">
        <v>39661</v>
      </c>
      <c r="B220" s="20">
        <f t="shared" si="491"/>
        <v>5.5389859394972306E-3</v>
      </c>
      <c r="C220" s="41">
        <v>13</v>
      </c>
      <c r="D220" s="161">
        <v>2347</v>
      </c>
      <c r="E220" s="32">
        <f t="shared" si="492"/>
        <v>0.39795918367346939</v>
      </c>
      <c r="F220" s="161">
        <v>585</v>
      </c>
      <c r="G220" s="162">
        <v>1470</v>
      </c>
      <c r="H220" s="6">
        <f t="shared" si="493"/>
        <v>0.87179487179487181</v>
      </c>
      <c r="I220" s="161">
        <v>918</v>
      </c>
      <c r="J220" s="178">
        <v>1053</v>
      </c>
      <c r="K220" s="52">
        <f t="shared" si="494"/>
        <v>1516</v>
      </c>
      <c r="L220" s="6">
        <f t="shared" si="486"/>
        <v>0.31129363449691994</v>
      </c>
      <c r="M220" s="21">
        <f>J220+G220+D220</f>
        <v>4870</v>
      </c>
      <c r="N220" s="20">
        <f t="shared" si="495"/>
        <v>8.6302454473475843E-3</v>
      </c>
      <c r="O220" s="10">
        <v>109</v>
      </c>
      <c r="P220" s="3">
        <v>12630</v>
      </c>
      <c r="Q220" s="32">
        <f t="shared" si="496"/>
        <v>0.37099725526075022</v>
      </c>
      <c r="R220" s="3">
        <v>2433</v>
      </c>
      <c r="S220" s="33">
        <v>6558</v>
      </c>
      <c r="T220" s="6">
        <f t="shared" si="497"/>
        <v>0.93048385160283342</v>
      </c>
      <c r="U220" s="3">
        <v>7750</v>
      </c>
      <c r="V220" s="21">
        <v>8329</v>
      </c>
      <c r="W220" s="52">
        <f t="shared" si="498"/>
        <v>10292</v>
      </c>
      <c r="X220" s="6">
        <f t="shared" si="488"/>
        <v>0.37402333103172586</v>
      </c>
      <c r="Y220" s="19">
        <f t="shared" si="499"/>
        <v>27517</v>
      </c>
      <c r="Z220" s="20">
        <f t="shared" si="500"/>
        <v>2.7359781121751026E-3</v>
      </c>
      <c r="AA220" s="41">
        <v>2</v>
      </c>
      <c r="AB220" s="41">
        <v>731</v>
      </c>
      <c r="AC220" s="32">
        <f t="shared" si="501"/>
        <v>0.250814332247557</v>
      </c>
      <c r="AD220" s="41">
        <v>77</v>
      </c>
      <c r="AE220" s="100">
        <v>307</v>
      </c>
      <c r="AF220" s="6">
        <f t="shared" si="502"/>
        <v>0.71498771498771496</v>
      </c>
      <c r="AG220" s="41">
        <v>291</v>
      </c>
      <c r="AH220" s="75">
        <v>407</v>
      </c>
      <c r="AI220" s="52">
        <f t="shared" si="503"/>
        <v>370</v>
      </c>
      <c r="AJ220" s="6">
        <f t="shared" si="489"/>
        <v>0.25605536332179929</v>
      </c>
      <c r="AK220" s="21">
        <f t="shared" si="504"/>
        <v>1445</v>
      </c>
      <c r="AL220" s="69">
        <f t="shared" si="505"/>
        <v>12178</v>
      </c>
      <c r="AM220" s="6">
        <f t="shared" si="490"/>
        <v>0.35995507212106881</v>
      </c>
      <c r="AN220" s="3">
        <f t="shared" si="506"/>
        <v>33832</v>
      </c>
      <c r="AO220" s="6">
        <f t="shared" si="507"/>
        <v>7.89406671759613E-3</v>
      </c>
      <c r="AP220" s="6">
        <f t="shared" si="418"/>
        <v>0.37132573485302939</v>
      </c>
      <c r="AQ220" s="70">
        <f t="shared" si="419"/>
        <v>0.91521095106752481</v>
      </c>
    </row>
    <row r="221" spans="1:43" x14ac:dyDescent="0.2">
      <c r="A221" s="110">
        <v>39630</v>
      </c>
      <c r="B221" s="20">
        <f t="shared" si="491"/>
        <v>5.0505050505050509E-3</v>
      </c>
      <c r="C221" s="41">
        <v>11</v>
      </c>
      <c r="D221" s="161">
        <v>2178</v>
      </c>
      <c r="E221" s="32">
        <f t="shared" si="492"/>
        <v>0.40269886363636365</v>
      </c>
      <c r="F221" s="161">
        <v>567</v>
      </c>
      <c r="G221" s="162">
        <v>1408</v>
      </c>
      <c r="H221" s="6">
        <f t="shared" si="493"/>
        <v>0.87361623616236161</v>
      </c>
      <c r="I221" s="161">
        <v>947</v>
      </c>
      <c r="J221" s="178">
        <v>1084</v>
      </c>
      <c r="K221" s="52">
        <v>1525</v>
      </c>
      <c r="L221" s="6">
        <f t="shared" si="486"/>
        <v>0.32655246252676662</v>
      </c>
      <c r="M221" s="21">
        <v>4670</v>
      </c>
      <c r="N221" s="20">
        <f t="shared" si="495"/>
        <v>9.1702279202279195E-3</v>
      </c>
      <c r="O221" s="10">
        <v>103</v>
      </c>
      <c r="P221" s="3">
        <v>11232</v>
      </c>
      <c r="Q221" s="32">
        <f t="shared" si="496"/>
        <v>0.39250486677083918</v>
      </c>
      <c r="R221" s="3">
        <v>2436.0320000000002</v>
      </c>
      <c r="S221" s="33">
        <v>6206.3739999999998</v>
      </c>
      <c r="T221" s="6">
        <f t="shared" si="497"/>
        <v>0.92987335692246609</v>
      </c>
      <c r="U221" s="3">
        <v>7325.732</v>
      </c>
      <c r="V221" s="21">
        <v>7878.2039999999997</v>
      </c>
      <c r="W221" s="52">
        <f t="shared" si="498"/>
        <v>9864.7639999999992</v>
      </c>
      <c r="X221" s="6">
        <f t="shared" si="488"/>
        <v>0.38965629557043607</v>
      </c>
      <c r="Y221" s="19">
        <f t="shared" si="499"/>
        <v>25316.578000000001</v>
      </c>
      <c r="Z221" s="20">
        <f t="shared" si="500"/>
        <v>3.0349013657056147E-3</v>
      </c>
      <c r="AA221" s="41">
        <v>2</v>
      </c>
      <c r="AB221" s="41">
        <v>659</v>
      </c>
      <c r="AC221" s="32">
        <f t="shared" si="501"/>
        <v>0.26353790613718414</v>
      </c>
      <c r="AD221" s="41">
        <v>73</v>
      </c>
      <c r="AE221" s="100">
        <v>277</v>
      </c>
      <c r="AF221" s="6">
        <f t="shared" si="502"/>
        <v>0.7117516629711752</v>
      </c>
      <c r="AG221" s="41">
        <v>321</v>
      </c>
      <c r="AH221" s="75">
        <v>451</v>
      </c>
      <c r="AI221" s="52">
        <f t="shared" si="503"/>
        <v>396</v>
      </c>
      <c r="AJ221" s="6">
        <f t="shared" si="489"/>
        <v>0.28550829127613553</v>
      </c>
      <c r="AK221" s="21">
        <f t="shared" si="504"/>
        <v>1387</v>
      </c>
      <c r="AL221" s="69">
        <f t="shared" si="505"/>
        <v>11785.763999999999</v>
      </c>
      <c r="AM221" s="6">
        <f t="shared" si="490"/>
        <v>0.37565890635744509</v>
      </c>
      <c r="AN221" s="3">
        <f t="shared" si="506"/>
        <v>31373.578000000001</v>
      </c>
      <c r="AO221" s="6">
        <f t="shared" si="507"/>
        <v>8.2450778306915919E-3</v>
      </c>
      <c r="AP221" s="6">
        <f t="shared" si="418"/>
        <v>0.38979675782696399</v>
      </c>
      <c r="AQ221" s="70">
        <f t="shared" si="419"/>
        <v>0.91294441297564577</v>
      </c>
    </row>
    <row r="222" spans="1:43" x14ac:dyDescent="0.2">
      <c r="A222" s="110">
        <v>39600</v>
      </c>
      <c r="B222" s="20">
        <f t="shared" si="491"/>
        <v>5.1229508196721308E-3</v>
      </c>
      <c r="C222" s="59">
        <v>10</v>
      </c>
      <c r="D222" s="161">
        <v>1952</v>
      </c>
      <c r="E222" s="32">
        <f t="shared" si="492"/>
        <v>0.41253051261187956</v>
      </c>
      <c r="F222" s="161">
        <v>507</v>
      </c>
      <c r="G222" s="162">
        <v>1229</v>
      </c>
      <c r="H222" s="6">
        <f t="shared" si="493"/>
        <v>0.91077257889009788</v>
      </c>
      <c r="I222" s="161">
        <v>837</v>
      </c>
      <c r="J222" s="178">
        <v>919</v>
      </c>
      <c r="K222" s="52">
        <f t="shared" ref="K222:K233" si="508">+C222+F222+I222</f>
        <v>1354</v>
      </c>
      <c r="L222" s="6">
        <f t="shared" si="486"/>
        <v>0.33024390243902441</v>
      </c>
      <c r="M222" s="21">
        <f t="shared" ref="M222:M233" si="509">+J222+G222+D222</f>
        <v>4100</v>
      </c>
      <c r="N222" s="20">
        <f t="shared" si="495"/>
        <v>8.779806445176095E-3</v>
      </c>
      <c r="O222" s="3">
        <v>88</v>
      </c>
      <c r="P222" s="3">
        <v>10023</v>
      </c>
      <c r="Q222" s="32">
        <f t="shared" si="496"/>
        <v>0.39853162650602408</v>
      </c>
      <c r="R222" s="3">
        <v>2117</v>
      </c>
      <c r="S222" s="33">
        <v>5312</v>
      </c>
      <c r="T222" s="6">
        <f t="shared" si="497"/>
        <v>0.93109713487071977</v>
      </c>
      <c r="U222" s="3">
        <v>6662</v>
      </c>
      <c r="V222" s="21">
        <v>7155</v>
      </c>
      <c r="W222" s="52">
        <f t="shared" si="498"/>
        <v>8867</v>
      </c>
      <c r="X222" s="6">
        <f t="shared" si="488"/>
        <v>0.39426411738550465</v>
      </c>
      <c r="Y222" s="19">
        <f t="shared" si="499"/>
        <v>22490</v>
      </c>
      <c r="Z222" s="20">
        <f t="shared" si="500"/>
        <v>4.3767932694645725E-3</v>
      </c>
      <c r="AA222" s="41">
        <v>2.903225806451613</v>
      </c>
      <c r="AB222" s="41">
        <v>663.32258064516134</v>
      </c>
      <c r="AC222" s="32">
        <f t="shared" si="501"/>
        <v>0.24764810577167554</v>
      </c>
      <c r="AD222" s="41">
        <v>62.838709677419352</v>
      </c>
      <c r="AE222" s="100">
        <v>253.74193548387098</v>
      </c>
      <c r="AF222" s="6">
        <f t="shared" si="502"/>
        <v>0.69601342845153158</v>
      </c>
      <c r="AG222" s="41">
        <v>267.51612903225805</v>
      </c>
      <c r="AH222" s="75">
        <v>384.35483870967744</v>
      </c>
      <c r="AI222" s="52">
        <f t="shared" si="503"/>
        <v>333.25806451612897</v>
      </c>
      <c r="AJ222" s="6">
        <f t="shared" si="489"/>
        <v>0.2560727741423755</v>
      </c>
      <c r="AK222" s="21">
        <f t="shared" si="504"/>
        <v>1301.4193548387098</v>
      </c>
      <c r="AL222" s="69">
        <f t="shared" si="505"/>
        <v>10554.258064516129</v>
      </c>
      <c r="AM222" s="6">
        <f t="shared" si="490"/>
        <v>0.37840519803755118</v>
      </c>
      <c r="AN222" s="3">
        <f t="shared" si="506"/>
        <v>27891.419354838708</v>
      </c>
      <c r="AO222" s="6">
        <f t="shared" si="507"/>
        <v>7.9839096654313046E-3</v>
      </c>
      <c r="AP222" s="6">
        <f t="shared" si="418"/>
        <v>0.39542910314901941</v>
      </c>
      <c r="AQ222" s="70">
        <f t="shared" si="419"/>
        <v>0.91820646888550728</v>
      </c>
    </row>
    <row r="223" spans="1:43" x14ac:dyDescent="0.2">
      <c r="A223" s="110">
        <v>39569</v>
      </c>
      <c r="B223" s="20">
        <f t="shared" si="491"/>
        <v>4.8169556840077067E-3</v>
      </c>
      <c r="C223" s="59">
        <v>10</v>
      </c>
      <c r="D223" s="161">
        <v>2076</v>
      </c>
      <c r="E223" s="32">
        <f t="shared" si="492"/>
        <v>0.41049913941480204</v>
      </c>
      <c r="F223" s="161">
        <v>477</v>
      </c>
      <c r="G223" s="162">
        <v>1162</v>
      </c>
      <c r="H223" s="6">
        <f t="shared" si="493"/>
        <v>0.91431556948798332</v>
      </c>
      <c r="I223" s="161">
        <v>875</v>
      </c>
      <c r="J223" s="178">
        <v>957</v>
      </c>
      <c r="K223" s="52">
        <f t="shared" si="508"/>
        <v>1362</v>
      </c>
      <c r="L223" s="6">
        <f t="shared" si="486"/>
        <v>0.32467222884386177</v>
      </c>
      <c r="M223" s="21">
        <f t="shared" si="509"/>
        <v>4195</v>
      </c>
      <c r="N223" s="20">
        <f t="shared" si="495"/>
        <v>8.9922783696608343E-3</v>
      </c>
      <c r="O223" s="3">
        <v>92</v>
      </c>
      <c r="P223" s="3">
        <v>10231</v>
      </c>
      <c r="Q223" s="32">
        <f t="shared" si="496"/>
        <v>0.416650226869205</v>
      </c>
      <c r="R223" s="3">
        <v>2112</v>
      </c>
      <c r="S223" s="33">
        <v>5069</v>
      </c>
      <c r="T223" s="6">
        <f t="shared" si="497"/>
        <v>0.92856172755670241</v>
      </c>
      <c r="U223" s="3">
        <v>6837</v>
      </c>
      <c r="V223" s="21">
        <v>7363</v>
      </c>
      <c r="W223" s="52">
        <f t="shared" si="498"/>
        <v>9041</v>
      </c>
      <c r="X223" s="6">
        <f t="shared" si="488"/>
        <v>0.39893218020562149</v>
      </c>
      <c r="Y223" s="19">
        <f t="shared" si="499"/>
        <v>22663</v>
      </c>
      <c r="Z223" s="20">
        <f t="shared" si="500"/>
        <v>4.6726950201185485E-3</v>
      </c>
      <c r="AA223" s="41">
        <v>3.6</v>
      </c>
      <c r="AB223" s="41">
        <v>770.43333333333328</v>
      </c>
      <c r="AC223" s="32">
        <f t="shared" si="501"/>
        <v>0.23614840126922138</v>
      </c>
      <c r="AD223" s="41">
        <v>64.5</v>
      </c>
      <c r="AE223" s="100">
        <v>273.13333333333333</v>
      </c>
      <c r="AF223" s="6">
        <f t="shared" si="502"/>
        <v>0.69269394928445882</v>
      </c>
      <c r="AG223" s="41">
        <v>275.89999999999998</v>
      </c>
      <c r="AH223" s="75">
        <v>398.3</v>
      </c>
      <c r="AI223" s="52">
        <f t="shared" si="503"/>
        <v>344</v>
      </c>
      <c r="AJ223" s="6">
        <f t="shared" si="489"/>
        <v>0.23857961901239133</v>
      </c>
      <c r="AK223" s="21">
        <f t="shared" si="504"/>
        <v>1441.8666666666668</v>
      </c>
      <c r="AL223" s="69">
        <f t="shared" si="505"/>
        <v>10747</v>
      </c>
      <c r="AM223" s="6">
        <f t="shared" si="490"/>
        <v>0.37975443936131614</v>
      </c>
      <c r="AN223" s="3">
        <f t="shared" si="506"/>
        <v>28299.866666666669</v>
      </c>
      <c r="AO223" s="6">
        <f t="shared" si="507"/>
        <v>8.0749790351317668E-3</v>
      </c>
      <c r="AP223" s="6">
        <f t="shared" si="418"/>
        <v>0.40797134130091633</v>
      </c>
      <c r="AQ223" s="70">
        <f t="shared" si="419"/>
        <v>0.91622219928197013</v>
      </c>
    </row>
    <row r="224" spans="1:43" x14ac:dyDescent="0.2">
      <c r="A224" s="110">
        <v>39539</v>
      </c>
      <c r="B224" s="20">
        <f t="shared" si="491"/>
        <v>5.691768826619965E-3</v>
      </c>
      <c r="C224" s="59">
        <v>13</v>
      </c>
      <c r="D224" s="161">
        <v>2284</v>
      </c>
      <c r="E224" s="32">
        <f t="shared" si="492"/>
        <v>0.41451990632318503</v>
      </c>
      <c r="F224" s="161">
        <v>531</v>
      </c>
      <c r="G224" s="162">
        <v>1281</v>
      </c>
      <c r="H224" s="6">
        <f t="shared" si="493"/>
        <v>0.92569002123142252</v>
      </c>
      <c r="I224" s="161">
        <v>872</v>
      </c>
      <c r="J224" s="178">
        <v>942</v>
      </c>
      <c r="K224" s="52">
        <f t="shared" si="508"/>
        <v>1416</v>
      </c>
      <c r="L224" s="6">
        <f t="shared" si="486"/>
        <v>0.31417794541823829</v>
      </c>
      <c r="M224" s="21">
        <f t="shared" si="509"/>
        <v>4507</v>
      </c>
      <c r="N224" s="20">
        <f t="shared" si="495"/>
        <v>9.1727678195741812E-3</v>
      </c>
      <c r="O224" s="3">
        <v>109</v>
      </c>
      <c r="P224" s="3">
        <v>11883</v>
      </c>
      <c r="Q224" s="32">
        <f t="shared" si="496"/>
        <v>0.4169314146888432</v>
      </c>
      <c r="R224" s="3">
        <v>2231</v>
      </c>
      <c r="S224" s="33">
        <v>5351</v>
      </c>
      <c r="T224" s="6">
        <f t="shared" si="497"/>
        <v>0.93506834910620396</v>
      </c>
      <c r="U224" s="3">
        <v>7114</v>
      </c>
      <c r="V224" s="21">
        <v>7608</v>
      </c>
      <c r="W224" s="52">
        <f t="shared" si="498"/>
        <v>9454</v>
      </c>
      <c r="X224" s="6">
        <f t="shared" si="488"/>
        <v>0.38056517188632155</v>
      </c>
      <c r="Y224" s="19">
        <f t="shared" si="499"/>
        <v>24842</v>
      </c>
      <c r="Z224" s="20">
        <f t="shared" si="500"/>
        <v>4.5272969374167771E-3</v>
      </c>
      <c r="AA224" s="41">
        <v>3.4</v>
      </c>
      <c r="AB224" s="41">
        <v>751</v>
      </c>
      <c r="AC224" s="32">
        <f t="shared" si="501"/>
        <v>0.23591549295774647</v>
      </c>
      <c r="AD224" s="41">
        <v>67</v>
      </c>
      <c r="AE224" s="100">
        <v>284</v>
      </c>
      <c r="AF224" s="6">
        <f t="shared" si="502"/>
        <v>0.69423558897243109</v>
      </c>
      <c r="AG224" s="41">
        <v>277</v>
      </c>
      <c r="AH224" s="75">
        <v>399</v>
      </c>
      <c r="AI224" s="52">
        <f t="shared" si="503"/>
        <v>347.4</v>
      </c>
      <c r="AJ224" s="6">
        <f t="shared" si="489"/>
        <v>0.24225941422594141</v>
      </c>
      <c r="AK224" s="21">
        <f t="shared" si="504"/>
        <v>1434</v>
      </c>
      <c r="AL224" s="69">
        <f t="shared" si="505"/>
        <v>11217.4</v>
      </c>
      <c r="AM224" s="6">
        <f t="shared" si="490"/>
        <v>0.36440242991261407</v>
      </c>
      <c r="AN224" s="3">
        <f t="shared" si="506"/>
        <v>30783</v>
      </c>
      <c r="AO224" s="6">
        <f t="shared" si="507"/>
        <v>8.4059525405550343E-3</v>
      </c>
      <c r="AP224" s="6">
        <f t="shared" si="418"/>
        <v>0.4090514748409485</v>
      </c>
      <c r="AQ224" s="70">
        <f t="shared" si="419"/>
        <v>0.9233433903229411</v>
      </c>
    </row>
    <row r="225" spans="1:43" x14ac:dyDescent="0.2">
      <c r="A225" s="110">
        <v>39508</v>
      </c>
      <c r="B225" s="20">
        <f t="shared" si="491"/>
        <v>6.3748406289842758E-3</v>
      </c>
      <c r="C225" s="59">
        <v>15</v>
      </c>
      <c r="D225" s="161">
        <v>2353</v>
      </c>
      <c r="E225" s="32">
        <f t="shared" si="492"/>
        <v>0.40241305890702628</v>
      </c>
      <c r="F225" s="161">
        <v>567</v>
      </c>
      <c r="G225" s="162">
        <v>1409</v>
      </c>
      <c r="H225" s="6">
        <f t="shared" si="493"/>
        <v>0.94490644490644493</v>
      </c>
      <c r="I225" s="161">
        <v>909</v>
      </c>
      <c r="J225" s="178">
        <v>962</v>
      </c>
      <c r="K225" s="52">
        <f t="shared" si="508"/>
        <v>1491</v>
      </c>
      <c r="L225" s="6">
        <f t="shared" si="486"/>
        <v>0.31562235393734123</v>
      </c>
      <c r="M225" s="21">
        <f t="shared" si="509"/>
        <v>4724</v>
      </c>
      <c r="N225" s="20">
        <f t="shared" si="495"/>
        <v>1.0876519513755598E-2</v>
      </c>
      <c r="O225" s="3">
        <v>136</v>
      </c>
      <c r="P225" s="3">
        <v>12504</v>
      </c>
      <c r="Q225" s="32">
        <f t="shared" si="496"/>
        <v>0.41954419889502764</v>
      </c>
      <c r="R225" s="3">
        <v>2430</v>
      </c>
      <c r="S225" s="33">
        <v>5792</v>
      </c>
      <c r="T225" s="6">
        <f t="shared" si="497"/>
        <v>0.9339610304694651</v>
      </c>
      <c r="U225" s="3">
        <v>7142</v>
      </c>
      <c r="V225" s="21">
        <v>7647</v>
      </c>
      <c r="W225" s="52">
        <f t="shared" si="498"/>
        <v>9708</v>
      </c>
      <c r="X225" s="6">
        <f t="shared" si="488"/>
        <v>0.37420498785799639</v>
      </c>
      <c r="Y225" s="19">
        <f t="shared" si="499"/>
        <v>25943</v>
      </c>
      <c r="Z225" s="20">
        <f t="shared" si="500"/>
        <v>5.4525627044711015E-3</v>
      </c>
      <c r="AA225" s="41">
        <v>5</v>
      </c>
      <c r="AB225" s="41">
        <v>917</v>
      </c>
      <c r="AC225" s="32">
        <f t="shared" si="501"/>
        <v>0.2734375</v>
      </c>
      <c r="AD225" s="41">
        <v>70</v>
      </c>
      <c r="AE225" s="100">
        <v>256</v>
      </c>
      <c r="AF225" s="6">
        <f t="shared" si="502"/>
        <v>0.68809523809523809</v>
      </c>
      <c r="AG225" s="41">
        <v>289</v>
      </c>
      <c r="AH225" s="75">
        <v>420</v>
      </c>
      <c r="AI225" s="52">
        <f t="shared" si="503"/>
        <v>364</v>
      </c>
      <c r="AJ225" s="6">
        <f t="shared" si="489"/>
        <v>0.22849968612680477</v>
      </c>
      <c r="AK225" s="21">
        <f t="shared" si="504"/>
        <v>1593</v>
      </c>
      <c r="AL225" s="69">
        <f t="shared" si="505"/>
        <v>11563</v>
      </c>
      <c r="AM225" s="6">
        <f t="shared" si="490"/>
        <v>0.35843149411035335</v>
      </c>
      <c r="AN225" s="3">
        <f t="shared" si="506"/>
        <v>32260</v>
      </c>
      <c r="AO225" s="6">
        <f t="shared" si="507"/>
        <v>9.8896918980600993E-3</v>
      </c>
      <c r="AP225" s="6">
        <f t="shared" si="418"/>
        <v>0.41129140404988601</v>
      </c>
      <c r="AQ225" s="70">
        <f t="shared" si="419"/>
        <v>0.92369033115516663</v>
      </c>
    </row>
    <row r="226" spans="1:43" x14ac:dyDescent="0.2">
      <c r="A226" s="110">
        <v>39479</v>
      </c>
      <c r="B226" s="20">
        <f t="shared" si="491"/>
        <v>6.8300522298111689E-3</v>
      </c>
      <c r="C226" s="59">
        <v>17</v>
      </c>
      <c r="D226" s="161">
        <v>2489</v>
      </c>
      <c r="E226" s="32">
        <f t="shared" si="492"/>
        <v>0.38574423480083858</v>
      </c>
      <c r="F226" s="161">
        <v>552</v>
      </c>
      <c r="G226" s="162">
        <v>1431</v>
      </c>
      <c r="H226" s="6">
        <f t="shared" si="493"/>
        <v>0.8988212180746562</v>
      </c>
      <c r="I226" s="161">
        <v>915</v>
      </c>
      <c r="J226" s="178">
        <v>1018</v>
      </c>
      <c r="K226" s="52">
        <f t="shared" si="508"/>
        <v>1484</v>
      </c>
      <c r="L226" s="6">
        <f t="shared" si="486"/>
        <v>0.30052652895909276</v>
      </c>
      <c r="M226" s="21">
        <f t="shared" si="509"/>
        <v>4938</v>
      </c>
      <c r="N226" s="20">
        <f t="shared" si="495"/>
        <v>1.0111524163568773E-2</v>
      </c>
      <c r="O226" s="3">
        <v>136</v>
      </c>
      <c r="P226" s="3">
        <v>13450</v>
      </c>
      <c r="Q226" s="32">
        <f t="shared" si="496"/>
        <v>0.42182227221597302</v>
      </c>
      <c r="R226" s="3">
        <v>2250</v>
      </c>
      <c r="S226" s="33">
        <v>5334</v>
      </c>
      <c r="T226" s="6">
        <f t="shared" si="497"/>
        <v>0.94199869366427169</v>
      </c>
      <c r="U226" s="3">
        <v>7211</v>
      </c>
      <c r="V226" s="21">
        <v>7655</v>
      </c>
      <c r="W226" s="52">
        <f t="shared" si="498"/>
        <v>9597</v>
      </c>
      <c r="X226" s="6">
        <f t="shared" si="488"/>
        <v>0.36298649722001586</v>
      </c>
      <c r="Y226" s="19">
        <f t="shared" si="499"/>
        <v>26439</v>
      </c>
      <c r="Z226" s="20">
        <f t="shared" si="500"/>
        <v>3.3557046979865771E-3</v>
      </c>
      <c r="AA226" s="41">
        <v>3.064516129032258</v>
      </c>
      <c r="AB226" s="41">
        <v>913.22580645161293</v>
      </c>
      <c r="AC226" s="32">
        <f t="shared" si="501"/>
        <v>0.23768877216021012</v>
      </c>
      <c r="AD226" s="41">
        <v>70.064516129032256</v>
      </c>
      <c r="AE226" s="100">
        <v>294.77419354838707</v>
      </c>
      <c r="AF226" s="6">
        <f t="shared" si="502"/>
        <v>0.71231146444758153</v>
      </c>
      <c r="AG226" s="41">
        <v>309.25806451612902</v>
      </c>
      <c r="AH226" s="75">
        <v>434.16129032258067</v>
      </c>
      <c r="AI226" s="52">
        <f t="shared" si="503"/>
        <v>382.38709677419354</v>
      </c>
      <c r="AJ226" s="6">
        <f t="shared" si="489"/>
        <v>0.23285599229968371</v>
      </c>
      <c r="AK226" s="21">
        <f t="shared" si="504"/>
        <v>1642.1612903225807</v>
      </c>
      <c r="AL226" s="69">
        <f t="shared" si="505"/>
        <v>11463.387096774193</v>
      </c>
      <c r="AM226" s="6">
        <f t="shared" si="490"/>
        <v>0.34717378179239039</v>
      </c>
      <c r="AN226" s="3">
        <f t="shared" si="506"/>
        <v>33019.161290322576</v>
      </c>
      <c r="AO226" s="6">
        <f t="shared" si="507"/>
        <v>9.2607657837865762E-3</v>
      </c>
      <c r="AP226" s="6">
        <f t="shared" si="418"/>
        <v>0.40682101684692462</v>
      </c>
      <c r="AQ226" s="70">
        <f t="shared" si="419"/>
        <v>0.92622254022003248</v>
      </c>
    </row>
    <row r="227" spans="1:43" x14ac:dyDescent="0.2">
      <c r="A227" s="110">
        <v>39448</v>
      </c>
      <c r="B227" s="20">
        <f t="shared" si="491"/>
        <v>7.2318200080353553E-3</v>
      </c>
      <c r="C227" s="59">
        <v>18</v>
      </c>
      <c r="D227" s="161">
        <v>2489</v>
      </c>
      <c r="E227" s="32">
        <f t="shared" si="492"/>
        <v>0.42412140575079871</v>
      </c>
      <c r="F227" s="161">
        <v>531</v>
      </c>
      <c r="G227" s="162">
        <v>1252</v>
      </c>
      <c r="H227" s="6">
        <f t="shared" si="493"/>
        <v>0.95132743362831862</v>
      </c>
      <c r="I227" s="161">
        <v>860</v>
      </c>
      <c r="J227" s="178">
        <v>904</v>
      </c>
      <c r="K227" s="52">
        <f t="shared" si="508"/>
        <v>1409</v>
      </c>
      <c r="L227" s="6">
        <f t="shared" si="486"/>
        <v>0.30333692142088264</v>
      </c>
      <c r="M227" s="21">
        <f t="shared" si="509"/>
        <v>4645</v>
      </c>
      <c r="N227" s="20">
        <f t="shared" si="495"/>
        <v>1.006893346758578E-2</v>
      </c>
      <c r="O227" s="3">
        <v>130</v>
      </c>
      <c r="P227" s="3">
        <v>12911</v>
      </c>
      <c r="Q227" s="32">
        <f t="shared" si="496"/>
        <v>0.42163435404964666</v>
      </c>
      <c r="R227" s="3">
        <v>2327</v>
      </c>
      <c r="S227" s="33">
        <v>5519</v>
      </c>
      <c r="T227" s="6">
        <f t="shared" si="497"/>
        <v>0.93614421020470517</v>
      </c>
      <c r="U227" s="3">
        <v>6128</v>
      </c>
      <c r="V227" s="21">
        <v>6546</v>
      </c>
      <c r="W227" s="52">
        <f t="shared" si="498"/>
        <v>8585</v>
      </c>
      <c r="X227" s="6">
        <f t="shared" si="488"/>
        <v>0.34372998078155031</v>
      </c>
      <c r="Y227" s="19">
        <f t="shared" si="499"/>
        <v>24976</v>
      </c>
      <c r="Z227" s="20">
        <f t="shared" si="500"/>
        <v>3.4883720930232558E-3</v>
      </c>
      <c r="AA227" s="41">
        <v>3</v>
      </c>
      <c r="AB227" s="41">
        <v>860</v>
      </c>
      <c r="AC227" s="32">
        <f t="shared" si="501"/>
        <v>0.24295774647887325</v>
      </c>
      <c r="AD227" s="41">
        <v>69</v>
      </c>
      <c r="AE227" s="100">
        <v>284</v>
      </c>
      <c r="AF227" s="6">
        <f t="shared" si="502"/>
        <v>0.71912832929782078</v>
      </c>
      <c r="AG227" s="41">
        <v>297</v>
      </c>
      <c r="AH227" s="75">
        <v>413</v>
      </c>
      <c r="AI227" s="52">
        <f t="shared" si="503"/>
        <v>369</v>
      </c>
      <c r="AJ227" s="6">
        <f t="shared" si="489"/>
        <v>0.23699421965317918</v>
      </c>
      <c r="AK227" s="21">
        <f t="shared" si="504"/>
        <v>1557</v>
      </c>
      <c r="AL227" s="69">
        <f t="shared" si="505"/>
        <v>10363</v>
      </c>
      <c r="AM227" s="6">
        <f t="shared" si="490"/>
        <v>0.33238180768490605</v>
      </c>
      <c r="AN227" s="3">
        <f t="shared" si="506"/>
        <v>31178</v>
      </c>
      <c r="AO227" s="6">
        <f t="shared" si="507"/>
        <v>9.2865928659286601E-3</v>
      </c>
      <c r="AP227" s="6">
        <f t="shared" si="418"/>
        <v>0.41488306165839828</v>
      </c>
      <c r="AQ227" s="70">
        <f t="shared" si="419"/>
        <v>0.92649116113442709</v>
      </c>
    </row>
    <row r="228" spans="1:43" x14ac:dyDescent="0.2">
      <c r="A228" s="110">
        <v>39417</v>
      </c>
      <c r="B228" s="20">
        <f t="shared" si="491"/>
        <v>7.2711719418306247E-3</v>
      </c>
      <c r="C228" s="59">
        <v>17</v>
      </c>
      <c r="D228" s="161">
        <v>2338</v>
      </c>
      <c r="E228" s="32">
        <f t="shared" si="492"/>
        <v>0.43695652173913041</v>
      </c>
      <c r="F228" s="161">
        <v>603</v>
      </c>
      <c r="G228" s="162">
        <v>1380</v>
      </c>
      <c r="H228" s="6">
        <f t="shared" si="493"/>
        <v>0.92964352720450283</v>
      </c>
      <c r="I228" s="161">
        <v>991</v>
      </c>
      <c r="J228" s="178">
        <v>1066</v>
      </c>
      <c r="K228" s="52">
        <f t="shared" si="508"/>
        <v>1611</v>
      </c>
      <c r="L228" s="6">
        <f t="shared" si="486"/>
        <v>0.33674749163879597</v>
      </c>
      <c r="M228" s="21">
        <f t="shared" si="509"/>
        <v>4784</v>
      </c>
      <c r="N228" s="20">
        <f t="shared" si="495"/>
        <v>1.0271398747390397E-2</v>
      </c>
      <c r="O228" s="3">
        <v>123</v>
      </c>
      <c r="P228" s="3">
        <v>11975</v>
      </c>
      <c r="Q228" s="32">
        <f t="shared" si="496"/>
        <v>0.42149191444966094</v>
      </c>
      <c r="R228" s="3">
        <v>2424</v>
      </c>
      <c r="S228" s="33">
        <v>5751</v>
      </c>
      <c r="T228" s="6">
        <f t="shared" si="497"/>
        <v>0.94771321120951113</v>
      </c>
      <c r="U228" s="3">
        <v>7812</v>
      </c>
      <c r="V228" s="21">
        <v>8243</v>
      </c>
      <c r="W228" s="52">
        <f t="shared" si="498"/>
        <v>10359</v>
      </c>
      <c r="X228" s="6">
        <f t="shared" si="488"/>
        <v>0.39889868689591435</v>
      </c>
      <c r="Y228" s="19">
        <f t="shared" si="499"/>
        <v>25969</v>
      </c>
      <c r="Z228" s="20">
        <f t="shared" si="500"/>
        <v>4.2714342331234313E-3</v>
      </c>
      <c r="AA228" s="41">
        <v>3.2333333333333334</v>
      </c>
      <c r="AB228" s="41">
        <v>756.9666666666667</v>
      </c>
      <c r="AC228" s="32">
        <f t="shared" si="501"/>
        <v>0.23217874453245066</v>
      </c>
      <c r="AD228" s="41">
        <v>65.466666666666669</v>
      </c>
      <c r="AE228" s="100">
        <v>281.96666666666664</v>
      </c>
      <c r="AF228" s="6">
        <f t="shared" si="502"/>
        <v>0.71530758226037194</v>
      </c>
      <c r="AG228" s="41">
        <v>300</v>
      </c>
      <c r="AH228" s="75">
        <v>419.4</v>
      </c>
      <c r="AI228" s="52">
        <f t="shared" si="503"/>
        <v>368.70000000000005</v>
      </c>
      <c r="AJ228" s="6">
        <f t="shared" si="489"/>
        <v>0.25282285714285718</v>
      </c>
      <c r="AK228" s="21">
        <f t="shared" si="504"/>
        <v>1458.3333333333333</v>
      </c>
      <c r="AL228" s="69">
        <f t="shared" si="505"/>
        <v>12338.7</v>
      </c>
      <c r="AM228" s="6">
        <f t="shared" si="490"/>
        <v>0.38305461845727179</v>
      </c>
      <c r="AN228" s="3">
        <f t="shared" si="506"/>
        <v>32211.333333333332</v>
      </c>
      <c r="AO228" s="6">
        <f t="shared" si="507"/>
        <v>9.5045554181716844E-3</v>
      </c>
      <c r="AP228" s="6">
        <f t="shared" si="418"/>
        <v>0.41716991397955838</v>
      </c>
      <c r="AQ228" s="70">
        <f t="shared" si="419"/>
        <v>0.93571399202335437</v>
      </c>
    </row>
    <row r="229" spans="1:43" x14ac:dyDescent="0.2">
      <c r="A229" s="110">
        <v>39387</v>
      </c>
      <c r="B229" s="20">
        <f t="shared" si="491"/>
        <v>5.9171597633136093E-3</v>
      </c>
      <c r="C229" s="59">
        <v>13</v>
      </c>
      <c r="D229" s="161">
        <v>2197</v>
      </c>
      <c r="E229" s="32">
        <f t="shared" si="492"/>
        <v>0.42367346938775508</v>
      </c>
      <c r="F229" s="161">
        <v>519</v>
      </c>
      <c r="G229" s="162">
        <v>1225</v>
      </c>
      <c r="H229" s="6">
        <f t="shared" si="493"/>
        <v>0.66570605187319887</v>
      </c>
      <c r="I229" s="161">
        <v>924</v>
      </c>
      <c r="J229" s="178">
        <v>1388</v>
      </c>
      <c r="K229" s="52">
        <f t="shared" si="508"/>
        <v>1456</v>
      </c>
      <c r="L229" s="6">
        <f t="shared" si="486"/>
        <v>0.30270270270270272</v>
      </c>
      <c r="M229" s="21">
        <f t="shared" si="509"/>
        <v>4810</v>
      </c>
      <c r="N229" s="20">
        <f t="shared" si="495"/>
        <v>9.9941781486512712E-3</v>
      </c>
      <c r="O229" s="3">
        <v>103</v>
      </c>
      <c r="P229" s="3">
        <v>10306</v>
      </c>
      <c r="Q229" s="32">
        <f t="shared" si="496"/>
        <v>0.4093293368302735</v>
      </c>
      <c r="R229" s="3">
        <v>2185</v>
      </c>
      <c r="S229" s="33">
        <v>5338</v>
      </c>
      <c r="T229" s="6">
        <f t="shared" si="497"/>
        <v>0.95059382422802852</v>
      </c>
      <c r="U229" s="3">
        <v>8004</v>
      </c>
      <c r="V229" s="21">
        <v>8420</v>
      </c>
      <c r="W229" s="52">
        <f t="shared" si="498"/>
        <v>10292</v>
      </c>
      <c r="X229" s="6">
        <f t="shared" si="488"/>
        <v>0.42769281914893614</v>
      </c>
      <c r="Y229" s="19">
        <f t="shared" si="499"/>
        <v>24064</v>
      </c>
      <c r="Z229" s="20">
        <f t="shared" si="500"/>
        <v>4.6360228841980664E-3</v>
      </c>
      <c r="AA229" s="41">
        <v>3.032258064516129</v>
      </c>
      <c r="AB229" s="41">
        <v>654.06451612903231</v>
      </c>
      <c r="AC229" s="32">
        <f t="shared" si="501"/>
        <v>0.2284988892415106</v>
      </c>
      <c r="AD229" s="41">
        <v>69.677419354838705</v>
      </c>
      <c r="AE229" s="100">
        <v>304.93548387096774</v>
      </c>
      <c r="AF229" s="6">
        <f t="shared" si="502"/>
        <v>0.69004638335213742</v>
      </c>
      <c r="AG229" s="41">
        <v>355.12903225806451</v>
      </c>
      <c r="AH229" s="75">
        <v>514.64516129032256</v>
      </c>
      <c r="AI229" s="52">
        <f t="shared" si="503"/>
        <v>427.83870967741939</v>
      </c>
      <c r="AJ229" s="6">
        <f t="shared" si="489"/>
        <v>0.2903268174156689</v>
      </c>
      <c r="AK229" s="21">
        <f t="shared" si="504"/>
        <v>1473.6451612903224</v>
      </c>
      <c r="AL229" s="69">
        <f t="shared" si="505"/>
        <v>12175.838709677419</v>
      </c>
      <c r="AM229" s="6">
        <f t="shared" si="490"/>
        <v>0.40121197690844906</v>
      </c>
      <c r="AN229" s="3">
        <f t="shared" si="506"/>
        <v>30347.645161290322</v>
      </c>
      <c r="AO229" s="6">
        <f t="shared" si="507"/>
        <v>9.0470224508359294E-3</v>
      </c>
      <c r="AP229" s="6">
        <f t="shared" si="418"/>
        <v>0.40385898001935122</v>
      </c>
      <c r="AQ229" s="70">
        <f t="shared" si="419"/>
        <v>0.89929750439059764</v>
      </c>
    </row>
    <row r="230" spans="1:43" x14ac:dyDescent="0.2">
      <c r="A230" s="110">
        <v>39356</v>
      </c>
      <c r="B230" s="20">
        <f t="shared" si="491"/>
        <v>6.1061531235321745E-3</v>
      </c>
      <c r="C230" s="59">
        <v>13</v>
      </c>
      <c r="D230" s="161">
        <v>2129</v>
      </c>
      <c r="E230" s="32">
        <f t="shared" si="492"/>
        <v>0.40247452692867541</v>
      </c>
      <c r="F230" s="161">
        <v>553</v>
      </c>
      <c r="G230" s="162">
        <v>1374</v>
      </c>
      <c r="H230" s="6">
        <f t="shared" si="493"/>
        <v>0.83996383363471971</v>
      </c>
      <c r="I230" s="161">
        <v>929</v>
      </c>
      <c r="J230" s="178">
        <v>1106</v>
      </c>
      <c r="K230" s="52">
        <f t="shared" si="508"/>
        <v>1495</v>
      </c>
      <c r="L230" s="6">
        <f t="shared" si="486"/>
        <v>0.32436537209806898</v>
      </c>
      <c r="M230" s="21">
        <f t="shared" si="509"/>
        <v>4609</v>
      </c>
      <c r="N230" s="20">
        <f t="shared" si="495"/>
        <v>9.425244871557938E-3</v>
      </c>
      <c r="O230" s="3">
        <v>102</v>
      </c>
      <c r="P230" s="3">
        <v>10822</v>
      </c>
      <c r="Q230" s="32">
        <f t="shared" si="496"/>
        <v>0.39311382249707505</v>
      </c>
      <c r="R230" s="3">
        <v>2352</v>
      </c>
      <c r="S230" s="33">
        <v>5983</v>
      </c>
      <c r="T230" s="6">
        <f t="shared" si="497"/>
        <v>0.94653299916457811</v>
      </c>
      <c r="U230" s="3">
        <v>7931</v>
      </c>
      <c r="V230" s="21">
        <v>8379</v>
      </c>
      <c r="W230" s="52">
        <f t="shared" si="498"/>
        <v>10385</v>
      </c>
      <c r="X230" s="6">
        <f t="shared" si="488"/>
        <v>0.41236499364675983</v>
      </c>
      <c r="Y230" s="19">
        <f t="shared" si="499"/>
        <v>25184</v>
      </c>
      <c r="Z230" s="20">
        <f t="shared" si="500"/>
        <v>4.9398110402378778E-3</v>
      </c>
      <c r="AA230" s="41">
        <v>3.4333333333333331</v>
      </c>
      <c r="AB230" s="41">
        <v>695.0333333333333</v>
      </c>
      <c r="AC230" s="32">
        <f t="shared" si="501"/>
        <v>0.21733595648651774</v>
      </c>
      <c r="AD230" s="41">
        <v>62.6</v>
      </c>
      <c r="AE230" s="100">
        <v>288.03333333333336</v>
      </c>
      <c r="AF230" s="6">
        <f t="shared" si="502"/>
        <v>0.69962146515252721</v>
      </c>
      <c r="AG230" s="41">
        <v>314.2</v>
      </c>
      <c r="AH230" s="75">
        <v>449.1</v>
      </c>
      <c r="AI230" s="52">
        <f t="shared" si="503"/>
        <v>380.23333333333335</v>
      </c>
      <c r="AJ230" s="6">
        <f t="shared" si="489"/>
        <v>0.26549517048760618</v>
      </c>
      <c r="AK230" s="21">
        <f t="shared" si="504"/>
        <v>1432.1666666666667</v>
      </c>
      <c r="AL230" s="69">
        <f t="shared" si="505"/>
        <v>12260.233333333334</v>
      </c>
      <c r="AM230" s="6">
        <f t="shared" si="490"/>
        <v>0.39263948417675915</v>
      </c>
      <c r="AN230" s="3">
        <f t="shared" si="506"/>
        <v>31225.166666666668</v>
      </c>
      <c r="AO230" s="6">
        <f t="shared" si="507"/>
        <v>8.678956766435179E-3</v>
      </c>
      <c r="AP230" s="6">
        <f t="shared" si="418"/>
        <v>0.38817358546507313</v>
      </c>
      <c r="AQ230" s="70">
        <f t="shared" si="419"/>
        <v>0.92350590390674547</v>
      </c>
    </row>
    <row r="231" spans="1:43" x14ac:dyDescent="0.2">
      <c r="A231" s="110">
        <v>39326</v>
      </c>
      <c r="B231" s="20">
        <f t="shared" si="491"/>
        <v>6.6362505184570713E-3</v>
      </c>
      <c r="C231" s="59">
        <v>16</v>
      </c>
      <c r="D231" s="161">
        <v>2411</v>
      </c>
      <c r="E231" s="32">
        <f t="shared" si="492"/>
        <v>0.42629482071713148</v>
      </c>
      <c r="F231" s="161">
        <v>642</v>
      </c>
      <c r="G231" s="162">
        <v>1506</v>
      </c>
      <c r="H231" s="6">
        <f t="shared" si="493"/>
        <v>0.79470729751403368</v>
      </c>
      <c r="I231" s="161">
        <v>991</v>
      </c>
      <c r="J231" s="178">
        <v>1247</v>
      </c>
      <c r="K231" s="52">
        <f t="shared" si="508"/>
        <v>1649</v>
      </c>
      <c r="L231" s="6">
        <f t="shared" si="486"/>
        <v>0.31932610379550735</v>
      </c>
      <c r="M231" s="21">
        <f t="shared" si="509"/>
        <v>5164</v>
      </c>
      <c r="N231" s="20">
        <f t="shared" si="495"/>
        <v>8.5376360930524003E-3</v>
      </c>
      <c r="O231" s="3">
        <v>109</v>
      </c>
      <c r="P231" s="3">
        <v>12767</v>
      </c>
      <c r="Q231" s="32">
        <f t="shared" si="496"/>
        <v>0.38437203416640303</v>
      </c>
      <c r="R231" s="3">
        <v>2430</v>
      </c>
      <c r="S231" s="33">
        <v>6322</v>
      </c>
      <c r="T231" s="6">
        <f t="shared" si="497"/>
        <v>0.94389238972370337</v>
      </c>
      <c r="U231" s="3">
        <v>7789</v>
      </c>
      <c r="V231" s="21">
        <v>8252</v>
      </c>
      <c r="W231" s="52">
        <f t="shared" si="498"/>
        <v>10328</v>
      </c>
      <c r="X231" s="6">
        <f t="shared" si="488"/>
        <v>0.37774770491203685</v>
      </c>
      <c r="Y231" s="19">
        <f t="shared" si="499"/>
        <v>27341</v>
      </c>
      <c r="Z231" s="20">
        <f t="shared" si="500"/>
        <v>3.9509720289139317E-3</v>
      </c>
      <c r="AA231" s="41">
        <v>2.838709677419355</v>
      </c>
      <c r="AB231" s="41">
        <v>718.48387096774195</v>
      </c>
      <c r="AC231" s="32">
        <f t="shared" si="501"/>
        <v>0.22961643261370779</v>
      </c>
      <c r="AD231" s="41">
        <v>70.677419354838705</v>
      </c>
      <c r="AE231" s="100">
        <v>307.80645161290323</v>
      </c>
      <c r="AF231" s="6">
        <f t="shared" si="502"/>
        <v>0.69776119402985071</v>
      </c>
      <c r="AG231" s="41">
        <v>343.83870967741933</v>
      </c>
      <c r="AH231" s="75">
        <v>492.77419354838707</v>
      </c>
      <c r="AI231" s="52">
        <f t="shared" si="503"/>
        <v>417.35483870967738</v>
      </c>
      <c r="AJ231" s="6">
        <f t="shared" si="489"/>
        <v>0.27474464335010934</v>
      </c>
      <c r="AK231" s="21">
        <f t="shared" si="504"/>
        <v>1519.0645161290322</v>
      </c>
      <c r="AL231" s="69">
        <f t="shared" si="505"/>
        <v>12394.354838709678</v>
      </c>
      <c r="AM231" s="6">
        <f t="shared" si="490"/>
        <v>0.36428201671302857</v>
      </c>
      <c r="AN231" s="3">
        <f t="shared" si="506"/>
        <v>34024.06451612903</v>
      </c>
      <c r="AO231" s="6">
        <f t="shared" si="507"/>
        <v>8.0419488180587719E-3</v>
      </c>
      <c r="AP231" s="6">
        <f t="shared" si="418"/>
        <v>0.38627730859204629</v>
      </c>
      <c r="AQ231" s="70">
        <f t="shared" si="419"/>
        <v>0.91313499814363441</v>
      </c>
    </row>
    <row r="232" spans="1:43" x14ac:dyDescent="0.2">
      <c r="A232" s="110">
        <v>39295</v>
      </c>
      <c r="B232" s="20">
        <f t="shared" si="491"/>
        <v>6.4589665653495441E-3</v>
      </c>
      <c r="C232" s="59">
        <v>17</v>
      </c>
      <c r="D232" s="161">
        <v>2632</v>
      </c>
      <c r="E232" s="32">
        <f t="shared" si="492"/>
        <v>0.43042671614100186</v>
      </c>
      <c r="F232" s="161">
        <v>696</v>
      </c>
      <c r="G232" s="162">
        <v>1617</v>
      </c>
      <c r="H232" s="6">
        <f t="shared" si="493"/>
        <v>0.78549618320610692</v>
      </c>
      <c r="I232" s="161">
        <v>1029</v>
      </c>
      <c r="J232" s="178">
        <v>1310</v>
      </c>
      <c r="K232" s="52">
        <f t="shared" si="508"/>
        <v>1742</v>
      </c>
      <c r="L232" s="6">
        <f t="shared" si="486"/>
        <v>0.31336571325778018</v>
      </c>
      <c r="M232" s="21">
        <f t="shared" si="509"/>
        <v>5559</v>
      </c>
      <c r="N232" s="20">
        <f t="shared" si="495"/>
        <v>8.5051174859449331E-3</v>
      </c>
      <c r="O232" s="3">
        <v>118</v>
      </c>
      <c r="P232" s="3">
        <v>13874</v>
      </c>
      <c r="Q232" s="32">
        <f t="shared" si="496"/>
        <v>0.39485948312385255</v>
      </c>
      <c r="R232" s="3">
        <v>2796</v>
      </c>
      <c r="S232" s="33">
        <v>7081</v>
      </c>
      <c r="T232" s="6">
        <f t="shared" si="497"/>
        <v>0.94408831908831914</v>
      </c>
      <c r="U232" s="3">
        <v>7953</v>
      </c>
      <c r="V232" s="21">
        <v>8424</v>
      </c>
      <c r="W232" s="52">
        <f t="shared" si="498"/>
        <v>10867</v>
      </c>
      <c r="X232" s="6">
        <f t="shared" si="488"/>
        <v>0.36989005752408183</v>
      </c>
      <c r="Y232" s="19">
        <f t="shared" si="499"/>
        <v>29379</v>
      </c>
      <c r="Z232" s="20">
        <f t="shared" si="500"/>
        <v>3.8203919622922353E-3</v>
      </c>
      <c r="AA232" s="41">
        <v>2.4838709677419355</v>
      </c>
      <c r="AB232" s="41">
        <v>650.16129032258061</v>
      </c>
      <c r="AC232" s="32">
        <f t="shared" si="501"/>
        <v>0.23710685163613254</v>
      </c>
      <c r="AD232" s="41">
        <v>72.225806451612897</v>
      </c>
      <c r="AE232" s="100">
        <v>304.61290322580646</v>
      </c>
      <c r="AF232" s="6">
        <f t="shared" si="502"/>
        <v>0.69296728635250038</v>
      </c>
      <c r="AG232" s="41">
        <v>310.22580645161293</v>
      </c>
      <c r="AH232" s="75">
        <v>447.67741935483872</v>
      </c>
      <c r="AI232" s="52">
        <f t="shared" si="503"/>
        <v>384.9354838709678</v>
      </c>
      <c r="AJ232" s="6">
        <f t="shared" si="489"/>
        <v>0.27447327261017579</v>
      </c>
      <c r="AK232" s="21">
        <f t="shared" si="504"/>
        <v>1402.4516129032259</v>
      </c>
      <c r="AL232" s="69">
        <f t="shared" si="505"/>
        <v>12993.935483870968</v>
      </c>
      <c r="AM232" s="6">
        <f t="shared" si="490"/>
        <v>0.35756119990697294</v>
      </c>
      <c r="AN232" s="3">
        <f t="shared" si="506"/>
        <v>36340.451612903227</v>
      </c>
      <c r="AO232" s="6">
        <f t="shared" si="507"/>
        <v>8.0136732594892103E-3</v>
      </c>
      <c r="AP232" s="6">
        <f t="shared" si="418"/>
        <v>0.39591014794987833</v>
      </c>
      <c r="AQ232" s="70">
        <f t="shared" si="419"/>
        <v>0.91264193744613986</v>
      </c>
    </row>
    <row r="233" spans="1:43" x14ac:dyDescent="0.2">
      <c r="A233" s="110">
        <v>39264</v>
      </c>
      <c r="B233" s="20">
        <f t="shared" si="491"/>
        <v>6.6183725722850188E-3</v>
      </c>
      <c r="C233" s="59">
        <v>15.14</v>
      </c>
      <c r="D233" s="161">
        <v>2287.5714285714284</v>
      </c>
      <c r="E233" s="32">
        <f t="shared" si="492"/>
        <v>0.44121715076071921</v>
      </c>
      <c r="F233" s="161">
        <v>638</v>
      </c>
      <c r="G233" s="162">
        <v>1446</v>
      </c>
      <c r="H233" s="6">
        <f t="shared" si="493"/>
        <v>0.89628924833491908</v>
      </c>
      <c r="I233" s="161">
        <v>942</v>
      </c>
      <c r="J233" s="178">
        <v>1051</v>
      </c>
      <c r="K233" s="52">
        <f t="shared" si="508"/>
        <v>1595.1399999999999</v>
      </c>
      <c r="L233" s="6">
        <f t="shared" si="486"/>
        <v>0.33339245192881878</v>
      </c>
      <c r="M233" s="21">
        <f t="shared" si="509"/>
        <v>4784.5714285714284</v>
      </c>
      <c r="N233" s="20">
        <f t="shared" si="495"/>
        <v>9.1488318902140167E-3</v>
      </c>
      <c r="O233" s="3">
        <v>112</v>
      </c>
      <c r="P233" s="3">
        <v>12242</v>
      </c>
      <c r="Q233" s="32">
        <f t="shared" si="496"/>
        <v>0.41516079632465541</v>
      </c>
      <c r="R233" s="3">
        <v>2711</v>
      </c>
      <c r="S233" s="33">
        <v>6530</v>
      </c>
      <c r="T233" s="6">
        <f t="shared" si="497"/>
        <v>0.94145744029393752</v>
      </c>
      <c r="U233" s="3">
        <v>7687</v>
      </c>
      <c r="V233" s="21">
        <v>8165</v>
      </c>
      <c r="W233" s="52">
        <f t="shared" si="498"/>
        <v>10510</v>
      </c>
      <c r="X233" s="6">
        <f t="shared" si="488"/>
        <v>0.39016965512120877</v>
      </c>
      <c r="Y233" s="19">
        <f t="shared" si="499"/>
        <v>26937</v>
      </c>
      <c r="Z233" s="20">
        <f t="shared" si="500"/>
        <v>5.7098616084389816E-3</v>
      </c>
      <c r="AA233" s="41">
        <v>3.9333333333333331</v>
      </c>
      <c r="AB233" s="41">
        <v>688.86666666666667</v>
      </c>
      <c r="AC233" s="32">
        <f t="shared" si="501"/>
        <v>0.25894481503941785</v>
      </c>
      <c r="AD233" s="41">
        <v>71.166666666666671</v>
      </c>
      <c r="AE233" s="100">
        <v>274.83333333333331</v>
      </c>
      <c r="AF233" s="6">
        <f t="shared" si="502"/>
        <v>0.6841218587673733</v>
      </c>
      <c r="AG233" s="41">
        <v>324.86666666666667</v>
      </c>
      <c r="AH233" s="75">
        <v>474.86666666666667</v>
      </c>
      <c r="AI233" s="52">
        <f t="shared" si="503"/>
        <v>399.9666666666667</v>
      </c>
      <c r="AJ233" s="6">
        <f t="shared" si="489"/>
        <v>0.27803137382116461</v>
      </c>
      <c r="AK233" s="21">
        <f t="shared" si="504"/>
        <v>1438.5666666666666</v>
      </c>
      <c r="AL233" s="69">
        <f t="shared" si="505"/>
        <v>12505.106666666667</v>
      </c>
      <c r="AM233" s="6">
        <f t="shared" si="490"/>
        <v>0.37711262331752599</v>
      </c>
      <c r="AN233" s="3">
        <f t="shared" si="506"/>
        <v>33160.138095238093</v>
      </c>
      <c r="AO233" s="6">
        <f t="shared" si="507"/>
        <v>8.6127980094321682E-3</v>
      </c>
      <c r="AP233" s="6">
        <f t="shared" si="418"/>
        <v>0.41452378547621449</v>
      </c>
      <c r="AQ233" s="70">
        <f t="shared" si="419"/>
        <v>0.92394901040842581</v>
      </c>
    </row>
    <row r="234" spans="1:43" x14ac:dyDescent="0.2">
      <c r="A234" s="110">
        <v>39234</v>
      </c>
      <c r="B234" s="20">
        <v>6.2984496124031007E-3</v>
      </c>
      <c r="C234" s="59">
        <v>13</v>
      </c>
      <c r="D234" s="161">
        <v>2064</v>
      </c>
      <c r="E234" s="32">
        <v>0.44280693798889015</v>
      </c>
      <c r="F234" s="161">
        <v>558</v>
      </c>
      <c r="G234" s="162">
        <v>1260.1428571428571</v>
      </c>
      <c r="H234" s="6">
        <v>0.94038541522251495</v>
      </c>
      <c r="I234" s="161">
        <v>969</v>
      </c>
      <c r="J234" s="178">
        <v>1030.4285714285713</v>
      </c>
      <c r="K234" s="64">
        <v>1540</v>
      </c>
      <c r="L234" s="25">
        <v>0.35365133521422482</v>
      </c>
      <c r="M234" s="22">
        <v>4354.5714285714284</v>
      </c>
      <c r="N234" s="20">
        <f t="shared" si="495"/>
        <v>9.4103147823166883E-3</v>
      </c>
      <c r="O234" s="3">
        <v>99.369</v>
      </c>
      <c r="P234" s="3">
        <v>10559.583000000001</v>
      </c>
      <c r="Q234" s="32">
        <f t="shared" si="496"/>
        <v>0.43199285075960681</v>
      </c>
      <c r="R234" s="3">
        <v>2417</v>
      </c>
      <c r="S234" s="33">
        <v>5595</v>
      </c>
      <c r="T234" s="6">
        <f t="shared" si="497"/>
        <v>0.95230904743928524</v>
      </c>
      <c r="U234" s="3">
        <v>7568</v>
      </c>
      <c r="V234" s="21">
        <v>7947</v>
      </c>
      <c r="W234" s="52">
        <f t="shared" si="498"/>
        <v>10084.368999999999</v>
      </c>
      <c r="X234" s="6">
        <f t="shared" si="488"/>
        <v>0.41841106453464072</v>
      </c>
      <c r="Y234" s="19">
        <f t="shared" si="499"/>
        <v>24101.582999999999</v>
      </c>
      <c r="Z234" s="20">
        <f t="shared" si="500"/>
        <v>6.0502119956171692E-3</v>
      </c>
      <c r="AA234" s="41">
        <f>127/31</f>
        <v>4.096774193548387</v>
      </c>
      <c r="AB234" s="41">
        <f>20991/31</f>
        <v>677.12903225806451</v>
      </c>
      <c r="AC234" s="32">
        <f t="shared" si="501"/>
        <v>0.24348837209302324</v>
      </c>
      <c r="AD234" s="41">
        <f>2094/31</f>
        <v>67.548387096774192</v>
      </c>
      <c r="AE234" s="100">
        <f>8600/31</f>
        <v>277.41935483870969</v>
      </c>
      <c r="AF234" s="6">
        <f t="shared" si="502"/>
        <v>0.71944193794683142</v>
      </c>
      <c r="AG234" s="41">
        <f>10365/31</f>
        <v>334.35483870967744</v>
      </c>
      <c r="AH234" s="75">
        <f>14407/31</f>
        <v>464.74193548387098</v>
      </c>
      <c r="AI234" s="52">
        <f t="shared" si="503"/>
        <v>406.00000000000006</v>
      </c>
      <c r="AJ234" s="6">
        <f t="shared" si="489"/>
        <v>0.28605845720260015</v>
      </c>
      <c r="AK234" s="21">
        <f t="shared" si="504"/>
        <v>1419.2903225806454</v>
      </c>
      <c r="AL234" s="69">
        <f t="shared" si="505"/>
        <v>12030.368999999999</v>
      </c>
      <c r="AM234" s="6">
        <f t="shared" si="490"/>
        <v>0.40268418094549296</v>
      </c>
      <c r="AN234" s="3">
        <f t="shared" si="506"/>
        <v>29875.44475115207</v>
      </c>
      <c r="AO234" s="6">
        <f t="shared" si="507"/>
        <v>8.7563563447644963E-3</v>
      </c>
      <c r="AP234" s="6">
        <f t="shared" si="418"/>
        <v>0.42657158769478076</v>
      </c>
      <c r="AQ234" s="70">
        <f t="shared" si="419"/>
        <v>0.9395461384874505</v>
      </c>
    </row>
    <row r="235" spans="1:43" x14ac:dyDescent="0.2">
      <c r="A235" s="110">
        <v>39203</v>
      </c>
      <c r="B235" s="20">
        <f>C235/D235</f>
        <v>6.3789868667917448E-3</v>
      </c>
      <c r="C235" s="59">
        <v>13.6</v>
      </c>
      <c r="D235" s="161">
        <v>2132</v>
      </c>
      <c r="E235" s="32">
        <f>F235/G235</f>
        <v>0.44294320137693638</v>
      </c>
      <c r="F235" s="164">
        <v>514.70000000000005</v>
      </c>
      <c r="G235" s="162">
        <v>1162</v>
      </c>
      <c r="H235" s="6">
        <f>I235/J235</f>
        <v>0.93762993762993763</v>
      </c>
      <c r="I235" s="161">
        <v>902</v>
      </c>
      <c r="J235" s="178">
        <v>962</v>
      </c>
      <c r="K235" s="52">
        <f>+C235+F235+I235</f>
        <v>1430.3000000000002</v>
      </c>
      <c r="L235" s="6">
        <f>K235/M235</f>
        <v>0.33606672932330833</v>
      </c>
      <c r="M235" s="21">
        <f>+J235+G235+D235</f>
        <v>4256</v>
      </c>
      <c r="N235" s="20">
        <v>9.3931993236896494E-3</v>
      </c>
      <c r="O235" s="3">
        <v>100</v>
      </c>
      <c r="P235" s="3">
        <v>10646</v>
      </c>
      <c r="Q235" s="32">
        <v>0.43888998228695136</v>
      </c>
      <c r="R235" s="3">
        <v>2230</v>
      </c>
      <c r="S235" s="33">
        <v>5081</v>
      </c>
      <c r="T235" s="6">
        <v>0.94785158740277953</v>
      </c>
      <c r="U235" s="3">
        <v>7434</v>
      </c>
      <c r="V235" s="21">
        <v>7843</v>
      </c>
      <c r="W235" s="65">
        <v>9764</v>
      </c>
      <c r="X235" s="6">
        <f t="shared" si="488"/>
        <v>0.41425540941875266</v>
      </c>
      <c r="Y235" s="19">
        <v>23570</v>
      </c>
      <c r="Z235" s="20">
        <v>7.8226857887874843E-3</v>
      </c>
      <c r="AA235" s="4">
        <v>6</v>
      </c>
      <c r="AB235" s="59">
        <v>767</v>
      </c>
      <c r="AC235" s="29">
        <v>0.23958333333333334</v>
      </c>
      <c r="AD235" s="4">
        <v>69</v>
      </c>
      <c r="AE235" s="36">
        <v>288</v>
      </c>
      <c r="AF235" s="6">
        <v>0.89570552147239269</v>
      </c>
      <c r="AG235" s="4">
        <v>438</v>
      </c>
      <c r="AH235" s="37">
        <v>489</v>
      </c>
      <c r="AI235" s="52">
        <v>513</v>
      </c>
      <c r="AJ235" s="6">
        <v>0.33225388601036271</v>
      </c>
      <c r="AK235" s="21">
        <v>1544</v>
      </c>
      <c r="AL235" s="69">
        <v>10277</v>
      </c>
      <c r="AM235" s="6">
        <v>0.40921398423190253</v>
      </c>
      <c r="AN235" s="3">
        <v>25114</v>
      </c>
      <c r="AO235" s="6">
        <f t="shared" si="507"/>
        <v>8.8298265042451082E-3</v>
      </c>
      <c r="AP235" s="6">
        <f t="shared" si="418"/>
        <v>0.43082223242994944</v>
      </c>
      <c r="AQ235" s="70">
        <f t="shared" si="419"/>
        <v>0.94404992468259097</v>
      </c>
    </row>
    <row r="236" spans="1:43" x14ac:dyDescent="0.2">
      <c r="A236" s="110">
        <v>39173</v>
      </c>
      <c r="B236" s="20">
        <v>6.2953414473289762E-3</v>
      </c>
      <c r="C236" s="59">
        <v>15</v>
      </c>
      <c r="D236" s="161">
        <v>2382.7142857142858</v>
      </c>
      <c r="E236" s="32">
        <v>0.43800927667042744</v>
      </c>
      <c r="F236" s="161">
        <v>499</v>
      </c>
      <c r="G236" s="162">
        <v>1139.5714285714287</v>
      </c>
      <c r="H236" s="6">
        <v>0.93698866082962529</v>
      </c>
      <c r="I236" s="161">
        <v>933</v>
      </c>
      <c r="J236" s="178">
        <v>995.28571428571433</v>
      </c>
      <c r="K236" s="64">
        <v>1447</v>
      </c>
      <c r="L236" s="25">
        <v>0.32030484141289561</v>
      </c>
      <c r="M236" s="22">
        <v>4517.5714285714294</v>
      </c>
      <c r="N236" s="20">
        <v>9.108596134505955E-3</v>
      </c>
      <c r="O236" s="3">
        <v>104</v>
      </c>
      <c r="P236" s="5">
        <v>11397.146000000001</v>
      </c>
      <c r="Q236" s="32">
        <v>0.43945024147213518</v>
      </c>
      <c r="R236" s="3">
        <v>2239</v>
      </c>
      <c r="S236" s="33">
        <v>5095.6189999999997</v>
      </c>
      <c r="T236" s="6">
        <v>0.95299999999999996</v>
      </c>
      <c r="U236" s="3">
        <v>8658</v>
      </c>
      <c r="V236" s="21">
        <v>9082.0339999999997</v>
      </c>
      <c r="W236" s="65">
        <v>11001</v>
      </c>
      <c r="X236" s="6">
        <f t="shared" si="488"/>
        <v>0.43015000821707339</v>
      </c>
      <c r="Y236" s="19">
        <v>25574.798999999999</v>
      </c>
      <c r="Z236" s="17">
        <v>8.0258744609487294E-3</v>
      </c>
      <c r="AA236" s="3">
        <v>6.4838709677419351</v>
      </c>
      <c r="AB236" s="41">
        <v>807.87096774193549</v>
      </c>
      <c r="AC236" s="29">
        <v>0.24441215914170766</v>
      </c>
      <c r="AD236" s="5">
        <v>70.548387096774192</v>
      </c>
      <c r="AE236" s="33">
        <v>288.64516129032256</v>
      </c>
      <c r="AF236" s="11">
        <v>0.8919904521946691</v>
      </c>
      <c r="AG236" s="3">
        <v>433.96774193548384</v>
      </c>
      <c r="AH236" s="21">
        <v>486.51612903225805</v>
      </c>
      <c r="AI236" s="52">
        <v>511</v>
      </c>
      <c r="AJ236" s="6">
        <v>0.32279822309165751</v>
      </c>
      <c r="AK236" s="21">
        <v>1583.0322580645161</v>
      </c>
      <c r="AL236" s="69">
        <v>12959</v>
      </c>
      <c r="AM236" s="6">
        <v>0.40911871360257357</v>
      </c>
      <c r="AN236" s="3">
        <v>31675.402686635942</v>
      </c>
      <c r="AO236" s="6">
        <f t="shared" si="507"/>
        <v>8.6020141711900169E-3</v>
      </c>
      <c r="AP236" s="6">
        <f t="shared" si="418"/>
        <v>0.43050569690342105</v>
      </c>
      <c r="AQ236" s="70">
        <f t="shared" si="419"/>
        <v>0.94898935297983233</v>
      </c>
    </row>
    <row r="237" spans="1:43" x14ac:dyDescent="0.2">
      <c r="A237" s="110">
        <v>39142</v>
      </c>
      <c r="B237" s="17">
        <v>6.7681895093062603E-3</v>
      </c>
      <c r="C237" s="59">
        <v>16</v>
      </c>
      <c r="D237" s="163">
        <v>2364</v>
      </c>
      <c r="E237" s="29">
        <v>0.43293591654247393</v>
      </c>
      <c r="F237" s="164">
        <v>576</v>
      </c>
      <c r="G237" s="170">
        <v>1326</v>
      </c>
      <c r="H237" s="7">
        <v>0.94399185336048885</v>
      </c>
      <c r="I237" s="163">
        <v>927</v>
      </c>
      <c r="J237" s="179">
        <v>982</v>
      </c>
      <c r="K237" s="64">
        <v>1519</v>
      </c>
      <c r="L237" s="25">
        <v>0.32512842465753422</v>
      </c>
      <c r="M237" s="22">
        <v>4672</v>
      </c>
      <c r="N237" s="20">
        <v>9.3432858469193417E-3</v>
      </c>
      <c r="O237" s="3">
        <v>117</v>
      </c>
      <c r="P237" s="10">
        <v>12573.842000000001</v>
      </c>
      <c r="Q237" s="40">
        <v>0.44438679053250552</v>
      </c>
      <c r="R237" s="57">
        <v>2489</v>
      </c>
      <c r="S237" s="30">
        <v>5600.4679999999998</v>
      </c>
      <c r="T237" s="6">
        <v>0.9446</v>
      </c>
      <c r="U237" s="3">
        <v>7547</v>
      </c>
      <c r="V237" s="19">
        <v>7989.8109999999997</v>
      </c>
      <c r="W237" s="65">
        <v>10153</v>
      </c>
      <c r="X237" s="6">
        <f t="shared" si="488"/>
        <v>0.38805049097579086</v>
      </c>
      <c r="Y237" s="19">
        <v>26164.120999999999</v>
      </c>
      <c r="Z237" s="17">
        <v>1.0395010395010396E-2</v>
      </c>
      <c r="AA237" s="10">
        <v>10</v>
      </c>
      <c r="AB237" s="59">
        <v>962</v>
      </c>
      <c r="AC237" s="29">
        <v>0.30523656407900779</v>
      </c>
      <c r="AD237" s="10">
        <v>94.928571428571431</v>
      </c>
      <c r="AE237" s="43">
        <v>311</v>
      </c>
      <c r="AF237" s="11">
        <v>0.89830253868108767</v>
      </c>
      <c r="AG237" s="10">
        <v>427.14285714285717</v>
      </c>
      <c r="AH237" s="18">
        <v>475.5</v>
      </c>
      <c r="AI237" s="52">
        <v>532.07142857142856</v>
      </c>
      <c r="AJ237" s="6">
        <v>0.30430164630908124</v>
      </c>
      <c r="AK237" s="21">
        <v>1748.5</v>
      </c>
      <c r="AL237" s="69">
        <v>12204.071428571429</v>
      </c>
      <c r="AM237" s="6">
        <v>0.37453470545419049</v>
      </c>
      <c r="AN237" s="3">
        <v>32584.620999999999</v>
      </c>
      <c r="AO237" s="6">
        <f t="shared" si="507"/>
        <v>8.9938000641767383E-3</v>
      </c>
      <c r="AP237" s="6">
        <f t="shared" si="418"/>
        <v>0.43660691438339644</v>
      </c>
      <c r="AQ237" s="70">
        <f t="shared" si="419"/>
        <v>0.94218797890138872</v>
      </c>
    </row>
    <row r="238" spans="1:43" x14ac:dyDescent="0.2">
      <c r="A238" s="110">
        <v>39114</v>
      </c>
      <c r="B238" s="17">
        <v>7.7651313690032973E-3</v>
      </c>
      <c r="C238" s="59">
        <v>20.857142857142858</v>
      </c>
      <c r="D238" s="164">
        <v>2686</v>
      </c>
      <c r="E238" s="60">
        <v>0.434</v>
      </c>
      <c r="F238" s="171">
        <v>578.71428571428567</v>
      </c>
      <c r="G238" s="172">
        <v>1474</v>
      </c>
      <c r="H238" s="25">
        <v>0.85846438482886211</v>
      </c>
      <c r="I238" s="156">
        <v>928</v>
      </c>
      <c r="J238" s="180">
        <v>1081</v>
      </c>
      <c r="K238" s="64">
        <v>1527.5714285714287</v>
      </c>
      <c r="L238" s="25">
        <v>0.29146564178046719</v>
      </c>
      <c r="M238" s="22">
        <v>5241</v>
      </c>
      <c r="N238" s="20">
        <v>7.9627071570264555E-3</v>
      </c>
      <c r="O238" s="3">
        <v>113</v>
      </c>
      <c r="P238" s="10">
        <v>14197.683999999999</v>
      </c>
      <c r="Q238" s="40">
        <v>0.4410063484200204</v>
      </c>
      <c r="R238" s="57">
        <v>2599</v>
      </c>
      <c r="S238" s="30">
        <v>5894.38</v>
      </c>
      <c r="T238" s="6">
        <v>0.94510000000000005</v>
      </c>
      <c r="U238" s="3">
        <v>7993</v>
      </c>
      <c r="V238" s="19">
        <v>8457.259</v>
      </c>
      <c r="W238" s="65">
        <v>10705</v>
      </c>
      <c r="X238" s="11">
        <v>0.37496510862972132</v>
      </c>
      <c r="Y238" s="19">
        <v>28549.322999999997</v>
      </c>
      <c r="Z238" s="17">
        <v>1.4746678347203973E-2</v>
      </c>
      <c r="AA238" s="10">
        <v>13.03225806451613</v>
      </c>
      <c r="AB238" s="59">
        <v>883.74193548387098</v>
      </c>
      <c r="AC238" s="29">
        <v>0.33104799216454456</v>
      </c>
      <c r="AD238" s="10">
        <v>109.03225806451613</v>
      </c>
      <c r="AE238" s="43">
        <v>329.35483870967744</v>
      </c>
      <c r="AF238" s="11">
        <v>0.88524018685072847</v>
      </c>
      <c r="AG238" s="10">
        <v>409.58064516129031</v>
      </c>
      <c r="AH238" s="21">
        <v>462.67741935483872</v>
      </c>
      <c r="AI238" s="52">
        <v>531.64516129032256</v>
      </c>
      <c r="AJ238" s="6">
        <v>0.31725346012435274</v>
      </c>
      <c r="AK238" s="21">
        <v>1675.7741935483871</v>
      </c>
      <c r="AL238" s="69">
        <v>12764.216589861751</v>
      </c>
      <c r="AM238" s="6">
        <v>0.35989910364830563</v>
      </c>
      <c r="AN238" s="3">
        <v>35466.097193548383</v>
      </c>
      <c r="AO238" s="6">
        <f t="shared" si="507"/>
        <v>8.267342802217718E-3</v>
      </c>
      <c r="AP238" s="6">
        <f t="shared" si="418"/>
        <v>0.42697580686343028</v>
      </c>
      <c r="AQ238" s="70">
        <f t="shared" si="419"/>
        <v>0.9329706993340936</v>
      </c>
    </row>
    <row r="239" spans="1:43" x14ac:dyDescent="0.2">
      <c r="A239" s="110">
        <v>39083</v>
      </c>
      <c r="B239" s="17">
        <v>7.7073648152679222E-3</v>
      </c>
      <c r="C239" s="59">
        <v>18</v>
      </c>
      <c r="D239" s="163">
        <v>2335.4285714285716</v>
      </c>
      <c r="E239" s="29">
        <v>0.36260679515199684</v>
      </c>
      <c r="F239" s="164">
        <v>541.14285714285711</v>
      </c>
      <c r="G239" s="173">
        <v>1438</v>
      </c>
      <c r="H239" s="25">
        <v>0.90938089024213431</v>
      </c>
      <c r="I239" s="156">
        <v>825</v>
      </c>
      <c r="J239" s="181">
        <v>985.28571428571433</v>
      </c>
      <c r="K239" s="64">
        <v>1384.1428571428571</v>
      </c>
      <c r="L239" s="25">
        <v>0.29086487946924433</v>
      </c>
      <c r="M239" s="22">
        <v>4758.7142857142862</v>
      </c>
      <c r="N239" s="20">
        <v>3.5999999999999999E-3</v>
      </c>
      <c r="O239" s="3">
        <v>99</v>
      </c>
      <c r="P239" s="10">
        <v>13074</v>
      </c>
      <c r="Q239" s="39">
        <v>0.436</v>
      </c>
      <c r="R239" s="58">
        <v>2338</v>
      </c>
      <c r="S239" s="30">
        <v>5362</v>
      </c>
      <c r="T239" s="7">
        <v>0.94599999999999995</v>
      </c>
      <c r="U239" s="5">
        <v>7426</v>
      </c>
      <c r="V239" s="19">
        <v>7853</v>
      </c>
      <c r="W239" s="65">
        <v>9863</v>
      </c>
      <c r="X239" s="11">
        <v>0.37517592909581954</v>
      </c>
      <c r="Y239" s="19">
        <v>26289</v>
      </c>
      <c r="Z239" s="17">
        <v>1.4953420494982208E-2</v>
      </c>
      <c r="AA239" s="10">
        <v>12.064516129032258</v>
      </c>
      <c r="AB239" s="59">
        <v>806.80645161290317</v>
      </c>
      <c r="AC239" s="29">
        <v>0.3549047963364666</v>
      </c>
      <c r="AD239" s="10">
        <v>95</v>
      </c>
      <c r="AE239" s="43">
        <v>267.67741935483872</v>
      </c>
      <c r="AF239" s="11">
        <v>0.89130591370741208</v>
      </c>
      <c r="AG239" s="5">
        <v>399.16129032258067</v>
      </c>
      <c r="AH239" s="62">
        <v>447.83870967741933</v>
      </c>
      <c r="AI239" s="52">
        <v>506.22580645161293</v>
      </c>
      <c r="AJ239" s="6">
        <v>0.33253517545346672</v>
      </c>
      <c r="AK239" s="21">
        <v>1522.3225806451612</v>
      </c>
      <c r="AL239" s="69">
        <v>11753.36866359447</v>
      </c>
      <c r="AM239" s="6">
        <v>0.36086445685709828</v>
      </c>
      <c r="AN239" s="3">
        <v>32570.036866359449</v>
      </c>
      <c r="AO239" s="6">
        <f t="shared" si="507"/>
        <v>7.9589692641754296E-3</v>
      </c>
      <c r="AP239" s="6">
        <f t="shared" si="418"/>
        <v>0.42080908347601786</v>
      </c>
      <c r="AQ239" s="70">
        <f t="shared" si="419"/>
        <v>0.93151468744060439</v>
      </c>
    </row>
    <row r="240" spans="1:43" x14ac:dyDescent="0.2">
      <c r="A240" s="110">
        <v>39052</v>
      </c>
      <c r="B240" s="17">
        <v>8.0425558862643274E-3</v>
      </c>
      <c r="C240" s="59">
        <v>18.142857142857142</v>
      </c>
      <c r="D240" s="163">
        <v>2255.8571428571427</v>
      </c>
      <c r="E240" s="29">
        <v>0.41196302338227297</v>
      </c>
      <c r="F240" s="164">
        <v>496.28571428571428</v>
      </c>
      <c r="G240" s="173">
        <v>1313.5714285714287</v>
      </c>
      <c r="H240" s="25">
        <v>0.91089406461307287</v>
      </c>
      <c r="I240" s="156">
        <v>860</v>
      </c>
      <c r="J240" s="181">
        <v>950.71428571428567</v>
      </c>
      <c r="K240" s="64">
        <v>1374.4285714285713</v>
      </c>
      <c r="L240" s="25">
        <v>0.30406750734806104</v>
      </c>
      <c r="M240" s="22">
        <v>4520.1428571428569</v>
      </c>
      <c r="N240" s="20">
        <v>3.5000000000000001E-3</v>
      </c>
      <c r="O240" s="3">
        <v>92</v>
      </c>
      <c r="P240" s="10">
        <v>11614.487999999999</v>
      </c>
      <c r="Q240" s="39">
        <v>0.41099999999999998</v>
      </c>
      <c r="R240" s="3">
        <v>2230</v>
      </c>
      <c r="S240" s="30">
        <v>5423.5959999999995</v>
      </c>
      <c r="T240" s="7">
        <v>0.90400000000000003</v>
      </c>
      <c r="U240" s="5">
        <v>7259</v>
      </c>
      <c r="V240" s="19">
        <v>8029.2870000000003</v>
      </c>
      <c r="W240" s="65">
        <v>9581</v>
      </c>
      <c r="X240" s="11">
        <v>0.38221000518961484</v>
      </c>
      <c r="Y240" s="19">
        <v>25067.370999999999</v>
      </c>
      <c r="Z240" s="17">
        <v>1.573302605920936E-2</v>
      </c>
      <c r="AA240" s="10">
        <v>11.833333333333334</v>
      </c>
      <c r="AB240" s="3">
        <v>752.13333333333333</v>
      </c>
      <c r="AC240" s="29">
        <v>0.31557734204793025</v>
      </c>
      <c r="AD240" s="10">
        <v>96.566666666666663</v>
      </c>
      <c r="AE240" s="33">
        <v>306</v>
      </c>
      <c r="AF240" s="11">
        <v>0.88327566320645901</v>
      </c>
      <c r="AG240" s="10">
        <v>382.9</v>
      </c>
      <c r="AH240" s="21">
        <v>433.5</v>
      </c>
      <c r="AI240" s="52">
        <v>491.3</v>
      </c>
      <c r="AJ240" s="6">
        <v>0.32937048872600505</v>
      </c>
      <c r="AK240" s="21">
        <v>1491.6333333333332</v>
      </c>
      <c r="AL240" s="69">
        <v>11446.72857142857</v>
      </c>
      <c r="AM240" s="6">
        <v>0.36830896617833442</v>
      </c>
      <c r="AN240" s="3">
        <v>31079.147190476186</v>
      </c>
      <c r="AO240" s="6">
        <f t="shared" si="507"/>
        <v>8.3416905468387016E-3</v>
      </c>
      <c r="AP240" s="6">
        <f t="shared" si="418"/>
        <v>0.40079302523764404</v>
      </c>
      <c r="AQ240" s="70">
        <f t="shared" si="419"/>
        <v>0.90316023145418678</v>
      </c>
    </row>
    <row r="241" spans="1:43" x14ac:dyDescent="0.2">
      <c r="A241" s="110">
        <v>39022</v>
      </c>
      <c r="B241" s="17">
        <v>7.9084967320261438E-3</v>
      </c>
      <c r="C241" s="59">
        <v>17.285714285714285</v>
      </c>
      <c r="D241" s="163">
        <v>2185.7142857142858</v>
      </c>
      <c r="E241" s="29">
        <v>0.40009213405505012</v>
      </c>
      <c r="F241" s="164">
        <v>472.28571428571428</v>
      </c>
      <c r="G241" s="173">
        <v>1240.4285714285713</v>
      </c>
      <c r="H241" s="25">
        <v>0.92391792721282018</v>
      </c>
      <c r="I241" s="156">
        <v>903</v>
      </c>
      <c r="J241" s="181">
        <v>953.85714285714289</v>
      </c>
      <c r="K241" s="64">
        <v>1392.5714285714284</v>
      </c>
      <c r="L241" s="25">
        <v>0.31793868232224393</v>
      </c>
      <c r="M241" s="22">
        <v>4380</v>
      </c>
      <c r="N241" s="20">
        <v>3.5000000000000001E-3</v>
      </c>
      <c r="O241" s="3">
        <v>79</v>
      </c>
      <c r="P241" s="10">
        <v>10809.701999999999</v>
      </c>
      <c r="Q241" s="39">
        <v>0.39200000000000002</v>
      </c>
      <c r="R241" s="58">
        <v>2158</v>
      </c>
      <c r="S241" s="30">
        <v>5497.9920000000002</v>
      </c>
      <c r="T241" s="7">
        <v>0.90900000000000003</v>
      </c>
      <c r="U241" s="5">
        <v>8056</v>
      </c>
      <c r="V241" s="19">
        <v>8858.6650000000009</v>
      </c>
      <c r="W241" s="65">
        <v>10293</v>
      </c>
      <c r="X241" s="11">
        <v>0.40899837755632429</v>
      </c>
      <c r="Y241" s="19">
        <v>25166.359</v>
      </c>
      <c r="Z241" s="17">
        <v>1.8080798568603444E-2</v>
      </c>
      <c r="AA241" s="10">
        <v>12.387096774193548</v>
      </c>
      <c r="AB241" s="3">
        <v>685.09677419354841</v>
      </c>
      <c r="AC241" s="29">
        <v>0.31967735088091698</v>
      </c>
      <c r="AD241" s="10">
        <v>97.161290322580641</v>
      </c>
      <c r="AE241" s="33">
        <v>303.93548387096774</v>
      </c>
      <c r="AF241" s="11">
        <v>0.88824962772438065</v>
      </c>
      <c r="AG241" s="10">
        <v>423.32258064516128</v>
      </c>
      <c r="AH241" s="21">
        <v>476.58064516129031</v>
      </c>
      <c r="AI241" s="52">
        <v>532.87096774193549</v>
      </c>
      <c r="AJ241" s="6">
        <v>0.36358233921732624</v>
      </c>
      <c r="AK241" s="21">
        <v>1465.6129032258063</v>
      </c>
      <c r="AL241" s="69">
        <v>12218.442396313363</v>
      </c>
      <c r="AM241" s="6">
        <v>0.39399114749753866</v>
      </c>
      <c r="AN241" s="3">
        <v>31011.971903225807</v>
      </c>
      <c r="AO241" s="6">
        <f t="shared" si="507"/>
        <v>7.9436210165527207E-3</v>
      </c>
      <c r="AP241" s="6">
        <f t="shared" si="418"/>
        <v>0.38729183574236159</v>
      </c>
      <c r="AQ241" s="70">
        <f t="shared" si="419"/>
        <v>0.91186984656920622</v>
      </c>
    </row>
    <row r="242" spans="1:43" x14ac:dyDescent="0.2">
      <c r="A242" s="110">
        <v>38991</v>
      </c>
      <c r="B242" s="17">
        <v>8.1135902636916835E-3</v>
      </c>
      <c r="C242" s="59">
        <v>17.142857142857142</v>
      </c>
      <c r="D242" s="163">
        <v>2112.8571428571427</v>
      </c>
      <c r="E242" s="29">
        <v>0.38184338184338185</v>
      </c>
      <c r="F242" s="164">
        <v>501.14285714285717</v>
      </c>
      <c r="G242" s="173">
        <v>1236.8571428571429</v>
      </c>
      <c r="H242" s="25">
        <v>0.87066503467972256</v>
      </c>
      <c r="I242" s="156">
        <v>851</v>
      </c>
      <c r="J242" s="181">
        <v>1050.4285714285713</v>
      </c>
      <c r="K242" s="64">
        <v>1369.2857142857142</v>
      </c>
      <c r="L242" s="25">
        <v>0.31119119509106846</v>
      </c>
      <c r="M242" s="22">
        <v>4400.1428571428569</v>
      </c>
      <c r="N242" s="20">
        <v>3.5000000000000001E-3</v>
      </c>
      <c r="O242" s="3">
        <v>70</v>
      </c>
      <c r="P242" s="10">
        <v>10464.18</v>
      </c>
      <c r="Q242" s="39">
        <v>0.371</v>
      </c>
      <c r="R242" s="58">
        <v>2013</v>
      </c>
      <c r="S242" s="30">
        <v>5424.3320000000003</v>
      </c>
      <c r="T242" s="7">
        <v>0.91200000000000003</v>
      </c>
      <c r="U242" s="5">
        <v>7761</v>
      </c>
      <c r="V242" s="19">
        <v>8513.0849999999991</v>
      </c>
      <c r="W242" s="65">
        <v>9844</v>
      </c>
      <c r="X242" s="11">
        <v>0.40341621902861519</v>
      </c>
      <c r="Y242" s="19">
        <v>24401.597000000002</v>
      </c>
      <c r="Z242" s="17">
        <v>1.7050912584053796E-2</v>
      </c>
      <c r="AA242" s="10">
        <v>11.833333333333334</v>
      </c>
      <c r="AB242" s="3">
        <v>694</v>
      </c>
      <c r="AC242" s="29">
        <v>0.30677379756723583</v>
      </c>
      <c r="AD242" s="10">
        <v>91.63333333333334</v>
      </c>
      <c r="AE242" s="33">
        <v>298.7</v>
      </c>
      <c r="AF242" s="11">
        <v>0.88684405025868429</v>
      </c>
      <c r="AG242" s="10">
        <v>399.96666666666664</v>
      </c>
      <c r="AH242" s="21">
        <v>451</v>
      </c>
      <c r="AI242" s="52">
        <v>503.43333333333328</v>
      </c>
      <c r="AJ242" s="6">
        <v>0.34871048925215298</v>
      </c>
      <c r="AK242" s="21">
        <v>1443.7</v>
      </c>
      <c r="AL242" s="69">
        <v>11716.719047619046</v>
      </c>
      <c r="AM242" s="6">
        <v>0.387387953455469</v>
      </c>
      <c r="AN242" s="3">
        <v>30245.439857142861</v>
      </c>
      <c r="AO242" s="6">
        <f t="shared" si="507"/>
        <v>7.458059939909242E-3</v>
      </c>
      <c r="AP242" s="6">
        <f t="shared" si="418"/>
        <v>0.37439909415087014</v>
      </c>
      <c r="AQ242" s="70">
        <f t="shared" si="419"/>
        <v>0.89989060401074583</v>
      </c>
    </row>
    <row r="243" spans="1:43" x14ac:dyDescent="0.2">
      <c r="A243" s="110">
        <v>38961</v>
      </c>
      <c r="B243" s="17">
        <v>9.7439688192997795E-3</v>
      </c>
      <c r="C243" s="59">
        <v>20.714285714285715</v>
      </c>
      <c r="D243" s="163">
        <v>2125.8571428571427</v>
      </c>
      <c r="E243" s="29">
        <v>0.3858336999560053</v>
      </c>
      <c r="F243" s="164">
        <v>581.85714285714289</v>
      </c>
      <c r="G243" s="173">
        <v>1298.8571428571429</v>
      </c>
      <c r="H243" s="25">
        <v>0.5483735277621985</v>
      </c>
      <c r="I243" s="156">
        <v>520</v>
      </c>
      <c r="J243" s="181">
        <v>1018.8571428571429</v>
      </c>
      <c r="K243" s="64">
        <v>1122.5714285714287</v>
      </c>
      <c r="L243" s="25">
        <v>0.2526281948239833</v>
      </c>
      <c r="M243" s="22">
        <v>4443.5714285714284</v>
      </c>
      <c r="N243" s="20">
        <v>3.3999999999999998E-3</v>
      </c>
      <c r="O243" s="3">
        <v>68</v>
      </c>
      <c r="P243" s="10">
        <v>11090.11</v>
      </c>
      <c r="Q243" s="39">
        <v>0.35799999999999998</v>
      </c>
      <c r="R243" s="58">
        <v>1948</v>
      </c>
      <c r="S243" s="30">
        <v>5445.0940000000001</v>
      </c>
      <c r="T243" s="7">
        <v>0.9</v>
      </c>
      <c r="U243" s="5">
        <v>8173</v>
      </c>
      <c r="V243" s="19">
        <v>9076.8729999999996</v>
      </c>
      <c r="W243" s="65">
        <v>10189</v>
      </c>
      <c r="X243" s="11">
        <v>0.39782013774205033</v>
      </c>
      <c r="Y243" s="19">
        <v>25612.077000000001</v>
      </c>
      <c r="Z243" s="17">
        <v>1.6342338938220291E-2</v>
      </c>
      <c r="AA243" s="10">
        <v>11.161290322580646</v>
      </c>
      <c r="AB243" s="3">
        <v>682.9677419354839</v>
      </c>
      <c r="AC243" s="29">
        <v>0.32748600947051226</v>
      </c>
      <c r="AD243" s="10">
        <v>98.161290322580641</v>
      </c>
      <c r="AE243" s="33">
        <v>299.74193548387098</v>
      </c>
      <c r="AF243" s="11">
        <v>0.8459821428571429</v>
      </c>
      <c r="AG243" s="10">
        <v>379</v>
      </c>
      <c r="AH243" s="21">
        <v>448</v>
      </c>
      <c r="AI243" s="52">
        <v>488.32258064516128</v>
      </c>
      <c r="AJ243" s="6">
        <v>0.34131493506493504</v>
      </c>
      <c r="AK243" s="21">
        <v>1430.7096774193549</v>
      </c>
      <c r="AL243" s="69">
        <v>11799.89400921659</v>
      </c>
      <c r="AM243" s="6">
        <v>0.3747621102921862</v>
      </c>
      <c r="AN243" s="3">
        <v>31486.358105990785</v>
      </c>
      <c r="AO243" s="6">
        <f t="shared" si="507"/>
        <v>7.1858438696726446E-3</v>
      </c>
      <c r="AP243" s="6">
        <f t="shared" si="418"/>
        <v>0.37310234900222189</v>
      </c>
      <c r="AQ243" s="70">
        <f t="shared" si="419"/>
        <v>0.86041655818987672</v>
      </c>
    </row>
    <row r="244" spans="1:43" x14ac:dyDescent="0.2">
      <c r="A244" s="110">
        <v>38930</v>
      </c>
      <c r="B244" s="17">
        <v>7.5166723182999882E-3</v>
      </c>
      <c r="C244" s="59">
        <v>19</v>
      </c>
      <c r="D244" s="163">
        <v>2527.7142857142858</v>
      </c>
      <c r="E244" s="29">
        <v>0.3813670411985019</v>
      </c>
      <c r="F244" s="164">
        <v>508.85714285714283</v>
      </c>
      <c r="G244" s="173">
        <v>1525.7142857142858</v>
      </c>
      <c r="H244" s="25">
        <v>0.62674418604651161</v>
      </c>
      <c r="I244" s="156">
        <v>697</v>
      </c>
      <c r="J244" s="181">
        <v>1105.7142857142858</v>
      </c>
      <c r="K244" s="64">
        <v>1224.8571428571429</v>
      </c>
      <c r="L244" s="25">
        <v>0.23741485296560894</v>
      </c>
      <c r="M244" s="22">
        <v>5159.1428571428569</v>
      </c>
      <c r="N244" s="20">
        <v>3.3999999999999998E-3</v>
      </c>
      <c r="O244" s="3">
        <v>93</v>
      </c>
      <c r="P244" s="10">
        <v>13947.468999999999</v>
      </c>
      <c r="Q244" s="39">
        <v>0.36499999999999999</v>
      </c>
      <c r="R244" s="58">
        <v>2503</v>
      </c>
      <c r="S244" s="30">
        <v>6853.8739999999998</v>
      </c>
      <c r="T244" s="7">
        <v>0.88700000000000001</v>
      </c>
      <c r="U244" s="5">
        <v>8205</v>
      </c>
      <c r="V244" s="19">
        <v>9250.5329999999994</v>
      </c>
      <c r="W244" s="65">
        <v>10801</v>
      </c>
      <c r="X244" s="11">
        <v>0.35941183838240254</v>
      </c>
      <c r="Y244" s="19">
        <v>30051.875999999997</v>
      </c>
      <c r="Z244" s="17">
        <v>1.5813788201847902E-2</v>
      </c>
      <c r="AA244" s="10">
        <v>11.483870967741936</v>
      </c>
      <c r="AB244" s="3">
        <v>726.19354838709683</v>
      </c>
      <c r="AC244" s="29">
        <v>0.33033636555955154</v>
      </c>
      <c r="AD244" s="10">
        <v>100.74193548387096</v>
      </c>
      <c r="AE244" s="33">
        <v>304.96774193548384</v>
      </c>
      <c r="AF244" s="11">
        <v>0.90436962750716332</v>
      </c>
      <c r="AG244" s="10">
        <v>407.25806451612902</v>
      </c>
      <c r="AH244" s="21">
        <v>450.32258064516128</v>
      </c>
      <c r="AI244" s="52">
        <v>519.48387096774195</v>
      </c>
      <c r="AJ244" s="6">
        <v>0.35065104733702041</v>
      </c>
      <c r="AK244" s="21">
        <v>1481.483870967742</v>
      </c>
      <c r="AL244" s="69">
        <v>12545.341013824886</v>
      </c>
      <c r="AM244" s="6">
        <v>0.3419047511363606</v>
      </c>
      <c r="AN244" s="3">
        <v>36692.502728110594</v>
      </c>
      <c r="AO244" s="6">
        <f t="shared" si="507"/>
        <v>7.178720177964921E-3</v>
      </c>
      <c r="AP244" s="6">
        <f t="shared" si="418"/>
        <v>0.35840624073713884</v>
      </c>
      <c r="AQ244" s="70">
        <f t="shared" si="419"/>
        <v>0.86144430468132094</v>
      </c>
    </row>
    <row r="245" spans="1:43" x14ac:dyDescent="0.2">
      <c r="A245" s="110">
        <v>38899</v>
      </c>
      <c r="B245" s="17">
        <v>7.8251148925599298E-3</v>
      </c>
      <c r="C245" s="59">
        <v>18</v>
      </c>
      <c r="D245" s="163">
        <v>2300.2857142857142</v>
      </c>
      <c r="E245" s="29">
        <v>0.36619718309859156</v>
      </c>
      <c r="F245" s="164">
        <v>451</v>
      </c>
      <c r="G245" s="173">
        <v>1389.5714285714287</v>
      </c>
      <c r="H245" s="25">
        <v>0.63446366782006924</v>
      </c>
      <c r="I245" s="156">
        <v>648</v>
      </c>
      <c r="J245" s="181">
        <v>1032.1428571428571</v>
      </c>
      <c r="K245" s="64">
        <v>1117</v>
      </c>
      <c r="L245" s="25">
        <v>0.23655230834392207</v>
      </c>
      <c r="M245" s="22">
        <v>4722</v>
      </c>
      <c r="N245" s="20">
        <v>3.3E-3</v>
      </c>
      <c r="O245" s="3">
        <v>82</v>
      </c>
      <c r="P245" s="10">
        <v>11912.298000000001</v>
      </c>
      <c r="Q245" s="39">
        <v>0.375</v>
      </c>
      <c r="R245" s="58">
        <v>2332</v>
      </c>
      <c r="S245" s="30">
        <v>6215.3310000000001</v>
      </c>
      <c r="T245" s="7">
        <v>0.875</v>
      </c>
      <c r="U245" s="5">
        <v>7763</v>
      </c>
      <c r="V245" s="19">
        <v>8869.1470000000008</v>
      </c>
      <c r="W245" s="65">
        <v>10177</v>
      </c>
      <c r="X245" s="11">
        <v>0.3769709390484256</v>
      </c>
      <c r="Y245" s="19">
        <v>26996.776000000002</v>
      </c>
      <c r="Z245" s="17">
        <v>1.7408033033033034E-2</v>
      </c>
      <c r="AA245" s="10">
        <v>12.366666666666667</v>
      </c>
      <c r="AB245" s="3">
        <v>710.4</v>
      </c>
      <c r="AC245" s="29">
        <v>0.3582443653618031</v>
      </c>
      <c r="AD245" s="10">
        <v>100.66666666666667</v>
      </c>
      <c r="AE245" s="33">
        <v>281</v>
      </c>
      <c r="AF245" s="11">
        <v>0.89564852971991338</v>
      </c>
      <c r="AG245" s="10">
        <v>427.43333333333334</v>
      </c>
      <c r="AH245" s="21">
        <v>477.23333333333335</v>
      </c>
      <c r="AI245" s="52">
        <v>540.4666666666667</v>
      </c>
      <c r="AJ245" s="6">
        <v>0.36800653668943922</v>
      </c>
      <c r="AK245" s="21">
        <v>1468.6333333333332</v>
      </c>
      <c r="AL245" s="69">
        <v>11834.466666666667</v>
      </c>
      <c r="AM245" s="6">
        <v>0.35659507338465746</v>
      </c>
      <c r="AN245" s="3">
        <v>33187.409333333337</v>
      </c>
      <c r="AO245" s="6">
        <f t="shared" si="507"/>
        <v>7.5297721164902503E-3</v>
      </c>
      <c r="AP245" s="6">
        <f t="shared" si="418"/>
        <v>0.36567364265361035</v>
      </c>
      <c r="AQ245" s="70">
        <f t="shared" si="419"/>
        <v>0.85160799577380009</v>
      </c>
    </row>
    <row r="246" spans="1:43" x14ac:dyDescent="0.2">
      <c r="A246" s="110">
        <v>38869</v>
      </c>
      <c r="B246" s="17">
        <v>7.7839774058000967E-3</v>
      </c>
      <c r="C246" s="59">
        <v>16.142857142857142</v>
      </c>
      <c r="D246" s="163">
        <v>2073.8571428571427</v>
      </c>
      <c r="E246" s="29">
        <v>0.36812033582089554</v>
      </c>
      <c r="F246" s="164">
        <v>427.42857142857144</v>
      </c>
      <c r="G246" s="173">
        <v>1225.1428571428571</v>
      </c>
      <c r="H246" s="25">
        <v>0.56648284313725494</v>
      </c>
      <c r="I246" s="156">
        <v>583</v>
      </c>
      <c r="J246" s="181">
        <v>932.57142857142856</v>
      </c>
      <c r="K246" s="64">
        <v>1026.5714285714287</v>
      </c>
      <c r="L246" s="25">
        <v>0.24259815671314272</v>
      </c>
      <c r="M246" s="22">
        <v>4231.5714285714284</v>
      </c>
      <c r="N246" s="20">
        <v>3.3E-3</v>
      </c>
      <c r="O246" s="3">
        <v>73</v>
      </c>
      <c r="P246" s="10">
        <v>10478.114</v>
      </c>
      <c r="Q246" s="39">
        <v>0.374</v>
      </c>
      <c r="R246" s="58">
        <v>1977</v>
      </c>
      <c r="S246" s="30">
        <v>5285.7830000000004</v>
      </c>
      <c r="T246" s="7">
        <v>0.871</v>
      </c>
      <c r="U246" s="5">
        <v>6797</v>
      </c>
      <c r="V246" s="19">
        <v>7805.2619999999997</v>
      </c>
      <c r="W246" s="65">
        <v>8847</v>
      </c>
      <c r="X246" s="11">
        <v>0.37536341453676814</v>
      </c>
      <c r="Y246" s="19">
        <v>23569.159</v>
      </c>
      <c r="Z246" s="17">
        <v>1.8538379040907001E-2</v>
      </c>
      <c r="AA246" s="10">
        <v>11.709677419354838</v>
      </c>
      <c r="AB246" s="3">
        <v>631.64516129032256</v>
      </c>
      <c r="AC246" s="29">
        <v>0.35787923416789397</v>
      </c>
      <c r="AD246" s="10">
        <v>101.90322580645162</v>
      </c>
      <c r="AE246" s="33">
        <v>284.74193548387098</v>
      </c>
      <c r="AF246" s="11">
        <v>0.89043341420234745</v>
      </c>
      <c r="AG246" s="10">
        <v>438.06451612903226</v>
      </c>
      <c r="AH246" s="21">
        <v>491.96774193548384</v>
      </c>
      <c r="AI246" s="52">
        <v>551.67741935483878</v>
      </c>
      <c r="AJ246" s="6">
        <v>0.3917176298128679</v>
      </c>
      <c r="AK246" s="21">
        <v>1408.3548387096776</v>
      </c>
      <c r="AL246" s="69">
        <v>10425.248847926268</v>
      </c>
      <c r="AM246" s="6">
        <v>0.35691801891530756</v>
      </c>
      <c r="AN246" s="3">
        <v>29209.085267281105</v>
      </c>
      <c r="AO246" s="6">
        <f t="shared" si="507"/>
        <v>7.6498384233531233E-3</v>
      </c>
      <c r="AP246" s="6">
        <f t="shared" si="418"/>
        <v>0.36881317240880768</v>
      </c>
      <c r="AQ246" s="70">
        <f t="shared" si="419"/>
        <v>0.8470458216490111</v>
      </c>
    </row>
    <row r="247" spans="1:43" x14ac:dyDescent="0.2">
      <c r="A247" s="110">
        <v>38838</v>
      </c>
      <c r="B247" s="17">
        <v>8.5145309971149108E-3</v>
      </c>
      <c r="C247" s="59">
        <v>17.285714285714285</v>
      </c>
      <c r="D247" s="163">
        <v>2030.1428571428571</v>
      </c>
      <c r="E247" s="29">
        <v>0.35530222063887901</v>
      </c>
      <c r="F247" s="164">
        <v>399</v>
      </c>
      <c r="G247" s="173">
        <v>1203</v>
      </c>
      <c r="H247" s="25">
        <v>0.55179192499621954</v>
      </c>
      <c r="I247" s="156">
        <v>469</v>
      </c>
      <c r="J247" s="181">
        <v>944.71428571428567</v>
      </c>
      <c r="K247" s="64">
        <v>885.28571428571433</v>
      </c>
      <c r="L247" s="25">
        <v>0.21189946999487091</v>
      </c>
      <c r="M247" s="22">
        <v>4177.8571428571431</v>
      </c>
      <c r="N247" s="20">
        <v>3.2000000000000002E-3</v>
      </c>
      <c r="O247" s="3">
        <v>66</v>
      </c>
      <c r="P247" s="10">
        <v>10156.718999999999</v>
      </c>
      <c r="Q247" s="39">
        <v>0.372</v>
      </c>
      <c r="R247" s="58">
        <v>1869</v>
      </c>
      <c r="S247" s="30">
        <v>5023.6139999999996</v>
      </c>
      <c r="T247" s="7">
        <v>0.877</v>
      </c>
      <c r="U247" s="5">
        <v>7218</v>
      </c>
      <c r="V247" s="19">
        <v>8229.5920000000006</v>
      </c>
      <c r="W247" s="65">
        <v>9153</v>
      </c>
      <c r="X247" s="11">
        <v>0.39098801042720127</v>
      </c>
      <c r="Y247" s="19">
        <v>23409.924999999999</v>
      </c>
      <c r="Z247" s="17">
        <v>4.8665414354986676E-2</v>
      </c>
      <c r="AA247" s="10">
        <v>37.133333333333333</v>
      </c>
      <c r="AB247" s="3">
        <v>763.0333333333333</v>
      </c>
      <c r="AC247" s="29">
        <v>0.34655588314124902</v>
      </c>
      <c r="AD247" s="10">
        <v>86.2</v>
      </c>
      <c r="AE247" s="33">
        <v>248.73333333333332</v>
      </c>
      <c r="AF247" s="11">
        <v>0.90657359822044947</v>
      </c>
      <c r="AG247" s="10">
        <v>393.96666666666664</v>
      </c>
      <c r="AH247" s="21">
        <v>434.56666666666666</v>
      </c>
      <c r="AI247" s="52">
        <v>517.29999999999995</v>
      </c>
      <c r="AJ247" s="6">
        <v>0.35766305600368747</v>
      </c>
      <c r="AK247" s="21">
        <v>1446.3333333333333</v>
      </c>
      <c r="AL247" s="69">
        <v>10555.585714285713</v>
      </c>
      <c r="AM247" s="6">
        <v>0.36355802617585703</v>
      </c>
      <c r="AN247" s="3">
        <v>29034.115476190476</v>
      </c>
      <c r="AO247" s="6">
        <f t="shared" si="507"/>
        <v>9.2988434151658646E-3</v>
      </c>
      <c r="AP247" s="6">
        <f t="shared" si="418"/>
        <v>0.36356350923157688</v>
      </c>
      <c r="AQ247" s="70">
        <f t="shared" si="419"/>
        <v>0.84099006269661492</v>
      </c>
    </row>
    <row r="248" spans="1:43" x14ac:dyDescent="0.2">
      <c r="A248" s="110">
        <v>38808</v>
      </c>
      <c r="B248" s="17">
        <v>9.3766166580444895E-3</v>
      </c>
      <c r="C248" s="59">
        <v>20.714285714285715</v>
      </c>
      <c r="D248" s="163">
        <v>2209.1428571428573</v>
      </c>
      <c r="E248" s="29">
        <v>0.33646548608601373</v>
      </c>
      <c r="F248" s="164">
        <v>454.71428571428572</v>
      </c>
      <c r="G248" s="173">
        <v>1185.8571428571429</v>
      </c>
      <c r="H248" s="25">
        <v>0.60922094153589779</v>
      </c>
      <c r="I248" s="156">
        <v>596</v>
      </c>
      <c r="J248" s="181">
        <v>1028.7142857142858</v>
      </c>
      <c r="K248" s="64">
        <v>1071.4285714285716</v>
      </c>
      <c r="L248" s="25">
        <v>0.24220112381321449</v>
      </c>
      <c r="M248" s="22">
        <v>4423.7142857142862</v>
      </c>
      <c r="N248" s="20">
        <v>3.2000000000000002E-3</v>
      </c>
      <c r="O248" s="3">
        <v>68</v>
      </c>
      <c r="P248" s="10">
        <v>11042.602999999999</v>
      </c>
      <c r="Q248" s="39">
        <v>0.35899999999999999</v>
      </c>
      <c r="R248" s="58">
        <v>1749</v>
      </c>
      <c r="S248" s="30">
        <v>4870.5190000000002</v>
      </c>
      <c r="T248" s="7">
        <v>0.871</v>
      </c>
      <c r="U248" s="5">
        <v>6917</v>
      </c>
      <c r="V248" s="19">
        <v>7936.91</v>
      </c>
      <c r="W248" s="65">
        <v>8734</v>
      </c>
      <c r="X248" s="11">
        <v>0.36620495938957232</v>
      </c>
      <c r="Y248" s="19">
        <v>23850.031999999999</v>
      </c>
      <c r="Z248" s="17">
        <v>6.6742127177911628E-2</v>
      </c>
      <c r="AA248" s="10">
        <v>53.258064516129032</v>
      </c>
      <c r="AB248" s="3">
        <v>797.9677419354839</v>
      </c>
      <c r="AC248" s="29">
        <v>0.46220181431291291</v>
      </c>
      <c r="AD248" s="10">
        <v>133.12903225806451</v>
      </c>
      <c r="AE248" s="33">
        <v>288.03225806451616</v>
      </c>
      <c r="AF248" s="11">
        <v>0.90869703727301687</v>
      </c>
      <c r="AG248" s="10">
        <v>460.06451612903226</v>
      </c>
      <c r="AH248" s="18">
        <v>506.29032258064518</v>
      </c>
      <c r="AI248" s="52">
        <v>646.45161290322585</v>
      </c>
      <c r="AJ248" s="6">
        <v>0.40598853345758795</v>
      </c>
      <c r="AK248" s="21">
        <v>1592.2903225806454</v>
      </c>
      <c r="AL248" s="69">
        <v>10451.880184331796</v>
      </c>
      <c r="AM248" s="6">
        <v>0.34995872808342143</v>
      </c>
      <c r="AN248" s="3">
        <v>29866.036608294929</v>
      </c>
      <c r="AO248" s="6">
        <f t="shared" si="507"/>
        <v>1.0104999595132539E-2</v>
      </c>
      <c r="AP248" s="6">
        <f t="shared" si="418"/>
        <v>0.36833116191461984</v>
      </c>
      <c r="AQ248" s="70">
        <f t="shared" si="419"/>
        <v>0.84175848768175154</v>
      </c>
    </row>
    <row r="249" spans="1:43" x14ac:dyDescent="0.2">
      <c r="A249" s="110">
        <v>38777</v>
      </c>
      <c r="B249" s="17">
        <v>8.2630691399662726E-3</v>
      </c>
      <c r="C249" s="59">
        <v>21</v>
      </c>
      <c r="D249" s="163">
        <v>2541.4285714285716</v>
      </c>
      <c r="E249" s="29">
        <v>0.33308915864378402</v>
      </c>
      <c r="F249" s="164">
        <v>370.85714285714283</v>
      </c>
      <c r="G249" s="173">
        <v>1365.1428571428571</v>
      </c>
      <c r="H249" s="25">
        <v>0.65924637681159415</v>
      </c>
      <c r="I249" s="156">
        <v>815</v>
      </c>
      <c r="J249" s="181">
        <v>1232.1428571428571</v>
      </c>
      <c r="K249" s="64">
        <v>1206.8571428571429</v>
      </c>
      <c r="L249" s="25">
        <v>0.23485585610630785</v>
      </c>
      <c r="M249" s="22">
        <v>5138.7142857142862</v>
      </c>
      <c r="N249" s="20">
        <v>3.2000000000000002E-3</v>
      </c>
      <c r="O249" s="3">
        <v>73</v>
      </c>
      <c r="P249" s="10">
        <v>13041.478999999999</v>
      </c>
      <c r="Q249" s="39">
        <v>0.34499999999999997</v>
      </c>
      <c r="R249" s="58">
        <v>1953</v>
      </c>
      <c r="S249" s="30">
        <v>5654.9520000000002</v>
      </c>
      <c r="T249" s="7">
        <v>0.84399999999999997</v>
      </c>
      <c r="U249" s="5">
        <v>6930</v>
      </c>
      <c r="V249" s="19">
        <v>8212.0519999999997</v>
      </c>
      <c r="W249" s="65">
        <v>8956</v>
      </c>
      <c r="X249" s="11">
        <v>0.33283184340046224</v>
      </c>
      <c r="Y249" s="19">
        <v>26908.483</v>
      </c>
      <c r="Z249" s="17">
        <v>6.9439161489370696E-2</v>
      </c>
      <c r="AA249" s="10">
        <v>58.678571428571431</v>
      </c>
      <c r="AB249" s="3">
        <v>845.03571428571433</v>
      </c>
      <c r="AC249" s="29">
        <v>0.46205814935456629</v>
      </c>
      <c r="AD249" s="10">
        <v>136.78571428571428</v>
      </c>
      <c r="AE249" s="33">
        <v>296.03571428571428</v>
      </c>
      <c r="AF249" s="11">
        <v>0.90216916581744067</v>
      </c>
      <c r="AG249" s="10">
        <v>442.64285714285717</v>
      </c>
      <c r="AH249" s="18">
        <v>490.64285714285717</v>
      </c>
      <c r="AI249" s="52">
        <v>638.10714285714289</v>
      </c>
      <c r="AJ249" s="6">
        <v>0.39106548765540183</v>
      </c>
      <c r="AK249" s="21">
        <v>1631.7142857142858</v>
      </c>
      <c r="AL249" s="69">
        <v>10800.964285714286</v>
      </c>
      <c r="AM249" s="6">
        <v>0.32070407806400902</v>
      </c>
      <c r="AN249" s="3">
        <v>33678.911571428573</v>
      </c>
      <c r="AO249" s="6">
        <f t="shared" si="507"/>
        <v>9.2938336085771917E-3</v>
      </c>
      <c r="AP249" s="6">
        <f t="shared" si="418"/>
        <v>0.3363311839666065</v>
      </c>
      <c r="AQ249" s="70">
        <f t="shared" si="419"/>
        <v>0.82413453471610387</v>
      </c>
    </row>
    <row r="250" spans="1:43" x14ac:dyDescent="0.2">
      <c r="A250" s="110">
        <v>38749</v>
      </c>
      <c r="B250" s="17">
        <v>8.5120495246517811E-3</v>
      </c>
      <c r="C250" s="59">
        <v>22</v>
      </c>
      <c r="D250" s="163">
        <v>2584.5714285714284</v>
      </c>
      <c r="E250" s="29">
        <v>0.31149508039356849</v>
      </c>
      <c r="F250" s="164">
        <v>402</v>
      </c>
      <c r="G250" s="173">
        <v>1190.5714285714287</v>
      </c>
      <c r="H250" s="25">
        <v>0.57385167760307043</v>
      </c>
      <c r="I250" s="156">
        <v>793</v>
      </c>
      <c r="J250" s="181">
        <v>1153.8571428571429</v>
      </c>
      <c r="K250" s="64">
        <v>1217</v>
      </c>
      <c r="L250" s="25">
        <v>0.24690606613917632</v>
      </c>
      <c r="M250" s="22">
        <v>4929</v>
      </c>
      <c r="N250" s="20">
        <v>3.2000000000000002E-3</v>
      </c>
      <c r="O250" s="3">
        <v>67</v>
      </c>
      <c r="P250" s="10">
        <v>12725</v>
      </c>
      <c r="Q250" s="39">
        <v>0.34</v>
      </c>
      <c r="R250" s="58">
        <v>1782</v>
      </c>
      <c r="S250" s="30">
        <v>5234</v>
      </c>
      <c r="T250" s="7">
        <v>0.85799999999999998</v>
      </c>
      <c r="U250" s="5">
        <v>7250</v>
      </c>
      <c r="V250" s="19">
        <v>8449</v>
      </c>
      <c r="W250" s="65">
        <v>9099</v>
      </c>
      <c r="X250" s="11">
        <v>0.3445546803998788</v>
      </c>
      <c r="Y250" s="19">
        <v>26408</v>
      </c>
      <c r="Z250" s="17">
        <v>7.0130054218788762E-2</v>
      </c>
      <c r="AA250" s="10">
        <v>63.838709677419352</v>
      </c>
      <c r="AB250" s="3">
        <v>910.29032258064512</v>
      </c>
      <c r="AC250" s="29">
        <v>0.4594305287946906</v>
      </c>
      <c r="AD250" s="10">
        <v>138.45161290322579</v>
      </c>
      <c r="AE250" s="33">
        <v>301.35483870967744</v>
      </c>
      <c r="AF250" s="11">
        <v>0.89364773820981702</v>
      </c>
      <c r="AG250" s="10">
        <v>419.32258064516128</v>
      </c>
      <c r="AH250" s="18">
        <v>469.22580645161293</v>
      </c>
      <c r="AI250" s="52">
        <v>621.61290322580646</v>
      </c>
      <c r="AJ250" s="6">
        <v>0.36981595562976183</v>
      </c>
      <c r="AK250" s="21">
        <v>1680.8709677419356</v>
      </c>
      <c r="AL250" s="69">
        <v>10937.612903225807</v>
      </c>
      <c r="AM250" s="6">
        <v>0.33126342137298076</v>
      </c>
      <c r="AN250" s="3">
        <v>33017.870967741939</v>
      </c>
      <c r="AO250" s="6">
        <f>(+AA250+O250+C250)/(D250+P250+AB250)</f>
        <v>9.4229354122924904E-3</v>
      </c>
      <c r="AP250" s="6">
        <f t="shared" si="418"/>
        <v>0.34529840509864163</v>
      </c>
      <c r="AQ250" s="70">
        <f t="shared" si="419"/>
        <v>0.84017602150763926</v>
      </c>
    </row>
    <row r="251" spans="1:43" x14ac:dyDescent="0.2">
      <c r="A251" s="110">
        <v>38718</v>
      </c>
      <c r="B251" s="61">
        <v>0</v>
      </c>
      <c r="C251" s="59"/>
      <c r="D251" s="163"/>
      <c r="E251" s="29">
        <v>0.33</v>
      </c>
      <c r="F251" s="164"/>
      <c r="G251" s="173"/>
      <c r="H251" s="25">
        <v>0.53</v>
      </c>
      <c r="I251" s="156"/>
      <c r="J251" s="181"/>
      <c r="K251" s="64"/>
      <c r="L251" s="25">
        <v>0.23</v>
      </c>
      <c r="M251" s="22"/>
      <c r="N251" s="20">
        <v>3.2000000000000002E-3</v>
      </c>
      <c r="O251" s="41">
        <v>67</v>
      </c>
      <c r="P251" s="10">
        <v>13250</v>
      </c>
      <c r="Q251" s="39">
        <v>0.34499999999999997</v>
      </c>
      <c r="R251" s="5">
        <v>1821</v>
      </c>
      <c r="S251" s="30">
        <v>5276</v>
      </c>
      <c r="T251" s="7">
        <v>0.85799999999999998</v>
      </c>
      <c r="U251" s="5">
        <v>7396</v>
      </c>
      <c r="V251" s="19">
        <v>8623</v>
      </c>
      <c r="W251" s="65">
        <f>+U251+R251+O251</f>
        <v>9284</v>
      </c>
      <c r="X251" s="11">
        <f>W251/Y251</f>
        <v>0.34196471324910677</v>
      </c>
      <c r="Y251" s="19">
        <f>+V251+S251+P251</f>
        <v>27149</v>
      </c>
      <c r="Z251" s="17">
        <f>AA251/AB251</f>
        <v>7.3338335768729515E-2</v>
      </c>
      <c r="AA251" s="10">
        <v>59.903225806451616</v>
      </c>
      <c r="AB251" s="3">
        <v>816.80645161290317</v>
      </c>
      <c r="AC251" s="29">
        <f>AD251/AE251</f>
        <v>0.46385474230292095</v>
      </c>
      <c r="AD251" s="10">
        <v>132.67741935483872</v>
      </c>
      <c r="AE251" s="31">
        <v>286.03225806451616</v>
      </c>
      <c r="AF251" s="11">
        <f>AG251/AH251</f>
        <v>0.90250017410683203</v>
      </c>
      <c r="AG251" s="10">
        <v>418.03225806451616</v>
      </c>
      <c r="AH251" s="18">
        <v>463.19354838709677</v>
      </c>
      <c r="AI251" s="52">
        <f t="shared" ref="AI251:AI263" si="510">AG251+AD251+AA251</f>
        <v>610.61290322580646</v>
      </c>
      <c r="AJ251" s="6">
        <f>AI251/AK251</f>
        <v>0.38991080808288875</v>
      </c>
      <c r="AK251" s="21">
        <f t="shared" ref="AK251:AK263" si="511">AH251+AE251+AB251</f>
        <v>1566.0322580645161</v>
      </c>
      <c r="AL251" s="68"/>
      <c r="AM251" s="63">
        <v>0.37</v>
      </c>
      <c r="AQ251" s="67"/>
    </row>
    <row r="252" spans="1:43" x14ac:dyDescent="0.2">
      <c r="A252" s="110">
        <v>38687</v>
      </c>
      <c r="B252" s="15">
        <v>0</v>
      </c>
      <c r="C252" s="2"/>
      <c r="D252" s="165"/>
      <c r="E252" s="28">
        <v>0.35</v>
      </c>
      <c r="F252" s="165"/>
      <c r="G252" s="174"/>
      <c r="H252" s="8">
        <v>0.62</v>
      </c>
      <c r="I252" s="165"/>
      <c r="J252" s="182"/>
      <c r="K252" s="23"/>
      <c r="L252" s="8">
        <v>0.24</v>
      </c>
      <c r="M252" s="14"/>
      <c r="N252" s="17">
        <v>3.0000000000000001E-3</v>
      </c>
      <c r="O252" s="11"/>
      <c r="P252" s="1"/>
      <c r="Q252" s="29">
        <v>0.34</v>
      </c>
      <c r="R252" s="11"/>
      <c r="S252" s="27"/>
      <c r="T252" s="11">
        <v>0.89200000000000002</v>
      </c>
      <c r="U252" s="11"/>
      <c r="V252" s="14"/>
      <c r="W252" s="13"/>
      <c r="X252" s="63">
        <v>0.4</v>
      </c>
      <c r="Y252" s="14"/>
      <c r="Z252" s="15">
        <v>7.0000000000000007E-2</v>
      </c>
      <c r="AA252" s="10">
        <v>56.533333333333331</v>
      </c>
      <c r="AB252" s="3">
        <v>754.9666666666667</v>
      </c>
      <c r="AC252" s="28">
        <v>0.45</v>
      </c>
      <c r="AD252" s="10">
        <v>127.73333333333333</v>
      </c>
      <c r="AE252" s="31">
        <v>278.13333333333333</v>
      </c>
      <c r="AF252" s="8">
        <v>0.87</v>
      </c>
      <c r="AG252" s="10">
        <v>379.7</v>
      </c>
      <c r="AH252" s="18">
        <v>438.96666666666664</v>
      </c>
      <c r="AI252" s="52">
        <f t="shared" si="510"/>
        <v>563.9666666666667</v>
      </c>
      <c r="AJ252" s="63">
        <v>0.4</v>
      </c>
      <c r="AK252" s="21">
        <f t="shared" si="511"/>
        <v>1472.0666666666666</v>
      </c>
      <c r="AL252" s="68"/>
      <c r="AM252" s="63">
        <v>0.38</v>
      </c>
      <c r="AN252" s="4"/>
      <c r="AQ252" s="67"/>
    </row>
    <row r="253" spans="1:43" x14ac:dyDescent="0.2">
      <c r="A253" s="110">
        <v>38657</v>
      </c>
      <c r="B253" s="15">
        <v>0</v>
      </c>
      <c r="C253" s="2"/>
      <c r="D253" s="165"/>
      <c r="E253" s="28">
        <v>0.33</v>
      </c>
      <c r="F253" s="165"/>
      <c r="G253" s="174"/>
      <c r="H253" s="8">
        <v>0.61</v>
      </c>
      <c r="I253" s="165"/>
      <c r="J253" s="182"/>
      <c r="K253" s="23"/>
      <c r="L253" s="8">
        <v>0.27</v>
      </c>
      <c r="M253" s="14"/>
      <c r="N253" s="17">
        <v>3.0000000000000001E-3</v>
      </c>
      <c r="O253" s="11"/>
      <c r="P253" s="1"/>
      <c r="Q253" s="29">
        <v>0.33300000000000002</v>
      </c>
      <c r="R253" s="11"/>
      <c r="S253" s="27"/>
      <c r="T253" s="11">
        <v>0.91</v>
      </c>
      <c r="U253" s="11"/>
      <c r="V253" s="14"/>
      <c r="W253" s="13"/>
      <c r="X253" s="63">
        <v>0.41</v>
      </c>
      <c r="Y253" s="14"/>
      <c r="Z253" s="15">
        <v>7.0000000000000007E-2</v>
      </c>
      <c r="AA253" s="59">
        <v>47.935483870967744</v>
      </c>
      <c r="AB253" s="3">
        <v>677.87096774193549</v>
      </c>
      <c r="AC253" s="28">
        <v>0.45</v>
      </c>
      <c r="AD253" s="10">
        <v>128.67741935483872</v>
      </c>
      <c r="AE253" s="31">
        <v>284.80645161290323</v>
      </c>
      <c r="AF253" s="8">
        <v>0.89</v>
      </c>
      <c r="AG253" s="10">
        <v>396.38709677419354</v>
      </c>
      <c r="AH253" s="18">
        <v>456.87096774193549</v>
      </c>
      <c r="AI253" s="52">
        <f t="shared" si="510"/>
        <v>573</v>
      </c>
      <c r="AJ253" s="63">
        <v>0.39</v>
      </c>
      <c r="AK253" s="21">
        <f t="shared" si="511"/>
        <v>1419.5483870967741</v>
      </c>
      <c r="AL253" s="68"/>
      <c r="AM253" s="63">
        <v>0.39</v>
      </c>
      <c r="AN253" s="4"/>
      <c r="AQ253" s="67"/>
    </row>
    <row r="254" spans="1:43" x14ac:dyDescent="0.2">
      <c r="A254" s="110">
        <v>38626</v>
      </c>
      <c r="B254" s="15">
        <v>0</v>
      </c>
      <c r="C254" s="2"/>
      <c r="D254" s="165"/>
      <c r="E254" s="28">
        <v>0.33</v>
      </c>
      <c r="F254" s="165"/>
      <c r="G254" s="174"/>
      <c r="H254" s="8">
        <v>0.81</v>
      </c>
      <c r="I254" s="165"/>
      <c r="J254" s="182"/>
      <c r="K254" s="23"/>
      <c r="L254" s="8">
        <v>0.25</v>
      </c>
      <c r="M254" s="14"/>
      <c r="N254" s="17">
        <v>3.0000000000000001E-3</v>
      </c>
      <c r="O254" s="11"/>
      <c r="P254" s="1"/>
      <c r="Q254" s="29">
        <v>0.32900000000000001</v>
      </c>
      <c r="R254" s="11"/>
      <c r="S254" s="27"/>
      <c r="T254" s="11">
        <v>0.91100000000000003</v>
      </c>
      <c r="U254" s="11"/>
      <c r="V254" s="14"/>
      <c r="W254" s="13"/>
      <c r="X254" s="63">
        <v>0.41</v>
      </c>
      <c r="Y254" s="14"/>
      <c r="Z254" s="15">
        <v>7.0000000000000007E-2</v>
      </c>
      <c r="AA254" s="59">
        <v>48.4</v>
      </c>
      <c r="AB254" s="3">
        <v>711.33333333333337</v>
      </c>
      <c r="AC254" s="28">
        <v>0.47</v>
      </c>
      <c r="AD254" s="10">
        <v>136.43333333333334</v>
      </c>
      <c r="AE254" s="31">
        <v>305.56666666666666</v>
      </c>
      <c r="AF254" s="8">
        <v>0.89</v>
      </c>
      <c r="AG254" s="10">
        <v>404.93333333333334</v>
      </c>
      <c r="AH254" s="18">
        <v>456.26666666666665</v>
      </c>
      <c r="AI254" s="52">
        <f t="shared" si="510"/>
        <v>589.76666666666665</v>
      </c>
      <c r="AJ254" s="63">
        <v>0.4</v>
      </c>
      <c r="AK254" s="21">
        <f t="shared" si="511"/>
        <v>1473.1666666666665</v>
      </c>
      <c r="AL254" s="68"/>
      <c r="AM254" s="63">
        <v>0.38</v>
      </c>
      <c r="AN254" s="4"/>
      <c r="AQ254" s="67"/>
    </row>
    <row r="255" spans="1:43" x14ac:dyDescent="0.2">
      <c r="A255" s="110">
        <v>38596</v>
      </c>
      <c r="B255" s="15">
        <v>0</v>
      </c>
      <c r="C255" s="2"/>
      <c r="D255" s="165"/>
      <c r="E255" s="28">
        <v>0.33</v>
      </c>
      <c r="F255" s="165"/>
      <c r="G255" s="174"/>
      <c r="H255" s="8">
        <v>0.86</v>
      </c>
      <c r="I255" s="165"/>
      <c r="J255" s="182"/>
      <c r="K255" s="23"/>
      <c r="L255" s="8">
        <v>0.31</v>
      </c>
      <c r="M255" s="14"/>
      <c r="N255" s="17">
        <v>2E-3</v>
      </c>
      <c r="O255" s="11"/>
      <c r="P255" s="1"/>
      <c r="Q255" s="29">
        <v>0.32900000000000001</v>
      </c>
      <c r="R255" s="11"/>
      <c r="S255" s="27"/>
      <c r="T255" s="11">
        <v>0.91100000000000003</v>
      </c>
      <c r="U255" s="11"/>
      <c r="V255" s="14"/>
      <c r="W255" s="13"/>
      <c r="X255" s="63">
        <v>0.41</v>
      </c>
      <c r="Y255" s="14"/>
      <c r="Z255" s="15">
        <v>7.0000000000000007E-2</v>
      </c>
      <c r="AA255" s="59">
        <v>50.064516129032256</v>
      </c>
      <c r="AB255" s="3">
        <v>677.41935483870964</v>
      </c>
      <c r="AC255" s="28">
        <v>0.49</v>
      </c>
      <c r="AD255" s="10">
        <v>151.96774193548387</v>
      </c>
      <c r="AE255" s="31">
        <v>325.74193548387098</v>
      </c>
      <c r="AF255" s="8">
        <v>0.9</v>
      </c>
      <c r="AG255" s="10">
        <v>448.73333333333335</v>
      </c>
      <c r="AH255" s="18">
        <v>507.3</v>
      </c>
      <c r="AI255" s="52">
        <f t="shared" si="510"/>
        <v>650.76559139784945</v>
      </c>
      <c r="AJ255" s="63">
        <v>0.4</v>
      </c>
      <c r="AK255" s="21">
        <f t="shared" si="511"/>
        <v>1510.4612903225807</v>
      </c>
      <c r="AL255" s="68"/>
      <c r="AM255" s="63">
        <v>0.39</v>
      </c>
      <c r="AN255" s="4"/>
      <c r="AQ255" s="67"/>
    </row>
    <row r="256" spans="1:43" x14ac:dyDescent="0.2">
      <c r="A256" s="110">
        <v>38565</v>
      </c>
      <c r="B256" s="15">
        <v>0</v>
      </c>
      <c r="C256" s="2"/>
      <c r="D256" s="165"/>
      <c r="E256" s="28">
        <v>0.34</v>
      </c>
      <c r="F256" s="165"/>
      <c r="G256" s="174"/>
      <c r="H256" s="8">
        <v>0.78</v>
      </c>
      <c r="I256" s="165"/>
      <c r="J256" s="182"/>
      <c r="K256" s="23"/>
      <c r="L256" s="8">
        <v>0.32</v>
      </c>
      <c r="M256" s="14"/>
      <c r="N256" s="17">
        <v>2E-3</v>
      </c>
      <c r="O256" s="11"/>
      <c r="P256" s="1"/>
      <c r="Q256" s="29">
        <v>0.33700000000000002</v>
      </c>
      <c r="R256" s="11"/>
      <c r="S256" s="27"/>
      <c r="T256" s="11">
        <v>0.90300000000000002</v>
      </c>
      <c r="U256" s="11"/>
      <c r="V256" s="14"/>
      <c r="W256" s="13"/>
      <c r="X256" s="63">
        <v>0.41</v>
      </c>
      <c r="Y256" s="14"/>
      <c r="Z256" s="15">
        <v>7.0000000000000007E-2</v>
      </c>
      <c r="AA256" s="59">
        <v>51.774193548387096</v>
      </c>
      <c r="AB256" s="3">
        <v>709.67741935483866</v>
      </c>
      <c r="AC256" s="28">
        <v>0.5</v>
      </c>
      <c r="AD256" s="10">
        <v>137.03225806451613</v>
      </c>
      <c r="AE256" s="31">
        <v>277.77419354838707</v>
      </c>
      <c r="AF256" s="8">
        <v>0.87</v>
      </c>
      <c r="AG256" s="10">
        <v>384.12903225806451</v>
      </c>
      <c r="AH256" s="18">
        <v>426</v>
      </c>
      <c r="AI256" s="52">
        <f t="shared" si="510"/>
        <v>572.93548387096769</v>
      </c>
      <c r="AJ256" s="63">
        <v>0.41</v>
      </c>
      <c r="AK256" s="21">
        <f t="shared" si="511"/>
        <v>1413.4516129032259</v>
      </c>
      <c r="AL256" s="68"/>
      <c r="AM256" s="63">
        <v>0.39</v>
      </c>
      <c r="AN256" s="4"/>
      <c r="AQ256" s="67"/>
    </row>
    <row r="257" spans="1:43" x14ac:dyDescent="0.2">
      <c r="A257" s="110">
        <v>38534</v>
      </c>
      <c r="B257" s="15">
        <v>0</v>
      </c>
      <c r="C257" s="2"/>
      <c r="D257" s="165"/>
      <c r="E257" s="28">
        <v>0.34</v>
      </c>
      <c r="F257" s="165"/>
      <c r="G257" s="174"/>
      <c r="H257" s="8">
        <v>0.84</v>
      </c>
      <c r="I257" s="165"/>
      <c r="J257" s="182"/>
      <c r="K257" s="23"/>
      <c r="L257" s="8">
        <v>0.3</v>
      </c>
      <c r="M257" s="14"/>
      <c r="N257" s="17">
        <v>2E-3</v>
      </c>
      <c r="O257" s="11"/>
      <c r="P257" s="1"/>
      <c r="Q257" s="29">
        <v>0.34899999999999998</v>
      </c>
      <c r="R257" s="11"/>
      <c r="S257" s="27"/>
      <c r="T257" s="11">
        <v>0.89700000000000002</v>
      </c>
      <c r="U257" s="11"/>
      <c r="V257" s="14"/>
      <c r="W257" s="13"/>
      <c r="X257" s="63">
        <v>0.41</v>
      </c>
      <c r="Y257" s="14"/>
      <c r="Z257" s="15">
        <v>0.1</v>
      </c>
      <c r="AA257" s="59">
        <v>50.8</v>
      </c>
      <c r="AB257" s="3">
        <v>692.86666666666667</v>
      </c>
      <c r="AC257" s="28">
        <v>0.54</v>
      </c>
      <c r="AD257" s="10">
        <v>144.06666666666666</v>
      </c>
      <c r="AE257" s="31">
        <v>287.26666666666665</v>
      </c>
      <c r="AF257" s="8">
        <v>0.88</v>
      </c>
      <c r="AG257" s="10">
        <v>422.3</v>
      </c>
      <c r="AH257" s="18">
        <v>486.5</v>
      </c>
      <c r="AI257" s="52">
        <f t="shared" si="510"/>
        <v>617.16666666666663</v>
      </c>
      <c r="AJ257" s="63">
        <v>0.41</v>
      </c>
      <c r="AK257" s="21">
        <f t="shared" si="511"/>
        <v>1466.6333333333332</v>
      </c>
      <c r="AL257" s="68"/>
      <c r="AM257" s="63">
        <v>0.39</v>
      </c>
      <c r="AN257" s="4"/>
      <c r="AQ257" s="67"/>
    </row>
    <row r="258" spans="1:43" x14ac:dyDescent="0.2">
      <c r="A258" s="110">
        <v>38504</v>
      </c>
      <c r="B258" s="15">
        <v>0</v>
      </c>
      <c r="C258" s="2"/>
      <c r="D258" s="165"/>
      <c r="E258" s="28">
        <v>0.34</v>
      </c>
      <c r="F258" s="165"/>
      <c r="G258" s="174"/>
      <c r="H258" s="8">
        <v>0.83</v>
      </c>
      <c r="I258" s="165"/>
      <c r="J258" s="182"/>
      <c r="K258" s="23"/>
      <c r="L258" s="8">
        <v>0.32</v>
      </c>
      <c r="M258" s="14"/>
      <c r="N258" s="17">
        <v>2E-3</v>
      </c>
      <c r="O258" s="11"/>
      <c r="P258" s="1"/>
      <c r="Q258" s="29">
        <v>0.36</v>
      </c>
      <c r="R258" s="11"/>
      <c r="S258" s="27"/>
      <c r="T258" s="11">
        <v>0.90269999999999995</v>
      </c>
      <c r="U258" s="11"/>
      <c r="V258" s="14"/>
      <c r="W258" s="13"/>
      <c r="X258" s="63">
        <v>0.41</v>
      </c>
      <c r="Y258" s="14"/>
      <c r="Z258" s="15">
        <v>0.11</v>
      </c>
      <c r="AA258" s="59">
        <v>65.612903225806448</v>
      </c>
      <c r="AB258" s="3">
        <v>672.54838709677415</v>
      </c>
      <c r="AC258" s="28">
        <v>0.66</v>
      </c>
      <c r="AD258" s="10">
        <v>152.83333333333334</v>
      </c>
      <c r="AE258" s="31">
        <v>285.86666666666667</v>
      </c>
      <c r="AF258" s="8">
        <v>0.89</v>
      </c>
      <c r="AG258" s="10">
        <v>421.2</v>
      </c>
      <c r="AH258" s="18">
        <v>479.43333333333334</v>
      </c>
      <c r="AI258" s="52">
        <f t="shared" si="510"/>
        <v>639.64623655913977</v>
      </c>
      <c r="AJ258" s="63">
        <v>0.43</v>
      </c>
      <c r="AK258" s="21">
        <f t="shared" si="511"/>
        <v>1437.8483870967741</v>
      </c>
      <c r="AL258" s="68"/>
      <c r="AM258" s="63">
        <v>0.4</v>
      </c>
      <c r="AN258" s="4"/>
      <c r="AQ258" s="67"/>
    </row>
    <row r="259" spans="1:43" x14ac:dyDescent="0.2">
      <c r="A259" s="110">
        <v>38473</v>
      </c>
      <c r="B259" s="15">
        <v>0</v>
      </c>
      <c r="C259" s="2"/>
      <c r="D259" s="165"/>
      <c r="E259" s="28">
        <v>0.32</v>
      </c>
      <c r="F259" s="165"/>
      <c r="G259" s="174"/>
      <c r="H259" s="8">
        <v>0.85</v>
      </c>
      <c r="I259" s="165"/>
      <c r="J259" s="182"/>
      <c r="K259" s="23"/>
      <c r="L259" s="8">
        <v>0.32</v>
      </c>
      <c r="M259" s="14"/>
      <c r="N259" s="17">
        <v>2E-3</v>
      </c>
      <c r="O259" s="11"/>
      <c r="P259" s="1"/>
      <c r="Q259" s="29">
        <v>0.36599999999999999</v>
      </c>
      <c r="R259" s="11"/>
      <c r="S259" s="27"/>
      <c r="T259" s="11">
        <v>0.91900000000000004</v>
      </c>
      <c r="U259" s="11"/>
      <c r="V259" s="14"/>
      <c r="W259" s="13"/>
      <c r="X259" s="63">
        <v>0.42</v>
      </c>
      <c r="Y259" s="14"/>
      <c r="Z259" s="15">
        <v>0.11</v>
      </c>
      <c r="AA259" s="59">
        <v>79.3</v>
      </c>
      <c r="AB259" s="3">
        <v>748.73333333333335</v>
      </c>
      <c r="AC259" s="28">
        <v>0.62</v>
      </c>
      <c r="AD259" s="10">
        <v>189.53333333333333</v>
      </c>
      <c r="AE259" s="31">
        <v>289</v>
      </c>
      <c r="AF259" s="8">
        <v>0.93</v>
      </c>
      <c r="AG259" s="10">
        <v>432.76666666666665</v>
      </c>
      <c r="AH259" s="18">
        <v>487.96666666666664</v>
      </c>
      <c r="AI259" s="52">
        <f t="shared" si="510"/>
        <v>701.59999999999991</v>
      </c>
      <c r="AJ259" s="63">
        <v>0.46</v>
      </c>
      <c r="AK259" s="21">
        <f t="shared" si="511"/>
        <v>1525.7</v>
      </c>
      <c r="AL259" s="68"/>
      <c r="AM259" s="63">
        <v>0.41</v>
      </c>
      <c r="AN259" s="4"/>
      <c r="AQ259" s="67"/>
    </row>
    <row r="260" spans="1:43" x14ac:dyDescent="0.2">
      <c r="A260" s="110">
        <v>38443</v>
      </c>
      <c r="B260" s="15">
        <v>0</v>
      </c>
      <c r="C260" s="2"/>
      <c r="D260" s="165"/>
      <c r="E260" s="28">
        <v>0.32</v>
      </c>
      <c r="F260" s="165"/>
      <c r="G260" s="174"/>
      <c r="H260" s="8">
        <v>0.86</v>
      </c>
      <c r="I260" s="165"/>
      <c r="J260" s="182"/>
      <c r="K260" s="23"/>
      <c r="L260" s="8">
        <v>0.28999999999999998</v>
      </c>
      <c r="M260" s="14"/>
      <c r="N260" s="17">
        <v>2E-3</v>
      </c>
      <c r="O260" s="11"/>
      <c r="P260" s="1"/>
      <c r="Q260" s="29">
        <v>0.36699999999999999</v>
      </c>
      <c r="R260" s="11"/>
      <c r="S260" s="27"/>
      <c r="T260" s="11">
        <v>0.91700000000000004</v>
      </c>
      <c r="U260" s="11"/>
      <c r="V260" s="14"/>
      <c r="W260" s="13"/>
      <c r="X260" s="63">
        <v>0.42</v>
      </c>
      <c r="Y260" s="14"/>
      <c r="Z260" s="15">
        <v>0.13</v>
      </c>
      <c r="AA260" s="59">
        <v>88.032258064516128</v>
      </c>
      <c r="AB260" s="3">
        <v>807.12903225806451</v>
      </c>
      <c r="AC260" s="28">
        <v>0.65</v>
      </c>
      <c r="AD260" s="10">
        <v>179.19354838709677</v>
      </c>
      <c r="AE260" s="31">
        <v>289.45161290322579</v>
      </c>
      <c r="AF260" s="8">
        <v>0.92</v>
      </c>
      <c r="AG260" s="10">
        <v>461.25806451612902</v>
      </c>
      <c r="AH260" s="18">
        <v>493.96774193548384</v>
      </c>
      <c r="AI260" s="52">
        <f t="shared" si="510"/>
        <v>728.48387096774195</v>
      </c>
      <c r="AJ260" s="63">
        <v>0.51</v>
      </c>
      <c r="AK260" s="21">
        <f t="shared" si="511"/>
        <v>1590.5483870967741</v>
      </c>
      <c r="AL260" s="68"/>
      <c r="AM260" s="63">
        <v>0.41</v>
      </c>
      <c r="AN260" s="4"/>
      <c r="AQ260" s="67"/>
    </row>
    <row r="261" spans="1:43" x14ac:dyDescent="0.2">
      <c r="A261" s="110">
        <v>38412</v>
      </c>
      <c r="B261" s="15">
        <v>0</v>
      </c>
      <c r="C261" s="2"/>
      <c r="D261" s="165"/>
      <c r="E261" s="28">
        <v>0.33</v>
      </c>
      <c r="F261" s="165"/>
      <c r="G261" s="174"/>
      <c r="H261" s="8">
        <v>0.87</v>
      </c>
      <c r="I261" s="165"/>
      <c r="J261" s="182"/>
      <c r="K261" s="23"/>
      <c r="L261" s="8">
        <v>0.31</v>
      </c>
      <c r="M261" s="14"/>
      <c r="N261" s="17">
        <v>2E-3</v>
      </c>
      <c r="O261" s="11"/>
      <c r="P261" s="1"/>
      <c r="Q261" s="29">
        <v>0.36799999999999999</v>
      </c>
      <c r="R261" s="11"/>
      <c r="S261" s="27"/>
      <c r="T261" s="11">
        <v>0.91800000000000004</v>
      </c>
      <c r="U261" s="11"/>
      <c r="V261" s="14"/>
      <c r="W261" s="13"/>
      <c r="X261" s="63">
        <v>0.42</v>
      </c>
      <c r="Y261" s="14"/>
      <c r="Z261" s="15">
        <v>0.13</v>
      </c>
      <c r="AA261" s="59">
        <v>113.71428571428571</v>
      </c>
      <c r="AB261" s="3">
        <v>897.42857142857144</v>
      </c>
      <c r="AC261" s="28">
        <v>0.65</v>
      </c>
      <c r="AD261" s="10">
        <v>191.35714285714286</v>
      </c>
      <c r="AE261" s="31">
        <v>294.96428571428572</v>
      </c>
      <c r="AF261" s="8">
        <v>0.93</v>
      </c>
      <c r="AG261" s="10">
        <v>448.53571428571428</v>
      </c>
      <c r="AH261" s="18">
        <v>485.28571428571428</v>
      </c>
      <c r="AI261" s="52">
        <f t="shared" si="510"/>
        <v>753.60714285714278</v>
      </c>
      <c r="AJ261" s="63">
        <v>0.51</v>
      </c>
      <c r="AK261" s="21">
        <f t="shared" si="511"/>
        <v>1677.6785714285716</v>
      </c>
      <c r="AL261" s="68"/>
      <c r="AM261" s="63">
        <v>0.4</v>
      </c>
      <c r="AN261" s="4"/>
      <c r="AQ261" s="67"/>
    </row>
    <row r="262" spans="1:43" x14ac:dyDescent="0.2">
      <c r="A262" s="110">
        <v>38384</v>
      </c>
      <c r="B262" s="15">
        <v>0.01</v>
      </c>
      <c r="C262" s="2"/>
      <c r="D262" s="165"/>
      <c r="E262" s="28">
        <v>0.32</v>
      </c>
      <c r="F262" s="165"/>
      <c r="G262" s="174"/>
      <c r="H262" s="8">
        <v>0.87</v>
      </c>
      <c r="I262" s="165"/>
      <c r="J262" s="182"/>
      <c r="K262" s="23"/>
      <c r="L262" s="8">
        <v>0.31</v>
      </c>
      <c r="M262" s="14"/>
      <c r="N262" s="17">
        <v>3.0000000000000001E-3</v>
      </c>
      <c r="O262" s="11"/>
      <c r="P262" s="1"/>
      <c r="Q262" s="29">
        <v>0.35799999999999998</v>
      </c>
      <c r="R262" s="11"/>
      <c r="S262" s="27"/>
      <c r="T262" s="11">
        <v>0.90700000000000003</v>
      </c>
      <c r="U262" s="11"/>
      <c r="V262" s="14"/>
      <c r="W262" s="13"/>
      <c r="X262" s="63">
        <v>0.41</v>
      </c>
      <c r="Y262" s="14"/>
      <c r="Z262" s="15">
        <v>0.13</v>
      </c>
      <c r="AA262" s="59">
        <v>116.83870967741936</v>
      </c>
      <c r="AB262" s="3">
        <v>927.19354838709683</v>
      </c>
      <c r="AC262" s="28">
        <v>0.64</v>
      </c>
      <c r="AD262" s="10">
        <v>200.90322580645162</v>
      </c>
      <c r="AE262" s="31">
        <v>311</v>
      </c>
      <c r="AF262" s="8">
        <v>0.93</v>
      </c>
      <c r="AG262" s="10">
        <v>437.70967741935482</v>
      </c>
      <c r="AH262" s="18">
        <v>471.25806451612902</v>
      </c>
      <c r="AI262" s="52">
        <f t="shared" si="510"/>
        <v>755.45161290322585</v>
      </c>
      <c r="AJ262" s="63">
        <v>0.51</v>
      </c>
      <c r="AK262" s="21">
        <f t="shared" si="511"/>
        <v>1709.4516129032259</v>
      </c>
      <c r="AL262" s="68"/>
      <c r="AM262" s="63">
        <v>0.4</v>
      </c>
      <c r="AN262" s="4"/>
      <c r="AQ262" s="67"/>
    </row>
    <row r="263" spans="1:43" x14ac:dyDescent="0.2">
      <c r="A263" s="110">
        <v>38353</v>
      </c>
      <c r="B263" s="15">
        <v>0.01</v>
      </c>
      <c r="C263" s="2"/>
      <c r="D263" s="165"/>
      <c r="E263" s="28">
        <v>0.31</v>
      </c>
      <c r="F263" s="165"/>
      <c r="G263" s="174"/>
      <c r="H263" s="8">
        <v>0.78</v>
      </c>
      <c r="I263" s="165"/>
      <c r="J263" s="182"/>
      <c r="K263" s="23"/>
      <c r="L263" s="8">
        <v>0.31</v>
      </c>
      <c r="M263" s="14"/>
      <c r="N263" s="17">
        <v>3.0000000000000001E-3</v>
      </c>
      <c r="O263" s="11"/>
      <c r="P263" s="1"/>
      <c r="Q263" s="29">
        <v>0.35899999999999999</v>
      </c>
      <c r="R263" s="11"/>
      <c r="S263" s="27"/>
      <c r="T263" s="11">
        <v>0.90900000000000003</v>
      </c>
      <c r="U263" s="11"/>
      <c r="V263" s="14"/>
      <c r="W263" s="13"/>
      <c r="X263" s="63">
        <v>0.41</v>
      </c>
      <c r="Y263" s="14"/>
      <c r="Z263" s="15">
        <v>0.14000000000000001</v>
      </c>
      <c r="AA263" s="59">
        <v>109.93548387096774</v>
      </c>
      <c r="AB263" s="3">
        <v>846.58064516129036</v>
      </c>
      <c r="AC263" s="28">
        <v>0.65</v>
      </c>
      <c r="AD263" s="10">
        <v>186.29032258064515</v>
      </c>
      <c r="AE263" s="31">
        <v>289.51612903225805</v>
      </c>
      <c r="AF263" s="8">
        <v>0.91</v>
      </c>
      <c r="AG263" s="10">
        <v>428.29032258064518</v>
      </c>
      <c r="AH263" s="18">
        <v>462.19354838709677</v>
      </c>
      <c r="AI263" s="52">
        <f t="shared" si="510"/>
        <v>724.51612903225805</v>
      </c>
      <c r="AJ263" s="63">
        <v>0.51</v>
      </c>
      <c r="AK263" s="21">
        <f t="shared" si="511"/>
        <v>1598.2903225806454</v>
      </c>
      <c r="AL263" s="68"/>
      <c r="AM263" s="63">
        <v>0.4</v>
      </c>
      <c r="AN263" s="4"/>
      <c r="AQ263" s="67"/>
    </row>
    <row r="264" spans="1:43" x14ac:dyDescent="0.2">
      <c r="A264" s="110">
        <v>38322</v>
      </c>
      <c r="B264" s="15">
        <v>0.01</v>
      </c>
      <c r="C264" s="2"/>
      <c r="D264" s="165"/>
      <c r="E264" s="28">
        <v>0.26</v>
      </c>
      <c r="F264" s="165"/>
      <c r="G264" s="174"/>
      <c r="H264" s="8">
        <v>0.8</v>
      </c>
      <c r="I264" s="165"/>
      <c r="J264" s="182"/>
      <c r="K264" s="23"/>
      <c r="L264" s="8">
        <v>0.31</v>
      </c>
      <c r="M264" s="14"/>
      <c r="N264" s="17">
        <v>3.0000000000000001E-3</v>
      </c>
      <c r="O264" s="11"/>
      <c r="P264" s="1"/>
      <c r="Q264" s="29">
        <v>0.35899999999999999</v>
      </c>
      <c r="R264" s="11"/>
      <c r="S264" s="27"/>
      <c r="T264" s="11">
        <v>0.91200000000000003</v>
      </c>
      <c r="U264" s="11"/>
      <c r="V264" s="14"/>
      <c r="W264" s="13"/>
      <c r="X264" s="63">
        <v>0.4</v>
      </c>
      <c r="Y264" s="14"/>
      <c r="Z264" s="15">
        <v>0.14000000000000001</v>
      </c>
      <c r="AA264" s="8"/>
      <c r="AC264" s="28">
        <v>0.61</v>
      </c>
      <c r="AD264" s="8"/>
      <c r="AE264" s="27"/>
      <c r="AF264" s="8">
        <v>0.91</v>
      </c>
      <c r="AG264" s="8"/>
      <c r="AH264" s="14"/>
      <c r="AI264" s="13"/>
      <c r="AJ264" s="63">
        <v>0.51</v>
      </c>
      <c r="AK264" s="14"/>
      <c r="AL264" s="68"/>
      <c r="AM264" s="63">
        <v>0.39</v>
      </c>
      <c r="AN264" s="4"/>
      <c r="AQ264" s="67"/>
    </row>
    <row r="265" spans="1:43" x14ac:dyDescent="0.2">
      <c r="A265" s="110">
        <v>38292</v>
      </c>
      <c r="B265" s="15">
        <v>0.01</v>
      </c>
      <c r="C265" s="2"/>
      <c r="D265" s="165"/>
      <c r="E265" s="28">
        <v>0.26</v>
      </c>
      <c r="F265" s="165"/>
      <c r="G265" s="174"/>
      <c r="H265" s="8">
        <v>0.87</v>
      </c>
      <c r="I265" s="165"/>
      <c r="J265" s="182"/>
      <c r="K265" s="23"/>
      <c r="L265" s="8">
        <v>0.21</v>
      </c>
      <c r="M265" s="14"/>
      <c r="N265" s="17">
        <v>2E-3</v>
      </c>
      <c r="O265" s="11"/>
      <c r="P265" s="1"/>
      <c r="Q265" s="29">
        <v>0.34399999999999997</v>
      </c>
      <c r="R265" s="11"/>
      <c r="S265" s="27"/>
      <c r="T265" s="11">
        <v>0.91700000000000004</v>
      </c>
      <c r="U265" s="11"/>
      <c r="V265" s="14"/>
      <c r="W265" s="13"/>
      <c r="X265" s="63">
        <v>0.4</v>
      </c>
      <c r="Y265" s="14"/>
      <c r="Z265" s="15">
        <v>0.13</v>
      </c>
      <c r="AA265" s="8"/>
      <c r="AC265" s="28">
        <v>0.61</v>
      </c>
      <c r="AD265" s="8"/>
      <c r="AE265" s="27"/>
      <c r="AF265" s="8">
        <v>0.89</v>
      </c>
      <c r="AG265" s="8"/>
      <c r="AH265" s="14"/>
      <c r="AI265" s="13"/>
      <c r="AJ265" s="63">
        <v>0.51</v>
      </c>
      <c r="AK265" s="14"/>
      <c r="AL265" s="68"/>
      <c r="AM265" s="63">
        <v>0.38</v>
      </c>
      <c r="AN265" s="4"/>
      <c r="AQ265" s="67"/>
    </row>
    <row r="266" spans="1:43" x14ac:dyDescent="0.2">
      <c r="A266" s="110">
        <v>38261</v>
      </c>
      <c r="B266" s="15">
        <v>0.01</v>
      </c>
      <c r="C266" s="2"/>
      <c r="D266" s="165"/>
      <c r="E266" s="28">
        <v>0.26</v>
      </c>
      <c r="F266" s="165"/>
      <c r="G266" s="174"/>
      <c r="H266" s="8">
        <v>0.71</v>
      </c>
      <c r="I266" s="165"/>
      <c r="J266" s="182"/>
      <c r="K266" s="23"/>
      <c r="L266" s="8">
        <v>0.31</v>
      </c>
      <c r="M266" s="14"/>
      <c r="N266" s="17">
        <v>2E-3</v>
      </c>
      <c r="O266" s="11"/>
      <c r="P266" s="1"/>
      <c r="Q266" s="29">
        <v>0.311</v>
      </c>
      <c r="R266" s="11"/>
      <c r="S266" s="27"/>
      <c r="T266" s="11">
        <v>0.89100000000000001</v>
      </c>
      <c r="U266" s="11"/>
      <c r="V266" s="14"/>
      <c r="W266" s="13"/>
      <c r="X266" s="63">
        <v>0.4</v>
      </c>
      <c r="Y266" s="14"/>
      <c r="Z266" s="15">
        <v>0.13</v>
      </c>
      <c r="AA266" s="8"/>
      <c r="AC266" s="28">
        <v>0.6</v>
      </c>
      <c r="AD266" s="8"/>
      <c r="AE266" s="27"/>
      <c r="AF266" s="8">
        <v>0.91</v>
      </c>
      <c r="AG266" s="8"/>
      <c r="AH266" s="14"/>
      <c r="AI266" s="13"/>
      <c r="AJ266" s="63">
        <v>0.51</v>
      </c>
      <c r="AK266" s="14"/>
      <c r="AL266" s="68"/>
      <c r="AM266" s="63">
        <v>0.39</v>
      </c>
      <c r="AN266" s="4"/>
      <c r="AQ266" s="67"/>
    </row>
    <row r="267" spans="1:43" x14ac:dyDescent="0.2">
      <c r="A267" s="110">
        <v>38231</v>
      </c>
      <c r="B267" s="15">
        <v>0.01</v>
      </c>
      <c r="C267" s="2"/>
      <c r="D267" s="165"/>
      <c r="E267" s="28">
        <v>0.27</v>
      </c>
      <c r="F267" s="165"/>
      <c r="G267" s="174"/>
      <c r="H267" s="8">
        <v>0.67</v>
      </c>
      <c r="I267" s="165"/>
      <c r="J267" s="182"/>
      <c r="K267" s="23"/>
      <c r="L267" s="8">
        <v>0.27</v>
      </c>
      <c r="M267" s="14"/>
      <c r="N267" s="17">
        <v>2E-3</v>
      </c>
      <c r="O267" s="11"/>
      <c r="P267" s="1"/>
      <c r="Q267" s="29">
        <v>0.309</v>
      </c>
      <c r="R267" s="11"/>
      <c r="S267" s="27"/>
      <c r="T267" s="11">
        <v>0.88800000000000001</v>
      </c>
      <c r="U267" s="11"/>
      <c r="V267" s="14"/>
      <c r="W267" s="13"/>
      <c r="X267" s="63">
        <v>0.4</v>
      </c>
      <c r="Y267" s="14"/>
      <c r="Z267" s="15">
        <v>0.13</v>
      </c>
      <c r="AA267" s="8"/>
      <c r="AC267" s="28">
        <v>0.64</v>
      </c>
      <c r="AD267" s="8"/>
      <c r="AE267" s="27"/>
      <c r="AF267" s="8">
        <v>0.93</v>
      </c>
      <c r="AG267" s="8"/>
      <c r="AH267" s="14"/>
      <c r="AI267" s="13"/>
      <c r="AJ267" s="63">
        <v>0.51</v>
      </c>
      <c r="AK267" s="14"/>
      <c r="AL267" s="68"/>
      <c r="AM267" s="63">
        <v>0.38</v>
      </c>
      <c r="AN267" s="4"/>
      <c r="AQ267" s="67"/>
    </row>
    <row r="268" spans="1:43" x14ac:dyDescent="0.2">
      <c r="A268" s="110">
        <v>38200</v>
      </c>
      <c r="B268" s="15">
        <v>0</v>
      </c>
      <c r="C268" s="2"/>
      <c r="D268" s="165"/>
      <c r="E268" s="28">
        <v>0.28000000000000003</v>
      </c>
      <c r="F268" s="165"/>
      <c r="G268" s="174"/>
      <c r="H268" s="8">
        <v>0.6</v>
      </c>
      <c r="I268" s="165"/>
      <c r="J268" s="182"/>
      <c r="K268" s="23"/>
      <c r="L268" s="8">
        <v>0.26</v>
      </c>
      <c r="M268" s="14"/>
      <c r="N268" s="17">
        <v>2E-3</v>
      </c>
      <c r="O268" s="11"/>
      <c r="P268" s="1"/>
      <c r="Q268" s="29">
        <v>0.313</v>
      </c>
      <c r="R268" s="11"/>
      <c r="S268" s="27"/>
      <c r="T268" s="11">
        <v>0.873</v>
      </c>
      <c r="U268" s="11"/>
      <c r="V268" s="14"/>
      <c r="W268" s="13"/>
      <c r="X268" s="63">
        <v>0.39</v>
      </c>
      <c r="Y268" s="14"/>
      <c r="Z268" s="15">
        <v>0.13</v>
      </c>
      <c r="AA268" s="8"/>
      <c r="AC268" s="28">
        <v>0.64</v>
      </c>
      <c r="AD268" s="8"/>
      <c r="AE268" s="27"/>
      <c r="AF268" s="8">
        <v>0.93</v>
      </c>
      <c r="AG268" s="8"/>
      <c r="AH268" s="14"/>
      <c r="AI268" s="13"/>
      <c r="AJ268" s="63">
        <v>0.51</v>
      </c>
      <c r="AK268" s="14"/>
      <c r="AL268" s="68"/>
      <c r="AM268" s="63">
        <v>0.38</v>
      </c>
      <c r="AN268" s="4"/>
      <c r="AQ268" s="67"/>
    </row>
    <row r="269" spans="1:43" x14ac:dyDescent="0.2">
      <c r="A269" s="110">
        <v>38169</v>
      </c>
      <c r="B269" s="15">
        <v>0</v>
      </c>
      <c r="C269" s="2"/>
      <c r="D269" s="165"/>
      <c r="E269" s="28">
        <v>0.28000000000000003</v>
      </c>
      <c r="F269" s="165"/>
      <c r="G269" s="174"/>
      <c r="H269" s="8">
        <v>0.63</v>
      </c>
      <c r="I269" s="165"/>
      <c r="J269" s="182"/>
      <c r="K269" s="23"/>
      <c r="L269" s="8">
        <v>0.23</v>
      </c>
      <c r="M269" s="14"/>
      <c r="N269" s="17">
        <v>2E-3</v>
      </c>
      <c r="O269" s="11"/>
      <c r="P269" s="1"/>
      <c r="Q269" s="29">
        <v>0.33</v>
      </c>
      <c r="R269" s="11"/>
      <c r="S269" s="27"/>
      <c r="T269" s="11">
        <v>0.89400000000000002</v>
      </c>
      <c r="U269" s="11"/>
      <c r="V269" s="14"/>
      <c r="W269" s="13"/>
      <c r="X269" s="63">
        <v>0.4</v>
      </c>
      <c r="Y269" s="14"/>
      <c r="Z269" s="15">
        <v>0.13</v>
      </c>
      <c r="AA269" s="8"/>
      <c r="AC269" s="28">
        <v>0.63</v>
      </c>
      <c r="AD269" s="8"/>
      <c r="AE269" s="27"/>
      <c r="AF269" s="8">
        <v>0.93</v>
      </c>
      <c r="AG269" s="8"/>
      <c r="AH269" s="14"/>
      <c r="AI269" s="13"/>
      <c r="AJ269" s="63">
        <v>0.51</v>
      </c>
      <c r="AK269" s="14"/>
      <c r="AL269" s="68"/>
      <c r="AM269" s="63">
        <v>0.38</v>
      </c>
      <c r="AN269" s="4"/>
      <c r="AQ269" s="67"/>
    </row>
    <row r="270" spans="1:43" x14ac:dyDescent="0.2">
      <c r="A270" s="110">
        <v>38139</v>
      </c>
      <c r="B270" s="15">
        <v>0</v>
      </c>
      <c r="C270" s="2"/>
      <c r="D270" s="165"/>
      <c r="E270" s="28">
        <v>0.28999999999999998</v>
      </c>
      <c r="F270" s="165"/>
      <c r="G270" s="174"/>
      <c r="H270" s="8">
        <v>0.48</v>
      </c>
      <c r="I270" s="165"/>
      <c r="J270" s="182"/>
      <c r="K270" s="23"/>
      <c r="L270" s="8">
        <v>0.25</v>
      </c>
      <c r="M270" s="14"/>
      <c r="N270" s="17">
        <v>2E-3</v>
      </c>
      <c r="O270" s="11"/>
      <c r="P270" s="1"/>
      <c r="Q270" s="29">
        <v>0.34699999999999998</v>
      </c>
      <c r="R270" s="11"/>
      <c r="S270" s="27"/>
      <c r="T270" s="11">
        <v>0.87</v>
      </c>
      <c r="U270" s="11"/>
      <c r="V270" s="14"/>
      <c r="W270" s="13"/>
      <c r="X270" s="63">
        <v>0.4</v>
      </c>
      <c r="Y270" s="14"/>
      <c r="Z270" s="15">
        <v>0.13</v>
      </c>
      <c r="AA270" s="8"/>
      <c r="AC270" s="28">
        <v>0.64</v>
      </c>
      <c r="AD270" s="8"/>
      <c r="AE270" s="27"/>
      <c r="AF270" s="8">
        <v>0.93</v>
      </c>
      <c r="AG270" s="8"/>
      <c r="AH270" s="14"/>
      <c r="AI270" s="13"/>
      <c r="AJ270" s="63">
        <v>0.47</v>
      </c>
      <c r="AK270" s="14"/>
      <c r="AL270" s="68"/>
      <c r="AM270" s="63">
        <v>0.38</v>
      </c>
      <c r="AN270" s="4"/>
      <c r="AQ270" s="67"/>
    </row>
    <row r="271" spans="1:43" x14ac:dyDescent="0.2">
      <c r="A271" s="110">
        <v>38108</v>
      </c>
      <c r="B271" s="15">
        <v>0</v>
      </c>
      <c r="C271" s="2"/>
      <c r="D271" s="165"/>
      <c r="E271" s="28">
        <v>0.27</v>
      </c>
      <c r="F271" s="165"/>
      <c r="G271" s="174"/>
      <c r="H271" s="8">
        <v>0.55000000000000004</v>
      </c>
      <c r="I271" s="165"/>
      <c r="J271" s="182"/>
      <c r="K271" s="23"/>
      <c r="L271" s="8">
        <v>0.21</v>
      </c>
      <c r="M271" s="14"/>
      <c r="N271" s="17">
        <v>2E-3</v>
      </c>
      <c r="O271" s="11"/>
      <c r="P271" s="1"/>
      <c r="Q271" s="29">
        <v>0.35599999999999998</v>
      </c>
      <c r="R271" s="11"/>
      <c r="S271" s="27"/>
      <c r="T271" s="11">
        <v>0.86899999999999999</v>
      </c>
      <c r="U271" s="11"/>
      <c r="V271" s="14"/>
      <c r="W271" s="13"/>
      <c r="X271" s="63">
        <v>0.4</v>
      </c>
      <c r="Y271" s="14"/>
      <c r="Z271" s="15">
        <v>0.12</v>
      </c>
      <c r="AA271" s="8"/>
      <c r="AC271" s="28">
        <v>0.63</v>
      </c>
      <c r="AD271" s="8"/>
      <c r="AE271" s="27"/>
      <c r="AF271" s="8">
        <v>0.93</v>
      </c>
      <c r="AG271" s="8"/>
      <c r="AH271" s="14"/>
      <c r="AI271" s="13"/>
      <c r="AJ271" s="63">
        <v>0.48</v>
      </c>
      <c r="AK271" s="14"/>
      <c r="AL271" s="68"/>
      <c r="AM271" s="63">
        <v>0.38</v>
      </c>
      <c r="AN271" s="4"/>
      <c r="AQ271" s="67"/>
    </row>
    <row r="272" spans="1:43" x14ac:dyDescent="0.2">
      <c r="A272" s="110">
        <v>38078</v>
      </c>
      <c r="B272" s="15">
        <v>0</v>
      </c>
      <c r="C272" s="2"/>
      <c r="D272" s="165"/>
      <c r="E272" s="28">
        <v>0.26</v>
      </c>
      <c r="F272" s="165"/>
      <c r="G272" s="174"/>
      <c r="H272" s="8">
        <v>0.55000000000000004</v>
      </c>
      <c r="I272" s="165"/>
      <c r="J272" s="182"/>
      <c r="K272" s="23"/>
      <c r="L272" s="8">
        <v>0.22</v>
      </c>
      <c r="M272" s="14"/>
      <c r="N272" s="17">
        <v>2E-3</v>
      </c>
      <c r="O272" s="11"/>
      <c r="P272" s="1"/>
      <c r="Q272" s="29">
        <v>0.34699999999999998</v>
      </c>
      <c r="R272" s="11"/>
      <c r="S272" s="27"/>
      <c r="T272" s="11">
        <v>0.86399999999999999</v>
      </c>
      <c r="U272" s="11"/>
      <c r="V272" s="14"/>
      <c r="W272" s="13"/>
      <c r="X272" s="63">
        <v>0.4</v>
      </c>
      <c r="Y272" s="14"/>
      <c r="Z272" s="15">
        <v>0.13</v>
      </c>
      <c r="AA272" s="8"/>
      <c r="AC272" s="28">
        <v>0.77</v>
      </c>
      <c r="AD272" s="8"/>
      <c r="AE272" s="27"/>
      <c r="AF272" s="8">
        <v>0.99</v>
      </c>
      <c r="AG272" s="8"/>
      <c r="AH272" s="14"/>
      <c r="AI272" s="13"/>
      <c r="AJ272" s="63">
        <v>0.47</v>
      </c>
      <c r="AK272" s="14"/>
      <c r="AL272" s="68"/>
      <c r="AM272" s="63">
        <v>0.37</v>
      </c>
      <c r="AN272" s="4"/>
      <c r="AQ272" s="67"/>
    </row>
    <row r="273" spans="1:43" x14ac:dyDescent="0.2">
      <c r="A273" s="110">
        <v>38047</v>
      </c>
      <c r="B273" s="15">
        <v>0</v>
      </c>
      <c r="C273" s="2"/>
      <c r="D273" s="165"/>
      <c r="E273" s="28">
        <v>0.27</v>
      </c>
      <c r="F273" s="165"/>
      <c r="G273" s="174"/>
      <c r="H273" s="8">
        <v>0.51</v>
      </c>
      <c r="I273" s="165"/>
      <c r="J273" s="182"/>
      <c r="K273" s="23"/>
      <c r="L273" s="8">
        <v>0.22</v>
      </c>
      <c r="M273" s="14"/>
      <c r="N273" s="17">
        <v>2E-3</v>
      </c>
      <c r="O273" s="11"/>
      <c r="P273" s="1"/>
      <c r="Q273" s="29">
        <v>0.34899999999999998</v>
      </c>
      <c r="R273" s="11"/>
      <c r="S273" s="27"/>
      <c r="T273" s="11">
        <v>0.85899999999999999</v>
      </c>
      <c r="U273" s="11"/>
      <c r="V273" s="14"/>
      <c r="W273" s="13"/>
      <c r="X273" s="63">
        <v>0.4</v>
      </c>
      <c r="Y273" s="14"/>
      <c r="Z273" s="15">
        <v>0.15</v>
      </c>
      <c r="AA273" s="8"/>
      <c r="AC273" s="28">
        <v>0.73</v>
      </c>
      <c r="AD273" s="8"/>
      <c r="AE273" s="27"/>
      <c r="AF273" s="8">
        <v>0.98</v>
      </c>
      <c r="AG273" s="8"/>
      <c r="AH273" s="14"/>
      <c r="AI273" s="13"/>
      <c r="AJ273" s="63">
        <v>0.53</v>
      </c>
      <c r="AK273" s="14"/>
      <c r="AL273" s="68"/>
      <c r="AM273" s="63">
        <v>0.38</v>
      </c>
      <c r="AN273" s="4"/>
      <c r="AQ273" s="67"/>
    </row>
    <row r="274" spans="1:43" x14ac:dyDescent="0.2">
      <c r="A274" s="110">
        <v>38018</v>
      </c>
      <c r="B274" s="15">
        <v>0</v>
      </c>
      <c r="C274" s="2"/>
      <c r="D274" s="165"/>
      <c r="E274" s="28">
        <v>0.28000000000000003</v>
      </c>
      <c r="F274" s="165"/>
      <c r="G274" s="174"/>
      <c r="H274" s="8">
        <v>0.65</v>
      </c>
      <c r="I274" s="165"/>
      <c r="J274" s="182"/>
      <c r="K274" s="23"/>
      <c r="L274" s="8">
        <v>0.21</v>
      </c>
      <c r="M274" s="14"/>
      <c r="N274" s="17">
        <v>2E-3</v>
      </c>
      <c r="O274" s="11"/>
      <c r="P274" s="1"/>
      <c r="Q274" s="29">
        <v>0.34799999999999998</v>
      </c>
      <c r="R274" s="11"/>
      <c r="S274" s="27"/>
      <c r="T274" s="11">
        <v>0.86199999999999999</v>
      </c>
      <c r="U274" s="11"/>
      <c r="V274" s="14"/>
      <c r="W274" s="13"/>
      <c r="X274" s="63">
        <v>0.4</v>
      </c>
      <c r="Y274" s="14"/>
      <c r="Z274" s="15">
        <v>0.15</v>
      </c>
      <c r="AA274" s="8"/>
      <c r="AC274" s="28">
        <v>0.73</v>
      </c>
      <c r="AD274" s="8"/>
      <c r="AE274" s="27"/>
      <c r="AF274" s="8">
        <v>0.98</v>
      </c>
      <c r="AG274" s="8"/>
      <c r="AH274" s="14"/>
      <c r="AI274" s="13"/>
      <c r="AJ274" s="63">
        <v>0.53</v>
      </c>
      <c r="AK274" s="14"/>
      <c r="AL274" s="68"/>
      <c r="AM274" s="63">
        <v>0.37</v>
      </c>
      <c r="AN274" s="4"/>
      <c r="AQ274" s="67"/>
    </row>
    <row r="275" spans="1:43" x14ac:dyDescent="0.2">
      <c r="A275" s="110">
        <v>37987</v>
      </c>
      <c r="B275" s="15">
        <v>0</v>
      </c>
      <c r="C275" s="2"/>
      <c r="D275" s="165"/>
      <c r="E275" s="28">
        <v>0.28999999999999998</v>
      </c>
      <c r="F275" s="165"/>
      <c r="G275" s="174"/>
      <c r="H275" s="8">
        <v>0.56999999999999995</v>
      </c>
      <c r="I275" s="165"/>
      <c r="J275" s="182"/>
      <c r="K275" s="23"/>
      <c r="L275" s="8">
        <v>0.26</v>
      </c>
      <c r="M275" s="14"/>
      <c r="N275" s="17">
        <v>2E-3</v>
      </c>
      <c r="O275" s="11"/>
      <c r="P275" s="1"/>
      <c r="Q275" s="29">
        <v>0.35499999999999998</v>
      </c>
      <c r="R275" s="11"/>
      <c r="S275" s="27"/>
      <c r="T275" s="11">
        <v>0.875</v>
      </c>
      <c r="U275" s="11"/>
      <c r="V275" s="14"/>
      <c r="W275" s="13"/>
      <c r="X275" s="63">
        <v>0.4</v>
      </c>
      <c r="Y275" s="14"/>
      <c r="Z275" s="15">
        <v>0.17</v>
      </c>
      <c r="AA275" s="8"/>
      <c r="AC275" s="28">
        <v>0.75</v>
      </c>
      <c r="AD275" s="8"/>
      <c r="AE275" s="27"/>
      <c r="AF275" s="8">
        <v>0.99</v>
      </c>
      <c r="AG275" s="8"/>
      <c r="AH275" s="14"/>
      <c r="AI275" s="13"/>
      <c r="AJ275" s="63">
        <v>0.53</v>
      </c>
      <c r="AK275" s="14"/>
      <c r="AL275" s="68"/>
      <c r="AM275" s="63">
        <v>0.39</v>
      </c>
      <c r="AN275" s="4"/>
      <c r="AQ275" s="67"/>
    </row>
    <row r="276" spans="1:43" x14ac:dyDescent="0.2">
      <c r="A276" s="110">
        <v>37956</v>
      </c>
      <c r="B276" s="15">
        <v>0</v>
      </c>
      <c r="C276" s="2"/>
      <c r="D276" s="165"/>
      <c r="E276" s="28">
        <v>0.27</v>
      </c>
      <c r="F276" s="165"/>
      <c r="G276" s="174"/>
      <c r="H276" s="8">
        <v>0.56000000000000005</v>
      </c>
      <c r="I276" s="165"/>
      <c r="J276" s="182"/>
      <c r="K276" s="23"/>
      <c r="L276" s="8">
        <v>0.24</v>
      </c>
      <c r="M276" s="14"/>
      <c r="N276" s="17">
        <v>2E-3</v>
      </c>
      <c r="O276" s="11"/>
      <c r="P276" s="1"/>
      <c r="Q276" s="29">
        <v>0.32800000000000001</v>
      </c>
      <c r="R276" s="11"/>
      <c r="S276" s="27"/>
      <c r="T276" s="11">
        <v>0.86</v>
      </c>
      <c r="U276" s="11"/>
      <c r="V276" s="14"/>
      <c r="W276" s="13"/>
      <c r="X276" s="63">
        <v>0.39</v>
      </c>
      <c r="Y276" s="14"/>
      <c r="Z276" s="15">
        <v>0.16</v>
      </c>
      <c r="AA276" s="8"/>
      <c r="AC276" s="28">
        <v>0.73</v>
      </c>
      <c r="AD276" s="8"/>
      <c r="AE276" s="27"/>
      <c r="AF276" s="8">
        <v>0.98</v>
      </c>
      <c r="AG276" s="8"/>
      <c r="AH276" s="14"/>
      <c r="AI276" s="13"/>
      <c r="AJ276" s="63">
        <v>0.54</v>
      </c>
      <c r="AK276" s="14"/>
      <c r="AL276" s="68"/>
      <c r="AM276" s="63">
        <v>0.37</v>
      </c>
      <c r="AN276" s="4"/>
      <c r="AQ276" s="67"/>
    </row>
    <row r="277" spans="1:43" x14ac:dyDescent="0.2">
      <c r="A277" s="110">
        <v>37926</v>
      </c>
      <c r="B277" s="15">
        <v>0</v>
      </c>
      <c r="C277" s="2"/>
      <c r="D277" s="165"/>
      <c r="E277" s="28">
        <v>0.24</v>
      </c>
      <c r="F277" s="165"/>
      <c r="G277" s="174"/>
      <c r="H277" s="8">
        <v>0.54</v>
      </c>
      <c r="I277" s="165"/>
      <c r="J277" s="182"/>
      <c r="K277" s="23"/>
      <c r="L277" s="8">
        <v>0.23</v>
      </c>
      <c r="M277" s="14"/>
      <c r="N277" s="17">
        <v>2E-3</v>
      </c>
      <c r="O277" s="11"/>
      <c r="P277" s="1"/>
      <c r="Q277" s="29">
        <v>0.318</v>
      </c>
      <c r="R277" s="11"/>
      <c r="S277" s="27"/>
      <c r="T277" s="11">
        <v>0.86699999999999999</v>
      </c>
      <c r="U277" s="11"/>
      <c r="V277" s="14"/>
      <c r="W277" s="13"/>
      <c r="X277" s="63">
        <v>0.39</v>
      </c>
      <c r="Y277" s="14"/>
      <c r="Z277" s="15">
        <v>0.28000000000000003</v>
      </c>
      <c r="AA277" s="8"/>
      <c r="AC277" s="28">
        <v>0.6</v>
      </c>
      <c r="AD277" s="8"/>
      <c r="AE277" s="27"/>
      <c r="AF277" s="8">
        <v>0.98</v>
      </c>
      <c r="AG277" s="8"/>
      <c r="AH277" s="14"/>
      <c r="AI277" s="13"/>
      <c r="AJ277" s="63">
        <v>0.51</v>
      </c>
      <c r="AK277" s="14"/>
      <c r="AL277" s="68"/>
      <c r="AM277" s="63">
        <v>0.37</v>
      </c>
      <c r="AN277" s="4"/>
      <c r="AQ277" s="67"/>
    </row>
    <row r="278" spans="1:43" x14ac:dyDescent="0.2">
      <c r="A278" s="110">
        <v>37895</v>
      </c>
      <c r="B278" s="15">
        <v>0</v>
      </c>
      <c r="C278" s="2"/>
      <c r="D278" s="165"/>
      <c r="E278" s="28">
        <v>0.25</v>
      </c>
      <c r="F278" s="165"/>
      <c r="G278" s="174"/>
      <c r="H278" s="8">
        <v>0.31</v>
      </c>
      <c r="I278" s="165"/>
      <c r="J278" s="182"/>
      <c r="K278" s="23"/>
      <c r="L278" s="8">
        <v>0.22</v>
      </c>
      <c r="M278" s="14"/>
      <c r="N278" s="17">
        <v>2E-3</v>
      </c>
      <c r="O278" s="11"/>
      <c r="P278" s="1"/>
      <c r="Q278" s="29">
        <v>0.28899999999999998</v>
      </c>
      <c r="R278" s="11"/>
      <c r="S278" s="27"/>
      <c r="T278" s="11">
        <v>0.83599999999999997</v>
      </c>
      <c r="U278" s="11"/>
      <c r="V278" s="14"/>
      <c r="W278" s="13"/>
      <c r="X278" s="63">
        <v>0.37</v>
      </c>
      <c r="Y278" s="14"/>
      <c r="Z278" s="15">
        <v>0.27</v>
      </c>
      <c r="AA278" s="8"/>
      <c r="AC278" s="28">
        <v>0.43</v>
      </c>
      <c r="AD278" s="8"/>
      <c r="AE278" s="27"/>
      <c r="AF278" s="8">
        <v>1</v>
      </c>
      <c r="AG278" s="8"/>
      <c r="AH278" s="14"/>
      <c r="AI278" s="13"/>
      <c r="AJ278" s="63">
        <v>0.55000000000000004</v>
      </c>
      <c r="AK278" s="14"/>
      <c r="AL278" s="68"/>
      <c r="AM278" s="63">
        <v>0.36</v>
      </c>
      <c r="AN278" s="4"/>
      <c r="AQ278" s="67"/>
    </row>
    <row r="279" spans="1:43" x14ac:dyDescent="0.2">
      <c r="A279" s="110">
        <v>37865</v>
      </c>
      <c r="B279" s="15">
        <v>0</v>
      </c>
      <c r="C279" s="2"/>
      <c r="D279" s="165"/>
      <c r="E279" s="28">
        <v>0.24</v>
      </c>
      <c r="F279" s="165"/>
      <c r="G279" s="174"/>
      <c r="H279" s="8">
        <v>0.34</v>
      </c>
      <c r="I279" s="165"/>
      <c r="J279" s="182"/>
      <c r="K279" s="23"/>
      <c r="L279" s="8">
        <v>0.16</v>
      </c>
      <c r="M279" s="14"/>
      <c r="N279" s="17">
        <v>1E-3</v>
      </c>
      <c r="O279" s="11"/>
      <c r="P279" s="1"/>
      <c r="Q279" s="29">
        <v>0.252</v>
      </c>
      <c r="R279" s="11"/>
      <c r="S279" s="27"/>
      <c r="T279" s="11">
        <v>0.81100000000000005</v>
      </c>
      <c r="U279" s="11"/>
      <c r="V279" s="14"/>
      <c r="W279" s="13"/>
      <c r="X279" s="63">
        <v>0.36</v>
      </c>
      <c r="Y279" s="14"/>
      <c r="Z279" s="15">
        <v>0.28000000000000003</v>
      </c>
      <c r="AA279" s="8"/>
      <c r="AC279" s="28">
        <v>0.54</v>
      </c>
      <c r="AD279" s="8"/>
      <c r="AE279" s="27"/>
      <c r="AF279" s="8">
        <v>1</v>
      </c>
      <c r="AG279" s="8"/>
      <c r="AH279" s="14"/>
      <c r="AI279" s="13"/>
      <c r="AJ279" s="63">
        <v>0.52</v>
      </c>
      <c r="AK279" s="14"/>
      <c r="AL279" s="68"/>
      <c r="AM279" s="63">
        <v>0.33</v>
      </c>
      <c r="AN279" s="4"/>
      <c r="AQ279" s="67"/>
    </row>
    <row r="280" spans="1:43" x14ac:dyDescent="0.2">
      <c r="A280" s="110">
        <v>37834</v>
      </c>
      <c r="B280" s="15">
        <v>0</v>
      </c>
      <c r="C280" s="2"/>
      <c r="D280" s="165"/>
      <c r="E280" s="28">
        <v>0.26</v>
      </c>
      <c r="F280" s="165"/>
      <c r="G280" s="174"/>
      <c r="H280" s="8">
        <v>0.28999999999999998</v>
      </c>
      <c r="I280" s="165"/>
      <c r="J280" s="182"/>
      <c r="K280" s="23"/>
      <c r="L280" s="8">
        <v>0.16</v>
      </c>
      <c r="M280" s="14"/>
      <c r="N280" s="17">
        <v>1E-3</v>
      </c>
      <c r="O280" s="11"/>
      <c r="P280" s="1"/>
      <c r="Q280" s="29">
        <v>0.251</v>
      </c>
      <c r="R280" s="11"/>
      <c r="S280" s="27"/>
      <c r="T280" s="11">
        <v>0.81699999999999995</v>
      </c>
      <c r="U280" s="11"/>
      <c r="V280" s="14"/>
      <c r="W280" s="13"/>
      <c r="X280" s="63">
        <v>0.36</v>
      </c>
      <c r="Y280" s="14"/>
      <c r="Z280" s="15">
        <v>0.36</v>
      </c>
      <c r="AA280" s="8"/>
      <c r="AC280" s="28">
        <v>0.57999999999999996</v>
      </c>
      <c r="AD280" s="8"/>
      <c r="AE280" s="27"/>
      <c r="AF280" s="8">
        <v>1</v>
      </c>
      <c r="AG280" s="8"/>
      <c r="AH280" s="14"/>
      <c r="AI280" s="13"/>
      <c r="AJ280" s="63">
        <v>0.54</v>
      </c>
      <c r="AK280" s="14"/>
      <c r="AL280" s="68"/>
      <c r="AM280" s="63">
        <v>0.34</v>
      </c>
      <c r="AN280" s="4"/>
      <c r="AQ280" s="67"/>
    </row>
    <row r="281" spans="1:43" x14ac:dyDescent="0.2">
      <c r="A281" s="110">
        <v>37803</v>
      </c>
      <c r="B281" s="15">
        <v>0</v>
      </c>
      <c r="C281" s="2"/>
      <c r="D281" s="165"/>
      <c r="E281" s="28">
        <v>0.27</v>
      </c>
      <c r="F281" s="165"/>
      <c r="G281" s="174"/>
      <c r="H281" s="8">
        <v>0.36</v>
      </c>
      <c r="I281" s="165"/>
      <c r="J281" s="182"/>
      <c r="K281" s="23"/>
      <c r="L281" s="8">
        <v>0.15</v>
      </c>
      <c r="M281" s="14"/>
      <c r="N281" s="17">
        <v>1E-3</v>
      </c>
      <c r="O281" s="11"/>
      <c r="P281" s="1"/>
      <c r="Q281" s="29">
        <v>0.248</v>
      </c>
      <c r="R281" s="11"/>
      <c r="S281" s="27"/>
      <c r="T281" s="11">
        <v>0.80300000000000005</v>
      </c>
      <c r="U281" s="11"/>
      <c r="V281" s="14"/>
      <c r="W281" s="13"/>
      <c r="X281" s="63">
        <v>0.35</v>
      </c>
      <c r="Y281" s="14"/>
      <c r="Z281" s="15">
        <v>0.34</v>
      </c>
      <c r="AA281" s="8"/>
      <c r="AC281" s="28">
        <v>0.68</v>
      </c>
      <c r="AD281" s="8"/>
      <c r="AE281" s="27"/>
      <c r="AF281" s="8">
        <v>1</v>
      </c>
      <c r="AG281" s="8"/>
      <c r="AH281" s="14"/>
      <c r="AI281" s="13"/>
      <c r="AJ281" s="63">
        <v>0.59</v>
      </c>
      <c r="AK281" s="14"/>
      <c r="AL281" s="68"/>
      <c r="AM281" s="63">
        <v>0.33</v>
      </c>
      <c r="AN281" s="4"/>
      <c r="AQ281" s="67"/>
    </row>
    <row r="282" spans="1:43" x14ac:dyDescent="0.2">
      <c r="A282" s="110">
        <v>37773</v>
      </c>
      <c r="B282" s="15">
        <v>0</v>
      </c>
      <c r="C282" s="2"/>
      <c r="D282" s="165"/>
      <c r="E282" s="28">
        <v>0.27</v>
      </c>
      <c r="F282" s="165"/>
      <c r="G282" s="174"/>
      <c r="H282" s="8">
        <v>0.37</v>
      </c>
      <c r="I282" s="165"/>
      <c r="J282" s="182"/>
      <c r="K282" s="23"/>
      <c r="L282" s="8">
        <v>0.17</v>
      </c>
      <c r="M282" s="14"/>
      <c r="N282" s="17">
        <v>1E-3</v>
      </c>
      <c r="O282" s="11"/>
      <c r="P282" s="1"/>
      <c r="Q282" s="29">
        <v>0.254</v>
      </c>
      <c r="R282" s="11"/>
      <c r="S282" s="27"/>
      <c r="T282" s="11">
        <v>0.77300000000000002</v>
      </c>
      <c r="U282" s="11"/>
      <c r="V282" s="14"/>
      <c r="W282" s="13"/>
      <c r="X282" s="63">
        <v>0.34</v>
      </c>
      <c r="Y282" s="14"/>
      <c r="Z282" s="15">
        <v>0.33</v>
      </c>
      <c r="AA282" s="8"/>
      <c r="AC282" s="15">
        <v>0.67</v>
      </c>
      <c r="AD282" s="8"/>
      <c r="AF282" s="15">
        <v>1</v>
      </c>
      <c r="AG282" s="8"/>
      <c r="AH282" s="14"/>
      <c r="AI282" s="13"/>
      <c r="AJ282" s="63">
        <v>0.6</v>
      </c>
      <c r="AK282" s="14"/>
      <c r="AL282" s="68"/>
      <c r="AM282" s="63">
        <v>0.33</v>
      </c>
      <c r="AN282" s="4"/>
      <c r="AQ282" s="67"/>
    </row>
    <row r="283" spans="1:43" x14ac:dyDescent="0.2">
      <c r="A283" s="110">
        <v>37742</v>
      </c>
      <c r="B283" s="15">
        <v>0</v>
      </c>
      <c r="C283" s="2"/>
      <c r="D283" s="165"/>
      <c r="E283" s="28">
        <v>0.28000000000000003</v>
      </c>
      <c r="F283" s="165"/>
      <c r="G283" s="174"/>
      <c r="H283" s="8">
        <v>0.19</v>
      </c>
      <c r="I283" s="165"/>
      <c r="J283" s="182"/>
      <c r="K283" s="23"/>
      <c r="L283" s="8">
        <v>0.17</v>
      </c>
      <c r="M283" s="14"/>
      <c r="N283" s="17">
        <v>1E-3</v>
      </c>
      <c r="O283" s="11"/>
      <c r="P283" s="1"/>
      <c r="Q283" s="29">
        <v>0.254</v>
      </c>
      <c r="R283" s="11"/>
      <c r="S283" s="27"/>
      <c r="T283" s="11">
        <v>0.77400000000000002</v>
      </c>
      <c r="U283" s="11"/>
      <c r="V283" s="14"/>
      <c r="W283" s="13"/>
      <c r="X283" s="63">
        <v>0.34</v>
      </c>
      <c r="Y283" s="14"/>
      <c r="Z283" s="15">
        <v>0.31</v>
      </c>
      <c r="AA283" s="8"/>
      <c r="AC283" s="15">
        <v>0.65</v>
      </c>
      <c r="AD283" s="8"/>
      <c r="AE283" s="27"/>
      <c r="AF283" s="15">
        <v>0.99</v>
      </c>
      <c r="AG283" s="8"/>
      <c r="AH283" s="14"/>
      <c r="AI283" s="13"/>
      <c r="AJ283" s="63">
        <v>0.59</v>
      </c>
      <c r="AK283" s="14"/>
      <c r="AL283" s="68"/>
      <c r="AM283" s="63">
        <v>0.33</v>
      </c>
      <c r="AN283" s="4"/>
      <c r="AQ283" s="67"/>
    </row>
    <row r="284" spans="1:43" x14ac:dyDescent="0.2">
      <c r="A284" s="110">
        <v>37712</v>
      </c>
      <c r="B284" s="15">
        <v>0</v>
      </c>
      <c r="C284" s="2"/>
      <c r="D284" s="165"/>
      <c r="E284" s="28">
        <v>0.27</v>
      </c>
      <c r="F284" s="165"/>
      <c r="G284" s="174"/>
      <c r="H284" s="8">
        <v>0.36</v>
      </c>
      <c r="I284" s="165"/>
      <c r="J284" s="182"/>
      <c r="K284" s="23"/>
      <c r="L284" s="8">
        <v>0.13</v>
      </c>
      <c r="M284" s="14"/>
      <c r="N284" s="17">
        <v>1E-3</v>
      </c>
      <c r="O284" s="11"/>
      <c r="P284" s="1"/>
      <c r="Q284" s="29">
        <v>0.26100000000000001</v>
      </c>
      <c r="R284" s="11"/>
      <c r="S284" s="27"/>
      <c r="T284" s="11">
        <v>0.753</v>
      </c>
      <c r="U284" s="11"/>
      <c r="V284" s="14"/>
      <c r="W284" s="13"/>
      <c r="X284" s="63">
        <v>0.34</v>
      </c>
      <c r="Y284" s="14"/>
      <c r="Z284" s="15">
        <v>0.31</v>
      </c>
      <c r="AA284" s="8"/>
      <c r="AC284" s="15">
        <v>0.63</v>
      </c>
      <c r="AD284" s="8"/>
      <c r="AE284" s="27"/>
      <c r="AF284" s="15">
        <v>1</v>
      </c>
      <c r="AG284" s="8"/>
      <c r="AH284" s="14"/>
      <c r="AI284" s="13"/>
      <c r="AJ284" s="63">
        <v>0.57999999999999996</v>
      </c>
      <c r="AK284" s="14"/>
      <c r="AL284" s="68"/>
      <c r="AM284" s="63">
        <v>0.32</v>
      </c>
      <c r="AN284" s="4"/>
      <c r="AQ284" s="67"/>
    </row>
    <row r="285" spans="1:43" x14ac:dyDescent="0.2">
      <c r="A285" s="110">
        <v>37681</v>
      </c>
      <c r="B285" s="15"/>
      <c r="C285" s="2"/>
      <c r="D285" s="165"/>
      <c r="E285" s="28"/>
      <c r="F285" s="165"/>
      <c r="G285" s="174"/>
      <c r="H285" s="8"/>
      <c r="I285" s="165"/>
      <c r="J285" s="182"/>
      <c r="K285" s="23"/>
      <c r="L285" s="8">
        <v>0.17</v>
      </c>
      <c r="M285" s="14"/>
      <c r="N285" s="17">
        <v>0</v>
      </c>
      <c r="O285" s="11"/>
      <c r="P285" s="1"/>
      <c r="Q285" s="29">
        <v>0.26300000000000001</v>
      </c>
      <c r="R285" s="11"/>
      <c r="S285" s="27"/>
      <c r="T285" s="11">
        <v>0.74199999999999999</v>
      </c>
      <c r="U285" s="11"/>
      <c r="V285" s="14"/>
      <c r="W285" s="13"/>
      <c r="X285" s="63">
        <v>0.33</v>
      </c>
      <c r="Y285" s="14"/>
      <c r="Z285" s="15"/>
      <c r="AA285" s="8"/>
      <c r="AC285" s="15"/>
      <c r="AD285" s="8"/>
      <c r="AE285" s="27"/>
      <c r="AF285" s="15"/>
      <c r="AG285" s="8"/>
      <c r="AH285" s="14"/>
      <c r="AI285" s="13"/>
      <c r="AJ285" s="63">
        <v>0.57999999999999996</v>
      </c>
      <c r="AK285" s="14"/>
      <c r="AL285" s="68"/>
      <c r="AM285" s="63">
        <v>0.32</v>
      </c>
      <c r="AN285" s="4"/>
      <c r="AQ285" s="67"/>
    </row>
    <row r="286" spans="1:43" x14ac:dyDescent="0.2">
      <c r="A286" s="110">
        <v>37653</v>
      </c>
      <c r="B286" s="15">
        <v>0</v>
      </c>
      <c r="C286" s="2"/>
      <c r="D286" s="165"/>
      <c r="E286" s="28">
        <v>0.3</v>
      </c>
      <c r="F286" s="165"/>
      <c r="G286" s="174"/>
      <c r="H286" s="8">
        <v>0.31</v>
      </c>
      <c r="I286" s="165"/>
      <c r="J286" s="182"/>
      <c r="K286" s="23"/>
      <c r="L286" s="8"/>
      <c r="M286" s="14"/>
      <c r="N286" s="17">
        <v>0</v>
      </c>
      <c r="O286" s="11"/>
      <c r="P286" s="1"/>
      <c r="Q286" s="29">
        <v>0.26700000000000002</v>
      </c>
      <c r="R286" s="11"/>
      <c r="S286" s="27"/>
      <c r="T286" s="11">
        <v>0.745</v>
      </c>
      <c r="U286" s="11"/>
      <c r="V286" s="14"/>
      <c r="W286" s="13"/>
      <c r="X286" s="63"/>
      <c r="Y286" s="14"/>
      <c r="Z286" s="15">
        <v>0.31</v>
      </c>
      <c r="AA286" s="8"/>
      <c r="AC286" s="15">
        <v>0.63</v>
      </c>
      <c r="AD286" s="8"/>
      <c r="AE286" s="27"/>
      <c r="AF286" s="15">
        <v>1</v>
      </c>
      <c r="AG286" s="8"/>
      <c r="AH286" s="14"/>
      <c r="AI286" s="13"/>
      <c r="AJ286" s="63"/>
      <c r="AK286" s="14"/>
      <c r="AL286" s="68"/>
      <c r="AM286" s="63"/>
      <c r="AN286" s="4"/>
      <c r="AQ286" s="67"/>
    </row>
    <row r="287" spans="1:43" x14ac:dyDescent="0.2">
      <c r="A287" s="110">
        <v>37622</v>
      </c>
      <c r="B287" s="15">
        <v>0</v>
      </c>
      <c r="C287" s="2"/>
      <c r="D287" s="165"/>
      <c r="E287" s="28">
        <v>0.32</v>
      </c>
      <c r="F287" s="165"/>
      <c r="G287" s="174"/>
      <c r="H287" s="8">
        <v>0.48</v>
      </c>
      <c r="I287" s="165"/>
      <c r="J287" s="182"/>
      <c r="K287" s="23"/>
      <c r="L287" s="8">
        <v>0.17</v>
      </c>
      <c r="M287" s="14"/>
      <c r="N287" s="17">
        <v>0</v>
      </c>
      <c r="O287" s="11"/>
      <c r="P287" s="1"/>
      <c r="Q287" s="29">
        <v>0.27500000000000002</v>
      </c>
      <c r="R287" s="11"/>
      <c r="S287" s="27"/>
      <c r="T287" s="11">
        <v>0.73199999999999998</v>
      </c>
      <c r="U287" s="11"/>
      <c r="V287" s="14"/>
      <c r="W287" s="13"/>
      <c r="X287" s="63">
        <v>0.33</v>
      </c>
      <c r="Y287" s="14"/>
      <c r="Z287" s="15">
        <v>0.33</v>
      </c>
      <c r="AA287" s="8"/>
      <c r="AC287" s="15">
        <v>0.65</v>
      </c>
      <c r="AD287" s="8"/>
      <c r="AE287" s="27"/>
      <c r="AF287" s="15">
        <v>1</v>
      </c>
      <c r="AG287" s="8"/>
      <c r="AH287" s="14"/>
      <c r="AI287" s="13"/>
      <c r="AJ287" s="63">
        <v>0.56999999999999995</v>
      </c>
      <c r="AK287" s="14"/>
      <c r="AL287" s="68"/>
      <c r="AM287" s="63">
        <v>0.32</v>
      </c>
      <c r="AN287" s="4"/>
      <c r="AQ287" s="67"/>
    </row>
    <row r="288" spans="1:43" x14ac:dyDescent="0.2">
      <c r="A288" s="110">
        <v>37591</v>
      </c>
      <c r="B288" s="15">
        <v>0</v>
      </c>
      <c r="C288" s="2"/>
      <c r="D288" s="165"/>
      <c r="E288" s="28">
        <v>0.32</v>
      </c>
      <c r="F288" s="165"/>
      <c r="G288" s="174"/>
      <c r="H288" s="8">
        <v>0.53</v>
      </c>
      <c r="I288" s="165"/>
      <c r="J288" s="182"/>
      <c r="K288" s="23"/>
      <c r="L288" s="8">
        <v>0.22</v>
      </c>
      <c r="M288" s="14"/>
      <c r="N288" s="17">
        <v>0</v>
      </c>
      <c r="O288" s="11"/>
      <c r="P288" s="1"/>
      <c r="Q288" s="29">
        <v>0.29499999999999998</v>
      </c>
      <c r="R288" s="11"/>
      <c r="S288" s="27"/>
      <c r="T288" s="11">
        <v>0.72</v>
      </c>
      <c r="U288" s="11"/>
      <c r="V288" s="14"/>
      <c r="W288" s="13"/>
      <c r="X288" s="63">
        <v>0.33</v>
      </c>
      <c r="Y288" s="14"/>
      <c r="Z288" s="15">
        <v>0.33</v>
      </c>
      <c r="AA288" s="8"/>
      <c r="AC288" s="15">
        <v>0.65</v>
      </c>
      <c r="AD288" s="8"/>
      <c r="AE288" s="27"/>
      <c r="AF288" s="15">
        <v>0.99</v>
      </c>
      <c r="AG288" s="8"/>
      <c r="AH288" s="14"/>
      <c r="AI288" s="13"/>
      <c r="AJ288" s="63">
        <v>0.59</v>
      </c>
      <c r="AK288" s="14"/>
      <c r="AL288" s="68"/>
      <c r="AM288" s="63">
        <v>0.33</v>
      </c>
      <c r="AN288" s="4"/>
      <c r="AQ288" s="67"/>
    </row>
    <row r="289" spans="1:43" x14ac:dyDescent="0.2">
      <c r="A289" s="110">
        <v>37561</v>
      </c>
      <c r="B289" s="15">
        <v>0</v>
      </c>
      <c r="C289" s="2"/>
      <c r="D289" s="165"/>
      <c r="E289" s="28">
        <v>0.34</v>
      </c>
      <c r="F289" s="165"/>
      <c r="G289" s="174"/>
      <c r="H289" s="8">
        <v>0.48</v>
      </c>
      <c r="I289" s="165"/>
      <c r="J289" s="182"/>
      <c r="K289" s="23"/>
      <c r="L289" s="8">
        <v>0.23</v>
      </c>
      <c r="M289" s="14"/>
      <c r="N289" s="17">
        <v>0</v>
      </c>
      <c r="O289" s="11"/>
      <c r="P289" s="1"/>
      <c r="Q289" s="29">
        <v>0.29099999999999998</v>
      </c>
      <c r="R289" s="11"/>
      <c r="S289" s="27"/>
      <c r="T289" s="11">
        <v>0.76100000000000001</v>
      </c>
      <c r="U289" s="11"/>
      <c r="V289" s="14"/>
      <c r="W289" s="13"/>
      <c r="X289" s="63">
        <v>0.35</v>
      </c>
      <c r="Y289" s="14"/>
      <c r="Z289" s="15">
        <v>0.32</v>
      </c>
      <c r="AA289" s="8"/>
      <c r="AC289" s="15">
        <v>0.64</v>
      </c>
      <c r="AD289" s="8"/>
      <c r="AE289" s="27"/>
      <c r="AF289" s="15">
        <v>0.98</v>
      </c>
      <c r="AG289" s="8"/>
      <c r="AH289" s="14"/>
      <c r="AI289" s="13"/>
      <c r="AJ289" s="63">
        <v>0.59</v>
      </c>
      <c r="AK289" s="14"/>
      <c r="AL289" s="68"/>
      <c r="AM289" s="63">
        <v>0.34</v>
      </c>
      <c r="AN289" s="4"/>
      <c r="AQ289" s="67"/>
    </row>
    <row r="290" spans="1:43" x14ac:dyDescent="0.2">
      <c r="A290" s="110">
        <v>37530</v>
      </c>
      <c r="B290" s="15">
        <v>0</v>
      </c>
      <c r="C290" s="2"/>
      <c r="D290" s="165"/>
      <c r="E290" s="28">
        <v>0.31</v>
      </c>
      <c r="F290" s="165"/>
      <c r="G290" s="174"/>
      <c r="H290" s="8">
        <v>0.44</v>
      </c>
      <c r="I290" s="165"/>
      <c r="J290" s="182"/>
      <c r="K290" s="23"/>
      <c r="L290" s="8">
        <v>0.23</v>
      </c>
      <c r="M290" s="14"/>
      <c r="N290" s="17">
        <v>0</v>
      </c>
      <c r="O290" s="11"/>
      <c r="P290" s="1"/>
      <c r="Q290" s="29">
        <v>0.29799999999999999</v>
      </c>
      <c r="R290" s="11"/>
      <c r="S290" s="27"/>
      <c r="T290" s="11">
        <v>0.79600000000000004</v>
      </c>
      <c r="U290" s="11"/>
      <c r="V290" s="14"/>
      <c r="W290" s="13"/>
      <c r="X290" s="63">
        <v>0.38</v>
      </c>
      <c r="Y290" s="14"/>
      <c r="Z290" s="15">
        <v>0.33</v>
      </c>
      <c r="AA290" s="8"/>
      <c r="AC290" s="15">
        <v>0.59</v>
      </c>
      <c r="AD290" s="8"/>
      <c r="AE290" s="27"/>
      <c r="AF290" s="15">
        <v>1</v>
      </c>
      <c r="AG290" s="8"/>
      <c r="AH290" s="14"/>
      <c r="AI290" s="13"/>
      <c r="AJ290" s="63">
        <v>0.57999999999999996</v>
      </c>
      <c r="AK290" s="14"/>
      <c r="AL290" s="68"/>
      <c r="AM290" s="63">
        <v>0.37</v>
      </c>
      <c r="AN290" s="4"/>
      <c r="AQ290" s="67"/>
    </row>
    <row r="291" spans="1:43" x14ac:dyDescent="0.2">
      <c r="A291" s="110">
        <v>37500</v>
      </c>
      <c r="B291" s="15">
        <v>0</v>
      </c>
      <c r="C291" s="2"/>
      <c r="D291" s="165"/>
      <c r="E291" s="28">
        <v>0.32</v>
      </c>
      <c r="F291" s="165"/>
      <c r="G291" s="174"/>
      <c r="H291" s="8">
        <v>0.43</v>
      </c>
      <c r="I291" s="165"/>
      <c r="J291" s="182"/>
      <c r="K291" s="23"/>
      <c r="L291" s="8">
        <v>0.21</v>
      </c>
      <c r="M291" s="14"/>
      <c r="N291" s="17">
        <v>0</v>
      </c>
      <c r="O291" s="11"/>
      <c r="P291" s="1"/>
      <c r="Q291" s="29">
        <v>0.30299999999999999</v>
      </c>
      <c r="R291" s="11"/>
      <c r="S291" s="27"/>
      <c r="T291" s="11">
        <v>0.79700000000000004</v>
      </c>
      <c r="U291" s="11"/>
      <c r="V291" s="14"/>
      <c r="W291" s="13"/>
      <c r="X291" s="63">
        <v>0.39</v>
      </c>
      <c r="Y291" s="14"/>
      <c r="Z291" s="15">
        <v>0.31</v>
      </c>
      <c r="AA291" s="8"/>
      <c r="AC291" s="15">
        <v>0.65</v>
      </c>
      <c r="AD291" s="8"/>
      <c r="AE291" s="27"/>
      <c r="AF291" s="15">
        <v>0.99</v>
      </c>
      <c r="AG291" s="8"/>
      <c r="AH291" s="14"/>
      <c r="AI291" s="13"/>
      <c r="AJ291" s="63">
        <v>0.56999999999999995</v>
      </c>
      <c r="AK291" s="14"/>
      <c r="AL291" s="68"/>
      <c r="AM291" s="63">
        <v>0.37</v>
      </c>
      <c r="AN291" s="4"/>
      <c r="AQ291" s="67"/>
    </row>
    <row r="292" spans="1:43" x14ac:dyDescent="0.2">
      <c r="A292" s="110">
        <v>37469</v>
      </c>
      <c r="B292" s="15">
        <v>0</v>
      </c>
      <c r="C292" s="2"/>
      <c r="D292" s="165"/>
      <c r="E292" s="28">
        <v>0.35</v>
      </c>
      <c r="F292" s="165"/>
      <c r="G292" s="174"/>
      <c r="H292" s="8">
        <v>0.43</v>
      </c>
      <c r="I292" s="165"/>
      <c r="J292" s="182"/>
      <c r="K292" s="23"/>
      <c r="L292" s="8">
        <v>0.2</v>
      </c>
      <c r="M292" s="14"/>
      <c r="N292" s="17">
        <v>0</v>
      </c>
      <c r="O292" s="11"/>
      <c r="P292" s="1"/>
      <c r="Q292" s="29">
        <v>0.316</v>
      </c>
      <c r="R292" s="11"/>
      <c r="S292" s="27"/>
      <c r="T292" s="11">
        <v>0.79600000000000004</v>
      </c>
      <c r="U292" s="11"/>
      <c r="V292" s="14"/>
      <c r="W292" s="13"/>
      <c r="X292" s="63">
        <v>0.39</v>
      </c>
      <c r="Y292" s="14"/>
      <c r="Z292" s="15">
        <v>0.31</v>
      </c>
      <c r="AA292" s="8"/>
      <c r="AC292" s="15">
        <v>0.69</v>
      </c>
      <c r="AD292" s="8"/>
      <c r="AE292" s="27"/>
      <c r="AF292" s="15">
        <v>0.99</v>
      </c>
      <c r="AG292" s="8"/>
      <c r="AH292" s="14"/>
      <c r="AI292" s="13"/>
      <c r="AJ292" s="63">
        <v>0.56999999999999995</v>
      </c>
      <c r="AK292" s="14"/>
      <c r="AL292" s="68"/>
      <c r="AM292" s="63">
        <v>0.37</v>
      </c>
      <c r="AN292" s="4"/>
      <c r="AQ292" s="67"/>
    </row>
    <row r="293" spans="1:43" x14ac:dyDescent="0.2">
      <c r="A293" s="110">
        <v>37438</v>
      </c>
      <c r="B293" s="15">
        <v>0</v>
      </c>
      <c r="C293" s="2"/>
      <c r="D293" s="165"/>
      <c r="E293" s="28">
        <v>0.35</v>
      </c>
      <c r="F293" s="165"/>
      <c r="G293" s="174"/>
      <c r="H293" s="8">
        <v>0.49</v>
      </c>
      <c r="I293" s="165"/>
      <c r="J293" s="182"/>
      <c r="K293" s="23"/>
      <c r="L293" s="8">
        <v>0.21</v>
      </c>
      <c r="M293" s="14"/>
      <c r="N293" s="17">
        <v>0</v>
      </c>
      <c r="O293" s="11"/>
      <c r="P293" s="1"/>
      <c r="Q293" s="29">
        <v>0.32500000000000001</v>
      </c>
      <c r="R293" s="11"/>
      <c r="S293" s="27"/>
      <c r="T293" s="11">
        <v>0.79700000000000004</v>
      </c>
      <c r="U293" s="11"/>
      <c r="V293" s="14"/>
      <c r="W293" s="13"/>
      <c r="X293" s="63">
        <v>0.39</v>
      </c>
      <c r="Y293" s="14"/>
      <c r="Z293" s="15">
        <v>0.28999999999999998</v>
      </c>
      <c r="AA293" s="8"/>
      <c r="AC293" s="15">
        <v>0.65</v>
      </c>
      <c r="AD293" s="8"/>
      <c r="AE293" s="27"/>
      <c r="AF293" s="15">
        <v>1</v>
      </c>
      <c r="AG293" s="8"/>
      <c r="AH293" s="14"/>
      <c r="AI293" s="13"/>
      <c r="AJ293" s="63">
        <v>0.57999999999999996</v>
      </c>
      <c r="AK293" s="14"/>
      <c r="AL293" s="68"/>
      <c r="AM293" s="63">
        <v>0.37</v>
      </c>
      <c r="AN293" s="4"/>
      <c r="AQ293" s="67"/>
    </row>
    <row r="294" spans="1:43" x14ac:dyDescent="0.2">
      <c r="A294" s="110">
        <v>37408</v>
      </c>
      <c r="B294" s="15">
        <v>0</v>
      </c>
      <c r="C294" s="2"/>
      <c r="D294" s="165"/>
      <c r="E294" s="28">
        <v>0.35</v>
      </c>
      <c r="F294" s="165"/>
      <c r="G294" s="174"/>
      <c r="H294" s="8">
        <v>0.45</v>
      </c>
      <c r="I294" s="165"/>
      <c r="J294" s="182"/>
      <c r="K294" s="23"/>
      <c r="L294" s="8">
        <v>0.23</v>
      </c>
      <c r="M294" s="14"/>
      <c r="N294" s="17">
        <v>0</v>
      </c>
      <c r="O294" s="11"/>
      <c r="P294" s="1"/>
      <c r="Q294" s="29">
        <v>0.32800000000000001</v>
      </c>
      <c r="R294" s="11"/>
      <c r="S294" s="27"/>
      <c r="T294" s="11">
        <v>0.80500000000000005</v>
      </c>
      <c r="U294" s="11"/>
      <c r="V294" s="14"/>
      <c r="W294" s="13"/>
      <c r="X294" s="63">
        <v>0.42</v>
      </c>
      <c r="Y294" s="14"/>
      <c r="Z294" s="15">
        <v>0.2</v>
      </c>
      <c r="AA294" s="8"/>
      <c r="AC294" s="15">
        <v>0.65</v>
      </c>
      <c r="AD294" s="8"/>
      <c r="AE294" s="27"/>
      <c r="AF294" s="15">
        <v>0.99</v>
      </c>
      <c r="AG294" s="8"/>
      <c r="AH294" s="14"/>
      <c r="AI294" s="13"/>
      <c r="AJ294" s="63">
        <v>0.56999999999999995</v>
      </c>
      <c r="AK294" s="14"/>
      <c r="AL294" s="68"/>
      <c r="AM294" s="63">
        <v>0.4</v>
      </c>
      <c r="AN294" s="4"/>
      <c r="AQ294" s="67"/>
    </row>
    <row r="295" spans="1:43" x14ac:dyDescent="0.2">
      <c r="A295" s="110">
        <v>37377</v>
      </c>
      <c r="B295" s="15">
        <v>0</v>
      </c>
      <c r="C295" s="2"/>
      <c r="D295" s="165"/>
      <c r="E295" s="28">
        <v>0.35</v>
      </c>
      <c r="F295" s="165"/>
      <c r="G295" s="174"/>
      <c r="H295" s="8">
        <v>0.86</v>
      </c>
      <c r="I295" s="165"/>
      <c r="J295" s="182"/>
      <c r="K295" s="23"/>
      <c r="L295" s="8">
        <v>0.21</v>
      </c>
      <c r="M295" s="14"/>
      <c r="N295" s="17">
        <v>0</v>
      </c>
      <c r="O295" s="11"/>
      <c r="P295" s="1"/>
      <c r="Q295" s="29">
        <v>0.34599999999999997</v>
      </c>
      <c r="R295" s="11"/>
      <c r="S295" s="27"/>
      <c r="T295" s="11">
        <v>0.83199999999999996</v>
      </c>
      <c r="U295" s="11"/>
      <c r="V295" s="14"/>
      <c r="W295" s="13"/>
      <c r="X295" s="63">
        <v>0.44</v>
      </c>
      <c r="Y295" s="14"/>
      <c r="Z295" s="15">
        <v>0.14000000000000001</v>
      </c>
      <c r="AA295" s="8"/>
      <c r="AC295" s="15">
        <v>0.65</v>
      </c>
      <c r="AD295" s="8"/>
      <c r="AE295" s="27"/>
      <c r="AF295" s="15">
        <v>1</v>
      </c>
      <c r="AG295" s="8"/>
      <c r="AH295" s="14"/>
      <c r="AI295" s="13"/>
      <c r="AJ295" s="63">
        <v>0.52</v>
      </c>
      <c r="AK295" s="14"/>
      <c r="AL295" s="68"/>
      <c r="AM295" s="63">
        <v>0.41</v>
      </c>
      <c r="AN295" s="4"/>
      <c r="AQ295" s="67"/>
    </row>
    <row r="296" spans="1:43" x14ac:dyDescent="0.2">
      <c r="A296" s="110">
        <v>37347</v>
      </c>
      <c r="B296" s="15">
        <v>0</v>
      </c>
      <c r="C296" s="2"/>
      <c r="D296" s="165"/>
      <c r="E296" s="28">
        <v>0.32</v>
      </c>
      <c r="F296" s="165"/>
      <c r="G296" s="174"/>
      <c r="H296" s="8">
        <v>0.84</v>
      </c>
      <c r="I296" s="165"/>
      <c r="J296" s="182"/>
      <c r="K296" s="23"/>
      <c r="L296" s="8">
        <v>0.33</v>
      </c>
      <c r="M296" s="14"/>
      <c r="N296" s="17">
        <v>0</v>
      </c>
      <c r="O296" s="11"/>
      <c r="P296" s="1"/>
      <c r="Q296" s="29">
        <v>0.47299999999999998</v>
      </c>
      <c r="R296" s="11"/>
      <c r="S296" s="27"/>
      <c r="T296" s="11">
        <v>0.88700000000000001</v>
      </c>
      <c r="U296" s="11"/>
      <c r="V296" s="14"/>
      <c r="W296" s="13"/>
      <c r="X296" s="63">
        <v>0.49</v>
      </c>
      <c r="Y296" s="14"/>
      <c r="Z296" s="15">
        <v>0.12</v>
      </c>
      <c r="AA296" s="8"/>
      <c r="AC296" s="15">
        <v>0.65</v>
      </c>
      <c r="AD296" s="8"/>
      <c r="AE296" s="27"/>
      <c r="AF296" s="15">
        <v>0.99</v>
      </c>
      <c r="AG296" s="8"/>
      <c r="AH296" s="14"/>
      <c r="AI296" s="13"/>
      <c r="AJ296" s="63">
        <v>0.49</v>
      </c>
      <c r="AK296" s="14"/>
      <c r="AL296" s="68"/>
      <c r="AM296" s="63">
        <v>0.47</v>
      </c>
      <c r="AN296" s="4"/>
      <c r="AQ296" s="67"/>
    </row>
    <row r="297" spans="1:43" x14ac:dyDescent="0.2">
      <c r="A297" s="110">
        <v>37316</v>
      </c>
      <c r="B297" s="15">
        <v>0</v>
      </c>
      <c r="C297" s="2"/>
      <c r="D297" s="165"/>
      <c r="E297" s="28">
        <v>0.33</v>
      </c>
      <c r="F297" s="165"/>
      <c r="G297" s="174"/>
      <c r="H297" s="8">
        <v>0.74</v>
      </c>
      <c r="I297" s="165"/>
      <c r="J297" s="182"/>
      <c r="K297" s="23"/>
      <c r="L297" s="8">
        <v>0.32</v>
      </c>
      <c r="M297" s="14"/>
      <c r="N297" s="17">
        <v>0</v>
      </c>
      <c r="O297" s="11"/>
      <c r="P297" s="1"/>
      <c r="Q297" s="29">
        <v>0.48099999999999998</v>
      </c>
      <c r="R297" s="11"/>
      <c r="S297" s="27"/>
      <c r="T297" s="11">
        <v>0.90300000000000002</v>
      </c>
      <c r="U297" s="11"/>
      <c r="V297" s="14"/>
      <c r="W297" s="13"/>
      <c r="X297" s="63">
        <v>0.5</v>
      </c>
      <c r="Y297" s="14"/>
      <c r="Z297" s="15">
        <v>0.12</v>
      </c>
      <c r="AA297" s="8"/>
      <c r="AC297" s="15">
        <v>0.63</v>
      </c>
      <c r="AD297" s="8"/>
      <c r="AE297" s="27"/>
      <c r="AF297" s="15">
        <v>0.97</v>
      </c>
      <c r="AG297" s="8"/>
      <c r="AH297" s="14"/>
      <c r="AI297" s="13"/>
      <c r="AJ297" s="63">
        <v>0.48</v>
      </c>
      <c r="AK297" s="14"/>
      <c r="AL297" s="68"/>
      <c r="AM297" s="63">
        <v>0.47</v>
      </c>
      <c r="AN297" s="4"/>
      <c r="AQ297" s="67"/>
    </row>
    <row r="298" spans="1:43" x14ac:dyDescent="0.2">
      <c r="A298" s="110">
        <v>37288</v>
      </c>
      <c r="B298" s="15">
        <v>0</v>
      </c>
      <c r="C298" s="2"/>
      <c r="D298" s="165"/>
      <c r="E298" s="28">
        <v>0.28000000000000003</v>
      </c>
      <c r="F298" s="165"/>
      <c r="G298" s="174"/>
      <c r="H298" s="8">
        <v>0.74</v>
      </c>
      <c r="I298" s="165"/>
      <c r="J298" s="182"/>
      <c r="K298" s="23"/>
      <c r="L298" s="8">
        <v>0.3</v>
      </c>
      <c r="M298" s="14"/>
      <c r="N298" s="17">
        <v>0</v>
      </c>
      <c r="O298" s="11"/>
      <c r="P298" s="38"/>
      <c r="Q298" s="11">
        <v>0.46300000000000002</v>
      </c>
      <c r="R298" s="11"/>
      <c r="S298" s="27"/>
      <c r="T298" s="11">
        <v>0.90400000000000003</v>
      </c>
      <c r="U298" s="11"/>
      <c r="V298" s="14"/>
      <c r="W298" s="13"/>
      <c r="X298" s="63">
        <v>0.49</v>
      </c>
      <c r="Y298" s="14"/>
      <c r="Z298" s="15">
        <v>0.1</v>
      </c>
      <c r="AA298" s="8"/>
      <c r="AC298" s="15">
        <v>0.56000000000000005</v>
      </c>
      <c r="AD298" s="8"/>
      <c r="AE298" s="14"/>
      <c r="AF298" s="8">
        <v>0.88</v>
      </c>
      <c r="AG298" s="8"/>
      <c r="AH298" s="14"/>
      <c r="AI298" s="13"/>
      <c r="AJ298" s="63">
        <v>0.47</v>
      </c>
      <c r="AK298" s="14"/>
      <c r="AL298" s="68"/>
      <c r="AM298" s="63">
        <v>0.46</v>
      </c>
      <c r="AN298" s="4"/>
      <c r="AQ298" s="67"/>
    </row>
    <row r="299" spans="1:43" x14ac:dyDescent="0.2">
      <c r="A299" s="110">
        <v>37257</v>
      </c>
      <c r="B299" s="15">
        <v>0</v>
      </c>
      <c r="C299" s="2"/>
      <c r="D299" s="165"/>
      <c r="E299" s="28">
        <v>0.22</v>
      </c>
      <c r="F299" s="165"/>
      <c r="G299" s="174"/>
      <c r="H299" s="8">
        <v>0.73</v>
      </c>
      <c r="I299" s="165"/>
      <c r="J299" s="182"/>
      <c r="K299" s="23"/>
      <c r="L299" s="8">
        <v>0.28000000000000003</v>
      </c>
      <c r="M299" s="14"/>
      <c r="N299" s="17">
        <v>0</v>
      </c>
      <c r="O299" s="11"/>
      <c r="P299" s="38"/>
      <c r="Q299" s="11">
        <v>0.45</v>
      </c>
      <c r="R299" s="11"/>
      <c r="S299" s="27"/>
      <c r="T299" s="11">
        <v>0.90400000000000003</v>
      </c>
      <c r="U299" s="11"/>
      <c r="V299" s="14"/>
      <c r="W299" s="13"/>
      <c r="X299" s="63">
        <v>0.49</v>
      </c>
      <c r="Y299" s="14"/>
      <c r="Z299" s="15">
        <v>7.0000000000000007E-2</v>
      </c>
      <c r="AA299" s="8"/>
      <c r="AC299" s="15">
        <v>0.56000000000000005</v>
      </c>
      <c r="AD299" s="8"/>
      <c r="AE299" s="14"/>
      <c r="AF299" s="8">
        <v>0.89</v>
      </c>
      <c r="AG299" s="8"/>
      <c r="AH299" s="14"/>
      <c r="AI299" s="13"/>
      <c r="AJ299" s="63">
        <v>0.42</v>
      </c>
      <c r="AK299" s="14"/>
      <c r="AL299" s="68"/>
      <c r="AM299" s="63">
        <v>0.46</v>
      </c>
      <c r="AN299" s="4"/>
      <c r="AQ299" s="67"/>
    </row>
    <row r="300" spans="1:43" x14ac:dyDescent="0.2">
      <c r="A300" s="110">
        <v>37226</v>
      </c>
      <c r="B300" s="15">
        <v>0</v>
      </c>
      <c r="C300" s="2"/>
      <c r="D300" s="165"/>
      <c r="E300" s="28">
        <v>0.21</v>
      </c>
      <c r="F300" s="165"/>
      <c r="G300" s="174"/>
      <c r="H300" s="8">
        <v>0.7</v>
      </c>
      <c r="I300" s="165"/>
      <c r="J300" s="182"/>
      <c r="K300" s="23"/>
      <c r="L300" s="8">
        <v>0.26</v>
      </c>
      <c r="M300" s="14"/>
      <c r="N300" s="17">
        <v>0</v>
      </c>
      <c r="O300" s="11"/>
      <c r="P300" s="38"/>
      <c r="Q300" s="11">
        <v>0.42399999999999999</v>
      </c>
      <c r="R300" s="11"/>
      <c r="S300" s="27"/>
      <c r="T300" s="11">
        <v>0.88400000000000001</v>
      </c>
      <c r="U300" s="11"/>
      <c r="V300" s="14"/>
      <c r="W300" s="13"/>
      <c r="X300" s="63">
        <v>0.48</v>
      </c>
      <c r="Y300" s="14"/>
      <c r="Z300" s="15">
        <v>0.06</v>
      </c>
      <c r="AA300" s="8"/>
      <c r="AC300" s="15">
        <v>0.4</v>
      </c>
      <c r="AD300" s="8"/>
      <c r="AE300" s="14"/>
      <c r="AF300" s="8">
        <v>0.86</v>
      </c>
      <c r="AG300" s="8"/>
      <c r="AH300" s="14"/>
      <c r="AI300" s="13"/>
      <c r="AJ300" s="63">
        <v>0.41</v>
      </c>
      <c r="AK300" s="14"/>
      <c r="AL300" s="68"/>
      <c r="AM300" s="63">
        <v>0.44</v>
      </c>
      <c r="AN300" s="4"/>
      <c r="AQ300" s="67"/>
    </row>
    <row r="301" spans="1:43" x14ac:dyDescent="0.2">
      <c r="A301" s="110">
        <v>37196</v>
      </c>
      <c r="B301" s="15">
        <v>0</v>
      </c>
      <c r="C301" s="2"/>
      <c r="D301" s="165"/>
      <c r="E301" s="28">
        <v>0.2</v>
      </c>
      <c r="F301" s="165"/>
      <c r="G301" s="174"/>
      <c r="H301" s="8">
        <v>0.69</v>
      </c>
      <c r="I301" s="165"/>
      <c r="J301" s="182"/>
      <c r="K301" s="23"/>
      <c r="L301" s="8">
        <v>0.28000000000000003</v>
      </c>
      <c r="M301" s="14"/>
      <c r="N301" s="17">
        <v>0</v>
      </c>
      <c r="O301" s="11"/>
      <c r="P301" s="38"/>
      <c r="Q301" s="11">
        <v>0.4</v>
      </c>
      <c r="R301" s="11"/>
      <c r="S301" s="27"/>
      <c r="T301" s="11">
        <v>0.88300000000000001</v>
      </c>
      <c r="U301" s="11"/>
      <c r="V301" s="14"/>
      <c r="W301" s="13"/>
      <c r="X301" s="63">
        <v>0.46</v>
      </c>
      <c r="Y301" s="14"/>
      <c r="Z301" s="15">
        <v>0.04</v>
      </c>
      <c r="AA301" s="8"/>
      <c r="AC301" s="15">
        <v>0.37</v>
      </c>
      <c r="AD301" s="8"/>
      <c r="AE301" s="14"/>
      <c r="AF301" s="8">
        <v>0.88</v>
      </c>
      <c r="AG301" s="8"/>
      <c r="AH301" s="14"/>
      <c r="AI301" s="13"/>
      <c r="AJ301" s="63">
        <v>0.38</v>
      </c>
      <c r="AK301" s="14"/>
      <c r="AL301" s="68"/>
      <c r="AM301" s="63">
        <v>0.44</v>
      </c>
      <c r="AN301" s="4"/>
      <c r="AQ301" s="67"/>
    </row>
    <row r="302" spans="1:43" x14ac:dyDescent="0.2">
      <c r="A302" s="110">
        <v>37165</v>
      </c>
      <c r="B302" s="15">
        <v>0</v>
      </c>
      <c r="C302" s="2"/>
      <c r="D302" s="165"/>
      <c r="E302" s="28">
        <v>0.18</v>
      </c>
      <c r="F302" s="165"/>
      <c r="G302" s="174"/>
      <c r="H302" s="8">
        <v>0.68</v>
      </c>
      <c r="I302" s="165"/>
      <c r="J302" s="182"/>
      <c r="K302" s="23"/>
      <c r="L302" s="8">
        <v>0.3</v>
      </c>
      <c r="M302" s="14"/>
      <c r="N302" s="17">
        <v>0</v>
      </c>
      <c r="O302" s="11"/>
      <c r="P302" s="38"/>
      <c r="Q302" s="11">
        <v>0.35699999999999998</v>
      </c>
      <c r="R302" s="11"/>
      <c r="S302" s="27"/>
      <c r="T302" s="11">
        <v>0.877</v>
      </c>
      <c r="U302" s="11"/>
      <c r="V302" s="14"/>
      <c r="W302" s="13"/>
      <c r="X302" s="63">
        <v>0.45</v>
      </c>
      <c r="Y302" s="14"/>
      <c r="Z302" s="15">
        <v>0.05</v>
      </c>
      <c r="AA302" s="8"/>
      <c r="AC302" s="15">
        <v>0.28000000000000003</v>
      </c>
      <c r="AD302" s="8"/>
      <c r="AE302" s="14"/>
      <c r="AF302" s="8">
        <v>0.7</v>
      </c>
      <c r="AG302" s="8"/>
      <c r="AH302" s="14"/>
      <c r="AI302" s="13"/>
      <c r="AJ302" s="63">
        <v>0.35</v>
      </c>
      <c r="AK302" s="14"/>
      <c r="AL302" s="68"/>
      <c r="AM302" s="63">
        <v>0.43</v>
      </c>
      <c r="AN302" s="4"/>
      <c r="AQ302" s="67"/>
    </row>
    <row r="303" spans="1:43" x14ac:dyDescent="0.2">
      <c r="A303" s="110">
        <v>37135</v>
      </c>
      <c r="B303" s="15">
        <v>0</v>
      </c>
      <c r="C303" s="2"/>
      <c r="D303" s="165"/>
      <c r="E303" s="28">
        <v>0.18</v>
      </c>
      <c r="F303" s="165"/>
      <c r="G303" s="174"/>
      <c r="H303" s="8">
        <v>0.68</v>
      </c>
      <c r="I303" s="165"/>
      <c r="J303" s="182"/>
      <c r="K303" s="23"/>
      <c r="L303" s="8">
        <v>0.3</v>
      </c>
      <c r="M303" s="14"/>
      <c r="N303" s="17">
        <v>0</v>
      </c>
      <c r="O303" s="11"/>
      <c r="P303" s="38"/>
      <c r="Q303" s="11">
        <v>0.316</v>
      </c>
      <c r="R303" s="11"/>
      <c r="S303" s="27"/>
      <c r="T303" s="11">
        <v>0.85699999999999998</v>
      </c>
      <c r="U303" s="11"/>
      <c r="V303" s="14"/>
      <c r="W303" s="13"/>
      <c r="X303" s="63">
        <v>0.44</v>
      </c>
      <c r="Y303" s="14"/>
      <c r="Z303" s="15">
        <v>0.09</v>
      </c>
      <c r="AA303" s="8"/>
      <c r="AC303" s="15">
        <v>0.54</v>
      </c>
      <c r="AD303" s="8"/>
      <c r="AE303" s="14"/>
      <c r="AF303" s="8">
        <v>0.84</v>
      </c>
      <c r="AG303" s="8"/>
      <c r="AH303" s="14"/>
      <c r="AI303" s="13"/>
      <c r="AJ303" s="63">
        <v>0.28000000000000003</v>
      </c>
      <c r="AK303" s="14"/>
      <c r="AL303" s="68"/>
      <c r="AM303" s="63">
        <v>0.41</v>
      </c>
      <c r="AN303" s="4"/>
      <c r="AQ303" s="67"/>
    </row>
    <row r="304" spans="1:43" x14ac:dyDescent="0.2">
      <c r="A304" s="110">
        <v>37104</v>
      </c>
      <c r="B304" s="15">
        <v>0</v>
      </c>
      <c r="C304" s="2"/>
      <c r="D304" s="165"/>
      <c r="E304" s="28">
        <v>0.09</v>
      </c>
      <c r="F304" s="165"/>
      <c r="G304" s="174"/>
      <c r="H304" s="8">
        <v>0.41</v>
      </c>
      <c r="I304" s="165"/>
      <c r="J304" s="182"/>
      <c r="K304" s="23"/>
      <c r="L304" s="8">
        <v>0.3</v>
      </c>
      <c r="M304" s="14"/>
      <c r="N304" s="17">
        <v>0</v>
      </c>
      <c r="O304" s="11"/>
      <c r="P304" s="38"/>
      <c r="Q304" s="11">
        <v>0.29699999999999999</v>
      </c>
      <c r="R304" s="11"/>
      <c r="S304" s="27"/>
      <c r="T304" s="11">
        <v>0.84099999999999997</v>
      </c>
      <c r="U304" s="11"/>
      <c r="V304" s="14"/>
      <c r="W304" s="13"/>
      <c r="X304" s="63">
        <v>0.43</v>
      </c>
      <c r="Y304" s="14"/>
      <c r="Z304" s="15">
        <v>0.09</v>
      </c>
      <c r="AA304" s="8"/>
      <c r="AC304" s="15">
        <v>0.52</v>
      </c>
      <c r="AD304" s="8"/>
      <c r="AE304" s="14"/>
      <c r="AF304" s="8">
        <v>0.82</v>
      </c>
      <c r="AG304" s="8"/>
      <c r="AH304" s="14"/>
      <c r="AI304" s="13"/>
      <c r="AJ304" s="63">
        <v>0.4</v>
      </c>
      <c r="AK304" s="14"/>
      <c r="AL304" s="68"/>
      <c r="AM304" s="63">
        <v>0.41</v>
      </c>
      <c r="AN304" s="4"/>
      <c r="AQ304" s="67"/>
    </row>
    <row r="305" spans="1:43" x14ac:dyDescent="0.2">
      <c r="A305" s="110">
        <v>37073</v>
      </c>
      <c r="B305" s="15">
        <v>0</v>
      </c>
      <c r="C305" s="2"/>
      <c r="D305" s="165"/>
      <c r="E305" s="28">
        <v>0.08</v>
      </c>
      <c r="F305" s="165"/>
      <c r="G305" s="174"/>
      <c r="H305" s="8">
        <v>0.4</v>
      </c>
      <c r="I305" s="165"/>
      <c r="J305" s="182"/>
      <c r="K305" s="23"/>
      <c r="L305" s="8">
        <v>0.18</v>
      </c>
      <c r="M305" s="14"/>
      <c r="N305" s="17">
        <v>0</v>
      </c>
      <c r="O305" s="11"/>
      <c r="P305" s="38"/>
      <c r="Q305" s="11">
        <v>0.29199999999999998</v>
      </c>
      <c r="R305" s="11"/>
      <c r="S305" s="27"/>
      <c r="T305" s="11">
        <v>0.81100000000000005</v>
      </c>
      <c r="U305" s="11"/>
      <c r="V305" s="14"/>
      <c r="W305" s="13"/>
      <c r="X305" s="63">
        <v>0.41</v>
      </c>
      <c r="Y305" s="14"/>
      <c r="Z305" s="15">
        <v>0.09</v>
      </c>
      <c r="AA305" s="8"/>
      <c r="AC305" s="15">
        <v>0.57999999999999996</v>
      </c>
      <c r="AD305" s="8"/>
      <c r="AE305" s="14"/>
      <c r="AF305" s="8">
        <v>0.75</v>
      </c>
      <c r="AG305" s="8"/>
      <c r="AH305" s="14"/>
      <c r="AI305" s="13"/>
      <c r="AJ305" s="63">
        <v>0.39</v>
      </c>
      <c r="AK305" s="14"/>
      <c r="AL305" s="68"/>
      <c r="AM305" s="63">
        <v>0.37</v>
      </c>
      <c r="AN305" s="4"/>
      <c r="AQ305" s="67"/>
    </row>
    <row r="306" spans="1:43" x14ac:dyDescent="0.2">
      <c r="A306" s="110">
        <v>37043</v>
      </c>
      <c r="B306" s="15">
        <v>0</v>
      </c>
      <c r="C306" s="2"/>
      <c r="D306" s="165"/>
      <c r="E306" s="28">
        <v>0.09</v>
      </c>
      <c r="F306" s="165"/>
      <c r="G306" s="174"/>
      <c r="H306" s="8">
        <v>0.38</v>
      </c>
      <c r="I306" s="165"/>
      <c r="J306" s="182"/>
      <c r="K306" s="23"/>
      <c r="L306" s="8">
        <v>0.17</v>
      </c>
      <c r="M306" s="14"/>
      <c r="N306" s="17">
        <v>0</v>
      </c>
      <c r="O306" s="11"/>
      <c r="P306" s="38"/>
      <c r="Q306" s="11">
        <v>0.22600000000000001</v>
      </c>
      <c r="R306" s="11"/>
      <c r="S306" s="27"/>
      <c r="T306" s="11">
        <v>0.82799999999999996</v>
      </c>
      <c r="U306" s="11"/>
      <c r="V306" s="14"/>
      <c r="W306" s="13"/>
      <c r="X306" s="63">
        <v>0.41</v>
      </c>
      <c r="Y306" s="14"/>
      <c r="Z306" s="15">
        <v>0.1</v>
      </c>
      <c r="AA306" s="8"/>
      <c r="AC306" s="15">
        <v>0.63</v>
      </c>
      <c r="AD306" s="8"/>
      <c r="AE306" s="14"/>
      <c r="AF306" s="8">
        <v>0.56000000000000005</v>
      </c>
      <c r="AG306" s="8"/>
      <c r="AH306" s="14"/>
      <c r="AI306" s="13"/>
      <c r="AJ306" s="63">
        <v>0.38</v>
      </c>
      <c r="AK306" s="14"/>
      <c r="AL306" s="68"/>
      <c r="AM306" s="63">
        <v>0.37</v>
      </c>
      <c r="AN306" s="4"/>
      <c r="AQ306" s="67"/>
    </row>
    <row r="307" spans="1:43" x14ac:dyDescent="0.2">
      <c r="A307" s="110">
        <v>37012</v>
      </c>
      <c r="B307" s="15">
        <v>0</v>
      </c>
      <c r="C307" s="2"/>
      <c r="D307" s="165"/>
      <c r="E307" s="28">
        <v>7.0000000000000007E-2</v>
      </c>
      <c r="F307" s="165"/>
      <c r="G307" s="174"/>
      <c r="H307" s="8">
        <v>0.31</v>
      </c>
      <c r="I307" s="165"/>
      <c r="J307" s="182"/>
      <c r="K307" s="23"/>
      <c r="L307" s="8">
        <v>0.16</v>
      </c>
      <c r="M307" s="14"/>
      <c r="N307" s="17">
        <v>0</v>
      </c>
      <c r="O307" s="11"/>
      <c r="P307" s="38"/>
      <c r="Q307" s="11">
        <v>0.23799999999999999</v>
      </c>
      <c r="R307" s="11"/>
      <c r="S307" s="27"/>
      <c r="T307" s="11">
        <v>0.77300000000000002</v>
      </c>
      <c r="U307" s="11"/>
      <c r="V307" s="14"/>
      <c r="W307" s="13"/>
      <c r="X307" s="63">
        <v>0.39</v>
      </c>
      <c r="Y307" s="14"/>
      <c r="Z307" s="15">
        <v>0.09</v>
      </c>
      <c r="AA307" s="8"/>
      <c r="AC307" s="15">
        <v>0.63</v>
      </c>
      <c r="AD307" s="8"/>
      <c r="AE307" s="14"/>
      <c r="AF307" s="8">
        <v>0.53</v>
      </c>
      <c r="AG307" s="8"/>
      <c r="AH307" s="14"/>
      <c r="AI307" s="13"/>
      <c r="AJ307" s="63">
        <v>0.34</v>
      </c>
      <c r="AK307" s="14"/>
      <c r="AL307" s="68"/>
      <c r="AM307" s="63">
        <v>0.35</v>
      </c>
      <c r="AN307" s="4"/>
      <c r="AQ307" s="67"/>
    </row>
    <row r="308" spans="1:43" x14ac:dyDescent="0.2">
      <c r="A308" s="110">
        <v>36982</v>
      </c>
      <c r="B308" s="15">
        <v>0</v>
      </c>
      <c r="C308" s="2"/>
      <c r="D308" s="165"/>
      <c r="E308" s="28">
        <v>0.04</v>
      </c>
      <c r="F308" s="165"/>
      <c r="G308" s="174"/>
      <c r="H308" s="8">
        <v>0.22</v>
      </c>
      <c r="I308" s="165"/>
      <c r="J308" s="182"/>
      <c r="K308" s="23"/>
      <c r="L308" s="8">
        <v>0.13</v>
      </c>
      <c r="M308" s="14"/>
      <c r="N308" s="17">
        <v>0</v>
      </c>
      <c r="O308" s="11"/>
      <c r="P308" s="38"/>
      <c r="Q308" s="11">
        <v>0.20799999999999999</v>
      </c>
      <c r="R308" s="11"/>
      <c r="S308" s="27"/>
      <c r="T308" s="11">
        <v>0.752</v>
      </c>
      <c r="U308" s="11"/>
      <c r="V308" s="14"/>
      <c r="W308" s="13"/>
      <c r="X308" s="63">
        <v>0.37</v>
      </c>
      <c r="Y308" s="14"/>
      <c r="Z308" s="15">
        <v>0.1</v>
      </c>
      <c r="AA308" s="8"/>
      <c r="AC308" s="15">
        <v>0.63</v>
      </c>
      <c r="AD308" s="8"/>
      <c r="AE308" s="14"/>
      <c r="AF308" s="8">
        <v>0.75</v>
      </c>
      <c r="AG308" s="8"/>
      <c r="AH308" s="14"/>
      <c r="AI308" s="13"/>
      <c r="AJ308" s="63">
        <v>0.32</v>
      </c>
      <c r="AK308" s="14"/>
      <c r="AL308" s="68"/>
      <c r="AM308" s="63">
        <v>0.33</v>
      </c>
      <c r="AN308" s="4"/>
      <c r="AQ308" s="67"/>
    </row>
    <row r="309" spans="1:43" x14ac:dyDescent="0.2">
      <c r="A309" s="110">
        <v>36951</v>
      </c>
      <c r="B309" s="15">
        <v>0</v>
      </c>
      <c r="C309" s="2"/>
      <c r="D309" s="165"/>
      <c r="E309" s="28">
        <v>0.04</v>
      </c>
      <c r="F309" s="165"/>
      <c r="G309" s="174"/>
      <c r="H309" s="8">
        <v>0.25</v>
      </c>
      <c r="I309" s="165"/>
      <c r="J309" s="182"/>
      <c r="K309" s="23"/>
      <c r="L309" s="8">
        <v>0.09</v>
      </c>
      <c r="M309" s="14"/>
      <c r="N309" s="17">
        <v>0</v>
      </c>
      <c r="O309" s="11"/>
      <c r="P309" s="38"/>
      <c r="Q309" s="11">
        <v>0.14299999999999999</v>
      </c>
      <c r="R309" s="11"/>
      <c r="S309" s="27"/>
      <c r="T309" s="11">
        <v>0.629</v>
      </c>
      <c r="U309" s="11"/>
      <c r="V309" s="14"/>
      <c r="W309" s="13"/>
      <c r="X309" s="63">
        <v>0.3</v>
      </c>
      <c r="Y309" s="14"/>
      <c r="Z309" s="15">
        <v>0.09</v>
      </c>
      <c r="AA309" s="8"/>
      <c r="AC309" s="15">
        <v>0.64</v>
      </c>
      <c r="AD309" s="8"/>
      <c r="AE309" s="14"/>
      <c r="AF309" s="8">
        <v>0.68</v>
      </c>
      <c r="AG309" s="8"/>
      <c r="AH309" s="14"/>
      <c r="AI309" s="13"/>
      <c r="AJ309" s="63">
        <v>0.39</v>
      </c>
      <c r="AK309" s="14"/>
      <c r="AL309" s="68"/>
      <c r="AM309" s="63">
        <v>0.27</v>
      </c>
      <c r="AN309" s="4"/>
      <c r="AQ309" s="67"/>
    </row>
    <row r="310" spans="1:43" x14ac:dyDescent="0.2">
      <c r="A310" s="110">
        <v>36923</v>
      </c>
      <c r="B310" s="15">
        <v>0</v>
      </c>
      <c r="C310" s="2"/>
      <c r="D310" s="165"/>
      <c r="E310" s="28">
        <v>0.03</v>
      </c>
      <c r="F310" s="165"/>
      <c r="G310" s="174"/>
      <c r="H310" s="8">
        <v>0.28999999999999998</v>
      </c>
      <c r="I310" s="165"/>
      <c r="J310" s="182"/>
      <c r="K310" s="23"/>
      <c r="L310" s="8">
        <v>0.11</v>
      </c>
      <c r="M310" s="14"/>
      <c r="N310" s="17">
        <v>0</v>
      </c>
      <c r="O310" s="11"/>
      <c r="P310" s="38"/>
      <c r="Q310" s="11">
        <v>0.14699999999999999</v>
      </c>
      <c r="R310" s="11"/>
      <c r="S310" s="27"/>
      <c r="T310" s="11">
        <v>0.61699999999999999</v>
      </c>
      <c r="U310" s="11"/>
      <c r="V310" s="14"/>
      <c r="W310" s="13"/>
      <c r="X310" s="63">
        <v>0.3</v>
      </c>
      <c r="Y310" s="14"/>
      <c r="Z310" s="15">
        <v>0.09</v>
      </c>
      <c r="AA310" s="8"/>
      <c r="AC310" s="15">
        <v>0.65</v>
      </c>
      <c r="AD310" s="8"/>
      <c r="AE310" s="14"/>
      <c r="AF310" s="8">
        <v>0.74</v>
      </c>
      <c r="AG310" s="8"/>
      <c r="AH310" s="14"/>
      <c r="AI310" s="13"/>
      <c r="AJ310" s="63">
        <v>0.37</v>
      </c>
      <c r="AK310" s="14"/>
      <c r="AL310" s="68"/>
      <c r="AM310" s="63">
        <v>0.27</v>
      </c>
      <c r="AN310" s="4"/>
      <c r="AQ310" s="67"/>
    </row>
    <row r="311" spans="1:43" x14ac:dyDescent="0.2">
      <c r="A311" s="110">
        <v>36892</v>
      </c>
      <c r="B311" s="15">
        <v>0</v>
      </c>
      <c r="C311" s="2"/>
      <c r="D311" s="165"/>
      <c r="E311" s="28">
        <v>0.03</v>
      </c>
      <c r="F311" s="165"/>
      <c r="G311" s="174"/>
      <c r="H311" s="8">
        <v>0.28999999999999998</v>
      </c>
      <c r="I311" s="165"/>
      <c r="J311" s="182"/>
      <c r="K311" s="23"/>
      <c r="L311" s="8">
        <v>0.12</v>
      </c>
      <c r="M311" s="14"/>
      <c r="N311" s="17">
        <v>0</v>
      </c>
      <c r="O311" s="11"/>
      <c r="P311" s="38"/>
      <c r="Q311" s="11">
        <v>0.14499999999999999</v>
      </c>
      <c r="R311" s="11"/>
      <c r="S311" s="27"/>
      <c r="T311" s="11">
        <v>0.65400000000000003</v>
      </c>
      <c r="U311" s="11"/>
      <c r="V311" s="14"/>
      <c r="W311" s="13"/>
      <c r="X311" s="63">
        <v>0.32</v>
      </c>
      <c r="Y311" s="14"/>
      <c r="Z311" s="15">
        <v>0.08</v>
      </c>
      <c r="AA311" s="8"/>
      <c r="AC311" s="15">
        <v>0.64</v>
      </c>
      <c r="AD311" s="8"/>
      <c r="AE311" s="14"/>
      <c r="AF311" s="8">
        <v>0.73</v>
      </c>
      <c r="AG311" s="8"/>
      <c r="AH311" s="14"/>
      <c r="AI311" s="13"/>
      <c r="AJ311" s="63">
        <v>0.39</v>
      </c>
      <c r="AK311" s="14"/>
      <c r="AL311" s="68"/>
      <c r="AM311" s="63">
        <v>0.28999999999999998</v>
      </c>
      <c r="AN311" s="4"/>
      <c r="AQ311" s="67"/>
    </row>
    <row r="312" spans="1:43" x14ac:dyDescent="0.2">
      <c r="A312" s="110">
        <v>36861</v>
      </c>
      <c r="B312" s="15">
        <v>0</v>
      </c>
      <c r="C312" s="2"/>
      <c r="D312" s="165"/>
      <c r="E312" s="28">
        <v>0.03</v>
      </c>
      <c r="F312" s="165"/>
      <c r="G312" s="174"/>
      <c r="H312" s="8">
        <v>0.28999999999999998</v>
      </c>
      <c r="I312" s="165"/>
      <c r="J312" s="182"/>
      <c r="K312" s="23"/>
      <c r="L312" s="8">
        <v>0.12</v>
      </c>
      <c r="M312" s="14"/>
      <c r="N312" s="17">
        <v>0</v>
      </c>
      <c r="O312" s="11"/>
      <c r="P312" s="38"/>
      <c r="Q312" s="11">
        <v>0.14000000000000001</v>
      </c>
      <c r="R312" s="11"/>
      <c r="S312" s="27"/>
      <c r="T312" s="11">
        <v>0.68500000000000005</v>
      </c>
      <c r="U312" s="11"/>
      <c r="V312" s="14"/>
      <c r="W312" s="13"/>
      <c r="X312" s="63">
        <v>0.33</v>
      </c>
      <c r="Y312" s="14"/>
      <c r="Z312" s="15">
        <v>0.1</v>
      </c>
      <c r="AA312" s="8"/>
      <c r="AC312" s="15">
        <v>0.64</v>
      </c>
      <c r="AD312" s="8"/>
      <c r="AE312" s="14"/>
      <c r="AF312" s="8">
        <v>0.68</v>
      </c>
      <c r="AG312" s="8"/>
      <c r="AH312" s="14"/>
      <c r="AI312" s="13"/>
      <c r="AJ312" s="63">
        <v>0.38</v>
      </c>
      <c r="AK312" s="14"/>
      <c r="AL312" s="68"/>
      <c r="AM312" s="63">
        <v>0.3</v>
      </c>
      <c r="AN312" s="4"/>
      <c r="AQ312" s="67"/>
    </row>
    <row r="313" spans="1:43" x14ac:dyDescent="0.2">
      <c r="A313" s="110">
        <v>36831</v>
      </c>
      <c r="B313" s="15">
        <v>0</v>
      </c>
      <c r="C313" s="2"/>
      <c r="D313" s="165"/>
      <c r="E313" s="28">
        <v>0.03</v>
      </c>
      <c r="F313" s="165"/>
      <c r="G313" s="174"/>
      <c r="H313" s="8">
        <v>0.28000000000000003</v>
      </c>
      <c r="I313" s="165"/>
      <c r="J313" s="182"/>
      <c r="K313" s="23"/>
      <c r="L313" s="8">
        <v>0.12</v>
      </c>
      <c r="M313" s="14"/>
      <c r="N313" s="17">
        <v>0</v>
      </c>
      <c r="O313" s="11"/>
      <c r="P313" s="38"/>
      <c r="Q313" s="11">
        <v>6.7000000000000004E-2</v>
      </c>
      <c r="R313" s="11"/>
      <c r="S313" s="27"/>
      <c r="T313" s="11">
        <v>0.63400000000000001</v>
      </c>
      <c r="U313" s="11"/>
      <c r="V313" s="14"/>
      <c r="W313" s="13"/>
      <c r="X313" s="63">
        <v>0.3</v>
      </c>
      <c r="Y313" s="14"/>
      <c r="Z313" s="15">
        <v>0.09</v>
      </c>
      <c r="AA313" s="8"/>
      <c r="AC313" s="15">
        <v>0.76</v>
      </c>
      <c r="AD313" s="8"/>
      <c r="AE313" s="14"/>
      <c r="AF313" s="8">
        <v>0.52</v>
      </c>
      <c r="AG313" s="8"/>
      <c r="AH313" s="14"/>
      <c r="AI313" s="13"/>
      <c r="AJ313" s="63">
        <v>0.38</v>
      </c>
      <c r="AK313" s="14"/>
      <c r="AL313" s="68"/>
      <c r="AM313" s="63">
        <v>0.27</v>
      </c>
      <c r="AN313" s="4"/>
      <c r="AQ313" s="67"/>
    </row>
    <row r="314" spans="1:43" x14ac:dyDescent="0.2">
      <c r="A314" s="110">
        <v>36800</v>
      </c>
      <c r="B314" s="15">
        <v>0</v>
      </c>
      <c r="C314" s="2"/>
      <c r="D314" s="165"/>
      <c r="E314" s="28">
        <v>0.02</v>
      </c>
      <c r="F314" s="165"/>
      <c r="G314" s="174"/>
      <c r="H314" s="8">
        <v>0.43</v>
      </c>
      <c r="I314" s="165"/>
      <c r="J314" s="182"/>
      <c r="K314" s="23"/>
      <c r="L314" s="8">
        <v>0.11</v>
      </c>
      <c r="M314" s="14"/>
      <c r="N314" s="17">
        <v>0</v>
      </c>
      <c r="O314" s="11"/>
      <c r="P314" s="38"/>
      <c r="Q314" s="29">
        <v>8.5000000000000006E-2</v>
      </c>
      <c r="R314" s="11"/>
      <c r="S314" s="27"/>
      <c r="T314" s="29">
        <v>0.64500000000000002</v>
      </c>
      <c r="U314" s="11"/>
      <c r="V314" s="14"/>
      <c r="W314" s="13"/>
      <c r="X314" s="63">
        <v>0.3</v>
      </c>
      <c r="Y314" s="14"/>
      <c r="Z314" s="15">
        <v>7.0000000000000007E-2</v>
      </c>
      <c r="AA314" s="8"/>
      <c r="AC314" s="15">
        <v>0.67</v>
      </c>
      <c r="AD314" s="8"/>
      <c r="AE314" s="14"/>
      <c r="AF314" s="8">
        <v>0.52</v>
      </c>
      <c r="AG314" s="8"/>
      <c r="AH314" s="14"/>
      <c r="AI314" s="13"/>
      <c r="AJ314" s="63">
        <v>0.36</v>
      </c>
      <c r="AK314" s="14"/>
      <c r="AL314" s="68"/>
      <c r="AM314" s="63">
        <v>0.27</v>
      </c>
      <c r="AN314" s="4"/>
      <c r="AQ314" s="67"/>
    </row>
    <row r="315" spans="1:43" x14ac:dyDescent="0.2">
      <c r="A315" s="110">
        <v>36770</v>
      </c>
      <c r="B315" s="15">
        <v>0</v>
      </c>
      <c r="C315" s="2"/>
      <c r="D315" s="165"/>
      <c r="E315" s="28">
        <v>0.02</v>
      </c>
      <c r="F315" s="165"/>
      <c r="G315" s="174"/>
      <c r="H315" s="8">
        <v>0.47</v>
      </c>
      <c r="I315" s="165"/>
      <c r="J315" s="182"/>
      <c r="K315" s="23"/>
      <c r="L315" s="8">
        <v>0.17</v>
      </c>
      <c r="M315" s="14"/>
      <c r="N315" s="17">
        <v>0</v>
      </c>
      <c r="O315" s="11"/>
      <c r="P315" s="38"/>
      <c r="Q315" s="29">
        <v>5.7000000000000002E-2</v>
      </c>
      <c r="R315" s="11"/>
      <c r="S315" s="27"/>
      <c r="T315" s="29">
        <v>0.60399999999999998</v>
      </c>
      <c r="U315" s="11"/>
      <c r="V315" s="14"/>
      <c r="W315" s="13"/>
      <c r="X315" s="63">
        <v>2.8000000000000004E-3</v>
      </c>
      <c r="Y315" s="14"/>
      <c r="Z315" s="15"/>
      <c r="AA315" s="8"/>
      <c r="AC315" s="15"/>
      <c r="AD315" s="8"/>
      <c r="AE315" s="14"/>
      <c r="AF315" s="8"/>
      <c r="AG315" s="8"/>
      <c r="AH315" s="14"/>
      <c r="AI315" s="13"/>
      <c r="AJ315" s="63">
        <v>3.2000000000000002E-3</v>
      </c>
      <c r="AK315" s="14"/>
      <c r="AL315" s="68"/>
      <c r="AM315" s="63">
        <v>2.5999999999999999E-3</v>
      </c>
      <c r="AN315" s="4"/>
      <c r="AQ315" s="67"/>
    </row>
    <row r="316" spans="1:43" x14ac:dyDescent="0.2">
      <c r="A316" s="110">
        <v>36739</v>
      </c>
      <c r="B316" s="15">
        <v>0</v>
      </c>
      <c r="C316" s="2"/>
      <c r="D316" s="165"/>
      <c r="E316" s="28">
        <v>0.02</v>
      </c>
      <c r="F316" s="165"/>
      <c r="G316" s="174"/>
      <c r="H316" s="8">
        <v>0.47</v>
      </c>
      <c r="I316" s="165"/>
      <c r="J316" s="182"/>
      <c r="K316" s="23"/>
      <c r="L316" s="8">
        <v>0.19</v>
      </c>
      <c r="M316" s="14"/>
      <c r="N316" s="17">
        <v>0</v>
      </c>
      <c r="O316" s="11"/>
      <c r="P316" s="38"/>
      <c r="Q316" s="29">
        <v>6.8000000000000005E-2</v>
      </c>
      <c r="R316" s="11"/>
      <c r="S316" s="27"/>
      <c r="T316" s="29">
        <v>0.59599999999999997</v>
      </c>
      <c r="U316" s="11"/>
      <c r="V316" s="14"/>
      <c r="W316" s="13"/>
      <c r="X316" s="63">
        <v>2.7000000000000001E-3</v>
      </c>
      <c r="Y316" s="14"/>
      <c r="Z316" s="15">
        <v>0.04</v>
      </c>
      <c r="AA316" s="8"/>
      <c r="AC316" s="15">
        <v>0.43</v>
      </c>
      <c r="AD316" s="8"/>
      <c r="AE316" s="14"/>
      <c r="AF316" s="8">
        <v>0.65</v>
      </c>
      <c r="AG316" s="8"/>
      <c r="AH316" s="14"/>
      <c r="AI316" s="13"/>
      <c r="AJ316" s="63">
        <v>3.0000000000000001E-3</v>
      </c>
      <c r="AK316" s="14"/>
      <c r="AL316" s="68"/>
      <c r="AM316" s="63">
        <v>2.7000000000000001E-3</v>
      </c>
      <c r="AN316" s="4"/>
      <c r="AQ316" s="67"/>
    </row>
    <row r="317" spans="1:43" x14ac:dyDescent="0.2">
      <c r="A317" s="110">
        <v>36708</v>
      </c>
      <c r="B317" s="13"/>
      <c r="E317" s="26"/>
      <c r="G317" s="175"/>
      <c r="I317" s="165"/>
      <c r="J317" s="182"/>
      <c r="K317" s="23"/>
      <c r="L317" s="8">
        <v>0</v>
      </c>
      <c r="M317" s="14"/>
      <c r="N317" s="17">
        <v>0</v>
      </c>
      <c r="O317" s="11"/>
      <c r="P317" s="38"/>
      <c r="Q317" s="29">
        <v>5.8000000000000003E-2</v>
      </c>
      <c r="R317" s="11"/>
      <c r="S317" s="27"/>
      <c r="T317" s="29">
        <v>0.58699999999999997</v>
      </c>
      <c r="U317" s="11"/>
      <c r="V317" s="14"/>
      <c r="W317" s="13"/>
      <c r="X317" s="63">
        <v>0</v>
      </c>
      <c r="Y317" s="14"/>
      <c r="Z317" s="23"/>
      <c r="AA317" s="2"/>
      <c r="AB317" s="2"/>
      <c r="AC317" s="23"/>
      <c r="AD317" s="2"/>
      <c r="AE317" s="16"/>
      <c r="AF317" s="2"/>
      <c r="AG317" s="2"/>
      <c r="AH317" s="14"/>
      <c r="AI317" s="13"/>
      <c r="AJ317" s="63">
        <v>0</v>
      </c>
      <c r="AK317" s="14"/>
      <c r="AL317" s="68"/>
      <c r="AM317" s="63">
        <v>0</v>
      </c>
      <c r="AN317" s="4"/>
      <c r="AQ317" s="67"/>
    </row>
    <row r="318" spans="1:43" ht="13.5" thickBot="1" x14ac:dyDescent="0.25">
      <c r="A318" s="111">
        <v>36678</v>
      </c>
      <c r="B318" s="87"/>
      <c r="C318" s="89"/>
      <c r="D318" s="167"/>
      <c r="E318" s="90"/>
      <c r="F318" s="167"/>
      <c r="G318" s="176"/>
      <c r="H318" s="89"/>
      <c r="I318" s="167"/>
      <c r="J318" s="183"/>
      <c r="K318" s="91"/>
      <c r="L318" s="88">
        <v>0</v>
      </c>
      <c r="M318" s="92"/>
      <c r="N318" s="93">
        <v>0</v>
      </c>
      <c r="O318" s="94"/>
      <c r="P318" s="95"/>
      <c r="Q318" s="96">
        <v>5.8000000000000003E-2</v>
      </c>
      <c r="R318" s="94"/>
      <c r="S318" s="95"/>
      <c r="T318" s="96">
        <v>0.60599999999999998</v>
      </c>
      <c r="U318" s="94"/>
      <c r="V318" s="97"/>
      <c r="W318" s="98"/>
      <c r="X318" s="88">
        <v>0</v>
      </c>
      <c r="Y318" s="92"/>
      <c r="Z318" s="98"/>
      <c r="AA318" s="99"/>
      <c r="AB318" s="97"/>
      <c r="AC318" s="98"/>
      <c r="AD318" s="99"/>
      <c r="AE318" s="97"/>
      <c r="AF318" s="99"/>
      <c r="AG318" s="99"/>
      <c r="AH318" s="92"/>
      <c r="AI318" s="101"/>
      <c r="AJ318" s="102">
        <v>0</v>
      </c>
      <c r="AK318" s="92"/>
      <c r="AL318" s="103"/>
      <c r="AM318" s="104">
        <v>0</v>
      </c>
      <c r="AN318" s="105"/>
      <c r="AO318" s="106"/>
      <c r="AP318" s="106"/>
      <c r="AQ318" s="107"/>
    </row>
    <row r="319" spans="1:43" ht="15" x14ac:dyDescent="0.2">
      <c r="C319" s="155"/>
      <c r="D319" s="157"/>
      <c r="E319" s="72"/>
      <c r="F319" s="157"/>
      <c r="O319" s="10"/>
      <c r="R319" s="3"/>
      <c r="U319" s="3"/>
      <c r="AA319" s="85"/>
      <c r="AB319" s="85"/>
      <c r="AD319" s="85"/>
      <c r="AE319" s="85"/>
      <c r="AG319" s="85"/>
      <c r="AH319" s="85"/>
    </row>
  </sheetData>
  <mergeCells count="17">
    <mergeCell ref="AI4:AK4"/>
    <mergeCell ref="Z3:AK3"/>
    <mergeCell ref="AL3:AQ3"/>
    <mergeCell ref="B3:M3"/>
    <mergeCell ref="K4:M4"/>
    <mergeCell ref="W4:Y4"/>
    <mergeCell ref="N3:Y3"/>
    <mergeCell ref="Q4:S4"/>
    <mergeCell ref="T4:V4"/>
    <mergeCell ref="H4:J4"/>
    <mergeCell ref="A3:A5"/>
    <mergeCell ref="Z4:AB4"/>
    <mergeCell ref="AC4:AE4"/>
    <mergeCell ref="AF4:AH4"/>
    <mergeCell ref="B4:D4"/>
    <mergeCell ref="E4:G4"/>
    <mergeCell ref="N4:P4"/>
  </mergeCells>
  <phoneticPr fontId="3" type="noConversion"/>
  <pageMargins left="0.75" right="0.75" top="1" bottom="1" header="0.5" footer="0.5"/>
  <pageSetup orientation="portrait" r:id="rId1"/>
  <headerFooter alignWithMargins="0"/>
  <ignoredErrors>
    <ignoredError sqref="AM215 AM216:AM234"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AX324"/>
  <sheetViews>
    <sheetView zoomScale="80" zoomScaleNormal="80" workbookViewId="0">
      <pane xSplit="1" ySplit="4" topLeftCell="B5" activePane="bottomRight" state="frozen"/>
      <selection pane="topRight" activeCell="B1" sqref="B1"/>
      <selection pane="bottomLeft" activeCell="A5" sqref="A5"/>
      <selection pane="bottomRight"/>
    </sheetView>
  </sheetViews>
  <sheetFormatPr defaultRowHeight="12.75" x14ac:dyDescent="0.2"/>
  <cols>
    <col min="1" max="1" width="10.140625" customWidth="1"/>
    <col min="2" max="2" width="16.140625" customWidth="1"/>
    <col min="3" max="3" width="10" customWidth="1"/>
    <col min="4" max="4" width="18.5703125" customWidth="1"/>
    <col min="5" max="5" width="10" customWidth="1"/>
    <col min="6" max="6" width="8.28515625" customWidth="1"/>
    <col min="7" max="7" width="18.5703125" customWidth="1"/>
    <col min="8" max="8" width="8.140625" customWidth="1"/>
    <col min="9" max="9" width="11.140625" customWidth="1"/>
    <col min="10" max="10" width="15.42578125" customWidth="1"/>
    <col min="11" max="11" width="8.5703125" customWidth="1"/>
    <col min="12" max="12" width="7.140625" customWidth="1"/>
    <col min="13" max="13" width="18.5703125" customWidth="1"/>
    <col min="14" max="14" width="10.140625" customWidth="1"/>
    <col min="15" max="15" width="7.140625" customWidth="1"/>
    <col min="16" max="16" width="18.5703125" customWidth="1"/>
    <col min="17" max="17" width="7.140625" customWidth="1"/>
    <col min="18" max="18" width="12.5703125" customWidth="1"/>
    <col min="19" max="19" width="18.5703125" customWidth="1"/>
    <col min="20" max="20" width="6.42578125" customWidth="1"/>
    <col min="21" max="21" width="12.42578125" customWidth="1"/>
    <col min="22" max="22" width="18.5703125" customWidth="1"/>
    <col min="23" max="23" width="9.140625" customWidth="1"/>
    <col min="24" max="24" width="7.140625" customWidth="1"/>
    <col min="25" max="25" width="18.5703125" customWidth="1"/>
    <col min="26" max="26" width="6.42578125" customWidth="1"/>
    <col min="27" max="27" width="7.140625" customWidth="1"/>
    <col min="28" max="28" width="18.5703125" customWidth="1"/>
    <col min="29" max="29" width="6.42578125" customWidth="1"/>
    <col min="30" max="30" width="12.5703125" customWidth="1"/>
    <col min="31" max="31" width="18.5703125" customWidth="1"/>
    <col min="32" max="32" width="6.42578125" customWidth="1"/>
    <col min="33" max="33" width="7.140625" customWidth="1"/>
    <col min="34" max="34" width="18.5703125" customWidth="1"/>
    <col min="35" max="35" width="6.42578125" customWidth="1"/>
    <col min="36" max="36" width="7.140625" customWidth="1"/>
    <col min="37" max="37" width="18.5703125" customWidth="1"/>
    <col min="38" max="38" width="12" bestFit="1" customWidth="1"/>
    <col min="39" max="41" width="12" customWidth="1"/>
    <col min="42" max="42" width="11.85546875" customWidth="1"/>
    <col min="43" max="43" width="14.42578125" bestFit="1" customWidth="1"/>
    <col min="44" max="44" width="10.42578125" customWidth="1"/>
    <col min="45" max="45" width="16.140625" bestFit="1" customWidth="1"/>
    <col min="46" max="46" width="11.28515625" customWidth="1"/>
  </cols>
  <sheetData>
    <row r="1" spans="1:46" ht="15.75" thickBot="1" x14ac:dyDescent="0.25">
      <c r="A1" s="112" t="s">
        <v>23</v>
      </c>
      <c r="N1" s="72"/>
      <c r="O1" s="72"/>
      <c r="P1" s="72"/>
      <c r="Q1" s="72"/>
      <c r="R1" s="72"/>
      <c r="S1" s="72"/>
    </row>
    <row r="2" spans="1:46" ht="18.75" thickBot="1" x14ac:dyDescent="0.3">
      <c r="A2" s="203" t="s">
        <v>0</v>
      </c>
      <c r="B2" s="194" t="s">
        <v>47</v>
      </c>
      <c r="C2" s="214"/>
      <c r="D2" s="214"/>
      <c r="E2" s="214"/>
      <c r="F2" s="214"/>
      <c r="G2" s="214"/>
      <c r="H2" s="214"/>
      <c r="I2" s="214"/>
      <c r="J2" s="214"/>
      <c r="K2" s="214"/>
      <c r="L2" s="214"/>
      <c r="M2" s="215"/>
      <c r="N2" s="194" t="s">
        <v>14</v>
      </c>
      <c r="O2" s="214"/>
      <c r="P2" s="214"/>
      <c r="Q2" s="214"/>
      <c r="R2" s="214"/>
      <c r="S2" s="214"/>
      <c r="T2" s="214"/>
      <c r="U2" s="214"/>
      <c r="V2" s="214"/>
      <c r="W2" s="214"/>
      <c r="X2" s="214"/>
      <c r="Y2" s="215"/>
      <c r="Z2" s="194" t="s">
        <v>48</v>
      </c>
      <c r="AA2" s="214"/>
      <c r="AB2" s="214"/>
      <c r="AC2" s="214"/>
      <c r="AD2" s="214"/>
      <c r="AE2" s="214"/>
      <c r="AF2" s="214"/>
      <c r="AG2" s="214"/>
      <c r="AH2" s="214"/>
      <c r="AI2" s="214"/>
      <c r="AJ2" s="214"/>
      <c r="AK2" s="215"/>
      <c r="AL2" s="201" t="s">
        <v>2</v>
      </c>
      <c r="AM2" s="202"/>
      <c r="AN2" s="202"/>
      <c r="AO2" s="202"/>
      <c r="AP2" s="216"/>
      <c r="AQ2" s="216"/>
      <c r="AR2" s="216"/>
      <c r="AS2" s="216"/>
      <c r="AT2" s="217"/>
    </row>
    <row r="3" spans="1:46" x14ac:dyDescent="0.2">
      <c r="A3" s="204"/>
      <c r="B3" s="209" t="s">
        <v>1</v>
      </c>
      <c r="C3" s="210"/>
      <c r="D3" s="210"/>
      <c r="E3" s="206" t="s">
        <v>3</v>
      </c>
      <c r="F3" s="207"/>
      <c r="G3" s="208"/>
      <c r="H3" s="213" t="s">
        <v>4</v>
      </c>
      <c r="I3" s="207"/>
      <c r="J3" s="207"/>
      <c r="K3" s="209" t="s">
        <v>53</v>
      </c>
      <c r="L3" s="207"/>
      <c r="M3" s="212"/>
      <c r="N3" s="209" t="s">
        <v>1</v>
      </c>
      <c r="O3" s="210"/>
      <c r="P3" s="211"/>
      <c r="Q3" s="206" t="s">
        <v>3</v>
      </c>
      <c r="R3" s="207"/>
      <c r="S3" s="208"/>
      <c r="T3" s="206" t="s">
        <v>4</v>
      </c>
      <c r="U3" s="207"/>
      <c r="V3" s="212"/>
      <c r="W3" s="188" t="s">
        <v>22</v>
      </c>
      <c r="X3" s="189"/>
      <c r="Y3" s="192"/>
      <c r="Z3" s="188" t="s">
        <v>1</v>
      </c>
      <c r="AA3" s="216"/>
      <c r="AB3" s="218"/>
      <c r="AC3" s="190" t="s">
        <v>3</v>
      </c>
      <c r="AD3" s="193"/>
      <c r="AE3" s="219"/>
      <c r="AF3" s="190" t="s">
        <v>4</v>
      </c>
      <c r="AG3" s="193"/>
      <c r="AH3" s="220"/>
      <c r="AI3" s="188" t="s">
        <v>54</v>
      </c>
      <c r="AJ3" s="189"/>
      <c r="AK3" s="192"/>
      <c r="AL3" s="188" t="s">
        <v>28</v>
      </c>
      <c r="AM3" s="189"/>
      <c r="AN3" s="189"/>
      <c r="AO3" s="192"/>
      <c r="AP3" s="128"/>
      <c r="AQ3" s="189" t="s">
        <v>29</v>
      </c>
      <c r="AR3" s="189"/>
      <c r="AS3" s="189"/>
      <c r="AT3" s="192"/>
    </row>
    <row r="4" spans="1:46" ht="13.5" customHeight="1" x14ac:dyDescent="0.2">
      <c r="A4" s="205"/>
      <c r="B4" s="122" t="s">
        <v>10</v>
      </c>
      <c r="C4" s="117" t="s">
        <v>8</v>
      </c>
      <c r="D4" s="117" t="s">
        <v>9</v>
      </c>
      <c r="E4" s="123" t="s">
        <v>10</v>
      </c>
      <c r="F4" s="117" t="s">
        <v>8</v>
      </c>
      <c r="G4" s="124" t="s">
        <v>9</v>
      </c>
      <c r="H4" s="117" t="s">
        <v>10</v>
      </c>
      <c r="I4" s="117" t="s">
        <v>8</v>
      </c>
      <c r="J4" s="117" t="s">
        <v>9</v>
      </c>
      <c r="K4" s="116" t="s">
        <v>10</v>
      </c>
      <c r="L4" s="117" t="s">
        <v>8</v>
      </c>
      <c r="M4" s="125" t="s">
        <v>9</v>
      </c>
      <c r="N4" s="116" t="s">
        <v>10</v>
      </c>
      <c r="O4" s="117" t="s">
        <v>8</v>
      </c>
      <c r="P4" s="117" t="s">
        <v>9</v>
      </c>
      <c r="Q4" s="126" t="s">
        <v>10</v>
      </c>
      <c r="R4" s="117" t="s">
        <v>8</v>
      </c>
      <c r="S4" s="124" t="s">
        <v>9</v>
      </c>
      <c r="T4" s="117" t="s">
        <v>10</v>
      </c>
      <c r="U4" s="117" t="s">
        <v>8</v>
      </c>
      <c r="V4" s="125" t="s">
        <v>9</v>
      </c>
      <c r="W4" s="117" t="s">
        <v>10</v>
      </c>
      <c r="X4" s="117" t="s">
        <v>8</v>
      </c>
      <c r="Y4" s="125" t="s">
        <v>9</v>
      </c>
      <c r="Z4" s="116" t="s">
        <v>10</v>
      </c>
      <c r="AA4" s="117" t="s">
        <v>8</v>
      </c>
      <c r="AB4" s="4" t="s">
        <v>9</v>
      </c>
      <c r="AC4" s="126" t="s">
        <v>10</v>
      </c>
      <c r="AD4" s="117" t="s">
        <v>8</v>
      </c>
      <c r="AE4" s="124" t="s">
        <v>9</v>
      </c>
      <c r="AF4" s="117" t="s">
        <v>10</v>
      </c>
      <c r="AG4" s="117" t="s">
        <v>8</v>
      </c>
      <c r="AH4" s="125" t="s">
        <v>9</v>
      </c>
      <c r="AI4" s="116" t="s">
        <v>10</v>
      </c>
      <c r="AJ4" s="117" t="s">
        <v>8</v>
      </c>
      <c r="AK4" s="125" t="s">
        <v>9</v>
      </c>
      <c r="AL4" s="116" t="s">
        <v>26</v>
      </c>
      <c r="AM4" s="117" t="s">
        <v>25</v>
      </c>
      <c r="AN4" s="117" t="s">
        <v>21</v>
      </c>
      <c r="AO4" s="125" t="s">
        <v>27</v>
      </c>
      <c r="AP4" s="122" t="s">
        <v>10</v>
      </c>
      <c r="AQ4" s="117" t="s">
        <v>15</v>
      </c>
      <c r="AR4" s="117" t="s">
        <v>24</v>
      </c>
      <c r="AS4" s="117" t="s">
        <v>25</v>
      </c>
      <c r="AT4" s="125" t="s">
        <v>21</v>
      </c>
    </row>
    <row r="5" spans="1:46" ht="18" customHeight="1" x14ac:dyDescent="0.2">
      <c r="A5" s="109">
        <v>46203</v>
      </c>
      <c r="B5" s="3">
        <v>9177</v>
      </c>
      <c r="C5" s="153">
        <v>7.0565167243367935E-2</v>
      </c>
      <c r="D5" s="3">
        <v>130050</v>
      </c>
      <c r="E5" s="134">
        <v>898</v>
      </c>
      <c r="F5" s="153">
        <v>0.51997683844817599</v>
      </c>
      <c r="G5" s="3">
        <v>1727</v>
      </c>
      <c r="H5" s="134">
        <v>31</v>
      </c>
      <c r="I5" s="153">
        <v>0.64583333333333337</v>
      </c>
      <c r="J5" s="3">
        <v>48</v>
      </c>
      <c r="K5" s="154">
        <v>10106</v>
      </c>
      <c r="L5" s="153">
        <v>7.6662241608192683E-2</v>
      </c>
      <c r="M5" s="18">
        <v>131825</v>
      </c>
      <c r="N5" s="3">
        <v>62423</v>
      </c>
      <c r="O5" s="6">
        <v>9.2920683310806385E-2</v>
      </c>
      <c r="P5" s="130">
        <v>671788</v>
      </c>
      <c r="Q5" s="55">
        <v>5347</v>
      </c>
      <c r="R5" s="6">
        <v>0.55535936850851686</v>
      </c>
      <c r="S5" s="33">
        <v>9628</v>
      </c>
      <c r="T5" s="55">
        <v>308</v>
      </c>
      <c r="U5" s="6">
        <v>0.83695652173913049</v>
      </c>
      <c r="V5" s="33">
        <v>368</v>
      </c>
      <c r="W5" s="52">
        <v>68078</v>
      </c>
      <c r="X5" s="6">
        <v>9.98527392839961E-2</v>
      </c>
      <c r="Y5" s="21">
        <v>681784</v>
      </c>
      <c r="Z5" s="3">
        <v>185</v>
      </c>
      <c r="AA5" s="153">
        <v>5.1447481854334101E-3</v>
      </c>
      <c r="AB5" s="3">
        <v>35959</v>
      </c>
      <c r="AC5" s="134">
        <v>39</v>
      </c>
      <c r="AD5" s="153">
        <v>0.20967741935483872</v>
      </c>
      <c r="AE5" s="3">
        <v>186</v>
      </c>
      <c r="AF5" s="134">
        <v>10</v>
      </c>
      <c r="AG5" s="153">
        <v>0.76923076923076927</v>
      </c>
      <c r="AH5" s="3">
        <v>13</v>
      </c>
      <c r="AI5" s="154">
        <v>234</v>
      </c>
      <c r="AJ5" s="153">
        <v>6.4715968803584272E-3</v>
      </c>
      <c r="AK5" s="18">
        <v>36158</v>
      </c>
      <c r="AL5" s="84">
        <f t="shared" ref="AL5:AL10" si="0">(B5+N5+Z5)/AR5</f>
        <v>8.5683047325306724E-2</v>
      </c>
      <c r="AM5" s="83">
        <f t="shared" ref="AM5:AM10" si="1">(E5+Q5+AC5)/AS5</f>
        <v>0.54449354475348755</v>
      </c>
      <c r="AN5" s="6">
        <f t="shared" ref="AN5:AN10" si="2">(H5+T5+AF5)/AT5</f>
        <v>0.81351981351981351</v>
      </c>
      <c r="AO5" s="127">
        <f t="shared" ref="AO5:AO10" si="3">AP5/AQ5</f>
        <v>9.2281766648975541E-2</v>
      </c>
      <c r="AP5" s="52">
        <f t="shared" ref="AP5:AP10" si="4">AF5+AC5+Z5+T5+Q5+N5+H5+E5+B5</f>
        <v>78418</v>
      </c>
      <c r="AQ5" s="3">
        <f t="shared" ref="AQ5:AQ10" si="5">SUM(AR5:AT5)</f>
        <v>849767</v>
      </c>
      <c r="AR5" s="12">
        <f t="shared" ref="AR5:AR10" si="6">+D5+P5+AB5</f>
        <v>837797</v>
      </c>
      <c r="AS5" s="3">
        <f t="shared" ref="AS5:AS10" si="7">G5+S5+AE5</f>
        <v>11541</v>
      </c>
      <c r="AT5" s="21">
        <f t="shared" ref="AT5:AT10" si="8">J5+V5+AH5</f>
        <v>429</v>
      </c>
    </row>
    <row r="6" spans="1:46" ht="18" customHeight="1" x14ac:dyDescent="0.2">
      <c r="A6" s="109">
        <v>46173</v>
      </c>
      <c r="B6" s="3">
        <v>9210</v>
      </c>
      <c r="C6" s="153">
        <v>7.0934549207473926E-2</v>
      </c>
      <c r="D6" s="3">
        <v>129838</v>
      </c>
      <c r="E6" s="134">
        <v>903</v>
      </c>
      <c r="F6" s="153">
        <v>0.52317497103128618</v>
      </c>
      <c r="G6" s="3">
        <v>1726</v>
      </c>
      <c r="H6" s="134">
        <v>30</v>
      </c>
      <c r="I6" s="153">
        <v>0.65217391304347827</v>
      </c>
      <c r="J6" s="3">
        <v>46</v>
      </c>
      <c r="K6" s="154">
        <v>10143</v>
      </c>
      <c r="L6" s="153">
        <v>7.7068611807613402E-2</v>
      </c>
      <c r="M6" s="18">
        <v>131610</v>
      </c>
      <c r="N6" s="3">
        <v>59660</v>
      </c>
      <c r="O6" s="6">
        <v>9.26616219977386E-2</v>
      </c>
      <c r="P6" s="130">
        <v>643848</v>
      </c>
      <c r="Q6" s="55">
        <v>5166</v>
      </c>
      <c r="R6" s="6">
        <v>0.55650113109985999</v>
      </c>
      <c r="S6" s="33">
        <v>9283</v>
      </c>
      <c r="T6" s="55">
        <v>303</v>
      </c>
      <c r="U6" s="6">
        <v>0.83933518005540164</v>
      </c>
      <c r="V6" s="33">
        <v>361</v>
      </c>
      <c r="W6" s="52">
        <v>65129</v>
      </c>
      <c r="X6" s="6">
        <v>9.9663041016569448E-2</v>
      </c>
      <c r="Y6" s="21">
        <v>653492</v>
      </c>
      <c r="Z6" s="3">
        <v>185</v>
      </c>
      <c r="AA6" s="153">
        <v>5.1448912620279215E-3</v>
      </c>
      <c r="AB6" s="3">
        <v>35958</v>
      </c>
      <c r="AC6" s="134">
        <v>39</v>
      </c>
      <c r="AD6" s="153">
        <v>0.21081081081081082</v>
      </c>
      <c r="AE6" s="3">
        <v>185</v>
      </c>
      <c r="AF6" s="134">
        <v>10</v>
      </c>
      <c r="AG6" s="153">
        <v>0.76923076923076927</v>
      </c>
      <c r="AH6" s="3">
        <v>13</v>
      </c>
      <c r="AI6" s="154">
        <v>234</v>
      </c>
      <c r="AJ6" s="153">
        <v>6.4719548622635247E-3</v>
      </c>
      <c r="AK6" s="18">
        <v>36156</v>
      </c>
      <c r="AL6" s="84">
        <f t="shared" si="0"/>
        <v>8.5290572152699209E-2</v>
      </c>
      <c r="AM6" s="83">
        <f t="shared" si="1"/>
        <v>0.54564945506521356</v>
      </c>
      <c r="AN6" s="6">
        <f t="shared" si="2"/>
        <v>0.81666666666666665</v>
      </c>
      <c r="AO6" s="127">
        <f t="shared" si="3"/>
        <v>9.1939439250515675E-2</v>
      </c>
      <c r="AP6" s="52">
        <f t="shared" si="4"/>
        <v>75506</v>
      </c>
      <c r="AQ6" s="3">
        <f t="shared" si="5"/>
        <v>821258</v>
      </c>
      <c r="AR6" s="12">
        <f t="shared" si="6"/>
        <v>809644</v>
      </c>
      <c r="AS6" s="3">
        <f t="shared" si="7"/>
        <v>11194</v>
      </c>
      <c r="AT6" s="21">
        <f t="shared" si="8"/>
        <v>420</v>
      </c>
    </row>
    <row r="7" spans="1:46" ht="18" customHeight="1" x14ac:dyDescent="0.2">
      <c r="A7" s="109">
        <v>46142</v>
      </c>
      <c r="B7" s="3">
        <v>8889</v>
      </c>
      <c r="C7" s="153">
        <v>6.8753480601447925E-2</v>
      </c>
      <c r="D7" s="3">
        <v>129288</v>
      </c>
      <c r="E7" s="134">
        <v>904</v>
      </c>
      <c r="F7" s="153">
        <v>0.52958406561218507</v>
      </c>
      <c r="G7" s="3">
        <v>1707</v>
      </c>
      <c r="H7" s="134">
        <v>30</v>
      </c>
      <c r="I7" s="153">
        <v>0.65217391304347827</v>
      </c>
      <c r="J7" s="3">
        <v>46</v>
      </c>
      <c r="K7" s="154">
        <v>9823</v>
      </c>
      <c r="L7" s="153">
        <v>7.4961271663067278E-2</v>
      </c>
      <c r="M7" s="18">
        <v>131041</v>
      </c>
      <c r="N7" s="3">
        <v>60913</v>
      </c>
      <c r="O7" s="6">
        <v>9.1546872064625209E-2</v>
      </c>
      <c r="P7" s="130">
        <v>665375</v>
      </c>
      <c r="Q7" s="55">
        <v>5371</v>
      </c>
      <c r="R7" s="6">
        <v>0.5554291623578077</v>
      </c>
      <c r="S7" s="33">
        <v>9670</v>
      </c>
      <c r="T7" s="55">
        <v>302</v>
      </c>
      <c r="U7" s="6">
        <v>0.84122562674094703</v>
      </c>
      <c r="V7" s="33">
        <v>359</v>
      </c>
      <c r="W7" s="52">
        <v>66586</v>
      </c>
      <c r="X7" s="6">
        <v>9.8586919828724737E-2</v>
      </c>
      <c r="Y7" s="21">
        <v>675404</v>
      </c>
      <c r="Z7" s="3">
        <v>185</v>
      </c>
      <c r="AA7" s="153">
        <v>5.161830357142857E-3</v>
      </c>
      <c r="AB7" s="3">
        <v>35840</v>
      </c>
      <c r="AC7" s="134">
        <v>40</v>
      </c>
      <c r="AD7" s="153">
        <v>0.21621621621621623</v>
      </c>
      <c r="AE7" s="3">
        <v>185</v>
      </c>
      <c r="AF7" s="134">
        <v>10</v>
      </c>
      <c r="AG7" s="153">
        <v>0.76923076923076927</v>
      </c>
      <c r="AH7" s="3">
        <v>13</v>
      </c>
      <c r="AI7" s="154">
        <v>235</v>
      </c>
      <c r="AJ7" s="153">
        <v>6.5208946112436869E-3</v>
      </c>
      <c r="AK7" s="18">
        <v>36038</v>
      </c>
      <c r="AL7" s="84">
        <f t="shared" si="0"/>
        <v>8.4270616722636763E-2</v>
      </c>
      <c r="AM7" s="83">
        <f t="shared" si="1"/>
        <v>0.5461857810067462</v>
      </c>
      <c r="AN7" s="6">
        <f t="shared" si="2"/>
        <v>0.81818181818181823</v>
      </c>
      <c r="AO7" s="127">
        <f t="shared" si="3"/>
        <v>9.0973942500916935E-2</v>
      </c>
      <c r="AP7" s="52">
        <f t="shared" si="4"/>
        <v>76644</v>
      </c>
      <c r="AQ7" s="3">
        <f t="shared" si="5"/>
        <v>842483</v>
      </c>
      <c r="AR7" s="12">
        <f t="shared" si="6"/>
        <v>830503</v>
      </c>
      <c r="AS7" s="3">
        <f t="shared" si="7"/>
        <v>11562</v>
      </c>
      <c r="AT7" s="21">
        <f t="shared" si="8"/>
        <v>418</v>
      </c>
    </row>
    <row r="8" spans="1:46" ht="18" customHeight="1" x14ac:dyDescent="0.2">
      <c r="A8" s="109">
        <v>46112</v>
      </c>
      <c r="B8" s="3">
        <v>8826</v>
      </c>
      <c r="C8" s="153">
        <v>6.8419135032054518E-2</v>
      </c>
      <c r="D8" s="3">
        <v>128999</v>
      </c>
      <c r="E8" s="134">
        <v>907</v>
      </c>
      <c r="F8" s="153">
        <v>0.53988095238095235</v>
      </c>
      <c r="G8" s="3">
        <v>1680</v>
      </c>
      <c r="H8" s="134">
        <v>30</v>
      </c>
      <c r="I8" s="153">
        <v>0.65217391304347827</v>
      </c>
      <c r="J8" s="3">
        <v>46</v>
      </c>
      <c r="K8" s="154">
        <v>9763</v>
      </c>
      <c r="L8" s="153">
        <v>7.468349588831516E-2</v>
      </c>
      <c r="M8" s="18">
        <v>130725</v>
      </c>
      <c r="N8" s="3">
        <v>59681</v>
      </c>
      <c r="O8" s="6">
        <v>8.9254895626762865E-2</v>
      </c>
      <c r="P8" s="130">
        <v>668658</v>
      </c>
      <c r="Q8" s="55">
        <v>5389</v>
      </c>
      <c r="R8" s="6">
        <v>0.55379714315075534</v>
      </c>
      <c r="S8" s="33">
        <v>9731</v>
      </c>
      <c r="T8" s="55">
        <v>315</v>
      </c>
      <c r="U8" s="6">
        <v>0.84224598930481287</v>
      </c>
      <c r="V8" s="33">
        <v>374</v>
      </c>
      <c r="W8" s="52">
        <v>65385</v>
      </c>
      <c r="X8" s="6">
        <v>9.6329646724998275E-2</v>
      </c>
      <c r="Y8" s="21">
        <v>678763</v>
      </c>
      <c r="Z8" s="3">
        <v>185</v>
      </c>
      <c r="AA8" s="153">
        <v>5.165000837567703E-3</v>
      </c>
      <c r="AB8" s="3">
        <v>35818</v>
      </c>
      <c r="AC8" s="134">
        <v>39</v>
      </c>
      <c r="AD8" s="153">
        <v>0.21428571428571427</v>
      </c>
      <c r="AE8" s="3">
        <v>182</v>
      </c>
      <c r="AF8" s="134">
        <v>10</v>
      </c>
      <c r="AG8" s="153">
        <v>0.83333333333333337</v>
      </c>
      <c r="AH8" s="3">
        <v>12</v>
      </c>
      <c r="AI8" s="154">
        <v>234</v>
      </c>
      <c r="AJ8" s="153">
        <v>6.4978340553148951E-3</v>
      </c>
      <c r="AK8" s="18">
        <v>36012</v>
      </c>
      <c r="AL8" s="84">
        <f t="shared" si="0"/>
        <v>8.2416389213833652E-2</v>
      </c>
      <c r="AM8" s="83">
        <f t="shared" si="1"/>
        <v>0.54645044423358924</v>
      </c>
      <c r="AN8" s="6">
        <f t="shared" si="2"/>
        <v>0.8217592592592593</v>
      </c>
      <c r="AO8" s="127">
        <f t="shared" si="3"/>
        <v>8.9156712004730923E-2</v>
      </c>
      <c r="AP8" s="52">
        <f t="shared" si="4"/>
        <v>75382</v>
      </c>
      <c r="AQ8" s="3">
        <f t="shared" si="5"/>
        <v>845500</v>
      </c>
      <c r="AR8" s="12">
        <f t="shared" si="6"/>
        <v>833475</v>
      </c>
      <c r="AS8" s="3">
        <f t="shared" si="7"/>
        <v>11593</v>
      </c>
      <c r="AT8" s="21">
        <f t="shared" si="8"/>
        <v>432</v>
      </c>
    </row>
    <row r="9" spans="1:46" ht="18" customHeight="1" x14ac:dyDescent="0.2">
      <c r="A9" s="109">
        <v>46081</v>
      </c>
      <c r="B9" s="3">
        <v>8983</v>
      </c>
      <c r="C9" s="153">
        <v>6.9663740422495887E-2</v>
      </c>
      <c r="D9" s="3">
        <v>128948</v>
      </c>
      <c r="E9" s="134">
        <v>901</v>
      </c>
      <c r="F9" s="153">
        <v>0.54146634615384615</v>
      </c>
      <c r="G9" s="3">
        <v>1664</v>
      </c>
      <c r="H9" s="134">
        <v>37</v>
      </c>
      <c r="I9" s="153">
        <v>0.69811320754716977</v>
      </c>
      <c r="J9" s="3">
        <v>53</v>
      </c>
      <c r="K9" s="154">
        <v>9921</v>
      </c>
      <c r="L9" s="153">
        <v>7.5926988864653891E-2</v>
      </c>
      <c r="M9" s="18">
        <v>130665</v>
      </c>
      <c r="N9" s="3">
        <v>58468</v>
      </c>
      <c r="O9" s="6">
        <v>9.1286643934000322E-2</v>
      </c>
      <c r="P9" s="130">
        <v>640488</v>
      </c>
      <c r="Q9" s="55">
        <v>5114</v>
      </c>
      <c r="R9" s="6">
        <v>0.55113697596723787</v>
      </c>
      <c r="S9" s="33">
        <v>9279</v>
      </c>
      <c r="T9" s="55">
        <v>299</v>
      </c>
      <c r="U9" s="6">
        <v>0.84463276836158196</v>
      </c>
      <c r="V9" s="33">
        <v>354</v>
      </c>
      <c r="W9" s="52">
        <v>63881</v>
      </c>
      <c r="X9" s="6">
        <v>9.826017002988674E-2</v>
      </c>
      <c r="Y9" s="21">
        <v>650121</v>
      </c>
      <c r="Z9" s="3">
        <v>185</v>
      </c>
      <c r="AA9" s="153">
        <v>5.161830357142857E-3</v>
      </c>
      <c r="AB9" s="3">
        <v>35840</v>
      </c>
      <c r="AC9" s="134">
        <v>39</v>
      </c>
      <c r="AD9" s="153">
        <v>0.21311475409836064</v>
      </c>
      <c r="AE9" s="3">
        <v>183</v>
      </c>
      <c r="AF9" s="134">
        <v>11</v>
      </c>
      <c r="AG9" s="153">
        <v>0.84615384615384615</v>
      </c>
      <c r="AH9" s="3">
        <v>13</v>
      </c>
      <c r="AI9" s="154">
        <v>235</v>
      </c>
      <c r="AJ9" s="153">
        <v>6.521256521256521E-3</v>
      </c>
      <c r="AK9" s="18">
        <v>36036</v>
      </c>
      <c r="AL9" s="84">
        <f t="shared" si="0"/>
        <v>8.3991078835082625E-2</v>
      </c>
      <c r="AM9" s="83">
        <f t="shared" si="1"/>
        <v>0.5441308646413805</v>
      </c>
      <c r="AN9" s="6">
        <f t="shared" si="2"/>
        <v>0.82619047619047614</v>
      </c>
      <c r="AO9" s="127">
        <f t="shared" si="3"/>
        <v>9.0640310863321513E-2</v>
      </c>
      <c r="AP9" s="52">
        <f t="shared" si="4"/>
        <v>74037</v>
      </c>
      <c r="AQ9" s="3">
        <f t="shared" si="5"/>
        <v>816822</v>
      </c>
      <c r="AR9" s="12">
        <f t="shared" si="6"/>
        <v>805276</v>
      </c>
      <c r="AS9" s="3">
        <f t="shared" si="7"/>
        <v>11126</v>
      </c>
      <c r="AT9" s="21">
        <f t="shared" si="8"/>
        <v>420</v>
      </c>
    </row>
    <row r="10" spans="1:46" ht="18" customHeight="1" x14ac:dyDescent="0.2">
      <c r="A10" s="109">
        <v>46053</v>
      </c>
      <c r="B10" s="3">
        <v>9060</v>
      </c>
      <c r="C10" s="153">
        <v>7.0278865919404257E-2</v>
      </c>
      <c r="D10" s="3">
        <v>128915</v>
      </c>
      <c r="E10" s="134">
        <v>903</v>
      </c>
      <c r="F10" s="153">
        <v>0.54169166166766647</v>
      </c>
      <c r="G10" s="3">
        <v>1667</v>
      </c>
      <c r="H10" s="134">
        <v>37</v>
      </c>
      <c r="I10" s="153">
        <v>0.69811320754716977</v>
      </c>
      <c r="J10" s="3">
        <v>53</v>
      </c>
      <c r="K10" s="154">
        <v>10000</v>
      </c>
      <c r="L10" s="153">
        <v>7.6549163700386572E-2</v>
      </c>
      <c r="M10" s="18">
        <v>130635</v>
      </c>
      <c r="N10" s="3">
        <v>62616</v>
      </c>
      <c r="O10" s="6">
        <v>9.393297059869217E-2</v>
      </c>
      <c r="P10" s="130">
        <v>666603</v>
      </c>
      <c r="Q10" s="55">
        <v>5340</v>
      </c>
      <c r="R10" s="6">
        <v>0.55148197872560156</v>
      </c>
      <c r="S10" s="33">
        <v>9683</v>
      </c>
      <c r="T10" s="55">
        <v>305</v>
      </c>
      <c r="U10" s="6">
        <v>0.83561643835616439</v>
      </c>
      <c r="V10" s="33">
        <v>365</v>
      </c>
      <c r="W10" s="52">
        <v>68261</v>
      </c>
      <c r="X10" s="6">
        <v>0.10088066078377184</v>
      </c>
      <c r="Y10" s="21">
        <v>676651</v>
      </c>
      <c r="Z10" s="3">
        <v>185</v>
      </c>
      <c r="AA10" s="153">
        <v>5.1576570297471357E-3</v>
      </c>
      <c r="AB10" s="3">
        <v>35869</v>
      </c>
      <c r="AC10" s="134">
        <v>39</v>
      </c>
      <c r="AD10" s="153">
        <v>0.21195652173913043</v>
      </c>
      <c r="AE10" s="3">
        <v>184</v>
      </c>
      <c r="AF10" s="134">
        <v>11</v>
      </c>
      <c r="AG10" s="153">
        <v>0.84615384615384615</v>
      </c>
      <c r="AH10" s="3">
        <v>13</v>
      </c>
      <c r="AI10" s="154">
        <v>235</v>
      </c>
      <c r="AJ10" s="153">
        <v>6.5158320856208065E-3</v>
      </c>
      <c r="AK10" s="18">
        <v>36066</v>
      </c>
      <c r="AL10" s="84">
        <f t="shared" si="0"/>
        <v>8.643507776763408E-2</v>
      </c>
      <c r="AM10" s="83">
        <f t="shared" si="1"/>
        <v>0.54465059823131612</v>
      </c>
      <c r="AN10" s="6">
        <f t="shared" si="2"/>
        <v>0.81902552204176338</v>
      </c>
      <c r="AO10" s="127">
        <f t="shared" si="3"/>
        <v>9.3076200684886021E-2</v>
      </c>
      <c r="AP10" s="52">
        <f t="shared" si="4"/>
        <v>78496</v>
      </c>
      <c r="AQ10" s="3">
        <f t="shared" si="5"/>
        <v>843352</v>
      </c>
      <c r="AR10" s="12">
        <f t="shared" si="6"/>
        <v>831387</v>
      </c>
      <c r="AS10" s="3">
        <f t="shared" si="7"/>
        <v>11534</v>
      </c>
      <c r="AT10" s="21">
        <f t="shared" si="8"/>
        <v>431</v>
      </c>
    </row>
    <row r="11" spans="1:46" ht="18" customHeight="1" x14ac:dyDescent="0.2">
      <c r="A11" s="109">
        <v>46022</v>
      </c>
      <c r="B11" s="3">
        <v>9167</v>
      </c>
      <c r="C11" s="153">
        <v>7.1086261980830664E-2</v>
      </c>
      <c r="D11" s="3">
        <v>128956</v>
      </c>
      <c r="E11" s="134">
        <v>902</v>
      </c>
      <c r="F11" s="153">
        <v>0.54076738609112707</v>
      </c>
      <c r="G11" s="3">
        <v>1668</v>
      </c>
      <c r="H11" s="134">
        <v>37</v>
      </c>
      <c r="I11" s="153">
        <v>0.69811320754716977</v>
      </c>
      <c r="J11" s="3">
        <v>53</v>
      </c>
      <c r="K11" s="154">
        <v>10106</v>
      </c>
      <c r="L11" s="153">
        <v>7.7335720899622734E-2</v>
      </c>
      <c r="M11" s="18">
        <v>130677</v>
      </c>
      <c r="N11" s="3">
        <v>64464</v>
      </c>
      <c r="O11" s="6">
        <v>9.6382371762285521E-2</v>
      </c>
      <c r="P11" s="130">
        <v>668836</v>
      </c>
      <c r="Q11" s="55">
        <v>5346</v>
      </c>
      <c r="R11" s="6">
        <v>0.5501131920148179</v>
      </c>
      <c r="S11" s="33">
        <v>9718</v>
      </c>
      <c r="T11" s="55">
        <v>322</v>
      </c>
      <c r="U11" s="6">
        <v>0.84514435695538059</v>
      </c>
      <c r="V11" s="33">
        <v>381</v>
      </c>
      <c r="W11" s="52">
        <v>70132</v>
      </c>
      <c r="X11" s="6">
        <v>0.10329707556688048</v>
      </c>
      <c r="Y11" s="21">
        <v>678935</v>
      </c>
      <c r="Z11" s="3">
        <v>185</v>
      </c>
      <c r="AA11" s="153">
        <v>5.1578008252481317E-3</v>
      </c>
      <c r="AB11" s="3">
        <v>35868</v>
      </c>
      <c r="AC11" s="134">
        <v>38</v>
      </c>
      <c r="AD11" s="153">
        <v>0.20320855614973263</v>
      </c>
      <c r="AE11" s="3">
        <v>187</v>
      </c>
      <c r="AF11" s="134">
        <v>11</v>
      </c>
      <c r="AG11" s="153">
        <v>0.84615384615384615</v>
      </c>
      <c r="AH11" s="3">
        <v>13</v>
      </c>
      <c r="AI11" s="154">
        <v>234</v>
      </c>
      <c r="AJ11" s="153">
        <v>6.4877453698569372E-3</v>
      </c>
      <c r="AK11" s="18">
        <v>36068</v>
      </c>
      <c r="AL11" s="84">
        <f t="shared" ref="AL11:AL13" si="9">(B11+N11+Z11)/AR11</f>
        <v>8.8544490559700595E-2</v>
      </c>
      <c r="AM11" s="83">
        <f t="shared" ref="AM11:AM13" si="10">(E11+Q11+AC11)/AS11</f>
        <v>0.54316080532273392</v>
      </c>
      <c r="AN11" s="6">
        <f t="shared" ref="AN11:AN13" si="11">(H11+T11+AF11)/AT11</f>
        <v>0.82774049217002232</v>
      </c>
      <c r="AO11" s="127">
        <f t="shared" ref="AO11:AO13" si="12">AP11/AQ11</f>
        <v>9.5156560401097337E-2</v>
      </c>
      <c r="AP11" s="52">
        <f t="shared" ref="AP11:AP13" si="13">AF11+AC11+Z11+T11+Q11+N11+H11+E11+B11</f>
        <v>80472</v>
      </c>
      <c r="AQ11" s="3">
        <f t="shared" ref="AQ11:AQ13" si="14">SUM(AR11:AT11)</f>
        <v>845680</v>
      </c>
      <c r="AR11" s="12">
        <f t="shared" ref="AR11:AR13" si="15">+D11+P11+AB11</f>
        <v>833660</v>
      </c>
      <c r="AS11" s="3">
        <f t="shared" ref="AS11:AS13" si="16">G11+S11+AE11</f>
        <v>11573</v>
      </c>
      <c r="AT11" s="21">
        <f t="shared" ref="AT11:AT13" si="17">J11+V11+AH11</f>
        <v>447</v>
      </c>
    </row>
    <row r="12" spans="1:46" ht="18" customHeight="1" x14ac:dyDescent="0.2">
      <c r="A12" s="109">
        <v>45991</v>
      </c>
      <c r="B12" s="3">
        <v>9327</v>
      </c>
      <c r="C12" s="153">
        <v>7.2265912524696857E-2</v>
      </c>
      <c r="D12" s="3">
        <v>129065</v>
      </c>
      <c r="E12" s="134">
        <v>906</v>
      </c>
      <c r="F12" s="153">
        <v>0.53992848629320622</v>
      </c>
      <c r="G12" s="3">
        <v>1678</v>
      </c>
      <c r="H12" s="134">
        <v>37</v>
      </c>
      <c r="I12" s="153">
        <v>0.68518518518518523</v>
      </c>
      <c r="J12" s="3">
        <v>54</v>
      </c>
      <c r="K12" s="154">
        <v>10270</v>
      </c>
      <c r="L12" s="153">
        <v>7.8518620457655758E-2</v>
      </c>
      <c r="M12" s="18">
        <v>130797</v>
      </c>
      <c r="N12" s="3">
        <v>56725</v>
      </c>
      <c r="O12" s="6">
        <v>9.7867362765717003E-2</v>
      </c>
      <c r="P12" s="130">
        <v>579611</v>
      </c>
      <c r="Q12" s="55">
        <v>4674</v>
      </c>
      <c r="R12" s="6">
        <v>0.55570086791106887</v>
      </c>
      <c r="S12" s="33">
        <v>8411</v>
      </c>
      <c r="T12" s="55">
        <v>249</v>
      </c>
      <c r="U12" s="6">
        <v>0.83277591973244147</v>
      </c>
      <c r="V12" s="33">
        <v>299</v>
      </c>
      <c r="W12" s="52">
        <v>61648</v>
      </c>
      <c r="X12" s="6">
        <v>0.10478633263133562</v>
      </c>
      <c r="Y12" s="21">
        <v>588321</v>
      </c>
      <c r="Z12" s="3">
        <v>183</v>
      </c>
      <c r="AA12" s="153">
        <v>5.0947966257412509E-3</v>
      </c>
      <c r="AB12" s="3">
        <v>35919</v>
      </c>
      <c r="AC12" s="134">
        <v>38</v>
      </c>
      <c r="AD12" s="153">
        <v>0.20320855614973263</v>
      </c>
      <c r="AE12" s="3">
        <v>187</v>
      </c>
      <c r="AF12" s="134">
        <v>11</v>
      </c>
      <c r="AG12" s="153">
        <v>0.84615384615384615</v>
      </c>
      <c r="AH12" s="3">
        <v>13</v>
      </c>
      <c r="AI12" s="154">
        <v>232</v>
      </c>
      <c r="AJ12" s="153">
        <v>6.4232121598050886E-3</v>
      </c>
      <c r="AK12" s="18">
        <v>36119</v>
      </c>
      <c r="AL12" s="84">
        <f t="shared" si="9"/>
        <v>8.895439802845842E-2</v>
      </c>
      <c r="AM12" s="83">
        <f t="shared" si="10"/>
        <v>0.54671078240560533</v>
      </c>
      <c r="AN12" s="6">
        <f t="shared" si="11"/>
        <v>0.81147540983606559</v>
      </c>
      <c r="AO12" s="127">
        <f t="shared" si="12"/>
        <v>9.5532925426058304E-2</v>
      </c>
      <c r="AP12" s="52">
        <f t="shared" si="13"/>
        <v>72150</v>
      </c>
      <c r="AQ12" s="3">
        <f t="shared" si="14"/>
        <v>755237</v>
      </c>
      <c r="AR12" s="12">
        <f t="shared" si="15"/>
        <v>744595</v>
      </c>
      <c r="AS12" s="3">
        <f t="shared" si="16"/>
        <v>10276</v>
      </c>
      <c r="AT12" s="21">
        <f t="shared" si="17"/>
        <v>366</v>
      </c>
    </row>
    <row r="13" spans="1:46" ht="18" customHeight="1" x14ac:dyDescent="0.2">
      <c r="A13" s="109">
        <v>45961</v>
      </c>
      <c r="B13" s="3">
        <v>9456</v>
      </c>
      <c r="C13" s="153">
        <v>7.3171864118238797E-2</v>
      </c>
      <c r="D13" s="3">
        <v>129230</v>
      </c>
      <c r="E13" s="134">
        <v>916</v>
      </c>
      <c r="F13" s="153">
        <v>0.54169130691898282</v>
      </c>
      <c r="G13" s="3">
        <v>1691</v>
      </c>
      <c r="H13" s="134">
        <v>37</v>
      </c>
      <c r="I13" s="153">
        <v>0.68518518518518523</v>
      </c>
      <c r="J13" s="3">
        <v>54</v>
      </c>
      <c r="K13" s="154">
        <v>10409</v>
      </c>
      <c r="L13" s="153">
        <v>7.9473181904943693E-2</v>
      </c>
      <c r="M13" s="18">
        <v>130975</v>
      </c>
      <c r="N13" s="3">
        <v>65622</v>
      </c>
      <c r="O13" s="6">
        <v>9.8207564535608513E-2</v>
      </c>
      <c r="P13" s="130">
        <v>668197</v>
      </c>
      <c r="Q13" s="55">
        <v>5449</v>
      </c>
      <c r="R13" s="6">
        <v>0.55522722641124922</v>
      </c>
      <c r="S13" s="33">
        <v>9814</v>
      </c>
      <c r="T13" s="55">
        <v>326</v>
      </c>
      <c r="U13" s="6">
        <v>0.8467532467532467</v>
      </c>
      <c r="V13" s="33">
        <v>385</v>
      </c>
      <c r="W13" s="52">
        <v>71397</v>
      </c>
      <c r="X13" s="6">
        <v>0.10524383988113137</v>
      </c>
      <c r="Y13" s="21">
        <v>678396</v>
      </c>
      <c r="Z13" s="3">
        <v>181</v>
      </c>
      <c r="AA13" s="153">
        <v>5.0365918134513176E-3</v>
      </c>
      <c r="AB13" s="3">
        <v>35937</v>
      </c>
      <c r="AC13" s="134">
        <v>38</v>
      </c>
      <c r="AD13" s="153">
        <v>0.20320855614973263</v>
      </c>
      <c r="AE13" s="3">
        <v>187</v>
      </c>
      <c r="AF13" s="134">
        <v>11</v>
      </c>
      <c r="AG13" s="153">
        <v>0.84615384615384615</v>
      </c>
      <c r="AH13" s="3">
        <v>13</v>
      </c>
      <c r="AI13" s="154">
        <v>230</v>
      </c>
      <c r="AJ13" s="153">
        <v>6.3646677920137255E-3</v>
      </c>
      <c r="AK13" s="18">
        <v>36137</v>
      </c>
      <c r="AL13" s="84">
        <f t="shared" si="9"/>
        <v>9.0307476684858001E-2</v>
      </c>
      <c r="AM13" s="83">
        <f t="shared" si="10"/>
        <v>0.54763941156346219</v>
      </c>
      <c r="AN13" s="6">
        <f t="shared" si="11"/>
        <v>0.82743362831858402</v>
      </c>
      <c r="AO13" s="127">
        <f t="shared" si="12"/>
        <v>9.7025693429275653E-2</v>
      </c>
      <c r="AP13" s="52">
        <f t="shared" si="13"/>
        <v>82036</v>
      </c>
      <c r="AQ13" s="3">
        <f t="shared" si="14"/>
        <v>845508</v>
      </c>
      <c r="AR13" s="12">
        <f t="shared" si="15"/>
        <v>833364</v>
      </c>
      <c r="AS13" s="3">
        <f t="shared" si="16"/>
        <v>11692</v>
      </c>
      <c r="AT13" s="21">
        <f t="shared" si="17"/>
        <v>452</v>
      </c>
    </row>
    <row r="14" spans="1:46" ht="18" customHeight="1" x14ac:dyDescent="0.2">
      <c r="A14" s="109">
        <v>45930</v>
      </c>
      <c r="B14" s="3">
        <v>9533</v>
      </c>
      <c r="C14" s="153">
        <v>7.3590600659250743E-2</v>
      </c>
      <c r="D14" s="3">
        <v>129541</v>
      </c>
      <c r="E14" s="134">
        <v>924</v>
      </c>
      <c r="F14" s="153">
        <v>0.54161781946072685</v>
      </c>
      <c r="G14" s="3">
        <v>1706</v>
      </c>
      <c r="H14" s="134">
        <v>37</v>
      </c>
      <c r="I14" s="153">
        <v>0.68518518518518523</v>
      </c>
      <c r="J14" s="3">
        <v>54</v>
      </c>
      <c r="K14" s="154">
        <v>10494</v>
      </c>
      <c r="L14" s="153">
        <v>7.9923229830694359E-2</v>
      </c>
      <c r="M14" s="18">
        <v>131301</v>
      </c>
      <c r="N14" s="3">
        <v>66006</v>
      </c>
      <c r="O14" s="6">
        <v>9.9078652292561672E-2</v>
      </c>
      <c r="P14" s="130">
        <v>666198</v>
      </c>
      <c r="Q14" s="55">
        <v>5455</v>
      </c>
      <c r="R14" s="6">
        <v>0.5590284894445583</v>
      </c>
      <c r="S14" s="33">
        <v>9758</v>
      </c>
      <c r="T14" s="55">
        <v>319</v>
      </c>
      <c r="U14" s="6">
        <v>0.84168865435356199</v>
      </c>
      <c r="V14" s="33">
        <v>379</v>
      </c>
      <c r="W14" s="52">
        <v>71780</v>
      </c>
      <c r="X14" s="6">
        <v>0.10613083752873946</v>
      </c>
      <c r="Y14" s="21">
        <v>676335</v>
      </c>
      <c r="Z14" s="3">
        <v>188</v>
      </c>
      <c r="AA14" s="153">
        <v>5.2107874386762383E-3</v>
      </c>
      <c r="AB14" s="3">
        <v>36079</v>
      </c>
      <c r="AC14" s="134">
        <v>38</v>
      </c>
      <c r="AD14" s="153">
        <v>0.20320855614973263</v>
      </c>
      <c r="AE14" s="3">
        <v>187</v>
      </c>
      <c r="AF14" s="134">
        <v>11</v>
      </c>
      <c r="AG14" s="153">
        <v>0.84615384615384615</v>
      </c>
      <c r="AH14" s="3">
        <v>13</v>
      </c>
      <c r="AI14" s="154">
        <v>237</v>
      </c>
      <c r="AJ14" s="153">
        <v>6.53270487058629E-3</v>
      </c>
      <c r="AK14" s="18">
        <v>36279</v>
      </c>
      <c r="AL14" s="84">
        <f t="shared" ref="AL14:AL16" si="18">(B14+N14+Z14)/AR14</f>
        <v>9.1037943396271775E-2</v>
      </c>
      <c r="AM14" s="83">
        <f t="shared" ref="AM14:AM16" si="19">(E14+Q14+AC14)/AS14</f>
        <v>0.55076817440563042</v>
      </c>
      <c r="AN14" s="6">
        <f t="shared" ref="AN14:AN16" si="20">(H14+T14+AF14)/AT14</f>
        <v>0.82286995515695072</v>
      </c>
      <c r="AO14" s="127">
        <f t="shared" ref="AO14:AO16" si="21">AP14/AQ14</f>
        <v>9.777169501667822E-2</v>
      </c>
      <c r="AP14" s="52">
        <f t="shared" ref="AP14:AP16" si="22">AF14+AC14+Z14+T14+Q14+N14+H14+E14+B14</f>
        <v>82511</v>
      </c>
      <c r="AQ14" s="3">
        <f t="shared" ref="AQ14:AQ16" si="23">SUM(AR14:AT14)</f>
        <v>843915</v>
      </c>
      <c r="AR14" s="12">
        <f t="shared" ref="AR14:AR16" si="24">+D14+P14+AB14</f>
        <v>831818</v>
      </c>
      <c r="AS14" s="3">
        <f t="shared" ref="AS14:AS16" si="25">G14+S14+AE14</f>
        <v>11651</v>
      </c>
      <c r="AT14" s="21">
        <f t="shared" ref="AT14:AT16" si="26">J14+V14+AH14</f>
        <v>446</v>
      </c>
    </row>
    <row r="15" spans="1:46" ht="18" customHeight="1" x14ac:dyDescent="0.2">
      <c r="A15" s="109">
        <v>45900</v>
      </c>
      <c r="B15" s="3">
        <v>9582</v>
      </c>
      <c r="C15" s="153">
        <v>7.3995706364773664E-2</v>
      </c>
      <c r="D15" s="3">
        <v>129494</v>
      </c>
      <c r="E15" s="134">
        <v>931</v>
      </c>
      <c r="F15" s="153">
        <v>0.54349095154699356</v>
      </c>
      <c r="G15" s="3">
        <v>1713</v>
      </c>
      <c r="H15" s="134">
        <v>36</v>
      </c>
      <c r="I15" s="153">
        <v>0.65454545454545454</v>
      </c>
      <c r="J15" s="3">
        <v>55</v>
      </c>
      <c r="K15" s="154">
        <v>10549</v>
      </c>
      <c r="L15" s="153">
        <v>8.0365985586079755E-2</v>
      </c>
      <c r="M15" s="18">
        <v>131262</v>
      </c>
      <c r="N15" s="3">
        <v>66063</v>
      </c>
      <c r="O15" s="6">
        <v>9.9566845113217103E-2</v>
      </c>
      <c r="P15" s="130">
        <v>663504</v>
      </c>
      <c r="Q15" s="55">
        <v>5460</v>
      </c>
      <c r="R15" s="6">
        <v>0.55994256999282122</v>
      </c>
      <c r="S15" s="33">
        <v>9751</v>
      </c>
      <c r="T15" s="55">
        <v>310</v>
      </c>
      <c r="U15" s="6">
        <v>0.84699453551912574</v>
      </c>
      <c r="V15" s="33">
        <v>366</v>
      </c>
      <c r="W15" s="52">
        <v>71833</v>
      </c>
      <c r="X15" s="6">
        <v>0.10663711493554981</v>
      </c>
      <c r="Y15" s="21">
        <v>673621</v>
      </c>
      <c r="Z15" s="3">
        <v>189</v>
      </c>
      <c r="AA15" s="153">
        <v>5.2344420749439163E-3</v>
      </c>
      <c r="AB15" s="3">
        <v>36107</v>
      </c>
      <c r="AC15" s="134">
        <v>38</v>
      </c>
      <c r="AD15" s="153">
        <v>0.20430107526881722</v>
      </c>
      <c r="AE15" s="3">
        <v>186</v>
      </c>
      <c r="AF15" s="134">
        <v>11</v>
      </c>
      <c r="AG15" s="153">
        <v>0.84615384615384615</v>
      </c>
      <c r="AH15" s="3">
        <v>13</v>
      </c>
      <c r="AI15" s="154">
        <v>238</v>
      </c>
      <c r="AJ15" s="153">
        <v>6.5553902936153806E-3</v>
      </c>
      <c r="AK15" s="18">
        <v>36306</v>
      </c>
      <c r="AL15" s="84">
        <f t="shared" si="18"/>
        <v>9.1464892866404135E-2</v>
      </c>
      <c r="AM15" s="83">
        <f t="shared" si="19"/>
        <v>0.55184549356223178</v>
      </c>
      <c r="AN15" s="6">
        <f t="shared" si="20"/>
        <v>0.82258064516129037</v>
      </c>
      <c r="AO15" s="127">
        <f t="shared" si="21"/>
        <v>9.8218117450418391E-2</v>
      </c>
      <c r="AP15" s="52">
        <f t="shared" si="22"/>
        <v>82620</v>
      </c>
      <c r="AQ15" s="3">
        <f t="shared" si="23"/>
        <v>841189</v>
      </c>
      <c r="AR15" s="12">
        <f t="shared" si="24"/>
        <v>829105</v>
      </c>
      <c r="AS15" s="3">
        <f t="shared" si="25"/>
        <v>11650</v>
      </c>
      <c r="AT15" s="21">
        <f t="shared" si="26"/>
        <v>434</v>
      </c>
    </row>
    <row r="16" spans="1:46" ht="18" customHeight="1" x14ac:dyDescent="0.2">
      <c r="A16" s="109">
        <v>45869</v>
      </c>
      <c r="B16" s="3">
        <v>9905</v>
      </c>
      <c r="C16" s="153">
        <v>7.6431007608376927E-2</v>
      </c>
      <c r="D16" s="3">
        <v>129594</v>
      </c>
      <c r="E16" s="134">
        <v>937</v>
      </c>
      <c r="F16" s="153">
        <v>0.546037296037296</v>
      </c>
      <c r="G16" s="3">
        <v>1716</v>
      </c>
      <c r="H16" s="134">
        <v>36</v>
      </c>
      <c r="I16" s="153">
        <v>0.65454545454545454</v>
      </c>
      <c r="J16" s="3">
        <v>55</v>
      </c>
      <c r="K16" s="154">
        <v>10878</v>
      </c>
      <c r="L16" s="153">
        <v>8.2807444905416208E-2</v>
      </c>
      <c r="M16" s="18">
        <v>131365</v>
      </c>
      <c r="N16" s="3">
        <v>67153</v>
      </c>
      <c r="O16" s="6">
        <v>0.10075982870844125</v>
      </c>
      <c r="P16" s="130">
        <v>666466</v>
      </c>
      <c r="Q16" s="55">
        <v>5474</v>
      </c>
      <c r="R16" s="6">
        <v>0.56040131040131036</v>
      </c>
      <c r="S16" s="33">
        <v>9768</v>
      </c>
      <c r="T16" s="55">
        <v>322</v>
      </c>
      <c r="U16" s="6">
        <v>0.84514435695538059</v>
      </c>
      <c r="V16" s="33">
        <v>381</v>
      </c>
      <c r="W16" s="52">
        <v>72949</v>
      </c>
      <c r="X16" s="6">
        <v>0.10781463609290365</v>
      </c>
      <c r="Y16" s="21">
        <v>676615</v>
      </c>
      <c r="Z16" s="3">
        <v>189</v>
      </c>
      <c r="AA16" s="153">
        <v>5.2279265324186768E-3</v>
      </c>
      <c r="AB16" s="3">
        <v>36152</v>
      </c>
      <c r="AC16" s="134">
        <v>38</v>
      </c>
      <c r="AD16" s="153">
        <v>0.20540540540540542</v>
      </c>
      <c r="AE16" s="3">
        <v>185</v>
      </c>
      <c r="AF16" s="134">
        <v>11</v>
      </c>
      <c r="AG16" s="153">
        <v>0.84615384615384615</v>
      </c>
      <c r="AH16" s="3">
        <v>13</v>
      </c>
      <c r="AI16" s="154">
        <v>238</v>
      </c>
      <c r="AJ16" s="153">
        <v>6.5474552957359008E-3</v>
      </c>
      <c r="AK16" s="18">
        <v>36350</v>
      </c>
      <c r="AL16" s="84">
        <f t="shared" si="18"/>
        <v>9.282130034173984E-2</v>
      </c>
      <c r="AM16" s="83">
        <f t="shared" si="19"/>
        <v>0.5526608963921501</v>
      </c>
      <c r="AN16" s="6">
        <f t="shared" si="20"/>
        <v>0.82182628062360796</v>
      </c>
      <c r="AO16" s="127">
        <f t="shared" si="21"/>
        <v>9.9564151457368563E-2</v>
      </c>
      <c r="AP16" s="52">
        <f t="shared" si="22"/>
        <v>84065</v>
      </c>
      <c r="AQ16" s="3">
        <f t="shared" si="23"/>
        <v>844330</v>
      </c>
      <c r="AR16" s="12">
        <f t="shared" si="24"/>
        <v>832212</v>
      </c>
      <c r="AS16" s="3">
        <f t="shared" si="25"/>
        <v>11669</v>
      </c>
      <c r="AT16" s="21">
        <f t="shared" si="26"/>
        <v>449</v>
      </c>
    </row>
    <row r="17" spans="1:46" ht="18" customHeight="1" x14ac:dyDescent="0.2">
      <c r="A17" s="109">
        <v>45838</v>
      </c>
      <c r="B17" s="3">
        <v>10092</v>
      </c>
      <c r="C17" s="153">
        <v>7.7956989247311828E-2</v>
      </c>
      <c r="D17" s="3">
        <v>129456</v>
      </c>
      <c r="E17" s="134">
        <v>938</v>
      </c>
      <c r="F17" s="153">
        <v>0.54757734967892591</v>
      </c>
      <c r="G17" s="3">
        <v>1713</v>
      </c>
      <c r="H17" s="134">
        <v>36</v>
      </c>
      <c r="I17" s="153">
        <v>0.6428571428571429</v>
      </c>
      <c r="J17" s="3">
        <v>56</v>
      </c>
      <c r="K17" s="154">
        <v>11066</v>
      </c>
      <c r="L17" s="153">
        <v>8.4328443513050105E-2</v>
      </c>
      <c r="M17" s="18">
        <v>131225</v>
      </c>
      <c r="N17" s="3">
        <v>68549</v>
      </c>
      <c r="O17" s="6">
        <v>0.10296430368528964</v>
      </c>
      <c r="P17" s="130">
        <v>665755</v>
      </c>
      <c r="Q17" s="55">
        <v>5519</v>
      </c>
      <c r="R17" s="6">
        <v>0.56425723341171663</v>
      </c>
      <c r="S17" s="33">
        <v>9781</v>
      </c>
      <c r="T17" s="55">
        <v>334</v>
      </c>
      <c r="U17" s="6">
        <v>0.85204081632653061</v>
      </c>
      <c r="V17" s="33">
        <v>392</v>
      </c>
      <c r="W17" s="52">
        <v>74402</v>
      </c>
      <c r="X17" s="6">
        <v>0.11007385401995479</v>
      </c>
      <c r="Y17" s="21">
        <v>675928</v>
      </c>
      <c r="Z17" s="3">
        <v>190</v>
      </c>
      <c r="AA17" s="153">
        <v>5.254860746190226E-3</v>
      </c>
      <c r="AB17" s="3">
        <v>36157</v>
      </c>
      <c r="AC17" s="134">
        <v>39</v>
      </c>
      <c r="AD17" s="153">
        <v>0.21081081081081082</v>
      </c>
      <c r="AE17" s="3">
        <v>185</v>
      </c>
      <c r="AF17" s="134">
        <v>11</v>
      </c>
      <c r="AG17" s="153">
        <v>0.84615384615384615</v>
      </c>
      <c r="AH17" s="3">
        <v>13</v>
      </c>
      <c r="AI17" s="154">
        <v>240</v>
      </c>
      <c r="AJ17" s="153">
        <v>6.6015678723696878E-3</v>
      </c>
      <c r="AK17" s="18">
        <v>36355</v>
      </c>
      <c r="AL17" s="84">
        <f t="shared" ref="AL17:AL18" si="27">(B17+N17+Z17)/AR17</f>
        <v>9.4820825434705214E-2</v>
      </c>
      <c r="AM17" s="83">
        <f t="shared" ref="AM17:AM18" si="28">(E17+Q17+AC17)/AS17</f>
        <v>0.55621200445243602</v>
      </c>
      <c r="AN17" s="6">
        <f t="shared" ref="AN17:AN18" si="29">(H17+T17+AF17)/AT17</f>
        <v>0.82646420824295008</v>
      </c>
      <c r="AO17" s="127">
        <f t="shared" ref="AO17:AO18" si="30">AP17/AQ17</f>
        <v>0.10160899481688378</v>
      </c>
      <c r="AP17" s="52">
        <f t="shared" ref="AP17:AP18" si="31">AF17+AC17+Z17+T17+Q17+N17+H17+E17+B17</f>
        <v>85708</v>
      </c>
      <c r="AQ17" s="3">
        <f t="shared" ref="AQ17:AQ18" si="32">SUM(AR17:AT17)</f>
        <v>843508</v>
      </c>
      <c r="AR17" s="12">
        <f t="shared" ref="AR17:AR18" si="33">+D17+P17+AB17</f>
        <v>831368</v>
      </c>
      <c r="AS17" s="3">
        <f t="shared" ref="AS17:AS18" si="34">G17+S17+AE17</f>
        <v>11679</v>
      </c>
      <c r="AT17" s="21">
        <f t="shared" ref="AT17:AT18" si="35">J17+V17+AH17</f>
        <v>461</v>
      </c>
    </row>
    <row r="18" spans="1:46" ht="18" customHeight="1" x14ac:dyDescent="0.2">
      <c r="A18" s="109">
        <v>45808</v>
      </c>
      <c r="B18" s="3">
        <v>10235</v>
      </c>
      <c r="C18" s="153">
        <v>7.9237278294327584E-2</v>
      </c>
      <c r="D18" s="3">
        <v>129169</v>
      </c>
      <c r="E18" s="134">
        <v>948</v>
      </c>
      <c r="F18" s="153">
        <v>0.55244755244755239</v>
      </c>
      <c r="G18" s="3">
        <v>1716</v>
      </c>
      <c r="H18" s="134">
        <v>36</v>
      </c>
      <c r="I18" s="153">
        <v>0.65454545454545454</v>
      </c>
      <c r="J18" s="3">
        <v>55</v>
      </c>
      <c r="K18" s="154">
        <v>11219</v>
      </c>
      <c r="L18" s="153">
        <v>8.568046433480983E-2</v>
      </c>
      <c r="M18" s="18">
        <v>130940</v>
      </c>
      <c r="N18" s="3">
        <v>68568</v>
      </c>
      <c r="O18" s="6">
        <v>0.10338775534821444</v>
      </c>
      <c r="P18" s="130">
        <v>663212</v>
      </c>
      <c r="Q18" s="55">
        <v>5551</v>
      </c>
      <c r="R18" s="6">
        <v>0.56441281138790034</v>
      </c>
      <c r="S18" s="33">
        <v>9835</v>
      </c>
      <c r="T18" s="55">
        <v>310</v>
      </c>
      <c r="U18" s="6">
        <v>0.84468664850136244</v>
      </c>
      <c r="V18" s="33">
        <v>367</v>
      </c>
      <c r="W18" s="52">
        <v>74429</v>
      </c>
      <c r="X18" s="6">
        <v>0.11052487771267007</v>
      </c>
      <c r="Y18" s="21">
        <v>673414</v>
      </c>
      <c r="Z18" s="3">
        <v>191</v>
      </c>
      <c r="AA18" s="153">
        <v>5.2845640926320447E-3</v>
      </c>
      <c r="AB18" s="3">
        <v>36143</v>
      </c>
      <c r="AC18" s="134">
        <v>40</v>
      </c>
      <c r="AD18" s="153">
        <v>0.21164021164021163</v>
      </c>
      <c r="AE18" s="3">
        <v>189</v>
      </c>
      <c r="AF18" s="134">
        <v>11</v>
      </c>
      <c r="AG18" s="153">
        <v>0.84615384615384615</v>
      </c>
      <c r="AH18" s="3">
        <v>13</v>
      </c>
      <c r="AI18" s="154">
        <v>242</v>
      </c>
      <c r="AJ18" s="153">
        <v>6.6584124363736419E-3</v>
      </c>
      <c r="AK18" s="18">
        <v>36345</v>
      </c>
      <c r="AL18" s="84">
        <f t="shared" si="27"/>
        <v>9.5343043774229835E-2</v>
      </c>
      <c r="AM18" s="83">
        <f t="shared" si="28"/>
        <v>0.55698466780238498</v>
      </c>
      <c r="AN18" s="6">
        <f t="shared" si="29"/>
        <v>0.82068965517241377</v>
      </c>
      <c r="AO18" s="127">
        <f t="shared" si="30"/>
        <v>0.10216498413819929</v>
      </c>
      <c r="AP18" s="52">
        <f t="shared" si="31"/>
        <v>85890</v>
      </c>
      <c r="AQ18" s="3">
        <f t="shared" si="32"/>
        <v>840699</v>
      </c>
      <c r="AR18" s="12">
        <f t="shared" si="33"/>
        <v>828524</v>
      </c>
      <c r="AS18" s="3">
        <f t="shared" si="34"/>
        <v>11740</v>
      </c>
      <c r="AT18" s="21">
        <f t="shared" si="35"/>
        <v>435</v>
      </c>
    </row>
    <row r="19" spans="1:46" ht="18" customHeight="1" x14ac:dyDescent="0.2">
      <c r="A19" s="109">
        <v>45777</v>
      </c>
      <c r="B19" s="3">
        <v>10330</v>
      </c>
      <c r="C19" s="153">
        <v>8.027852685406095E-2</v>
      </c>
      <c r="D19" s="3">
        <v>128677</v>
      </c>
      <c r="E19" s="134">
        <v>950</v>
      </c>
      <c r="F19" s="153">
        <v>0.55523085914669779</v>
      </c>
      <c r="G19" s="3">
        <v>1711</v>
      </c>
      <c r="H19" s="134">
        <v>35</v>
      </c>
      <c r="I19" s="153">
        <v>0.625</v>
      </c>
      <c r="J19" s="3">
        <v>56</v>
      </c>
      <c r="K19" s="154">
        <v>11315</v>
      </c>
      <c r="L19" s="153">
        <v>8.6742203550949068E-2</v>
      </c>
      <c r="M19" s="18">
        <v>130444</v>
      </c>
      <c r="N19" s="3">
        <v>69358</v>
      </c>
      <c r="O19" s="6">
        <v>0.10476960143805561</v>
      </c>
      <c r="P19" s="130">
        <v>662005</v>
      </c>
      <c r="Q19" s="55">
        <v>5581</v>
      </c>
      <c r="R19" s="6">
        <v>0.5668867445403758</v>
      </c>
      <c r="S19" s="33">
        <v>9845</v>
      </c>
      <c r="T19" s="55">
        <v>335</v>
      </c>
      <c r="U19" s="6">
        <v>0.85025380710659904</v>
      </c>
      <c r="V19" s="33">
        <v>394</v>
      </c>
      <c r="W19" s="52">
        <v>75274</v>
      </c>
      <c r="X19" s="6">
        <v>0.11197422364498605</v>
      </c>
      <c r="Y19" s="21">
        <v>672244</v>
      </c>
      <c r="Z19" s="3">
        <v>192</v>
      </c>
      <c r="AA19" s="153">
        <v>5.3249022381229721E-3</v>
      </c>
      <c r="AB19" s="3">
        <v>36057</v>
      </c>
      <c r="AC19" s="134">
        <v>40</v>
      </c>
      <c r="AD19" s="153">
        <v>0.21164021164021163</v>
      </c>
      <c r="AE19" s="3">
        <v>189</v>
      </c>
      <c r="AF19" s="134">
        <v>11</v>
      </c>
      <c r="AG19" s="153">
        <v>0.84615384615384615</v>
      </c>
      <c r="AH19" s="3">
        <v>13</v>
      </c>
      <c r="AI19" s="154">
        <v>243</v>
      </c>
      <c r="AJ19" s="153">
        <v>6.7017843845665901E-3</v>
      </c>
      <c r="AK19" s="18">
        <v>36259</v>
      </c>
      <c r="AL19" s="84">
        <f t="shared" ref="AL19" si="36">(B19+N19+Z19)/AR19</f>
        <v>9.6620577957493237E-2</v>
      </c>
      <c r="AM19" s="83">
        <f t="shared" ref="AM19" si="37">(E19+Q19+AC19)/AS19</f>
        <v>0.55947211579395484</v>
      </c>
      <c r="AN19" s="6">
        <f t="shared" ref="AN19" si="38">(H19+T19+AF19)/AT19</f>
        <v>0.82289416846652264</v>
      </c>
      <c r="AO19" s="127">
        <f t="shared" ref="AO19" si="39">AP19/AQ19</f>
        <v>0.10350117468683957</v>
      </c>
      <c r="AP19" s="52">
        <f t="shared" ref="AP19" si="40">AF19+AC19+Z19+T19+Q19+N19+H19+E19+B19</f>
        <v>86832</v>
      </c>
      <c r="AQ19" s="3">
        <f t="shared" ref="AQ19" si="41">SUM(AR19:AT19)</f>
        <v>838947</v>
      </c>
      <c r="AR19" s="12">
        <f t="shared" ref="AR19" si="42">+D19+P19+AB19</f>
        <v>826739</v>
      </c>
      <c r="AS19" s="3">
        <f t="shared" ref="AS19" si="43">G19+S19+AE19</f>
        <v>11745</v>
      </c>
      <c r="AT19" s="21">
        <f t="shared" ref="AT19" si="44">J19+V19+AH19</f>
        <v>463</v>
      </c>
    </row>
    <row r="20" spans="1:46" ht="18" customHeight="1" x14ac:dyDescent="0.2">
      <c r="A20" s="109">
        <v>45747</v>
      </c>
      <c r="B20" s="3">
        <v>10050</v>
      </c>
      <c r="C20" s="153">
        <v>7.8261275853476198E-2</v>
      </c>
      <c r="D20" s="3">
        <v>128416</v>
      </c>
      <c r="E20" s="134">
        <v>944</v>
      </c>
      <c r="F20" s="153">
        <v>0.55726092089728452</v>
      </c>
      <c r="G20" s="3">
        <v>1694</v>
      </c>
      <c r="H20" s="134">
        <v>35</v>
      </c>
      <c r="I20" s="153">
        <v>0.61403508771929827</v>
      </c>
      <c r="J20" s="3">
        <v>57</v>
      </c>
      <c r="K20" s="154">
        <v>11029</v>
      </c>
      <c r="L20" s="153">
        <v>8.4729616569483815E-2</v>
      </c>
      <c r="M20" s="18">
        <v>130167</v>
      </c>
      <c r="N20" s="3">
        <v>70566</v>
      </c>
      <c r="O20" s="6">
        <v>0.10609147205939173</v>
      </c>
      <c r="P20" s="130">
        <v>665143</v>
      </c>
      <c r="Q20" s="55">
        <v>5635</v>
      </c>
      <c r="R20" s="6">
        <v>0.56667337087691072</v>
      </c>
      <c r="S20" s="33">
        <v>9944</v>
      </c>
      <c r="T20" s="55">
        <v>340</v>
      </c>
      <c r="U20" s="6">
        <v>0.86075949367088611</v>
      </c>
      <c r="V20" s="33">
        <v>395</v>
      </c>
      <c r="W20" s="52">
        <v>76541</v>
      </c>
      <c r="X20" s="6">
        <v>0.11331316008420654</v>
      </c>
      <c r="Y20" s="21">
        <v>675482</v>
      </c>
      <c r="Z20" s="3">
        <v>185</v>
      </c>
      <c r="AA20" s="153">
        <v>5.1320461606746562E-3</v>
      </c>
      <c r="AB20" s="3">
        <v>36048</v>
      </c>
      <c r="AC20" s="134">
        <v>39</v>
      </c>
      <c r="AD20" s="153">
        <v>0.20634920634920634</v>
      </c>
      <c r="AE20" s="3">
        <v>189</v>
      </c>
      <c r="AF20" s="134">
        <v>10</v>
      </c>
      <c r="AG20" s="153">
        <v>0.76923076923076927</v>
      </c>
      <c r="AH20" s="3">
        <v>13</v>
      </c>
      <c r="AI20" s="154">
        <v>234</v>
      </c>
      <c r="AJ20" s="153">
        <v>6.4551724137931034E-3</v>
      </c>
      <c r="AK20" s="18">
        <v>36250</v>
      </c>
      <c r="AL20" s="84">
        <f t="shared" ref="AL20" si="45">(B20+N20+Z20)/AR20</f>
        <v>9.7396719169438054E-2</v>
      </c>
      <c r="AM20" s="83">
        <f t="shared" ref="AM20" si="46">(E20+Q20+AC20)/AS20</f>
        <v>0.55956709224655454</v>
      </c>
      <c r="AN20" s="6">
        <f t="shared" ref="AN20" si="47">(H20+T20+AF20)/AT20</f>
        <v>0.82795698924731187</v>
      </c>
      <c r="AO20" s="127">
        <f t="shared" ref="AO20" si="48">AP20/AQ20</f>
        <v>0.10429279521652834</v>
      </c>
      <c r="AP20" s="52">
        <f t="shared" ref="AP20" si="49">AF20+AC20+Z20+T20+Q20+N20+H20+E20+B20</f>
        <v>87804</v>
      </c>
      <c r="AQ20" s="3">
        <f t="shared" ref="AQ20" si="50">SUM(AR20:AT20)</f>
        <v>841899</v>
      </c>
      <c r="AR20" s="12">
        <f t="shared" ref="AR20" si="51">+D20+P20+AB20</f>
        <v>829607</v>
      </c>
      <c r="AS20" s="3">
        <f t="shared" ref="AS20" si="52">G20+S20+AE20</f>
        <v>11827</v>
      </c>
      <c r="AT20" s="21">
        <f t="shared" ref="AT20" si="53">J20+V20+AH20</f>
        <v>465</v>
      </c>
    </row>
    <row r="21" spans="1:46" ht="18" customHeight="1" x14ac:dyDescent="0.2">
      <c r="A21" s="109">
        <v>45716</v>
      </c>
      <c r="B21" s="3">
        <v>10100</v>
      </c>
      <c r="C21" s="153">
        <v>7.8692918416480323E-2</v>
      </c>
      <c r="D21" s="3">
        <v>128347</v>
      </c>
      <c r="E21" s="134">
        <v>942</v>
      </c>
      <c r="F21" s="153">
        <v>0.55706682436428145</v>
      </c>
      <c r="G21" s="3">
        <v>1691</v>
      </c>
      <c r="H21" s="134">
        <v>35</v>
      </c>
      <c r="I21" s="153">
        <v>0.61403508771929827</v>
      </c>
      <c r="J21" s="3">
        <v>57</v>
      </c>
      <c r="K21" s="154">
        <v>11077</v>
      </c>
      <c r="L21" s="153">
        <v>8.5145470617625577E-2</v>
      </c>
      <c r="M21" s="18">
        <v>130095</v>
      </c>
      <c r="N21" s="3">
        <v>68749</v>
      </c>
      <c r="O21" s="6">
        <v>0.10845641014314877</v>
      </c>
      <c r="P21" s="130">
        <v>633886</v>
      </c>
      <c r="Q21" s="55">
        <v>5435</v>
      </c>
      <c r="R21" s="6">
        <v>0.57042401343408899</v>
      </c>
      <c r="S21" s="33">
        <v>9528</v>
      </c>
      <c r="T21" s="55">
        <v>305</v>
      </c>
      <c r="U21" s="6">
        <v>0.85915492957746475</v>
      </c>
      <c r="V21" s="33">
        <v>355</v>
      </c>
      <c r="W21" s="52">
        <v>74489</v>
      </c>
      <c r="X21" s="6">
        <v>0.11570765290034159</v>
      </c>
      <c r="Y21" s="21">
        <v>643769</v>
      </c>
      <c r="Z21" s="3">
        <v>184</v>
      </c>
      <c r="AA21" s="153">
        <v>5.1043053706169555E-3</v>
      </c>
      <c r="AB21" s="3">
        <v>36048</v>
      </c>
      <c r="AC21" s="134">
        <v>40</v>
      </c>
      <c r="AD21" s="153">
        <v>0.20725388601036268</v>
      </c>
      <c r="AE21" s="3">
        <v>193</v>
      </c>
      <c r="AF21" s="134">
        <v>10</v>
      </c>
      <c r="AG21" s="153">
        <v>0.76923076923076927</v>
      </c>
      <c r="AH21" s="3">
        <v>13</v>
      </c>
      <c r="AI21" s="154">
        <v>234</v>
      </c>
      <c r="AJ21" s="153">
        <v>6.4544601974954484E-3</v>
      </c>
      <c r="AK21" s="18">
        <v>36254</v>
      </c>
      <c r="AL21" s="84">
        <f t="shared" ref="AL21" si="54">(B21+N21+Z21)/AR21</f>
        <v>9.9003984812365567E-2</v>
      </c>
      <c r="AM21" s="83">
        <f t="shared" ref="AM21" si="55">(E21+Q21+AC21)/AS21</f>
        <v>0.56230283911671919</v>
      </c>
      <c r="AN21" s="6">
        <f t="shared" ref="AN21" si="56">(H21+T21+AF21)/AT21</f>
        <v>0.82352941176470584</v>
      </c>
      <c r="AO21" s="127">
        <f t="shared" ref="AO21" si="57">AP21/AQ21</f>
        <v>0.10591049698932747</v>
      </c>
      <c r="AP21" s="52">
        <f t="shared" ref="AP21" si="58">AF21+AC21+Z21+T21+Q21+N21+H21+E21+B21</f>
        <v>85800</v>
      </c>
      <c r="AQ21" s="3">
        <f t="shared" ref="AQ21" si="59">SUM(AR21:AT21)</f>
        <v>810118</v>
      </c>
      <c r="AR21" s="12">
        <f t="shared" ref="AR21" si="60">+D21+P21+AB21</f>
        <v>798281</v>
      </c>
      <c r="AS21" s="3">
        <f t="shared" ref="AS21" si="61">G21+S21+AE21</f>
        <v>11412</v>
      </c>
      <c r="AT21" s="21">
        <f t="shared" ref="AT21" si="62">J21+V21+AH21</f>
        <v>425</v>
      </c>
    </row>
    <row r="22" spans="1:46" ht="18" customHeight="1" x14ac:dyDescent="0.2">
      <c r="A22" s="109">
        <v>45688</v>
      </c>
      <c r="B22" s="3">
        <v>10163</v>
      </c>
      <c r="C22" s="153">
        <v>7.9196733319826074E-2</v>
      </c>
      <c r="D22" s="3">
        <v>128326</v>
      </c>
      <c r="E22" s="134">
        <v>939</v>
      </c>
      <c r="F22" s="153">
        <v>0.55529272619751624</v>
      </c>
      <c r="G22" s="3">
        <v>1691</v>
      </c>
      <c r="H22" s="134">
        <v>35</v>
      </c>
      <c r="I22" s="153">
        <v>0.61403508771929827</v>
      </c>
      <c r="J22" s="3">
        <v>57</v>
      </c>
      <c r="K22" s="154">
        <v>11137</v>
      </c>
      <c r="L22" s="153">
        <v>8.5620492950166827E-2</v>
      </c>
      <c r="M22" s="18">
        <v>130074</v>
      </c>
      <c r="N22" s="3">
        <v>73481</v>
      </c>
      <c r="O22" s="6">
        <v>0.11081619511106353</v>
      </c>
      <c r="P22" s="130">
        <v>663089</v>
      </c>
      <c r="Q22" s="55">
        <v>5611</v>
      </c>
      <c r="R22" s="6">
        <v>0.5651692183722804</v>
      </c>
      <c r="S22" s="33">
        <v>9928</v>
      </c>
      <c r="T22" s="55">
        <v>329</v>
      </c>
      <c r="U22" s="6">
        <v>0.86125654450261779</v>
      </c>
      <c r="V22" s="33">
        <v>382</v>
      </c>
      <c r="W22" s="52">
        <v>79421</v>
      </c>
      <c r="X22" s="6">
        <v>0.11794047808208803</v>
      </c>
      <c r="Y22" s="21">
        <v>673399</v>
      </c>
      <c r="Z22" s="3">
        <v>187</v>
      </c>
      <c r="AA22" s="153">
        <v>5.1843637371777104E-3</v>
      </c>
      <c r="AB22" s="3">
        <v>36070</v>
      </c>
      <c r="AC22" s="134">
        <v>39</v>
      </c>
      <c r="AD22" s="153">
        <v>0.203125</v>
      </c>
      <c r="AE22" s="3">
        <v>192</v>
      </c>
      <c r="AF22" s="134">
        <v>10</v>
      </c>
      <c r="AG22" s="153">
        <v>0.76923076923076927</v>
      </c>
      <c r="AH22" s="3">
        <v>13</v>
      </c>
      <c r="AI22" s="154">
        <v>236</v>
      </c>
      <c r="AJ22" s="153">
        <v>6.5058580289455549E-3</v>
      </c>
      <c r="AK22" s="18">
        <v>36275</v>
      </c>
      <c r="AL22" s="84">
        <f t="shared" ref="AL22" si="63">(B22+N22+Z22)/AR22</f>
        <v>0.10130818081294525</v>
      </c>
      <c r="AM22" s="83">
        <f t="shared" ref="AM22" si="64">(E22+Q22+AC22)/AS22</f>
        <v>0.55786978240623153</v>
      </c>
      <c r="AN22" s="6">
        <f t="shared" ref="AN22" si="65">(H22+T22+AF22)/AT22</f>
        <v>0.82743362831858402</v>
      </c>
      <c r="AO22" s="127">
        <f t="shared" ref="AO22" si="66">AP22/AQ22</f>
        <v>0.1081205313975145</v>
      </c>
      <c r="AP22" s="52">
        <f t="shared" ref="AP22" si="67">AF22+AC22+Z22+T22+Q22+N22+H22+E22+B22</f>
        <v>90794</v>
      </c>
      <c r="AQ22" s="3">
        <f t="shared" ref="AQ22" si="68">SUM(AR22:AT22)</f>
        <v>839748</v>
      </c>
      <c r="AR22" s="12">
        <f t="shared" ref="AR22" si="69">+D22+P22+AB22</f>
        <v>827485</v>
      </c>
      <c r="AS22" s="3">
        <f t="shared" ref="AS22" si="70">G22+S22+AE22</f>
        <v>11811</v>
      </c>
      <c r="AT22" s="21">
        <f t="shared" ref="AT22:AT25" si="71">J22+V22+AH22</f>
        <v>452</v>
      </c>
    </row>
    <row r="23" spans="1:46" ht="18" customHeight="1" x14ac:dyDescent="0.2">
      <c r="A23" s="109">
        <v>45657</v>
      </c>
      <c r="B23" s="3">
        <v>10331</v>
      </c>
      <c r="C23" s="153">
        <v>8.0543557918700201E-2</v>
      </c>
      <c r="D23" s="3">
        <v>128266</v>
      </c>
      <c r="E23" s="134">
        <v>938</v>
      </c>
      <c r="F23" s="153">
        <v>0.55208946439081807</v>
      </c>
      <c r="G23" s="3">
        <v>1699</v>
      </c>
      <c r="H23" s="134">
        <v>34</v>
      </c>
      <c r="I23" s="153">
        <v>0.61818181818181817</v>
      </c>
      <c r="J23" s="3">
        <v>55</v>
      </c>
      <c r="K23" s="154">
        <v>11303</v>
      </c>
      <c r="L23" s="153">
        <v>8.6932779572373484E-2</v>
      </c>
      <c r="M23" s="18">
        <v>130020</v>
      </c>
      <c r="N23" s="3">
        <v>74835</v>
      </c>
      <c r="O23" s="6">
        <v>0.11291315486913933</v>
      </c>
      <c r="P23" s="130">
        <v>662766</v>
      </c>
      <c r="Q23" s="55">
        <v>5660</v>
      </c>
      <c r="R23" s="6">
        <v>0.57027707808564232</v>
      </c>
      <c r="S23" s="33">
        <v>9925</v>
      </c>
      <c r="T23" s="55">
        <v>333</v>
      </c>
      <c r="U23" s="6">
        <v>0.87172774869109948</v>
      </c>
      <c r="V23" s="33">
        <v>382</v>
      </c>
      <c r="W23" s="52">
        <v>80828</v>
      </c>
      <c r="X23" s="6">
        <v>0.12008801422728292</v>
      </c>
      <c r="Y23" s="21">
        <v>673073</v>
      </c>
      <c r="Z23" s="3">
        <v>240</v>
      </c>
      <c r="AA23" s="153">
        <v>6.6561277976537152E-3</v>
      </c>
      <c r="AB23" s="3">
        <v>36057</v>
      </c>
      <c r="AC23" s="134">
        <v>41</v>
      </c>
      <c r="AD23" s="153">
        <v>0.2019704433497537</v>
      </c>
      <c r="AE23" s="3">
        <v>203</v>
      </c>
      <c r="AF23" s="134">
        <v>11</v>
      </c>
      <c r="AG23" s="153">
        <v>0.84615384615384615</v>
      </c>
      <c r="AH23" s="3">
        <v>13</v>
      </c>
      <c r="AI23" s="154">
        <v>292</v>
      </c>
      <c r="AJ23" s="153">
        <v>8.0500647864803019E-3</v>
      </c>
      <c r="AK23" s="18">
        <v>36273</v>
      </c>
      <c r="AL23" s="84">
        <f t="shared" ref="AL23" si="72">(B23+N23+Z23)/AR23</f>
        <v>0.10326095498791545</v>
      </c>
      <c r="AM23" s="83">
        <f t="shared" ref="AM23" si="73">(E23+Q23+AC23)/AS23</f>
        <v>0.56134269045404583</v>
      </c>
      <c r="AN23" s="6">
        <f t="shared" ref="AN23" si="74">(H23+T23+AF23)/AT23</f>
        <v>0.84</v>
      </c>
      <c r="AO23" s="127">
        <f t="shared" ref="AO23" si="75">AP23/AQ23</f>
        <v>0.11011048815415445</v>
      </c>
      <c r="AP23" s="52">
        <f t="shared" ref="AP23" si="76">AF23+AC23+Z23+T23+Q23+N23+H23+E23+B23</f>
        <v>92423</v>
      </c>
      <c r="AQ23" s="3">
        <f t="shared" ref="AQ23" si="77">SUM(AR23:AT23)</f>
        <v>839366</v>
      </c>
      <c r="AR23" s="12">
        <f t="shared" ref="AR23" si="78">+D23+P23+AB23</f>
        <v>827089</v>
      </c>
      <c r="AS23" s="3">
        <f t="shared" ref="AS23" si="79">G23+S23+AE23</f>
        <v>11827</v>
      </c>
      <c r="AT23" s="21">
        <f t="shared" si="71"/>
        <v>450</v>
      </c>
    </row>
    <row r="24" spans="1:46" ht="18" customHeight="1" x14ac:dyDescent="0.2">
      <c r="A24" s="109">
        <v>45626</v>
      </c>
      <c r="B24" s="3">
        <v>10309</v>
      </c>
      <c r="C24" s="153">
        <v>8.0374545851460297E-2</v>
      </c>
      <c r="D24" s="3">
        <v>128262</v>
      </c>
      <c r="E24" s="134">
        <v>935</v>
      </c>
      <c r="F24" s="153">
        <v>0.54550758459743287</v>
      </c>
      <c r="G24" s="3">
        <v>1714</v>
      </c>
      <c r="H24" s="134">
        <v>33</v>
      </c>
      <c r="I24" s="153">
        <v>0.6</v>
      </c>
      <c r="J24" s="3">
        <v>55</v>
      </c>
      <c r="K24" s="154">
        <v>11277</v>
      </c>
      <c r="L24" s="153">
        <v>8.6725473156401167E-2</v>
      </c>
      <c r="M24" s="18">
        <v>130031</v>
      </c>
      <c r="N24" s="3">
        <v>70256</v>
      </c>
      <c r="O24" s="6">
        <v>0.11620417770029656</v>
      </c>
      <c r="P24" s="130">
        <v>604591</v>
      </c>
      <c r="Q24" s="55">
        <v>5196</v>
      </c>
      <c r="R24" s="6">
        <v>0.56749672346002622</v>
      </c>
      <c r="S24" s="33">
        <v>9156</v>
      </c>
      <c r="T24" s="55">
        <v>285</v>
      </c>
      <c r="U24" s="6">
        <v>0.84319526627218933</v>
      </c>
      <c r="V24" s="33">
        <v>338</v>
      </c>
      <c r="W24" s="52">
        <v>75737</v>
      </c>
      <c r="X24" s="6">
        <v>0.12333308906747437</v>
      </c>
      <c r="Y24" s="21">
        <v>614085</v>
      </c>
      <c r="Z24" s="3">
        <v>239</v>
      </c>
      <c r="AA24" s="153">
        <v>6.6285777679165742E-3</v>
      </c>
      <c r="AB24" s="3">
        <v>36056</v>
      </c>
      <c r="AC24" s="134">
        <v>41</v>
      </c>
      <c r="AD24" s="153">
        <v>0.20098039215686275</v>
      </c>
      <c r="AE24" s="3">
        <v>204</v>
      </c>
      <c r="AF24" s="134">
        <v>11</v>
      </c>
      <c r="AG24" s="153">
        <v>0.84615384615384615</v>
      </c>
      <c r="AH24" s="3">
        <v>13</v>
      </c>
      <c r="AI24" s="154">
        <v>291</v>
      </c>
      <c r="AJ24" s="153">
        <v>8.022496071458109E-3</v>
      </c>
      <c r="AK24" s="18">
        <v>36273</v>
      </c>
      <c r="AL24" s="84">
        <f t="shared" ref="AL24:AL25" si="80">(B24+N24+Z24)/AR24</f>
        <v>0.105089158795124</v>
      </c>
      <c r="AM24" s="83">
        <f t="shared" ref="AM24:AM25" si="81">(E24+Q24+AC24)/AS24</f>
        <v>0.55734152067906806</v>
      </c>
      <c r="AN24" s="6">
        <f t="shared" ref="AN24:AN25" si="82">(H24+T24+AF24)/AT24</f>
        <v>0.81034482758620685</v>
      </c>
      <c r="AO24" s="127">
        <f t="shared" ref="AO24:AO25" si="83">AP24/AQ24</f>
        <v>0.11187369376041949</v>
      </c>
      <c r="AP24" s="52">
        <f t="shared" ref="AP24:AP25" si="84">AF24+AC24+Z24+T24+Q24+N24+H24+E24+B24</f>
        <v>87305</v>
      </c>
      <c r="AQ24" s="3">
        <f t="shared" ref="AQ24:AQ25" si="85">SUM(AR24:AT24)</f>
        <v>780389</v>
      </c>
      <c r="AR24" s="12">
        <f t="shared" ref="AR24:AR25" si="86">+D24+P24+AB24</f>
        <v>768909</v>
      </c>
      <c r="AS24" s="3">
        <f t="shared" ref="AS24:AS25" si="87">G24+S24+AE24</f>
        <v>11074</v>
      </c>
      <c r="AT24" s="21">
        <f t="shared" si="71"/>
        <v>406</v>
      </c>
    </row>
    <row r="25" spans="1:46" ht="18" customHeight="1" x14ac:dyDescent="0.2">
      <c r="A25" s="109">
        <v>45596</v>
      </c>
      <c r="B25" s="3">
        <v>10601</v>
      </c>
      <c r="C25" s="153">
        <v>8.2486499945532921E-2</v>
      </c>
      <c r="D25" s="3">
        <v>128518</v>
      </c>
      <c r="E25" s="134">
        <v>937</v>
      </c>
      <c r="F25" s="153">
        <v>0.54005763688760811</v>
      </c>
      <c r="G25" s="3">
        <v>1735</v>
      </c>
      <c r="H25" s="134">
        <v>33</v>
      </c>
      <c r="I25" s="153">
        <v>0.62264150943396224</v>
      </c>
      <c r="J25" s="3">
        <v>53</v>
      </c>
      <c r="K25" s="154">
        <v>11571</v>
      </c>
      <c r="L25" s="153">
        <v>8.8798673890688073E-2</v>
      </c>
      <c r="M25" s="18">
        <v>130306</v>
      </c>
      <c r="N25" s="3">
        <v>78878</v>
      </c>
      <c r="O25" s="6">
        <v>0.11918400403736985</v>
      </c>
      <c r="P25" s="130">
        <v>661817</v>
      </c>
      <c r="Q25" s="55">
        <v>5764</v>
      </c>
      <c r="R25" s="6">
        <v>0.56776989755713159</v>
      </c>
      <c r="S25" s="33">
        <v>10152</v>
      </c>
      <c r="T25" s="55">
        <v>348</v>
      </c>
      <c r="U25" s="6">
        <v>0.87</v>
      </c>
      <c r="V25" s="33">
        <v>400</v>
      </c>
      <c r="W25" s="52">
        <v>84990</v>
      </c>
      <c r="X25" s="6">
        <v>0.12640380505347509</v>
      </c>
      <c r="Y25" s="21">
        <v>672369</v>
      </c>
      <c r="Z25" s="3">
        <v>237</v>
      </c>
      <c r="AA25" s="153">
        <v>6.5732908057134932E-3</v>
      </c>
      <c r="AB25" s="3">
        <v>36055</v>
      </c>
      <c r="AC25" s="134">
        <v>40</v>
      </c>
      <c r="AD25" s="153">
        <v>0.1941747572815534</v>
      </c>
      <c r="AE25" s="3">
        <v>206</v>
      </c>
      <c r="AF25" s="134">
        <v>12</v>
      </c>
      <c r="AG25" s="153">
        <v>0.8571428571428571</v>
      </c>
      <c r="AH25" s="3">
        <v>14</v>
      </c>
      <c r="AI25" s="154">
        <v>289</v>
      </c>
      <c r="AJ25" s="153">
        <v>7.9669193659545143E-3</v>
      </c>
      <c r="AK25" s="18">
        <v>36275</v>
      </c>
      <c r="AL25" s="84">
        <f t="shared" si="80"/>
        <v>0.10856375319159235</v>
      </c>
      <c r="AM25" s="83">
        <f t="shared" si="81"/>
        <v>0.55742991813445797</v>
      </c>
      <c r="AN25" s="6">
        <f t="shared" si="82"/>
        <v>0.84154175588865099</v>
      </c>
      <c r="AO25" s="127">
        <f t="shared" si="83"/>
        <v>0.11544192144943084</v>
      </c>
      <c r="AP25" s="52">
        <f t="shared" si="84"/>
        <v>96850</v>
      </c>
      <c r="AQ25" s="3">
        <f t="shared" si="85"/>
        <v>838950</v>
      </c>
      <c r="AR25" s="12">
        <f t="shared" si="86"/>
        <v>826390</v>
      </c>
      <c r="AS25" s="3">
        <f t="shared" si="87"/>
        <v>12093</v>
      </c>
      <c r="AT25" s="21">
        <f t="shared" si="71"/>
        <v>467</v>
      </c>
    </row>
    <row r="26" spans="1:46" ht="18" customHeight="1" x14ac:dyDescent="0.2">
      <c r="A26" s="109">
        <v>45565</v>
      </c>
      <c r="B26" s="3">
        <v>10858</v>
      </c>
      <c r="C26" s="153">
        <v>8.4258720366274784E-2</v>
      </c>
      <c r="D26" s="3">
        <v>128865</v>
      </c>
      <c r="E26" s="134">
        <v>943</v>
      </c>
      <c r="F26" s="153">
        <v>0.54257767548906788</v>
      </c>
      <c r="G26" s="3">
        <v>1738</v>
      </c>
      <c r="H26" s="134">
        <v>33</v>
      </c>
      <c r="I26" s="153">
        <v>0.62264150943396224</v>
      </c>
      <c r="J26" s="3">
        <v>53</v>
      </c>
      <c r="K26" s="154">
        <v>11834</v>
      </c>
      <c r="L26" s="153">
        <v>9.0573720303698257E-2</v>
      </c>
      <c r="M26" s="18">
        <v>130656</v>
      </c>
      <c r="N26" s="3">
        <v>77235</v>
      </c>
      <c r="O26" s="6">
        <v>0.12169891592083701</v>
      </c>
      <c r="P26" s="130">
        <v>634640</v>
      </c>
      <c r="Q26" s="55">
        <v>5411</v>
      </c>
      <c r="R26" s="6">
        <v>0.56606339575269382</v>
      </c>
      <c r="S26" s="33">
        <v>9559</v>
      </c>
      <c r="T26" s="55">
        <v>332</v>
      </c>
      <c r="U26" s="6">
        <v>0.88770053475935828</v>
      </c>
      <c r="V26" s="33">
        <v>374</v>
      </c>
      <c r="W26" s="52">
        <v>82978</v>
      </c>
      <c r="X26" s="6">
        <v>0.12873328544633425</v>
      </c>
      <c r="Y26" s="21">
        <v>644573</v>
      </c>
      <c r="Z26" s="3">
        <v>238</v>
      </c>
      <c r="AA26" s="153">
        <v>6.5744040219883433E-3</v>
      </c>
      <c r="AB26" s="3">
        <v>36201</v>
      </c>
      <c r="AC26" s="134">
        <v>39</v>
      </c>
      <c r="AD26" s="153">
        <v>0.19024390243902439</v>
      </c>
      <c r="AE26" s="3">
        <v>205</v>
      </c>
      <c r="AF26" s="134">
        <v>13</v>
      </c>
      <c r="AG26" s="153">
        <v>0.8666666666666667</v>
      </c>
      <c r="AH26" s="3">
        <v>15</v>
      </c>
      <c r="AI26" s="154">
        <v>290</v>
      </c>
      <c r="AJ26" s="153">
        <v>7.9624392520798448E-3</v>
      </c>
      <c r="AK26" s="18">
        <v>36421</v>
      </c>
      <c r="AL26" s="84">
        <f t="shared" ref="AL26" si="88">(B26+N26+Z26)/AR26</f>
        <v>0.11045434197067422</v>
      </c>
      <c r="AM26" s="83">
        <f t="shared" ref="AM26" si="89">(E26+Q26+AC26)/AS26</f>
        <v>0.55581637976004172</v>
      </c>
      <c r="AN26" s="6">
        <f t="shared" ref="AN26" si="90">(H26+T26+AF26)/AT26</f>
        <v>0.85520361990950222</v>
      </c>
      <c r="AO26" s="127">
        <f t="shared" ref="AO26" si="91">AP26/AQ26</f>
        <v>0.11717119448037948</v>
      </c>
      <c r="AP26" s="52">
        <f t="shared" ref="AP26" si="92">AF26+AC26+Z26+T26+Q26+N26+H26+E26+B26</f>
        <v>95102</v>
      </c>
      <c r="AQ26" s="3">
        <f t="shared" ref="AQ26" si="93">SUM(AR26:AT26)</f>
        <v>811650</v>
      </c>
      <c r="AR26" s="12">
        <f t="shared" ref="AR26" si="94">+D26+P26+AB26</f>
        <v>799706</v>
      </c>
      <c r="AS26" s="3">
        <f t="shared" ref="AS26" si="95">G26+S26+AE26</f>
        <v>11502</v>
      </c>
      <c r="AT26" s="21">
        <f t="shared" ref="AT26" si="96">J26+V26+AH26</f>
        <v>442</v>
      </c>
    </row>
    <row r="27" spans="1:46" ht="18" customHeight="1" x14ac:dyDescent="0.2">
      <c r="A27" s="109">
        <v>45535</v>
      </c>
      <c r="B27" s="3">
        <v>11054</v>
      </c>
      <c r="C27" s="153">
        <v>8.573777612310747E-2</v>
      </c>
      <c r="D27" s="3">
        <v>128928</v>
      </c>
      <c r="E27" s="134">
        <v>943</v>
      </c>
      <c r="F27" s="153">
        <v>0.54508670520231217</v>
      </c>
      <c r="G27" s="3">
        <v>1730</v>
      </c>
      <c r="H27" s="134">
        <v>34</v>
      </c>
      <c r="I27" s="153">
        <v>0.61818181818181817</v>
      </c>
      <c r="J27" s="3">
        <v>55</v>
      </c>
      <c r="K27" s="154">
        <v>12031</v>
      </c>
      <c r="L27" s="153">
        <v>9.2041342483150101E-2</v>
      </c>
      <c r="M27" s="18">
        <v>130713</v>
      </c>
      <c r="N27" s="3">
        <v>81141</v>
      </c>
      <c r="O27" s="6">
        <v>0.12284784254352762</v>
      </c>
      <c r="P27" s="130">
        <v>660500</v>
      </c>
      <c r="Q27" s="55">
        <v>5796</v>
      </c>
      <c r="R27" s="6">
        <v>0.5716540092711313</v>
      </c>
      <c r="S27" s="33">
        <v>10139</v>
      </c>
      <c r="T27" s="55">
        <v>339</v>
      </c>
      <c r="U27" s="6">
        <v>0.86700767263427114</v>
      </c>
      <c r="V27" s="33">
        <v>391</v>
      </c>
      <c r="W27" s="52">
        <v>87276</v>
      </c>
      <c r="X27" s="6">
        <v>0.130062739370818</v>
      </c>
      <c r="Y27" s="21">
        <v>671030</v>
      </c>
      <c r="Z27" s="3">
        <v>265</v>
      </c>
      <c r="AA27" s="153">
        <v>7.3045012266049229E-3</v>
      </c>
      <c r="AB27" s="3">
        <v>36279</v>
      </c>
      <c r="AC27" s="134">
        <v>38</v>
      </c>
      <c r="AD27" s="153">
        <v>0.18627450980392157</v>
      </c>
      <c r="AE27" s="3">
        <v>204</v>
      </c>
      <c r="AF27" s="134">
        <v>13</v>
      </c>
      <c r="AG27" s="153">
        <v>0.8666666666666667</v>
      </c>
      <c r="AH27" s="3">
        <v>15</v>
      </c>
      <c r="AI27" s="154">
        <v>316</v>
      </c>
      <c r="AJ27" s="153">
        <v>8.658008658008658E-3</v>
      </c>
      <c r="AK27" s="18">
        <v>36498</v>
      </c>
      <c r="AL27" s="84">
        <f t="shared" ref="AL27" si="97">(B27+N27+Z27)/AR27</f>
        <v>0.11197676657700613</v>
      </c>
      <c r="AM27" s="83">
        <f t="shared" ref="AM27" si="98">(E27+Q27+AC27)/AS27</f>
        <v>0.56133521080096083</v>
      </c>
      <c r="AN27" s="6">
        <f t="shared" ref="AN27" si="99">(H27+T27+AF27)/AT27</f>
        <v>0.83731019522776573</v>
      </c>
      <c r="AO27" s="127">
        <f t="shared" ref="AO27" si="100">AP27/AQ27</f>
        <v>0.11884768222981219</v>
      </c>
      <c r="AP27" s="52">
        <f t="shared" ref="AP27" si="101">AF27+AC27+Z27+T27+Q27+N27+H27+E27+B27</f>
        <v>99623</v>
      </c>
      <c r="AQ27" s="3">
        <f t="shared" ref="AQ27" si="102">SUM(AR27:AT27)</f>
        <v>838241</v>
      </c>
      <c r="AR27" s="12">
        <f t="shared" ref="AR27" si="103">+D27+P27+AB27</f>
        <v>825707</v>
      </c>
      <c r="AS27" s="3">
        <f t="shared" ref="AS27" si="104">G27+S27+AE27</f>
        <v>12073</v>
      </c>
      <c r="AT27" s="21">
        <f t="shared" ref="AT27" si="105">J27+V27+AH27</f>
        <v>461</v>
      </c>
    </row>
    <row r="28" spans="1:46" ht="18" customHeight="1" x14ac:dyDescent="0.2">
      <c r="A28" s="109">
        <v>45504</v>
      </c>
      <c r="B28" s="3">
        <v>11070</v>
      </c>
      <c r="C28" s="153">
        <v>8.5852553861426067E-2</v>
      </c>
      <c r="D28" s="3">
        <v>128942</v>
      </c>
      <c r="E28" s="134">
        <v>943</v>
      </c>
      <c r="F28" s="153">
        <v>0.54445727482678985</v>
      </c>
      <c r="G28" s="3">
        <v>1732</v>
      </c>
      <c r="H28" s="134">
        <v>34</v>
      </c>
      <c r="I28" s="153">
        <v>0.61818181818181817</v>
      </c>
      <c r="J28" s="3">
        <v>55</v>
      </c>
      <c r="K28" s="154">
        <v>12047</v>
      </c>
      <c r="L28" s="153">
        <v>9.2152468082827829E-2</v>
      </c>
      <c r="M28" s="18">
        <v>130729</v>
      </c>
      <c r="N28" s="3">
        <v>81331</v>
      </c>
      <c r="O28" s="6">
        <v>0.12328706903869709</v>
      </c>
      <c r="P28" s="130">
        <v>659688</v>
      </c>
      <c r="Q28" s="55">
        <v>6167</v>
      </c>
      <c r="R28" s="6">
        <v>0.56765463917525771</v>
      </c>
      <c r="S28" s="33">
        <v>10864</v>
      </c>
      <c r="T28" s="55">
        <v>345</v>
      </c>
      <c r="U28" s="6">
        <v>0.86901763224181361</v>
      </c>
      <c r="V28" s="33">
        <v>397</v>
      </c>
      <c r="W28" s="52">
        <v>87843</v>
      </c>
      <c r="X28" s="6">
        <v>0.13092351281543008</v>
      </c>
      <c r="Y28" s="21">
        <v>670949</v>
      </c>
      <c r="Z28" s="3">
        <v>261</v>
      </c>
      <c r="AA28" s="153">
        <v>7.1946412327369962E-3</v>
      </c>
      <c r="AB28" s="3">
        <v>36277</v>
      </c>
      <c r="AC28" s="134">
        <v>39</v>
      </c>
      <c r="AD28" s="153">
        <v>0.19117647058823528</v>
      </c>
      <c r="AE28" s="3">
        <v>204</v>
      </c>
      <c r="AF28" s="134">
        <v>13</v>
      </c>
      <c r="AG28" s="153">
        <v>0.8666666666666667</v>
      </c>
      <c r="AH28" s="3">
        <v>15</v>
      </c>
      <c r="AI28" s="154">
        <v>313</v>
      </c>
      <c r="AJ28" s="153">
        <v>8.5762823323103903E-3</v>
      </c>
      <c r="AK28" s="18">
        <v>36496</v>
      </c>
      <c r="AL28" s="84">
        <f t="shared" ref="AL28:AL31" si="106">(B28+N28+Z28)/AR28</f>
        <v>0.11233023843899979</v>
      </c>
      <c r="AM28" s="83">
        <f t="shared" ref="AM28:AM31" si="107">(E28+Q28+AC28)/AS28</f>
        <v>0.55851562499999996</v>
      </c>
      <c r="AN28" s="6">
        <f t="shared" ref="AN28:AN31" si="108">(H28+T28+AF28)/AT28</f>
        <v>0.83940042826552463</v>
      </c>
      <c r="AO28" s="127">
        <f t="shared" ref="AO28:AO31" si="109">AP28/AQ28</f>
        <v>0.1195491628229938</v>
      </c>
      <c r="AP28" s="52">
        <f t="shared" ref="AP28:AP31" si="110">AF28+AC28+Z28+T28+Q28+N28+H28+E28+B28</f>
        <v>100203</v>
      </c>
      <c r="AQ28" s="3">
        <f t="shared" ref="AQ28:AQ31" si="111">SUM(AR28:AT28)</f>
        <v>838174</v>
      </c>
      <c r="AR28" s="12">
        <f t="shared" ref="AR28:AR31" si="112">+D28+P28+AB28</f>
        <v>824907</v>
      </c>
      <c r="AS28" s="3">
        <f t="shared" ref="AS28:AS31" si="113">G28+S28+AE28</f>
        <v>12800</v>
      </c>
      <c r="AT28" s="21">
        <f t="shared" ref="AT28:AT31" si="114">J28+V28+AH28</f>
        <v>467</v>
      </c>
    </row>
    <row r="29" spans="1:46" ht="18" customHeight="1" x14ac:dyDescent="0.2">
      <c r="A29" s="109">
        <v>45473</v>
      </c>
      <c r="B29" s="3">
        <v>11074</v>
      </c>
      <c r="C29" s="153">
        <v>8.5958239540479708E-2</v>
      </c>
      <c r="D29" s="3">
        <v>128830</v>
      </c>
      <c r="E29" s="134">
        <v>946</v>
      </c>
      <c r="F29" s="153">
        <v>0.54493087557603692</v>
      </c>
      <c r="G29" s="3">
        <v>1736</v>
      </c>
      <c r="H29" s="134">
        <v>34</v>
      </c>
      <c r="I29" s="153">
        <v>0.61818181818181817</v>
      </c>
      <c r="J29" s="3">
        <v>55</v>
      </c>
      <c r="K29" s="154">
        <v>12054</v>
      </c>
      <c r="L29" s="153">
        <v>9.2282251705315371E-2</v>
      </c>
      <c r="M29" s="18">
        <v>130621</v>
      </c>
      <c r="N29" s="3">
        <v>77761</v>
      </c>
      <c r="O29" s="6">
        <v>0.12358964822858705</v>
      </c>
      <c r="P29" s="130">
        <v>629187</v>
      </c>
      <c r="Q29" s="55">
        <v>5826</v>
      </c>
      <c r="R29" s="6">
        <v>0.57263613131511693</v>
      </c>
      <c r="S29" s="33">
        <v>10174</v>
      </c>
      <c r="T29" s="55">
        <v>305</v>
      </c>
      <c r="U29" s="6">
        <v>0.87896253602305474</v>
      </c>
      <c r="V29" s="33">
        <v>347</v>
      </c>
      <c r="W29" s="52">
        <v>83892</v>
      </c>
      <c r="X29" s="6">
        <v>0.13114108311917314</v>
      </c>
      <c r="Y29" s="21">
        <v>639708</v>
      </c>
      <c r="Z29" s="3">
        <v>279</v>
      </c>
      <c r="AA29" s="153">
        <v>7.692731884857174E-3</v>
      </c>
      <c r="AB29" s="3">
        <v>36268</v>
      </c>
      <c r="AC29" s="134">
        <v>39</v>
      </c>
      <c r="AD29" s="153">
        <v>0.19117647058823528</v>
      </c>
      <c r="AE29" s="3">
        <v>204</v>
      </c>
      <c r="AF29" s="134">
        <v>13</v>
      </c>
      <c r="AG29" s="153">
        <v>0.8125</v>
      </c>
      <c r="AH29" s="3">
        <v>16</v>
      </c>
      <c r="AI29" s="154">
        <v>331</v>
      </c>
      <c r="AJ29" s="153">
        <v>9.0714755536066647E-3</v>
      </c>
      <c r="AK29" s="18">
        <v>36488</v>
      </c>
      <c r="AL29" s="84">
        <f t="shared" si="106"/>
        <v>0.11219398578595845</v>
      </c>
      <c r="AM29" s="83">
        <f t="shared" si="107"/>
        <v>0.56224203401023609</v>
      </c>
      <c r="AN29" s="6">
        <f t="shared" si="108"/>
        <v>0.84210526315789469</v>
      </c>
      <c r="AO29" s="127">
        <f t="shared" si="109"/>
        <v>0.11932941422900112</v>
      </c>
      <c r="AP29" s="52">
        <f t="shared" si="110"/>
        <v>96277</v>
      </c>
      <c r="AQ29" s="3">
        <f t="shared" si="111"/>
        <v>806817</v>
      </c>
      <c r="AR29" s="12">
        <f t="shared" si="112"/>
        <v>794285</v>
      </c>
      <c r="AS29" s="3">
        <f t="shared" si="113"/>
        <v>12114</v>
      </c>
      <c r="AT29" s="21">
        <f t="shared" si="114"/>
        <v>418</v>
      </c>
    </row>
    <row r="30" spans="1:46" ht="18" customHeight="1" x14ac:dyDescent="0.2">
      <c r="A30" s="109">
        <v>45443</v>
      </c>
      <c r="B30" s="3">
        <v>11057</v>
      </c>
      <c r="C30" s="153">
        <v>8.5981788066595649E-2</v>
      </c>
      <c r="D30" s="3">
        <v>128597</v>
      </c>
      <c r="E30" s="134">
        <v>944</v>
      </c>
      <c r="F30" s="153">
        <v>0.54252873563218396</v>
      </c>
      <c r="G30" s="3">
        <v>1740</v>
      </c>
      <c r="H30" s="134">
        <v>34</v>
      </c>
      <c r="I30" s="153">
        <v>0.62962962962962965</v>
      </c>
      <c r="J30" s="3">
        <v>54</v>
      </c>
      <c r="K30" s="154">
        <v>12035</v>
      </c>
      <c r="L30" s="153">
        <v>9.2299315136780913E-2</v>
      </c>
      <c r="M30" s="18">
        <v>130391</v>
      </c>
      <c r="N30" s="3">
        <v>81333</v>
      </c>
      <c r="O30" s="6">
        <v>0.12353898101187953</v>
      </c>
      <c r="P30" s="130">
        <v>658359</v>
      </c>
      <c r="Q30" s="55">
        <v>6205</v>
      </c>
      <c r="R30" s="6">
        <v>0.56942277691107646</v>
      </c>
      <c r="S30" s="33">
        <v>10897</v>
      </c>
      <c r="T30" s="55">
        <v>347</v>
      </c>
      <c r="U30" s="6">
        <v>0.86750000000000005</v>
      </c>
      <c r="V30" s="33">
        <v>400</v>
      </c>
      <c r="W30" s="52">
        <v>87885</v>
      </c>
      <c r="X30" s="6">
        <v>0.13123902421541805</v>
      </c>
      <c r="Y30" s="21">
        <v>669656</v>
      </c>
      <c r="Z30" s="3">
        <v>303</v>
      </c>
      <c r="AA30" s="153">
        <v>8.3535509483899425E-3</v>
      </c>
      <c r="AB30" s="3">
        <v>36272</v>
      </c>
      <c r="AC30" s="134">
        <v>44</v>
      </c>
      <c r="AD30" s="153">
        <v>0.21359223300970873</v>
      </c>
      <c r="AE30" s="3">
        <v>206</v>
      </c>
      <c r="AF30" s="134">
        <v>13</v>
      </c>
      <c r="AG30" s="153">
        <v>0.8125</v>
      </c>
      <c r="AH30" s="3">
        <v>16</v>
      </c>
      <c r="AI30" s="154">
        <v>360</v>
      </c>
      <c r="AJ30" s="153">
        <v>9.8646352825121943E-3</v>
      </c>
      <c r="AK30" s="18">
        <v>36494</v>
      </c>
      <c r="AL30" s="84">
        <f t="shared" si="106"/>
        <v>0.11259699621490037</v>
      </c>
      <c r="AM30" s="83">
        <f t="shared" si="107"/>
        <v>0.56007163435334428</v>
      </c>
      <c r="AN30" s="6">
        <f t="shared" si="108"/>
        <v>0.83829787234042552</v>
      </c>
      <c r="AO30" s="127">
        <f t="shared" si="109"/>
        <v>0.11987457877139315</v>
      </c>
      <c r="AP30" s="52">
        <f t="shared" si="110"/>
        <v>100280</v>
      </c>
      <c r="AQ30" s="3">
        <f t="shared" si="111"/>
        <v>836541</v>
      </c>
      <c r="AR30" s="12">
        <f t="shared" si="112"/>
        <v>823228</v>
      </c>
      <c r="AS30" s="3">
        <f t="shared" si="113"/>
        <v>12843</v>
      </c>
      <c r="AT30" s="21">
        <f t="shared" si="114"/>
        <v>470</v>
      </c>
    </row>
    <row r="31" spans="1:46" ht="18" customHeight="1" x14ac:dyDescent="0.2">
      <c r="A31" s="109">
        <v>45412</v>
      </c>
      <c r="B31" s="3">
        <v>11002</v>
      </c>
      <c r="C31" s="153">
        <v>8.5882003965466094E-2</v>
      </c>
      <c r="D31" s="3">
        <v>128106</v>
      </c>
      <c r="E31" s="134">
        <v>942</v>
      </c>
      <c r="F31" s="153">
        <v>0.54169062679700974</v>
      </c>
      <c r="G31" s="3">
        <v>1739</v>
      </c>
      <c r="H31" s="134">
        <v>34</v>
      </c>
      <c r="I31" s="153">
        <v>0.62962962962962965</v>
      </c>
      <c r="J31" s="3">
        <v>54</v>
      </c>
      <c r="K31" s="154">
        <v>11978</v>
      </c>
      <c r="L31" s="153">
        <v>9.2210101694393337E-2</v>
      </c>
      <c r="M31" s="18">
        <v>129899</v>
      </c>
      <c r="N31" s="3">
        <v>81130</v>
      </c>
      <c r="O31" s="6">
        <v>0.12338694346222577</v>
      </c>
      <c r="P31" s="130">
        <v>657525</v>
      </c>
      <c r="Q31" s="55">
        <v>6182</v>
      </c>
      <c r="R31" s="6">
        <v>0.56835524501241153</v>
      </c>
      <c r="S31" s="33">
        <v>10877</v>
      </c>
      <c r="T31" s="55">
        <v>346</v>
      </c>
      <c r="U31" s="6">
        <v>0.86499999999999999</v>
      </c>
      <c r="V31" s="33">
        <v>400</v>
      </c>
      <c r="W31" s="52">
        <v>87658</v>
      </c>
      <c r="X31" s="6">
        <v>0.13106719178471357</v>
      </c>
      <c r="Y31" s="21">
        <v>668802</v>
      </c>
      <c r="Z31" s="3">
        <v>329</v>
      </c>
      <c r="AA31" s="153">
        <v>9.0826270601551493E-3</v>
      </c>
      <c r="AB31" s="3">
        <v>36223</v>
      </c>
      <c r="AC31" s="134">
        <v>54</v>
      </c>
      <c r="AD31" s="153">
        <v>0.26213592233009708</v>
      </c>
      <c r="AE31" s="3">
        <v>206</v>
      </c>
      <c r="AF31" s="134">
        <v>13</v>
      </c>
      <c r="AG31" s="153">
        <v>0.8125</v>
      </c>
      <c r="AH31" s="3">
        <v>16</v>
      </c>
      <c r="AI31" s="154">
        <v>396</v>
      </c>
      <c r="AJ31" s="153">
        <v>1.086568802304843E-2</v>
      </c>
      <c r="AK31" s="18">
        <v>36445</v>
      </c>
      <c r="AL31" s="84">
        <f t="shared" si="106"/>
        <v>0.11250295064573514</v>
      </c>
      <c r="AM31" s="83">
        <f t="shared" si="107"/>
        <v>0.55981906098892531</v>
      </c>
      <c r="AN31" s="6">
        <f t="shared" si="108"/>
        <v>0.83617021276595749</v>
      </c>
      <c r="AO31" s="127">
        <f t="shared" si="109"/>
        <v>0.11977785920066671</v>
      </c>
      <c r="AP31" s="52">
        <f t="shared" si="110"/>
        <v>100032</v>
      </c>
      <c r="AQ31" s="3">
        <f t="shared" si="111"/>
        <v>835146</v>
      </c>
      <c r="AR31" s="12">
        <f t="shared" si="112"/>
        <v>821854</v>
      </c>
      <c r="AS31" s="3">
        <f t="shared" si="113"/>
        <v>12822</v>
      </c>
      <c r="AT31" s="21">
        <f t="shared" si="114"/>
        <v>470</v>
      </c>
    </row>
    <row r="32" spans="1:46" ht="18" customHeight="1" x14ac:dyDescent="0.2">
      <c r="A32" s="109">
        <v>45382</v>
      </c>
      <c r="B32" s="3">
        <v>11042</v>
      </c>
      <c r="C32" s="153">
        <v>8.6367511673927838E-2</v>
      </c>
      <c r="D32" s="3">
        <v>127849</v>
      </c>
      <c r="E32" s="134">
        <v>937</v>
      </c>
      <c r="F32" s="153">
        <v>0.54635568513119537</v>
      </c>
      <c r="G32" s="3">
        <v>1715</v>
      </c>
      <c r="H32" s="134">
        <v>34</v>
      </c>
      <c r="I32" s="153">
        <v>0.6071428571428571</v>
      </c>
      <c r="J32" s="3">
        <v>56</v>
      </c>
      <c r="K32" s="154">
        <v>12013</v>
      </c>
      <c r="L32" s="153">
        <v>9.2678598981638632E-2</v>
      </c>
      <c r="M32" s="18">
        <v>129620</v>
      </c>
      <c r="N32" s="3">
        <v>81190</v>
      </c>
      <c r="O32" s="6">
        <v>0.12430433817394033</v>
      </c>
      <c r="P32" s="130">
        <v>653155</v>
      </c>
      <c r="Q32" s="55">
        <v>6114</v>
      </c>
      <c r="R32" s="6">
        <v>0.56605869826867883</v>
      </c>
      <c r="S32" s="33">
        <v>10801</v>
      </c>
      <c r="T32" s="55">
        <v>333</v>
      </c>
      <c r="U32" s="6">
        <v>0.8671875</v>
      </c>
      <c r="V32" s="33">
        <v>384</v>
      </c>
      <c r="W32" s="52">
        <v>87637</v>
      </c>
      <c r="X32" s="6">
        <v>0.13191588644368848</v>
      </c>
      <c r="Y32" s="21">
        <v>664340</v>
      </c>
      <c r="Z32" s="3">
        <v>337</v>
      </c>
      <c r="AA32" s="153">
        <v>9.3047655861726222E-3</v>
      </c>
      <c r="AB32" s="3">
        <v>36218</v>
      </c>
      <c r="AC32" s="134">
        <v>57</v>
      </c>
      <c r="AD32" s="153">
        <v>0.2780487804878049</v>
      </c>
      <c r="AE32" s="3">
        <v>205</v>
      </c>
      <c r="AF32" s="134">
        <v>13</v>
      </c>
      <c r="AG32" s="153">
        <v>0.8125</v>
      </c>
      <c r="AH32" s="3">
        <v>16</v>
      </c>
      <c r="AI32" s="154">
        <v>407</v>
      </c>
      <c r="AJ32" s="153">
        <v>1.116935151897692E-2</v>
      </c>
      <c r="AK32" s="18">
        <v>36439</v>
      </c>
      <c r="AL32" s="84">
        <f t="shared" ref="AL32:AL34" si="115">(B32+N32+Z32)/AR32</f>
        <v>0.11327277043447191</v>
      </c>
      <c r="AM32" s="83">
        <f t="shared" ref="AM32:AM34" si="116">(E32+Q32+AC32)/AS32</f>
        <v>0.55876110368681708</v>
      </c>
      <c r="AN32" s="6">
        <f t="shared" ref="AN32:AN34" si="117">(H32+T32+AF32)/AT32</f>
        <v>0.83333333333333337</v>
      </c>
      <c r="AO32" s="127">
        <f t="shared" ref="AO32:AO34" si="118">AP32/AQ32</f>
        <v>0.12049267882066332</v>
      </c>
      <c r="AP32" s="52">
        <f t="shared" ref="AP32:AP34" si="119">AF32+AC32+Z32+T32+Q32+N32+H32+E32+B32</f>
        <v>100057</v>
      </c>
      <c r="AQ32" s="3">
        <f t="shared" ref="AQ32:AQ34" si="120">SUM(AR32:AT32)</f>
        <v>830399</v>
      </c>
      <c r="AR32" s="12">
        <f t="shared" ref="AR32:AR34" si="121">+D32+P32+AB32</f>
        <v>817222</v>
      </c>
      <c r="AS32" s="3">
        <f t="shared" ref="AS32:AS34" si="122">G32+S32+AE32</f>
        <v>12721</v>
      </c>
      <c r="AT32" s="21">
        <f t="shared" ref="AT32:AT34" si="123">J32+V32+AH32</f>
        <v>456</v>
      </c>
    </row>
    <row r="33" spans="1:46" ht="18" customHeight="1" x14ac:dyDescent="0.2">
      <c r="A33" s="109">
        <v>45351</v>
      </c>
      <c r="B33" s="3">
        <v>11075</v>
      </c>
      <c r="C33" s="153">
        <v>8.6704976043591273E-2</v>
      </c>
      <c r="D33" s="3">
        <v>127732</v>
      </c>
      <c r="E33" s="134">
        <v>924</v>
      </c>
      <c r="F33" s="153">
        <v>0.54193548387096779</v>
      </c>
      <c r="G33" s="3">
        <v>1705</v>
      </c>
      <c r="H33" s="134">
        <v>34</v>
      </c>
      <c r="I33" s="153">
        <v>0.6071428571428571</v>
      </c>
      <c r="J33" s="3">
        <v>56</v>
      </c>
      <c r="K33" s="154">
        <v>12033</v>
      </c>
      <c r="L33" s="153">
        <v>9.2923941834693768E-2</v>
      </c>
      <c r="M33" s="18">
        <v>129493</v>
      </c>
      <c r="N33" s="3">
        <v>79343</v>
      </c>
      <c r="O33" s="6">
        <v>0.12690961031233555</v>
      </c>
      <c r="P33" s="130">
        <v>625193</v>
      </c>
      <c r="Q33" s="55">
        <v>5875</v>
      </c>
      <c r="R33" s="6">
        <v>0.56517556517556522</v>
      </c>
      <c r="S33" s="33">
        <v>10395</v>
      </c>
      <c r="T33" s="55">
        <v>327</v>
      </c>
      <c r="U33" s="6">
        <v>0.87667560321715821</v>
      </c>
      <c r="V33" s="33">
        <v>373</v>
      </c>
      <c r="W33" s="52">
        <v>85545</v>
      </c>
      <c r="X33" s="6">
        <v>0.1345129654176907</v>
      </c>
      <c r="Y33" s="21">
        <v>635961</v>
      </c>
      <c r="Z33" s="3">
        <v>336</v>
      </c>
      <c r="AA33" s="153">
        <v>9.2766427388183328E-3</v>
      </c>
      <c r="AB33" s="3">
        <v>36220</v>
      </c>
      <c r="AC33" s="134">
        <v>55</v>
      </c>
      <c r="AD33" s="153">
        <v>0.26699029126213591</v>
      </c>
      <c r="AE33" s="3">
        <v>206</v>
      </c>
      <c r="AF33" s="134">
        <v>13</v>
      </c>
      <c r="AG33" s="153">
        <v>0.8125</v>
      </c>
      <c r="AH33" s="3">
        <v>16</v>
      </c>
      <c r="AI33" s="154">
        <v>404</v>
      </c>
      <c r="AJ33" s="153">
        <v>1.1086109434169366E-2</v>
      </c>
      <c r="AK33" s="18">
        <v>36442</v>
      </c>
      <c r="AL33" s="84">
        <f t="shared" si="115"/>
        <v>0.11500294622661235</v>
      </c>
      <c r="AM33" s="83">
        <f t="shared" si="116"/>
        <v>0.55696408256135221</v>
      </c>
      <c r="AN33" s="6">
        <f t="shared" si="117"/>
        <v>0.84044943820224716</v>
      </c>
      <c r="AO33" s="127">
        <f t="shared" si="118"/>
        <v>0.12218791464229775</v>
      </c>
      <c r="AP33" s="52">
        <f t="shared" si="119"/>
        <v>97982</v>
      </c>
      <c r="AQ33" s="3">
        <f t="shared" si="120"/>
        <v>801896</v>
      </c>
      <c r="AR33" s="12">
        <f t="shared" si="121"/>
        <v>789145</v>
      </c>
      <c r="AS33" s="3">
        <f t="shared" si="122"/>
        <v>12306</v>
      </c>
      <c r="AT33" s="21">
        <f t="shared" si="123"/>
        <v>445</v>
      </c>
    </row>
    <row r="34" spans="1:46" ht="18" customHeight="1" x14ac:dyDescent="0.2">
      <c r="A34" s="109">
        <v>45322</v>
      </c>
      <c r="B34" s="3">
        <v>11054</v>
      </c>
      <c r="C34" s="153">
        <v>8.656293314747962E-2</v>
      </c>
      <c r="D34" s="3">
        <v>127699</v>
      </c>
      <c r="E34" s="134">
        <v>917</v>
      </c>
      <c r="F34" s="153">
        <v>0.53782991202346042</v>
      </c>
      <c r="G34" s="3">
        <v>1705</v>
      </c>
      <c r="H34" s="134">
        <v>34</v>
      </c>
      <c r="I34" s="153">
        <v>0.6071428571428571</v>
      </c>
      <c r="J34" s="3">
        <v>56</v>
      </c>
      <c r="K34" s="154">
        <v>12005</v>
      </c>
      <c r="L34" s="153">
        <v>9.2731345589371239E-2</v>
      </c>
      <c r="M34" s="18">
        <v>129460</v>
      </c>
      <c r="N34" s="3">
        <v>86105</v>
      </c>
      <c r="O34" s="6">
        <v>0.13123881638911497</v>
      </c>
      <c r="P34" s="130">
        <v>656094</v>
      </c>
      <c r="Q34" s="55">
        <v>6179</v>
      </c>
      <c r="R34" s="6">
        <v>0.5628017123599599</v>
      </c>
      <c r="S34" s="33">
        <v>10979</v>
      </c>
      <c r="T34" s="55">
        <v>353</v>
      </c>
      <c r="U34" s="6">
        <v>0.87810945273631846</v>
      </c>
      <c r="V34" s="33">
        <v>402</v>
      </c>
      <c r="W34" s="52">
        <v>92637</v>
      </c>
      <c r="X34" s="6">
        <v>0.13878722049514963</v>
      </c>
      <c r="Y34" s="21">
        <v>667475</v>
      </c>
      <c r="Z34" s="3">
        <v>336</v>
      </c>
      <c r="AA34" s="153">
        <v>9.2774111605047355E-3</v>
      </c>
      <c r="AB34" s="3">
        <v>36217</v>
      </c>
      <c r="AC34" s="134">
        <v>56</v>
      </c>
      <c r="AD34" s="153">
        <v>0.27053140096618356</v>
      </c>
      <c r="AE34" s="3">
        <v>207</v>
      </c>
      <c r="AF34" s="134">
        <v>13</v>
      </c>
      <c r="AG34" s="153">
        <v>0.8125</v>
      </c>
      <c r="AH34" s="3">
        <v>16</v>
      </c>
      <c r="AI34" s="154">
        <v>405</v>
      </c>
      <c r="AJ34" s="153">
        <v>1.1114160263446762E-2</v>
      </c>
      <c r="AK34" s="18">
        <v>36440</v>
      </c>
      <c r="AL34" s="84">
        <f t="shared" si="115"/>
        <v>0.1188948915257131</v>
      </c>
      <c r="AM34" s="83">
        <f t="shared" si="116"/>
        <v>0.55480567838026529</v>
      </c>
      <c r="AN34" s="6">
        <f t="shared" si="117"/>
        <v>0.84388185654008441</v>
      </c>
      <c r="AO34" s="127">
        <f t="shared" si="118"/>
        <v>0.12605009749512525</v>
      </c>
      <c r="AP34" s="52">
        <f t="shared" si="119"/>
        <v>105047</v>
      </c>
      <c r="AQ34" s="3">
        <f t="shared" si="120"/>
        <v>833375</v>
      </c>
      <c r="AR34" s="12">
        <f t="shared" si="121"/>
        <v>820010</v>
      </c>
      <c r="AS34" s="3">
        <f t="shared" si="122"/>
        <v>12891</v>
      </c>
      <c r="AT34" s="21">
        <f t="shared" si="123"/>
        <v>474</v>
      </c>
    </row>
    <row r="35" spans="1:46" ht="18" customHeight="1" x14ac:dyDescent="0.2">
      <c r="A35" s="109">
        <v>45291</v>
      </c>
      <c r="B35" s="3">
        <v>11094</v>
      </c>
      <c r="C35" s="153">
        <v>8.6999999999999994E-2</v>
      </c>
      <c r="D35" s="3">
        <v>127678</v>
      </c>
      <c r="E35" s="134">
        <v>911</v>
      </c>
      <c r="F35" s="153">
        <v>0.53600000000000003</v>
      </c>
      <c r="G35" s="3">
        <v>1701</v>
      </c>
      <c r="H35" s="134">
        <v>35</v>
      </c>
      <c r="I35" s="153">
        <v>0.625</v>
      </c>
      <c r="J35" s="3">
        <v>56</v>
      </c>
      <c r="K35" s="154">
        <v>12040</v>
      </c>
      <c r="L35" s="153">
        <v>9.2999999999999999E-2</v>
      </c>
      <c r="M35" s="18">
        <v>129435</v>
      </c>
      <c r="N35" s="3">
        <v>85800</v>
      </c>
      <c r="O35" s="6">
        <v>0.13181687594004021</v>
      </c>
      <c r="P35" s="130">
        <v>650903</v>
      </c>
      <c r="Q35" s="55">
        <v>5987</v>
      </c>
      <c r="R35" s="6">
        <v>0.55553493551081001</v>
      </c>
      <c r="S35" s="33">
        <v>10777</v>
      </c>
      <c r="T35" s="55">
        <v>338</v>
      </c>
      <c r="U35" s="6">
        <v>0.88947368421052631</v>
      </c>
      <c r="V35" s="33">
        <v>380</v>
      </c>
      <c r="W35" s="52">
        <v>92125</v>
      </c>
      <c r="X35" s="6">
        <v>0.1391490197263088</v>
      </c>
      <c r="Y35" s="21">
        <v>662060</v>
      </c>
      <c r="Z35" s="3">
        <v>309</v>
      </c>
      <c r="AA35" s="153">
        <v>8.9999999999999993E-3</v>
      </c>
      <c r="AB35" s="3">
        <v>36237</v>
      </c>
      <c r="AC35" s="134">
        <v>51</v>
      </c>
      <c r="AD35" s="153">
        <v>0.249</v>
      </c>
      <c r="AE35" s="3">
        <v>205</v>
      </c>
      <c r="AF35" s="134">
        <v>13</v>
      </c>
      <c r="AG35" s="153">
        <v>0.81299999999999994</v>
      </c>
      <c r="AH35" s="3">
        <v>16</v>
      </c>
      <c r="AI35" s="154">
        <v>373</v>
      </c>
      <c r="AJ35" s="153">
        <v>0.01</v>
      </c>
      <c r="AK35" s="18">
        <v>36458</v>
      </c>
      <c r="AL35" s="84">
        <f>(B35+N35+Z35)/AR35</f>
        <v>0.11929412457751301</v>
      </c>
      <c r="AM35" s="83">
        <f>(E35+Q35+AC35)/AS35</f>
        <v>0.5478987621225262</v>
      </c>
      <c r="AN35" s="6">
        <f>(H35+T35+AF35)/AT35</f>
        <v>0.85398230088495575</v>
      </c>
      <c r="AO35" s="127">
        <f>AP35/AQ35</f>
        <v>0.12626079016562533</v>
      </c>
      <c r="AP35" s="52">
        <f>AF35+AC35+Z35+T35+Q35+N35+H35+E35+B35</f>
        <v>104538</v>
      </c>
      <c r="AQ35" s="3">
        <f>SUM(AR35:AT35)</f>
        <v>827953</v>
      </c>
      <c r="AR35" s="12">
        <f>+D35+P35+AB35</f>
        <v>814818</v>
      </c>
      <c r="AS35" s="3">
        <f>G35+S35+AE35</f>
        <v>12683</v>
      </c>
      <c r="AT35" s="21">
        <f>J35+V35+AH35</f>
        <v>452</v>
      </c>
    </row>
    <row r="36" spans="1:46" ht="18" customHeight="1" x14ac:dyDescent="0.2">
      <c r="A36" s="109">
        <v>45260</v>
      </c>
      <c r="B36" s="3">
        <v>10955</v>
      </c>
      <c r="C36" s="153">
        <v>8.5999999999999993E-2</v>
      </c>
      <c r="D36" s="3">
        <v>127724</v>
      </c>
      <c r="E36" s="134">
        <v>904</v>
      </c>
      <c r="F36" s="153">
        <v>0.52800000000000002</v>
      </c>
      <c r="G36" s="3">
        <v>1712</v>
      </c>
      <c r="H36" s="134">
        <v>35</v>
      </c>
      <c r="I36" s="153">
        <v>0.625</v>
      </c>
      <c r="J36" s="3">
        <v>56</v>
      </c>
      <c r="K36" s="154">
        <v>11894</v>
      </c>
      <c r="L36" s="153">
        <v>9.1999999999999998E-2</v>
      </c>
      <c r="M36" s="18">
        <v>129492</v>
      </c>
      <c r="N36" s="3">
        <v>81369</v>
      </c>
      <c r="O36" s="6">
        <v>0.12974201160788315</v>
      </c>
      <c r="P36" s="130">
        <v>627160</v>
      </c>
      <c r="Q36" s="55">
        <v>5614</v>
      </c>
      <c r="R36" s="6">
        <v>0.54536623275694585</v>
      </c>
      <c r="S36" s="33">
        <v>10294</v>
      </c>
      <c r="T36" s="55">
        <v>274</v>
      </c>
      <c r="U36" s="6">
        <v>0.85893416927899691</v>
      </c>
      <c r="V36" s="33">
        <v>319</v>
      </c>
      <c r="W36" s="52">
        <v>87257</v>
      </c>
      <c r="X36" s="6">
        <v>0.1368151364200115</v>
      </c>
      <c r="Y36" s="21">
        <v>637773</v>
      </c>
      <c r="Z36" s="3">
        <v>307</v>
      </c>
      <c r="AA36" s="153">
        <v>8.0000000000000002E-3</v>
      </c>
      <c r="AB36" s="3">
        <v>36218</v>
      </c>
      <c r="AC36" s="134">
        <v>50</v>
      </c>
      <c r="AD36" s="153">
        <v>0.249</v>
      </c>
      <c r="AE36" s="3">
        <v>201</v>
      </c>
      <c r="AF36" s="134">
        <v>13</v>
      </c>
      <c r="AG36" s="153">
        <v>0.81299999999999994</v>
      </c>
      <c r="AH36" s="3">
        <v>16</v>
      </c>
      <c r="AI36" s="154">
        <v>370</v>
      </c>
      <c r="AJ36" s="153">
        <v>0.01</v>
      </c>
      <c r="AK36" s="18">
        <v>36435</v>
      </c>
      <c r="AL36" s="84">
        <f>(B36+N36+Z36)/AR36</f>
        <v>0.11709109571205736</v>
      </c>
      <c r="AM36" s="83">
        <f>(E36+Q36+AC36)/AS36</f>
        <v>0.53805193741295976</v>
      </c>
      <c r="AN36" s="6">
        <f>(H36+T36+AF36)/AT36</f>
        <v>0.82352941176470584</v>
      </c>
      <c r="AO36" s="127">
        <f>AP36/AQ36</f>
        <v>0.12382854298867736</v>
      </c>
      <c r="AP36" s="52">
        <f>AF36+AC36+Z36+T36+Q36+N36+H36+E36+B36</f>
        <v>99521</v>
      </c>
      <c r="AQ36" s="3">
        <f>SUM(AR36:AT36)</f>
        <v>803700</v>
      </c>
      <c r="AR36" s="12">
        <f>+D36+P36+AB36</f>
        <v>791102</v>
      </c>
      <c r="AS36" s="3">
        <f>G36+S36+AE36</f>
        <v>12207</v>
      </c>
      <c r="AT36" s="21">
        <f>J36+V36+AH36</f>
        <v>391</v>
      </c>
    </row>
    <row r="37" spans="1:46" ht="18" customHeight="1" x14ac:dyDescent="0.2">
      <c r="A37" s="109">
        <v>45230</v>
      </c>
      <c r="B37" s="3">
        <v>10816</v>
      </c>
      <c r="C37" s="153">
        <v>8.5000000000000006E-2</v>
      </c>
      <c r="D37" s="3">
        <v>127854</v>
      </c>
      <c r="E37" s="134">
        <v>888</v>
      </c>
      <c r="F37" s="153">
        <v>0.51100000000000001</v>
      </c>
      <c r="G37" s="3">
        <v>1738</v>
      </c>
      <c r="H37" s="134">
        <v>35</v>
      </c>
      <c r="I37" s="153">
        <v>0.625</v>
      </c>
      <c r="J37" s="3">
        <v>56</v>
      </c>
      <c r="K37" s="154">
        <v>11739</v>
      </c>
      <c r="L37" s="153">
        <v>9.0999999999999998E-2</v>
      </c>
      <c r="M37" s="18">
        <v>129648</v>
      </c>
      <c r="N37" s="3">
        <v>83712</v>
      </c>
      <c r="O37" s="6">
        <v>0.12783814986530814</v>
      </c>
      <c r="P37" s="130">
        <v>654828</v>
      </c>
      <c r="Q37" s="55">
        <v>6059</v>
      </c>
      <c r="R37" s="6">
        <v>0.5484250543084721</v>
      </c>
      <c r="S37" s="33">
        <v>11048</v>
      </c>
      <c r="T37" s="55">
        <v>329</v>
      </c>
      <c r="U37" s="6">
        <v>0.8796791443850267</v>
      </c>
      <c r="V37" s="33">
        <v>374</v>
      </c>
      <c r="W37" s="52">
        <v>90100</v>
      </c>
      <c r="X37" s="6">
        <v>0.13523452157598498</v>
      </c>
      <c r="Y37" s="21">
        <v>666250</v>
      </c>
      <c r="Z37" s="3">
        <v>307</v>
      </c>
      <c r="AA37" s="153">
        <v>8.0000000000000002E-3</v>
      </c>
      <c r="AB37" s="3">
        <v>36166</v>
      </c>
      <c r="AC37" s="134">
        <v>50</v>
      </c>
      <c r="AD37" s="153">
        <v>0.249</v>
      </c>
      <c r="AE37" s="3">
        <v>201</v>
      </c>
      <c r="AF37" s="134">
        <v>13</v>
      </c>
      <c r="AG37" s="153">
        <v>0.81299999999999994</v>
      </c>
      <c r="AH37" s="3">
        <v>16</v>
      </c>
      <c r="AI37" s="154">
        <v>370</v>
      </c>
      <c r="AJ37" s="153">
        <v>0.01</v>
      </c>
      <c r="AK37" s="18">
        <v>36383</v>
      </c>
      <c r="AL37" s="84">
        <f t="shared" ref="AL37:AL42" si="124">(B37+N37+Z37)/AR37</f>
        <v>0.11581514517956934</v>
      </c>
      <c r="AM37" s="83">
        <f t="shared" ref="AM37:AM42" si="125">(E37+Q37+AC37)/AS37</f>
        <v>0.53876953876953881</v>
      </c>
      <c r="AN37" s="6">
        <f t="shared" ref="AN37:AN42" si="126">(H37+T37+AF37)/AT37</f>
        <v>0.8452914798206278</v>
      </c>
      <c r="AO37" s="127">
        <f t="shared" ref="AO37:AO42" si="127">AP37/AQ37</f>
        <v>0.12280587926433501</v>
      </c>
      <c r="AP37" s="52">
        <f t="shared" ref="AP37:AP42" si="128">AF37+AC37+Z37+T37+Q37+N37+H37+E37+B37</f>
        <v>102209</v>
      </c>
      <c r="AQ37" s="3">
        <f t="shared" ref="AQ37:AQ42" si="129">SUM(AR37:AT37)</f>
        <v>832281</v>
      </c>
      <c r="AR37" s="12">
        <f t="shared" ref="AR37:AR42" si="130">+D37+P37+AB37</f>
        <v>818848</v>
      </c>
      <c r="AS37" s="3">
        <f t="shared" ref="AS37:AS42" si="131">G37+S37+AE37</f>
        <v>12987</v>
      </c>
      <c r="AT37" s="21">
        <f t="shared" ref="AT37:AT42" si="132">J37+V37+AH37</f>
        <v>446</v>
      </c>
    </row>
    <row r="38" spans="1:46" ht="18" customHeight="1" x14ac:dyDescent="0.2">
      <c r="A38" s="109">
        <v>45199</v>
      </c>
      <c r="B38" s="3">
        <v>10829</v>
      </c>
      <c r="C38" s="153">
        <v>8.444125605296196E-2</v>
      </c>
      <c r="D38" s="3">
        <v>128243</v>
      </c>
      <c r="E38" s="134">
        <v>886</v>
      </c>
      <c r="F38" s="153">
        <v>0.50978135788262369</v>
      </c>
      <c r="G38" s="3">
        <v>1738</v>
      </c>
      <c r="H38" s="134">
        <v>35</v>
      </c>
      <c r="I38" s="153">
        <v>0.625</v>
      </c>
      <c r="J38" s="3">
        <v>56</v>
      </c>
      <c r="K38" s="154">
        <v>11750</v>
      </c>
      <c r="L38" s="153">
        <v>9.0358897852149775E-2</v>
      </c>
      <c r="M38" s="18">
        <v>130037</v>
      </c>
      <c r="N38" s="3">
        <v>77896</v>
      </c>
      <c r="O38" s="6">
        <v>0.12490839847664863</v>
      </c>
      <c r="P38" s="130">
        <v>623625</v>
      </c>
      <c r="Q38" s="55">
        <v>5739</v>
      </c>
      <c r="R38" s="6">
        <v>0.54511778115501519</v>
      </c>
      <c r="S38" s="33">
        <v>10528</v>
      </c>
      <c r="T38" s="55">
        <v>316</v>
      </c>
      <c r="U38" s="6">
        <v>0.89265536723163841</v>
      </c>
      <c r="V38" s="33">
        <v>354</v>
      </c>
      <c r="W38" s="52">
        <v>83951</v>
      </c>
      <c r="X38" s="6">
        <v>0.13230902101946865</v>
      </c>
      <c r="Y38" s="21">
        <v>634507</v>
      </c>
      <c r="Z38" s="3">
        <v>306</v>
      </c>
      <c r="AA38" s="153">
        <v>8.439284039824595E-3</v>
      </c>
      <c r="AB38" s="3">
        <v>36259</v>
      </c>
      <c r="AC38" s="134">
        <v>50</v>
      </c>
      <c r="AD38" s="153">
        <v>0.24875621890547264</v>
      </c>
      <c r="AE38" s="3">
        <v>201</v>
      </c>
      <c r="AF38" s="134">
        <v>13</v>
      </c>
      <c r="AG38" s="153">
        <v>0.8125</v>
      </c>
      <c r="AH38" s="3">
        <v>16</v>
      </c>
      <c r="AI38" s="154">
        <v>369</v>
      </c>
      <c r="AJ38" s="153">
        <v>1.0116240815878934E-2</v>
      </c>
      <c r="AK38" s="18">
        <v>36476</v>
      </c>
      <c r="AL38" s="84">
        <f t="shared" si="124"/>
        <v>0.11296529620226183</v>
      </c>
      <c r="AM38" s="83">
        <f t="shared" si="125"/>
        <v>0.53541349161787122</v>
      </c>
      <c r="AN38" s="6">
        <f t="shared" si="126"/>
        <v>0.85446009389671362</v>
      </c>
      <c r="AO38" s="127">
        <f t="shared" si="127"/>
        <v>0.11993458340615715</v>
      </c>
      <c r="AP38" s="52">
        <f t="shared" si="128"/>
        <v>96070</v>
      </c>
      <c r="AQ38" s="3">
        <f t="shared" si="129"/>
        <v>801020</v>
      </c>
      <c r="AR38" s="12">
        <f t="shared" si="130"/>
        <v>788127</v>
      </c>
      <c r="AS38" s="3">
        <f t="shared" si="131"/>
        <v>12467</v>
      </c>
      <c r="AT38" s="21">
        <f t="shared" si="132"/>
        <v>426</v>
      </c>
    </row>
    <row r="39" spans="1:46" ht="18" customHeight="1" x14ac:dyDescent="0.2">
      <c r="A39" s="109">
        <v>45169</v>
      </c>
      <c r="B39" s="3">
        <v>10765</v>
      </c>
      <c r="C39" s="153">
        <v>8.390687233528453E-2</v>
      </c>
      <c r="D39" s="3">
        <v>128297</v>
      </c>
      <c r="E39" s="134">
        <v>883</v>
      </c>
      <c r="F39" s="153">
        <v>0.50864055299539168</v>
      </c>
      <c r="G39" s="3">
        <v>1736</v>
      </c>
      <c r="H39" s="134">
        <v>35</v>
      </c>
      <c r="I39" s="153">
        <v>0.61403508771929827</v>
      </c>
      <c r="J39" s="3">
        <v>57</v>
      </c>
      <c r="K39" s="154">
        <v>11683</v>
      </c>
      <c r="L39" s="153">
        <v>8.9807056653086331E-2</v>
      </c>
      <c r="M39" s="18">
        <v>130090</v>
      </c>
      <c r="N39" s="3">
        <v>80110</v>
      </c>
      <c r="O39" s="6">
        <v>0.12257182026267795</v>
      </c>
      <c r="P39" s="130">
        <v>653576</v>
      </c>
      <c r="Q39" s="55">
        <v>6024</v>
      </c>
      <c r="R39" s="6">
        <v>0.53881932021466905</v>
      </c>
      <c r="S39" s="33">
        <v>11180</v>
      </c>
      <c r="T39" s="55">
        <v>346</v>
      </c>
      <c r="U39" s="6">
        <v>0.88491048593350385</v>
      </c>
      <c r="V39" s="33">
        <v>391</v>
      </c>
      <c r="W39" s="52">
        <v>86480</v>
      </c>
      <c r="X39" s="6">
        <v>0.13001637232070504</v>
      </c>
      <c r="Y39" s="21">
        <v>665147</v>
      </c>
      <c r="Z39" s="3">
        <v>320</v>
      </c>
      <c r="AA39" s="153">
        <v>8.818828198203163E-3</v>
      </c>
      <c r="AB39" s="3">
        <v>36286</v>
      </c>
      <c r="AC39" s="134">
        <v>50</v>
      </c>
      <c r="AD39" s="153">
        <v>0.25</v>
      </c>
      <c r="AE39" s="3">
        <v>200</v>
      </c>
      <c r="AF39" s="134">
        <v>13</v>
      </c>
      <c r="AG39" s="153">
        <v>0.8125</v>
      </c>
      <c r="AH39" s="3">
        <v>16</v>
      </c>
      <c r="AI39" s="154">
        <v>383</v>
      </c>
      <c r="AJ39" s="153">
        <v>1.0492575749274013E-2</v>
      </c>
      <c r="AK39" s="18">
        <v>36502</v>
      </c>
      <c r="AL39" s="84">
        <f t="shared" si="124"/>
        <v>0.11146366415330028</v>
      </c>
      <c r="AM39" s="83">
        <f t="shared" si="125"/>
        <v>0.53042086001829825</v>
      </c>
      <c r="AN39" s="6">
        <f t="shared" si="126"/>
        <v>0.84913793103448276</v>
      </c>
      <c r="AO39" s="127">
        <f t="shared" si="127"/>
        <v>0.11848187953192046</v>
      </c>
      <c r="AP39" s="52">
        <f t="shared" si="128"/>
        <v>98546</v>
      </c>
      <c r="AQ39" s="3">
        <f t="shared" si="129"/>
        <v>831739</v>
      </c>
      <c r="AR39" s="12">
        <f t="shared" si="130"/>
        <v>818159</v>
      </c>
      <c r="AS39" s="3">
        <f t="shared" si="131"/>
        <v>13116</v>
      </c>
      <c r="AT39" s="21">
        <f t="shared" si="132"/>
        <v>464</v>
      </c>
    </row>
    <row r="40" spans="1:46" ht="18" customHeight="1" x14ac:dyDescent="0.2">
      <c r="A40" s="109">
        <v>45138</v>
      </c>
      <c r="B40" s="3">
        <v>10708</v>
      </c>
      <c r="C40" s="153">
        <v>8.3539425334883247E-2</v>
      </c>
      <c r="D40" s="3">
        <v>128179</v>
      </c>
      <c r="E40" s="134">
        <v>883</v>
      </c>
      <c r="F40" s="153">
        <v>0.51158748551564315</v>
      </c>
      <c r="G40" s="3">
        <v>1726</v>
      </c>
      <c r="H40" s="134">
        <v>35</v>
      </c>
      <c r="I40" s="153">
        <v>0.61403508771929827</v>
      </c>
      <c r="J40" s="3">
        <v>57</v>
      </c>
      <c r="K40" s="154">
        <v>11626</v>
      </c>
      <c r="L40" s="153">
        <v>8.9456918176082242E-2</v>
      </c>
      <c r="M40" s="18">
        <v>129962</v>
      </c>
      <c r="N40" s="3">
        <v>74959</v>
      </c>
      <c r="O40" s="6">
        <v>0.11986344084302093</v>
      </c>
      <c r="P40" s="130">
        <v>625370</v>
      </c>
      <c r="Q40" s="55">
        <v>5629</v>
      </c>
      <c r="R40" s="6">
        <v>0.53829970354786272</v>
      </c>
      <c r="S40" s="33">
        <v>10457</v>
      </c>
      <c r="T40" s="55">
        <v>314</v>
      </c>
      <c r="U40" s="6">
        <v>0.8820224719101124</v>
      </c>
      <c r="V40" s="33">
        <v>356</v>
      </c>
      <c r="W40" s="52">
        <v>80902</v>
      </c>
      <c r="X40" s="6">
        <v>0.12716781177742884</v>
      </c>
      <c r="Y40" s="21">
        <v>636183</v>
      </c>
      <c r="Z40" s="3">
        <v>324</v>
      </c>
      <c r="AA40" s="153">
        <v>8.9408907776367345E-3</v>
      </c>
      <c r="AB40" s="3">
        <v>36238</v>
      </c>
      <c r="AC40" s="134">
        <v>50</v>
      </c>
      <c r="AD40" s="153">
        <v>0.24630541871921183</v>
      </c>
      <c r="AE40" s="3">
        <v>203</v>
      </c>
      <c r="AF40" s="134">
        <v>13</v>
      </c>
      <c r="AG40" s="153">
        <v>0.8125</v>
      </c>
      <c r="AH40" s="3">
        <v>16</v>
      </c>
      <c r="AI40" s="154">
        <v>387</v>
      </c>
      <c r="AJ40" s="153">
        <v>1.0615245357544505E-2</v>
      </c>
      <c r="AK40" s="18">
        <v>36457</v>
      </c>
      <c r="AL40" s="84">
        <f t="shared" si="124"/>
        <v>0.10887872299746641</v>
      </c>
      <c r="AM40" s="83">
        <f t="shared" si="125"/>
        <v>0.52979170030679801</v>
      </c>
      <c r="AN40" s="6">
        <f t="shared" si="126"/>
        <v>0.84382284382284378</v>
      </c>
      <c r="AO40" s="127">
        <f t="shared" si="127"/>
        <v>0.11576721712629671</v>
      </c>
      <c r="AP40" s="52">
        <f t="shared" si="128"/>
        <v>92915</v>
      </c>
      <c r="AQ40" s="3">
        <f t="shared" si="129"/>
        <v>802602</v>
      </c>
      <c r="AR40" s="12">
        <f t="shared" si="130"/>
        <v>789787</v>
      </c>
      <c r="AS40" s="3">
        <f t="shared" si="131"/>
        <v>12386</v>
      </c>
      <c r="AT40" s="21">
        <f t="shared" si="132"/>
        <v>429</v>
      </c>
    </row>
    <row r="41" spans="1:46" ht="18" customHeight="1" x14ac:dyDescent="0.2">
      <c r="A41" s="109">
        <v>45107</v>
      </c>
      <c r="B41" s="3">
        <v>10553</v>
      </c>
      <c r="C41" s="153">
        <v>8.2000000000000003E-2</v>
      </c>
      <c r="D41" s="3">
        <v>128042</v>
      </c>
      <c r="E41" s="134">
        <v>877</v>
      </c>
      <c r="F41" s="153">
        <v>0.50800000000000001</v>
      </c>
      <c r="G41" s="3">
        <v>1728</v>
      </c>
      <c r="H41" s="134">
        <v>35</v>
      </c>
      <c r="I41" s="153">
        <v>0.61399999999999999</v>
      </c>
      <c r="J41" s="3">
        <v>57</v>
      </c>
      <c r="K41" s="154">
        <v>11465</v>
      </c>
      <c r="L41" s="153">
        <v>8.7999999999999995E-2</v>
      </c>
      <c r="M41" s="18">
        <v>129827</v>
      </c>
      <c r="N41" s="3">
        <v>75195</v>
      </c>
      <c r="O41" s="6">
        <v>0.11543881949817619</v>
      </c>
      <c r="P41" s="130">
        <v>651384</v>
      </c>
      <c r="Q41" s="55">
        <v>5853</v>
      </c>
      <c r="R41" s="6">
        <v>0.5283921639433059</v>
      </c>
      <c r="S41" s="33">
        <v>11077</v>
      </c>
      <c r="T41" s="55">
        <v>352</v>
      </c>
      <c r="U41" s="6">
        <v>0.8822055137844611</v>
      </c>
      <c r="V41" s="33">
        <v>399</v>
      </c>
      <c r="W41" s="52">
        <v>81400</v>
      </c>
      <c r="X41" s="6">
        <v>0.12280119482243611</v>
      </c>
      <c r="Y41" s="21">
        <v>662860</v>
      </c>
      <c r="Z41" s="3">
        <v>350</v>
      </c>
      <c r="AA41" s="153">
        <v>0.01</v>
      </c>
      <c r="AB41" s="3">
        <v>36222</v>
      </c>
      <c r="AC41" s="134">
        <v>51</v>
      </c>
      <c r="AD41" s="153">
        <v>0.25</v>
      </c>
      <c r="AE41" s="3">
        <v>204</v>
      </c>
      <c r="AF41" s="134">
        <v>13</v>
      </c>
      <c r="AG41" s="153">
        <v>0.81299999999999994</v>
      </c>
      <c r="AH41" s="3">
        <v>16</v>
      </c>
      <c r="AI41" s="154">
        <v>414</v>
      </c>
      <c r="AJ41" s="153">
        <v>1.0999999999999999E-2</v>
      </c>
      <c r="AK41" s="18">
        <v>36442</v>
      </c>
      <c r="AL41" s="84">
        <f t="shared" si="124"/>
        <v>0.1055577896347444</v>
      </c>
      <c r="AM41" s="83">
        <f t="shared" si="125"/>
        <v>0.52125451610423557</v>
      </c>
      <c r="AN41" s="6">
        <f t="shared" si="126"/>
        <v>0.84745762711864403</v>
      </c>
      <c r="AO41" s="127">
        <f t="shared" si="127"/>
        <v>0.11250239709381774</v>
      </c>
      <c r="AP41" s="52">
        <f t="shared" si="128"/>
        <v>93279</v>
      </c>
      <c r="AQ41" s="3">
        <f t="shared" si="129"/>
        <v>829129</v>
      </c>
      <c r="AR41" s="12">
        <f t="shared" si="130"/>
        <v>815648</v>
      </c>
      <c r="AS41" s="3">
        <f t="shared" si="131"/>
        <v>13009</v>
      </c>
      <c r="AT41" s="21">
        <f t="shared" si="132"/>
        <v>472</v>
      </c>
    </row>
    <row r="42" spans="1:46" ht="18" customHeight="1" x14ac:dyDescent="0.2">
      <c r="A42" s="109">
        <v>45077</v>
      </c>
      <c r="B42" s="3">
        <v>10329</v>
      </c>
      <c r="C42" s="153">
        <v>8.0830450910115342E-2</v>
      </c>
      <c r="D42" s="3">
        <v>127786</v>
      </c>
      <c r="E42" s="134">
        <v>863</v>
      </c>
      <c r="F42" s="153">
        <v>0.49942129629629628</v>
      </c>
      <c r="G42" s="3">
        <v>1728</v>
      </c>
      <c r="H42" s="134">
        <v>35</v>
      </c>
      <c r="I42" s="153">
        <v>0.625</v>
      </c>
      <c r="J42" s="3">
        <v>56</v>
      </c>
      <c r="K42" s="154">
        <v>11227</v>
      </c>
      <c r="L42" s="153">
        <v>8.6648143860461532E-2</v>
      </c>
      <c r="M42" s="18">
        <v>129570</v>
      </c>
      <c r="N42" s="3">
        <v>71824</v>
      </c>
      <c r="O42" s="6">
        <v>0.11009298062213939</v>
      </c>
      <c r="P42" s="130">
        <v>652394</v>
      </c>
      <c r="Q42" s="55">
        <v>5787</v>
      </c>
      <c r="R42" s="6">
        <v>0.51924629878869444</v>
      </c>
      <c r="S42" s="33">
        <v>11145</v>
      </c>
      <c r="T42" s="55">
        <v>357</v>
      </c>
      <c r="U42" s="6">
        <v>0.87714987714987713</v>
      </c>
      <c r="V42" s="33">
        <v>407</v>
      </c>
      <c r="W42" s="52">
        <v>77968</v>
      </c>
      <c r="X42" s="6">
        <v>0.11743123687769788</v>
      </c>
      <c r="Y42" s="21">
        <v>663946</v>
      </c>
      <c r="Z42" s="3">
        <v>351</v>
      </c>
      <c r="AA42" s="153">
        <v>9.6886386220602846E-3</v>
      </c>
      <c r="AB42" s="3">
        <v>36228</v>
      </c>
      <c r="AC42" s="134">
        <v>51</v>
      </c>
      <c r="AD42" s="153">
        <v>0.25</v>
      </c>
      <c r="AE42" s="3">
        <v>204</v>
      </c>
      <c r="AF42" s="134">
        <v>13</v>
      </c>
      <c r="AG42" s="153">
        <v>0.8125</v>
      </c>
      <c r="AH42" s="3">
        <v>16</v>
      </c>
      <c r="AI42" s="154">
        <v>415</v>
      </c>
      <c r="AJ42" s="153">
        <v>1.1386084284460052E-2</v>
      </c>
      <c r="AK42" s="18">
        <v>36448</v>
      </c>
      <c r="AL42" s="84">
        <f t="shared" si="124"/>
        <v>0.1010573144800149</v>
      </c>
      <c r="AM42" s="83">
        <f t="shared" si="125"/>
        <v>0.51242639749177943</v>
      </c>
      <c r="AN42" s="6">
        <f t="shared" si="126"/>
        <v>0.8455114822546973</v>
      </c>
      <c r="AO42" s="127">
        <f t="shared" si="127"/>
        <v>0.10796853839443639</v>
      </c>
      <c r="AP42" s="52">
        <f t="shared" si="128"/>
        <v>89610</v>
      </c>
      <c r="AQ42" s="3">
        <f t="shared" si="129"/>
        <v>829964</v>
      </c>
      <c r="AR42" s="12">
        <f t="shared" si="130"/>
        <v>816408</v>
      </c>
      <c r="AS42" s="3">
        <f t="shared" si="131"/>
        <v>13077</v>
      </c>
      <c r="AT42" s="21">
        <f t="shared" si="132"/>
        <v>479</v>
      </c>
    </row>
    <row r="43" spans="1:46" ht="18" customHeight="1" x14ac:dyDescent="0.2">
      <c r="A43" s="109">
        <v>45046</v>
      </c>
      <c r="B43" s="3">
        <v>10008</v>
      </c>
      <c r="C43" s="153">
        <v>7.8558196489685705E-2</v>
      </c>
      <c r="D43" s="3">
        <v>127396</v>
      </c>
      <c r="E43" s="134">
        <v>847</v>
      </c>
      <c r="F43" s="153">
        <v>0.49330227140361094</v>
      </c>
      <c r="G43" s="3">
        <v>1717</v>
      </c>
      <c r="H43" s="134">
        <v>36</v>
      </c>
      <c r="I43" s="153">
        <v>0.65454545454545454</v>
      </c>
      <c r="J43" s="3">
        <v>55</v>
      </c>
      <c r="K43" s="154">
        <v>10891</v>
      </c>
      <c r="L43" s="153">
        <v>8.4316548990462037E-2</v>
      </c>
      <c r="M43" s="18">
        <v>129168</v>
      </c>
      <c r="N43" s="3">
        <v>60836</v>
      </c>
      <c r="O43" s="6">
        <v>0.10395300277157885</v>
      </c>
      <c r="P43" s="130">
        <v>585226</v>
      </c>
      <c r="Q43" s="55">
        <v>5073</v>
      </c>
      <c r="R43" s="6">
        <v>0.51056763285024154</v>
      </c>
      <c r="S43" s="33">
        <v>9936</v>
      </c>
      <c r="T43" s="55">
        <v>312</v>
      </c>
      <c r="U43" s="6">
        <v>0.88888888888888884</v>
      </c>
      <c r="V43" s="33">
        <v>351</v>
      </c>
      <c r="W43" s="52">
        <v>66221</v>
      </c>
      <c r="X43" s="6">
        <v>0.1111999234273643</v>
      </c>
      <c r="Y43" s="21">
        <v>595513</v>
      </c>
      <c r="Z43" s="3">
        <v>321</v>
      </c>
      <c r="AA43" s="153">
        <v>8.8772123893805302E-3</v>
      </c>
      <c r="AB43" s="3">
        <v>36160</v>
      </c>
      <c r="AC43" s="134">
        <v>50</v>
      </c>
      <c r="AD43" s="153">
        <v>0.23584905660377359</v>
      </c>
      <c r="AE43" s="3">
        <v>212</v>
      </c>
      <c r="AF43" s="134">
        <v>13</v>
      </c>
      <c r="AG43" s="153">
        <v>0.8125</v>
      </c>
      <c r="AH43" s="3">
        <v>16</v>
      </c>
      <c r="AI43" s="154">
        <v>384</v>
      </c>
      <c r="AJ43" s="153">
        <v>1.0552929537210069E-2</v>
      </c>
      <c r="AK43" s="18">
        <v>36388</v>
      </c>
      <c r="AL43" s="84">
        <f t="shared" ref="AL43:AL48" si="133">(B43+N43+Z43)/AR43</f>
        <v>9.5041013272220753E-2</v>
      </c>
      <c r="AM43" s="83">
        <f t="shared" ref="AM43:AM48" si="134">(E43+Q43+AC43)/AS43</f>
        <v>0.50316055625790135</v>
      </c>
      <c r="AN43" s="6">
        <f t="shared" ref="AN43:AN48" si="135">(H43+T43+AF43)/AT43</f>
        <v>0.85545023696682465</v>
      </c>
      <c r="AO43" s="127">
        <f t="shared" ref="AO43:AO48" si="136">AP43/AQ43</f>
        <v>0.10182519587580101</v>
      </c>
      <c r="AP43" s="52">
        <f t="shared" ref="AP43:AP48" si="137">AF43+AC43+Z43+T43+Q43+N43+H43+E43+B43</f>
        <v>77496</v>
      </c>
      <c r="AQ43" s="3">
        <f t="shared" ref="AQ43:AQ106" si="138">SUM(AR43:AT43)</f>
        <v>761069</v>
      </c>
      <c r="AR43" s="12">
        <f t="shared" ref="AR43:AR48" si="139">+D43+P43+AB43</f>
        <v>748782</v>
      </c>
      <c r="AS43" s="3">
        <f t="shared" ref="AS43:AS48" si="140">G43+S43+AE43</f>
        <v>11865</v>
      </c>
      <c r="AT43" s="21">
        <f t="shared" ref="AT43:AT48" si="141">J43+V43+AH43</f>
        <v>422</v>
      </c>
    </row>
    <row r="44" spans="1:46" ht="18" customHeight="1" x14ac:dyDescent="0.2">
      <c r="A44" s="109">
        <v>45016</v>
      </c>
      <c r="B44" s="3">
        <v>9678</v>
      </c>
      <c r="C44" s="153">
        <v>7.6214326214326208E-2</v>
      </c>
      <c r="D44" s="3">
        <v>126984</v>
      </c>
      <c r="E44" s="134">
        <v>835</v>
      </c>
      <c r="F44" s="153">
        <v>0.49525504151838673</v>
      </c>
      <c r="G44" s="3">
        <v>1686</v>
      </c>
      <c r="H44" s="134">
        <v>36</v>
      </c>
      <c r="I44" s="153">
        <v>0.65454545454545454</v>
      </c>
      <c r="J44" s="3">
        <v>55</v>
      </c>
      <c r="K44" s="154">
        <v>10549</v>
      </c>
      <c r="L44" s="153">
        <v>8.1949893183142358E-2</v>
      </c>
      <c r="M44" s="18">
        <v>128725</v>
      </c>
      <c r="N44" s="3">
        <v>66214</v>
      </c>
      <c r="O44" s="6">
        <v>0.10164095479315373</v>
      </c>
      <c r="P44" s="130">
        <v>651450</v>
      </c>
      <c r="Q44" s="55">
        <v>5539</v>
      </c>
      <c r="R44" s="6">
        <v>0.49367201426024954</v>
      </c>
      <c r="S44" s="33">
        <v>11220</v>
      </c>
      <c r="T44" s="55">
        <v>352</v>
      </c>
      <c r="U44" s="6">
        <v>0.8691358024691358</v>
      </c>
      <c r="V44" s="33">
        <v>405</v>
      </c>
      <c r="W44" s="52">
        <v>72105</v>
      </c>
      <c r="X44" s="6">
        <v>0.10874335482411492</v>
      </c>
      <c r="Y44" s="21">
        <v>663075</v>
      </c>
      <c r="Z44" s="3">
        <v>322</v>
      </c>
      <c r="AA44" s="153">
        <v>8.9097952407304927E-3</v>
      </c>
      <c r="AB44" s="3">
        <v>36140</v>
      </c>
      <c r="AC44" s="134">
        <v>50</v>
      </c>
      <c r="AD44" s="153">
        <v>0.24271844660194175</v>
      </c>
      <c r="AE44" s="3">
        <v>206</v>
      </c>
      <c r="AF44" s="134">
        <v>13</v>
      </c>
      <c r="AG44" s="153">
        <v>0.8125</v>
      </c>
      <c r="AH44" s="3">
        <v>16</v>
      </c>
      <c r="AI44" s="154">
        <v>385</v>
      </c>
      <c r="AJ44" s="153">
        <v>1.0587976458940652E-2</v>
      </c>
      <c r="AK44" s="18">
        <v>36362</v>
      </c>
      <c r="AL44" s="84">
        <f t="shared" si="133"/>
        <v>9.3563015760385185E-2</v>
      </c>
      <c r="AM44" s="83">
        <f t="shared" si="134"/>
        <v>0.48993288590604028</v>
      </c>
      <c r="AN44" s="6">
        <f t="shared" si="135"/>
        <v>0.84243697478991597</v>
      </c>
      <c r="AO44" s="127">
        <f t="shared" si="136"/>
        <v>0.10026902948939942</v>
      </c>
      <c r="AP44" s="52">
        <f t="shared" si="137"/>
        <v>83039</v>
      </c>
      <c r="AQ44" s="3">
        <f t="shared" si="138"/>
        <v>828162</v>
      </c>
      <c r="AR44" s="12">
        <f t="shared" si="139"/>
        <v>814574</v>
      </c>
      <c r="AS44" s="3">
        <f t="shared" si="140"/>
        <v>13112</v>
      </c>
      <c r="AT44" s="21">
        <f t="shared" si="141"/>
        <v>476</v>
      </c>
    </row>
    <row r="45" spans="1:46" ht="18" customHeight="1" x14ac:dyDescent="0.2">
      <c r="A45" s="109">
        <v>44985</v>
      </c>
      <c r="B45" s="3">
        <v>9590</v>
      </c>
      <c r="C45" s="153">
        <v>7.5571911520185345E-2</v>
      </c>
      <c r="D45" s="3">
        <v>126899</v>
      </c>
      <c r="E45" s="134">
        <v>821</v>
      </c>
      <c r="F45" s="153">
        <v>0.49279711884753902</v>
      </c>
      <c r="G45" s="3">
        <v>1666</v>
      </c>
      <c r="H45" s="134">
        <v>36</v>
      </c>
      <c r="I45" s="153">
        <v>0.65454545454545454</v>
      </c>
      <c r="J45" s="3">
        <v>55</v>
      </c>
      <c r="K45" s="154">
        <v>10447</v>
      </c>
      <c r="L45" s="153">
        <v>8.1223759912921786E-2</v>
      </c>
      <c r="M45" s="18">
        <v>128620</v>
      </c>
      <c r="N45" s="3">
        <v>61463</v>
      </c>
      <c r="O45" s="6">
        <v>0.1040997655921846</v>
      </c>
      <c r="P45" s="130">
        <v>590424</v>
      </c>
      <c r="Q45" s="55">
        <v>4895</v>
      </c>
      <c r="R45" s="6">
        <v>0.4844615993665875</v>
      </c>
      <c r="S45" s="33">
        <v>10104</v>
      </c>
      <c r="T45" s="55">
        <v>312</v>
      </c>
      <c r="U45" s="6">
        <v>0.85950413223140498</v>
      </c>
      <c r="V45" s="33">
        <v>363</v>
      </c>
      <c r="W45" s="52">
        <v>66670</v>
      </c>
      <c r="X45" s="6">
        <v>0.11095190309057716</v>
      </c>
      <c r="Y45" s="21">
        <v>600891</v>
      </c>
      <c r="Z45" s="3">
        <v>335</v>
      </c>
      <c r="AA45" s="153">
        <v>9.2702770014112951E-3</v>
      </c>
      <c r="AB45" s="3">
        <v>36137</v>
      </c>
      <c r="AC45" s="134">
        <v>55</v>
      </c>
      <c r="AD45" s="153">
        <v>0.26190476190476192</v>
      </c>
      <c r="AE45" s="3">
        <v>210</v>
      </c>
      <c r="AF45" s="134">
        <v>13</v>
      </c>
      <c r="AG45" s="153">
        <v>0.8125</v>
      </c>
      <c r="AH45" s="3">
        <v>16</v>
      </c>
      <c r="AI45" s="154">
        <v>403</v>
      </c>
      <c r="AJ45" s="153">
        <v>1.1082693947144074E-2</v>
      </c>
      <c r="AK45" s="18">
        <v>36363</v>
      </c>
      <c r="AL45" s="84">
        <f t="shared" si="133"/>
        <v>9.47469009635548E-2</v>
      </c>
      <c r="AM45" s="83">
        <f t="shared" si="134"/>
        <v>0.48171953255425709</v>
      </c>
      <c r="AN45" s="6">
        <f t="shared" si="135"/>
        <v>0.83179723502304148</v>
      </c>
      <c r="AO45" s="127">
        <f t="shared" si="136"/>
        <v>0.10121769377208262</v>
      </c>
      <c r="AP45" s="52">
        <f t="shared" si="137"/>
        <v>77520</v>
      </c>
      <c r="AQ45" s="3">
        <f t="shared" si="138"/>
        <v>765874</v>
      </c>
      <c r="AR45" s="12">
        <f t="shared" si="139"/>
        <v>753460</v>
      </c>
      <c r="AS45" s="3">
        <f t="shared" si="140"/>
        <v>11980</v>
      </c>
      <c r="AT45" s="21">
        <f t="shared" si="141"/>
        <v>434</v>
      </c>
    </row>
    <row r="46" spans="1:46" ht="18" customHeight="1" x14ac:dyDescent="0.2">
      <c r="A46" s="109">
        <v>44957</v>
      </c>
      <c r="B46" s="3">
        <v>9865</v>
      </c>
      <c r="C46" s="153">
        <v>7.775982343435936E-2</v>
      </c>
      <c r="D46" s="3">
        <v>126865</v>
      </c>
      <c r="E46" s="134">
        <v>811</v>
      </c>
      <c r="F46" s="153">
        <v>0.48708708708708709</v>
      </c>
      <c r="G46" s="3">
        <v>1665</v>
      </c>
      <c r="H46" s="134">
        <v>36</v>
      </c>
      <c r="I46" s="153">
        <v>0.65454545454545454</v>
      </c>
      <c r="J46" s="3">
        <v>55</v>
      </c>
      <c r="K46" s="154">
        <v>10712</v>
      </c>
      <c r="L46" s="153">
        <v>8.330676206400435E-2</v>
      </c>
      <c r="M46" s="18">
        <v>128585</v>
      </c>
      <c r="N46" s="3">
        <v>69168</v>
      </c>
      <c r="O46" s="6">
        <v>0.10645079374850908</v>
      </c>
      <c r="P46" s="130">
        <v>649765</v>
      </c>
      <c r="Q46" s="55">
        <v>5323</v>
      </c>
      <c r="R46" s="6">
        <v>0.47739910313901346</v>
      </c>
      <c r="S46" s="33">
        <v>11150</v>
      </c>
      <c r="T46" s="55">
        <v>336</v>
      </c>
      <c r="U46" s="6">
        <v>0.86375321336760924</v>
      </c>
      <c r="V46" s="33">
        <v>389</v>
      </c>
      <c r="W46" s="52">
        <v>74827</v>
      </c>
      <c r="X46" s="6">
        <v>0.11315068410292392</v>
      </c>
      <c r="Y46" s="21">
        <v>661304</v>
      </c>
      <c r="Z46" s="3">
        <v>343</v>
      </c>
      <c r="AA46" s="153">
        <v>9.4885059061108196E-3</v>
      </c>
      <c r="AB46" s="3">
        <v>36149</v>
      </c>
      <c r="AC46" s="134">
        <v>56</v>
      </c>
      <c r="AD46" s="153">
        <v>0.26540284360189575</v>
      </c>
      <c r="AE46" s="3">
        <v>211</v>
      </c>
      <c r="AF46" s="134">
        <v>13</v>
      </c>
      <c r="AG46" s="153">
        <v>0.8125</v>
      </c>
      <c r="AH46" s="3">
        <v>16</v>
      </c>
      <c r="AI46" s="154">
        <v>412</v>
      </c>
      <c r="AJ46" s="153">
        <v>1.1326149109302837E-2</v>
      </c>
      <c r="AK46" s="18">
        <v>36376</v>
      </c>
      <c r="AL46" s="84">
        <f t="shared" si="133"/>
        <v>9.7660003518791699E-2</v>
      </c>
      <c r="AM46" s="83">
        <f t="shared" si="134"/>
        <v>0.47520343927529557</v>
      </c>
      <c r="AN46" s="6">
        <f t="shared" si="135"/>
        <v>0.83695652173913049</v>
      </c>
      <c r="AO46" s="127">
        <f t="shared" si="136"/>
        <v>0.10402352756077045</v>
      </c>
      <c r="AP46" s="52">
        <f t="shared" si="137"/>
        <v>85951</v>
      </c>
      <c r="AQ46" s="3">
        <f t="shared" si="138"/>
        <v>826265</v>
      </c>
      <c r="AR46" s="12">
        <f t="shared" si="139"/>
        <v>812779</v>
      </c>
      <c r="AS46" s="3">
        <f t="shared" si="140"/>
        <v>13026</v>
      </c>
      <c r="AT46" s="21">
        <f t="shared" si="141"/>
        <v>460</v>
      </c>
    </row>
    <row r="47" spans="1:46" ht="18" customHeight="1" x14ac:dyDescent="0.2">
      <c r="A47" s="109">
        <v>44926</v>
      </c>
      <c r="B47" s="3">
        <v>10017</v>
      </c>
      <c r="C47" s="153">
        <v>7.9002160985535599E-2</v>
      </c>
      <c r="D47" s="3">
        <v>126794</v>
      </c>
      <c r="E47" s="134">
        <v>796</v>
      </c>
      <c r="F47" s="153">
        <v>0.47664670658682634</v>
      </c>
      <c r="G47" s="3">
        <v>1670</v>
      </c>
      <c r="H47" s="134">
        <v>36</v>
      </c>
      <c r="I47" s="153">
        <v>0.65454545454545454</v>
      </c>
      <c r="J47" s="3">
        <v>55</v>
      </c>
      <c r="K47" s="154">
        <v>10849</v>
      </c>
      <c r="L47" s="153">
        <v>8.4415533889930672E-2</v>
      </c>
      <c r="M47" s="18">
        <v>128519</v>
      </c>
      <c r="N47" s="3">
        <v>70693</v>
      </c>
      <c r="O47" s="6">
        <v>0.10897137484007215</v>
      </c>
      <c r="P47" s="130">
        <v>648730</v>
      </c>
      <c r="Q47" s="55">
        <v>5289</v>
      </c>
      <c r="R47" s="6">
        <v>0.47515946455844038</v>
      </c>
      <c r="S47" s="33">
        <v>11131</v>
      </c>
      <c r="T47" s="55">
        <v>343</v>
      </c>
      <c r="U47" s="6">
        <v>0.8639798488664987</v>
      </c>
      <c r="V47" s="33">
        <v>397</v>
      </c>
      <c r="W47" s="52">
        <v>76325</v>
      </c>
      <c r="X47" s="6">
        <v>0.11559875079135731</v>
      </c>
      <c r="Y47" s="21">
        <v>660258</v>
      </c>
      <c r="Z47" s="3">
        <v>261</v>
      </c>
      <c r="AA47" s="153">
        <v>7.2269140246435E-3</v>
      </c>
      <c r="AB47" s="3">
        <v>36115</v>
      </c>
      <c r="AC47" s="134">
        <v>47</v>
      </c>
      <c r="AD47" s="153">
        <v>0.22169811320754718</v>
      </c>
      <c r="AE47" s="3">
        <v>212</v>
      </c>
      <c r="AF47" s="134">
        <v>6</v>
      </c>
      <c r="AG47" s="153">
        <v>0.375</v>
      </c>
      <c r="AH47" s="3">
        <v>16</v>
      </c>
      <c r="AI47" s="154">
        <v>314</v>
      </c>
      <c r="AJ47" s="153">
        <v>8.6399031450348079E-3</v>
      </c>
      <c r="AK47" s="18">
        <v>36343</v>
      </c>
      <c r="AL47" s="84">
        <f t="shared" si="133"/>
        <v>9.9762332761239914E-2</v>
      </c>
      <c r="AM47" s="83">
        <f t="shared" si="134"/>
        <v>0.471221086605702</v>
      </c>
      <c r="AN47" s="6">
        <f t="shared" si="135"/>
        <v>0.82264957264957261</v>
      </c>
      <c r="AO47" s="127">
        <f t="shared" si="136"/>
        <v>0.10603063796781075</v>
      </c>
      <c r="AP47" s="52">
        <f t="shared" si="137"/>
        <v>87488</v>
      </c>
      <c r="AQ47" s="3">
        <f t="shared" si="138"/>
        <v>825120</v>
      </c>
      <c r="AR47" s="12">
        <f t="shared" si="139"/>
        <v>811639</v>
      </c>
      <c r="AS47" s="3">
        <f t="shared" si="140"/>
        <v>13013</v>
      </c>
      <c r="AT47" s="21">
        <f t="shared" si="141"/>
        <v>468</v>
      </c>
    </row>
    <row r="48" spans="1:46" ht="18" customHeight="1" x14ac:dyDescent="0.2">
      <c r="A48" s="109">
        <v>44895</v>
      </c>
      <c r="B48" s="3">
        <v>10162</v>
      </c>
      <c r="C48" s="153">
        <v>8.0169775000788923E-2</v>
      </c>
      <c r="D48" s="3">
        <v>126756</v>
      </c>
      <c r="E48" s="134">
        <v>810</v>
      </c>
      <c r="F48" s="153">
        <v>0.48243001786777845</v>
      </c>
      <c r="G48" s="3">
        <v>1679</v>
      </c>
      <c r="H48" s="134">
        <v>36</v>
      </c>
      <c r="I48" s="153">
        <v>0.6428571428571429</v>
      </c>
      <c r="J48" s="3">
        <v>56</v>
      </c>
      <c r="K48" s="154">
        <v>11008</v>
      </c>
      <c r="L48" s="153">
        <v>8.5671369979220341E-2</v>
      </c>
      <c r="M48" s="18">
        <v>128491</v>
      </c>
      <c r="N48" s="3">
        <v>68339</v>
      </c>
      <c r="O48" s="6">
        <v>0.11123843690943391</v>
      </c>
      <c r="P48" s="130">
        <v>614347</v>
      </c>
      <c r="Q48" s="55">
        <v>5027</v>
      </c>
      <c r="R48" s="6">
        <v>0.47393230885264448</v>
      </c>
      <c r="S48" s="33">
        <v>10607</v>
      </c>
      <c r="T48" s="55">
        <v>327</v>
      </c>
      <c r="U48" s="6">
        <v>0.85602094240837701</v>
      </c>
      <c r="V48" s="33">
        <v>382</v>
      </c>
      <c r="W48" s="52">
        <v>73693</v>
      </c>
      <c r="X48" s="6">
        <v>0.11784544628807553</v>
      </c>
      <c r="Y48" s="21">
        <v>625336</v>
      </c>
      <c r="Z48" s="3">
        <v>267</v>
      </c>
      <c r="AA48" s="153">
        <v>7.3885491324681071E-3</v>
      </c>
      <c r="AB48" s="3">
        <v>36137</v>
      </c>
      <c r="AC48" s="134">
        <v>47</v>
      </c>
      <c r="AD48" s="153">
        <v>0.22380952380952382</v>
      </c>
      <c r="AE48" s="3">
        <v>210</v>
      </c>
      <c r="AF48" s="134">
        <v>6</v>
      </c>
      <c r="AG48" s="153">
        <v>0.375</v>
      </c>
      <c r="AH48" s="3">
        <v>16</v>
      </c>
      <c r="AI48" s="154">
        <v>320</v>
      </c>
      <c r="AJ48" s="153">
        <v>8.8001540026950466E-3</v>
      </c>
      <c r="AK48" s="18">
        <v>36363</v>
      </c>
      <c r="AL48" s="84">
        <f t="shared" si="133"/>
        <v>0.10134321445113478</v>
      </c>
      <c r="AM48" s="83">
        <f t="shared" si="134"/>
        <v>0.47087067861715748</v>
      </c>
      <c r="AN48" s="6">
        <f t="shared" si="135"/>
        <v>0.81277533039647576</v>
      </c>
      <c r="AO48" s="127">
        <f t="shared" si="136"/>
        <v>0.10759564155456283</v>
      </c>
      <c r="AP48" s="52">
        <f t="shared" si="137"/>
        <v>85021</v>
      </c>
      <c r="AQ48" s="3">
        <f t="shared" si="138"/>
        <v>790190</v>
      </c>
      <c r="AR48" s="12">
        <f t="shared" si="139"/>
        <v>777240</v>
      </c>
      <c r="AS48" s="3">
        <f t="shared" si="140"/>
        <v>12496</v>
      </c>
      <c r="AT48" s="21">
        <f t="shared" si="141"/>
        <v>454</v>
      </c>
    </row>
    <row r="49" spans="1:46" ht="18" customHeight="1" x14ac:dyDescent="0.2">
      <c r="A49" s="109">
        <v>44865</v>
      </c>
      <c r="B49" s="3">
        <v>10285</v>
      </c>
      <c r="C49" s="153">
        <v>8.0995093831457754E-2</v>
      </c>
      <c r="D49" s="3">
        <v>126983</v>
      </c>
      <c r="E49" s="134">
        <v>818</v>
      </c>
      <c r="F49" s="153">
        <v>0.48202710665880966</v>
      </c>
      <c r="G49" s="3">
        <v>1697</v>
      </c>
      <c r="H49" s="134">
        <v>36</v>
      </c>
      <c r="I49" s="153">
        <v>0.6428571428571429</v>
      </c>
      <c r="J49" s="3">
        <v>56</v>
      </c>
      <c r="K49" s="154">
        <v>11139</v>
      </c>
      <c r="L49" s="153">
        <v>8.6525913497390014E-2</v>
      </c>
      <c r="M49" s="18">
        <v>128736</v>
      </c>
      <c r="N49" s="3">
        <v>69581</v>
      </c>
      <c r="O49" s="6">
        <v>0.11171407516107436</v>
      </c>
      <c r="P49" s="130">
        <v>622849</v>
      </c>
      <c r="Q49" s="55">
        <v>5049</v>
      </c>
      <c r="R49" s="6">
        <v>0.47785349233390118</v>
      </c>
      <c r="S49" s="33">
        <v>10566</v>
      </c>
      <c r="T49" s="55">
        <v>333</v>
      </c>
      <c r="U49" s="6">
        <v>0.86945169712793735</v>
      </c>
      <c r="V49" s="33">
        <v>383</v>
      </c>
      <c r="W49" s="52">
        <v>74963</v>
      </c>
      <c r="X49" s="6">
        <v>0.1182758544520494</v>
      </c>
      <c r="Y49" s="21">
        <v>633798</v>
      </c>
      <c r="Z49" s="3">
        <v>271</v>
      </c>
      <c r="AA49" s="153">
        <v>7.5060935076445819E-3</v>
      </c>
      <c r="AB49" s="3">
        <v>36104</v>
      </c>
      <c r="AC49" s="134">
        <v>51</v>
      </c>
      <c r="AD49" s="153">
        <v>0.24519230769230768</v>
      </c>
      <c r="AE49" s="3">
        <v>208</v>
      </c>
      <c r="AF49" s="134">
        <v>6</v>
      </c>
      <c r="AG49" s="153">
        <v>0.66666666666666663</v>
      </c>
      <c r="AH49" s="3">
        <v>9</v>
      </c>
      <c r="AI49" s="154">
        <v>328</v>
      </c>
      <c r="AJ49" s="153">
        <v>9.0305883648577959E-3</v>
      </c>
      <c r="AK49" s="18">
        <v>36321</v>
      </c>
      <c r="AL49" s="84">
        <f t="shared" ref="AL49:AL54" si="142">(B49+N49+Z49)/AR49</f>
        <v>0.10196377313165449</v>
      </c>
      <c r="AM49" s="83">
        <f t="shared" ref="AM49:AM54" si="143">(E49+Q49+AC49)/AS49</f>
        <v>0.47454093496912836</v>
      </c>
      <c r="AN49" s="6">
        <f t="shared" ref="AN49:AN54" si="144">(H49+T49+AF49)/AT49</f>
        <v>0.8370535714285714</v>
      </c>
      <c r="AO49" s="127">
        <f t="shared" ref="AO49:AO54" si="145">AP49/AQ49</f>
        <v>0.10819235030136884</v>
      </c>
      <c r="AP49" s="52">
        <f t="shared" ref="AP49:AP54" si="146">AF49+AC49+Z49+T49+Q49+N49+H49+E49+B49</f>
        <v>86430</v>
      </c>
      <c r="AQ49" s="3">
        <f t="shared" si="138"/>
        <v>798855</v>
      </c>
      <c r="AR49" s="12">
        <f t="shared" ref="AR49:AR54" si="147">+D49+P49+AB49</f>
        <v>785936</v>
      </c>
      <c r="AS49" s="3">
        <f t="shared" ref="AS49:AS54" si="148">G49+S49+AE49</f>
        <v>12471</v>
      </c>
      <c r="AT49" s="21">
        <f t="shared" ref="AT49:AT54" si="149">J49+V49+AH49</f>
        <v>448</v>
      </c>
    </row>
    <row r="50" spans="1:46" ht="18" customHeight="1" x14ac:dyDescent="0.2">
      <c r="A50" s="109">
        <v>44834</v>
      </c>
      <c r="B50" s="3">
        <v>10347</v>
      </c>
      <c r="C50" s="153">
        <v>8.1221740768651088E-2</v>
      </c>
      <c r="D50" s="3">
        <v>127392</v>
      </c>
      <c r="E50" s="134">
        <v>821</v>
      </c>
      <c r="F50" s="153">
        <v>0.48180751173708919</v>
      </c>
      <c r="G50" s="3">
        <v>1704</v>
      </c>
      <c r="H50" s="134">
        <v>36</v>
      </c>
      <c r="I50" s="153">
        <v>0.6428571428571429</v>
      </c>
      <c r="J50" s="3">
        <v>56</v>
      </c>
      <c r="K50" s="154">
        <v>11204</v>
      </c>
      <c r="L50" s="153">
        <v>8.675049554013875E-2</v>
      </c>
      <c r="M50" s="18">
        <v>129152</v>
      </c>
      <c r="N50" s="3">
        <v>72281</v>
      </c>
      <c r="O50" s="6">
        <v>0.11198578351780469</v>
      </c>
      <c r="P50" s="130">
        <v>645448</v>
      </c>
      <c r="Q50" s="55">
        <v>5307</v>
      </c>
      <c r="R50" s="6">
        <v>0.47853922452660053</v>
      </c>
      <c r="S50" s="33">
        <v>11090</v>
      </c>
      <c r="T50" s="55">
        <v>345</v>
      </c>
      <c r="U50" s="6">
        <v>0.87341772151898733</v>
      </c>
      <c r="V50" s="33">
        <v>395</v>
      </c>
      <c r="W50" s="52">
        <v>77933</v>
      </c>
      <c r="X50" s="6">
        <v>0.11863158038947655</v>
      </c>
      <c r="Y50" s="21">
        <v>656933</v>
      </c>
      <c r="Z50" s="3">
        <v>295</v>
      </c>
      <c r="AA50" s="153">
        <v>8.1545776205218922E-3</v>
      </c>
      <c r="AB50" s="3">
        <v>36176</v>
      </c>
      <c r="AC50" s="134">
        <v>54</v>
      </c>
      <c r="AD50" s="153">
        <v>0.2608695652173913</v>
      </c>
      <c r="AE50" s="3">
        <v>207</v>
      </c>
      <c r="AF50" s="134">
        <v>13</v>
      </c>
      <c r="AG50" s="153">
        <v>0.8125</v>
      </c>
      <c r="AH50" s="3">
        <v>16</v>
      </c>
      <c r="AI50" s="154">
        <v>362</v>
      </c>
      <c r="AJ50" s="153">
        <v>9.9453281683562732E-3</v>
      </c>
      <c r="AK50" s="18">
        <v>36399</v>
      </c>
      <c r="AL50" s="84">
        <f t="shared" si="142"/>
        <v>0.10249859088077368</v>
      </c>
      <c r="AM50" s="83">
        <f t="shared" si="143"/>
        <v>0.47550188447042535</v>
      </c>
      <c r="AN50" s="6">
        <f t="shared" si="144"/>
        <v>0.84368308351177734</v>
      </c>
      <c r="AO50" s="127">
        <f t="shared" si="145"/>
        <v>0.1088154906356841</v>
      </c>
      <c r="AP50" s="52">
        <f t="shared" si="146"/>
        <v>89499</v>
      </c>
      <c r="AQ50" s="3">
        <f t="shared" si="138"/>
        <v>822484</v>
      </c>
      <c r="AR50" s="12">
        <f t="shared" si="147"/>
        <v>809016</v>
      </c>
      <c r="AS50" s="3">
        <f t="shared" si="148"/>
        <v>13001</v>
      </c>
      <c r="AT50" s="21">
        <f t="shared" si="149"/>
        <v>467</v>
      </c>
    </row>
    <row r="51" spans="1:46" ht="18" customHeight="1" x14ac:dyDescent="0.2">
      <c r="A51" s="109">
        <v>44804</v>
      </c>
      <c r="B51" s="3">
        <v>9030</v>
      </c>
      <c r="C51" s="153">
        <v>7.6999999999999999E-2</v>
      </c>
      <c r="D51" s="3">
        <v>116781</v>
      </c>
      <c r="E51" s="134">
        <v>745</v>
      </c>
      <c r="F51" s="153">
        <v>0.49099999999999999</v>
      </c>
      <c r="G51" s="3">
        <v>1518</v>
      </c>
      <c r="H51" s="134">
        <v>34</v>
      </c>
      <c r="I51" s="153">
        <v>0.69399999999999995</v>
      </c>
      <c r="J51" s="3">
        <v>49</v>
      </c>
      <c r="K51" s="154">
        <v>9809</v>
      </c>
      <c r="L51" s="153">
        <v>8.3000000000000004E-2</v>
      </c>
      <c r="M51" s="18">
        <v>118348</v>
      </c>
      <c r="N51" s="3">
        <v>72986</v>
      </c>
      <c r="O51" s="6">
        <v>0.11263845226685927</v>
      </c>
      <c r="P51" s="130">
        <v>647967</v>
      </c>
      <c r="Q51" s="55">
        <v>5311</v>
      </c>
      <c r="R51" s="6">
        <v>0.47872723994952227</v>
      </c>
      <c r="S51" s="33">
        <v>11094</v>
      </c>
      <c r="T51" s="55">
        <v>357</v>
      </c>
      <c r="U51" s="6">
        <v>0.87286063569682149</v>
      </c>
      <c r="V51" s="33">
        <v>409</v>
      </c>
      <c r="W51" s="52">
        <v>78654</v>
      </c>
      <c r="X51" s="6">
        <v>0.11926850349523102</v>
      </c>
      <c r="Y51" s="21">
        <v>659470</v>
      </c>
      <c r="Z51" s="3">
        <v>274</v>
      </c>
      <c r="AA51" s="153">
        <v>8.0000000000000002E-3</v>
      </c>
      <c r="AB51" s="3">
        <v>33757</v>
      </c>
      <c r="AC51" s="134">
        <v>54</v>
      </c>
      <c r="AD51" s="153">
        <v>0.30299999999999999</v>
      </c>
      <c r="AE51" s="3">
        <v>178</v>
      </c>
      <c r="AF51" s="134">
        <v>13</v>
      </c>
      <c r="AG51" s="153">
        <v>0.86699999999999999</v>
      </c>
      <c r="AH51" s="3">
        <v>15</v>
      </c>
      <c r="AI51" s="154">
        <v>341</v>
      </c>
      <c r="AJ51" s="153">
        <v>0.01</v>
      </c>
      <c r="AK51" s="18">
        <v>33950</v>
      </c>
      <c r="AL51" s="84">
        <f t="shared" si="142"/>
        <v>0.10305508418857741</v>
      </c>
      <c r="AM51" s="83">
        <f t="shared" si="143"/>
        <v>0.47771696637998434</v>
      </c>
      <c r="AN51" s="6">
        <f t="shared" si="144"/>
        <v>0.85412262156448204</v>
      </c>
      <c r="AO51" s="127">
        <f t="shared" si="145"/>
        <v>0.10939578795912133</v>
      </c>
      <c r="AP51" s="52">
        <f t="shared" si="146"/>
        <v>88804</v>
      </c>
      <c r="AQ51" s="3">
        <f t="shared" si="138"/>
        <v>811768</v>
      </c>
      <c r="AR51" s="12">
        <f t="shared" si="147"/>
        <v>798505</v>
      </c>
      <c r="AS51" s="3">
        <f t="shared" si="148"/>
        <v>12790</v>
      </c>
      <c r="AT51" s="21">
        <f t="shared" si="149"/>
        <v>473</v>
      </c>
    </row>
    <row r="52" spans="1:46" ht="18" customHeight="1" x14ac:dyDescent="0.2">
      <c r="A52" s="109">
        <v>44773</v>
      </c>
      <c r="B52" s="3">
        <v>9166</v>
      </c>
      <c r="C52" s="83">
        <v>7.8E-2</v>
      </c>
      <c r="D52" s="3">
        <v>118154</v>
      </c>
      <c r="E52" s="134">
        <v>748</v>
      </c>
      <c r="F52" s="83">
        <v>0.49199999999999999</v>
      </c>
      <c r="G52" s="3">
        <v>1519</v>
      </c>
      <c r="H52" s="134">
        <v>34</v>
      </c>
      <c r="I52" s="83">
        <v>0.69399999999999995</v>
      </c>
      <c r="J52" s="3">
        <v>49</v>
      </c>
      <c r="K52" s="140">
        <v>9948</v>
      </c>
      <c r="L52" s="83">
        <v>8.3000000000000004E-2</v>
      </c>
      <c r="M52" s="18">
        <v>119722</v>
      </c>
      <c r="N52" s="3">
        <v>69430</v>
      </c>
      <c r="O52" s="6">
        <v>0.11321610039592207</v>
      </c>
      <c r="P52" s="130">
        <v>613252</v>
      </c>
      <c r="Q52" s="55">
        <v>5025</v>
      </c>
      <c r="R52" s="6">
        <v>0.48081523299205819</v>
      </c>
      <c r="S52" s="33">
        <v>10451</v>
      </c>
      <c r="T52" s="55">
        <v>316</v>
      </c>
      <c r="U52" s="6">
        <v>0.87777777777777777</v>
      </c>
      <c r="V52" s="33">
        <v>360</v>
      </c>
      <c r="W52" s="52">
        <v>74771</v>
      </c>
      <c r="X52" s="6">
        <v>0.11981322398539891</v>
      </c>
      <c r="Y52" s="21">
        <v>624063</v>
      </c>
      <c r="Z52" s="3">
        <v>276</v>
      </c>
      <c r="AA52" s="83">
        <v>8.0000000000000002E-3</v>
      </c>
      <c r="AB52" s="33">
        <v>34105</v>
      </c>
      <c r="AC52" s="3">
        <v>58</v>
      </c>
      <c r="AD52" s="83">
        <v>0.32</v>
      </c>
      <c r="AE52" s="33">
        <v>181</v>
      </c>
      <c r="AF52" s="3">
        <v>14</v>
      </c>
      <c r="AG52" s="6">
        <v>0.875</v>
      </c>
      <c r="AH52" s="3">
        <v>16</v>
      </c>
      <c r="AI52" s="34">
        <v>348</v>
      </c>
      <c r="AJ52" s="6">
        <v>0.01</v>
      </c>
      <c r="AK52" s="21">
        <v>34302</v>
      </c>
      <c r="AL52" s="84">
        <f t="shared" si="142"/>
        <v>0.10303183102528898</v>
      </c>
      <c r="AM52" s="83">
        <f t="shared" si="143"/>
        <v>0.47987819932515841</v>
      </c>
      <c r="AN52" s="6">
        <f t="shared" si="144"/>
        <v>0.85647058823529409</v>
      </c>
      <c r="AO52" s="127">
        <f t="shared" si="145"/>
        <v>0.10932839129814532</v>
      </c>
      <c r="AP52" s="52">
        <f t="shared" si="146"/>
        <v>85067</v>
      </c>
      <c r="AQ52" s="3">
        <f t="shared" si="138"/>
        <v>778087</v>
      </c>
      <c r="AR52" s="12">
        <f t="shared" si="147"/>
        <v>765511</v>
      </c>
      <c r="AS52" s="3">
        <f t="shared" si="148"/>
        <v>12151</v>
      </c>
      <c r="AT52" s="21">
        <f t="shared" si="149"/>
        <v>425</v>
      </c>
    </row>
    <row r="53" spans="1:46" ht="18" customHeight="1" x14ac:dyDescent="0.2">
      <c r="A53" s="109">
        <v>44742</v>
      </c>
      <c r="B53" s="3">
        <v>10972</v>
      </c>
      <c r="C53" s="83">
        <v>8.0378008131570269E-2</v>
      </c>
      <c r="D53" s="3">
        <v>136505</v>
      </c>
      <c r="E53" s="134">
        <v>846</v>
      </c>
      <c r="F53" s="83">
        <v>0.48425872925014313</v>
      </c>
      <c r="G53" s="3">
        <v>1747</v>
      </c>
      <c r="H53" s="134">
        <v>37</v>
      </c>
      <c r="I53" s="83">
        <v>0.6607142857142857</v>
      </c>
      <c r="J53" s="3">
        <v>56</v>
      </c>
      <c r="K53" s="140">
        <v>11855</v>
      </c>
      <c r="L53" s="83">
        <v>8.571449229256442E-2</v>
      </c>
      <c r="M53" s="18">
        <v>138308</v>
      </c>
      <c r="N53" s="3">
        <v>74000</v>
      </c>
      <c r="O53" s="6">
        <v>0.11450127730816781</v>
      </c>
      <c r="P53" s="130">
        <v>646281</v>
      </c>
      <c r="Q53" s="55">
        <v>5266</v>
      </c>
      <c r="R53" s="6">
        <v>0.47600108469673685</v>
      </c>
      <c r="S53" s="33">
        <v>11063</v>
      </c>
      <c r="T53" s="55">
        <v>355</v>
      </c>
      <c r="U53" s="6">
        <v>0.87654320987654322</v>
      </c>
      <c r="V53" s="33">
        <v>405</v>
      </c>
      <c r="W53" s="52">
        <v>79621</v>
      </c>
      <c r="X53" s="6">
        <v>0.12105073515885238</v>
      </c>
      <c r="Y53" s="21">
        <v>657749</v>
      </c>
      <c r="Z53" s="3">
        <v>446</v>
      </c>
      <c r="AA53" s="83">
        <v>1.1810189598559475E-2</v>
      </c>
      <c r="AB53" s="33">
        <v>37764</v>
      </c>
      <c r="AC53" s="3">
        <v>72</v>
      </c>
      <c r="AD53" s="83">
        <v>0.35294117647058826</v>
      </c>
      <c r="AE53" s="33">
        <v>204</v>
      </c>
      <c r="AF53" s="3">
        <v>14</v>
      </c>
      <c r="AG53" s="6">
        <v>0.875</v>
      </c>
      <c r="AH53" s="3">
        <v>16</v>
      </c>
      <c r="AI53" s="34">
        <v>532</v>
      </c>
      <c r="AJ53" s="6">
        <v>1.4005897219882055E-2</v>
      </c>
      <c r="AK53" s="37">
        <v>37984</v>
      </c>
      <c r="AL53" s="84">
        <f t="shared" si="142"/>
        <v>0.10409847053805374</v>
      </c>
      <c r="AM53" s="83">
        <f t="shared" si="143"/>
        <v>0.47518057476563702</v>
      </c>
      <c r="AN53" s="6">
        <f t="shared" si="144"/>
        <v>0.85115303983228507</v>
      </c>
      <c r="AO53" s="127">
        <f t="shared" si="145"/>
        <v>0.11031591972097295</v>
      </c>
      <c r="AP53" s="52">
        <f t="shared" si="146"/>
        <v>92008</v>
      </c>
      <c r="AQ53" s="3">
        <f t="shared" si="138"/>
        <v>834041</v>
      </c>
      <c r="AR53" s="12">
        <f t="shared" si="147"/>
        <v>820550</v>
      </c>
      <c r="AS53" s="3">
        <f t="shared" si="148"/>
        <v>13014</v>
      </c>
      <c r="AT53" s="21">
        <f t="shared" si="149"/>
        <v>477</v>
      </c>
    </row>
    <row r="54" spans="1:46" ht="18" customHeight="1" x14ac:dyDescent="0.2">
      <c r="A54" s="146">
        <v>44712</v>
      </c>
      <c r="B54" s="3">
        <v>11085</v>
      </c>
      <c r="C54" s="83">
        <v>8.1436694632598186E-2</v>
      </c>
      <c r="D54" s="3">
        <v>136118</v>
      </c>
      <c r="E54" s="134">
        <v>861</v>
      </c>
      <c r="F54" s="83">
        <v>0.48397976391231029</v>
      </c>
      <c r="G54" s="3">
        <v>1779</v>
      </c>
      <c r="H54" s="134">
        <v>36</v>
      </c>
      <c r="I54" s="83">
        <v>0.6428571428571429</v>
      </c>
      <c r="J54" s="3">
        <v>56</v>
      </c>
      <c r="K54" s="140">
        <v>11982</v>
      </c>
      <c r="L54" s="83">
        <v>8.6855668234833608E-2</v>
      </c>
      <c r="M54" s="18">
        <v>137953</v>
      </c>
      <c r="N54" s="3">
        <v>74103</v>
      </c>
      <c r="O54" s="6">
        <v>0.11483229120662003</v>
      </c>
      <c r="P54" s="130">
        <v>645315</v>
      </c>
      <c r="Q54" s="55">
        <v>5331</v>
      </c>
      <c r="R54" s="6">
        <v>0.47910488002156915</v>
      </c>
      <c r="S54" s="33">
        <v>11127</v>
      </c>
      <c r="T54" s="55">
        <v>348</v>
      </c>
      <c r="U54" s="6">
        <v>0.8721804511278195</v>
      </c>
      <c r="V54" s="33">
        <v>399</v>
      </c>
      <c r="W54" s="52">
        <v>79782</v>
      </c>
      <c r="X54" s="6">
        <v>0.12146318515439809</v>
      </c>
      <c r="Y54" s="21">
        <v>656841</v>
      </c>
      <c r="Z54" s="3">
        <v>479</v>
      </c>
      <c r="AA54" s="83">
        <v>1.2702874721544501E-2</v>
      </c>
      <c r="AB54" s="33">
        <v>37708</v>
      </c>
      <c r="AC54" s="3">
        <v>80</v>
      </c>
      <c r="AD54" s="83">
        <v>0.39800995024875624</v>
      </c>
      <c r="AE54" s="33">
        <v>201</v>
      </c>
      <c r="AF54" s="3">
        <v>14</v>
      </c>
      <c r="AG54" s="6">
        <v>0.875</v>
      </c>
      <c r="AH54" s="3">
        <v>16</v>
      </c>
      <c r="AI54" s="34">
        <v>573</v>
      </c>
      <c r="AJ54" s="6">
        <v>1.5108767303889254E-2</v>
      </c>
      <c r="AK54" s="37">
        <v>37925</v>
      </c>
      <c r="AL54" s="84">
        <f t="shared" si="142"/>
        <v>0.10458150672472749</v>
      </c>
      <c r="AM54" s="83">
        <f t="shared" si="143"/>
        <v>0.47852292668039981</v>
      </c>
      <c r="AN54" s="6">
        <f t="shared" si="144"/>
        <v>0.84501061571125269</v>
      </c>
      <c r="AO54" s="127">
        <f t="shared" si="145"/>
        <v>0.11088614526629031</v>
      </c>
      <c r="AP54" s="52">
        <f t="shared" si="146"/>
        <v>92337</v>
      </c>
      <c r="AQ54" s="3">
        <f t="shared" si="138"/>
        <v>832719</v>
      </c>
      <c r="AR54" s="12">
        <f t="shared" si="147"/>
        <v>819141</v>
      </c>
      <c r="AS54" s="3">
        <f t="shared" si="148"/>
        <v>13107</v>
      </c>
      <c r="AT54" s="21">
        <f t="shared" si="149"/>
        <v>471</v>
      </c>
    </row>
    <row r="55" spans="1:46" ht="14.45" customHeight="1" x14ac:dyDescent="0.2">
      <c r="A55" s="146">
        <v>44681</v>
      </c>
      <c r="B55" s="3">
        <v>11144</v>
      </c>
      <c r="C55" s="83">
        <v>8.2275724083959043E-2</v>
      </c>
      <c r="D55" s="3">
        <v>135447</v>
      </c>
      <c r="E55" s="134">
        <v>855</v>
      </c>
      <c r="F55" s="83">
        <v>0.48551959114139692</v>
      </c>
      <c r="G55" s="3">
        <v>1761</v>
      </c>
      <c r="H55" s="134">
        <v>36</v>
      </c>
      <c r="I55" s="83">
        <v>0.65454545454545454</v>
      </c>
      <c r="J55" s="3">
        <v>55</v>
      </c>
      <c r="K55" s="140">
        <v>12035</v>
      </c>
      <c r="L55" s="83">
        <v>8.7678398403065641E-2</v>
      </c>
      <c r="M55" s="18">
        <v>137263</v>
      </c>
      <c r="N55" s="3">
        <v>69496</v>
      </c>
      <c r="O55" s="6">
        <v>0.11351549126452101</v>
      </c>
      <c r="P55" s="130">
        <v>612216</v>
      </c>
      <c r="Q55" s="55">
        <v>4991</v>
      </c>
      <c r="R55" s="6">
        <v>0.47402412384841863</v>
      </c>
      <c r="S55" s="33">
        <v>10529</v>
      </c>
      <c r="T55" s="55">
        <v>302</v>
      </c>
      <c r="U55" s="6">
        <v>0.87790697674418605</v>
      </c>
      <c r="V55" s="33">
        <v>344</v>
      </c>
      <c r="W55" s="52">
        <v>74789</v>
      </c>
      <c r="X55" s="6">
        <v>0.12002940189924714</v>
      </c>
      <c r="Y55" s="21">
        <v>623089</v>
      </c>
      <c r="Z55" s="3">
        <v>456</v>
      </c>
      <c r="AA55" s="83">
        <v>1.2117990964655859E-2</v>
      </c>
      <c r="AB55" s="33">
        <v>37630</v>
      </c>
      <c r="AC55" s="3">
        <v>79</v>
      </c>
      <c r="AD55" s="83">
        <v>0.3910891089108911</v>
      </c>
      <c r="AE55" s="33">
        <v>202</v>
      </c>
      <c r="AF55" s="3">
        <v>14</v>
      </c>
      <c r="AG55" s="6">
        <v>0.875</v>
      </c>
      <c r="AH55" s="3">
        <v>16</v>
      </c>
      <c r="AI55" s="34">
        <v>549</v>
      </c>
      <c r="AJ55" s="6">
        <v>1.4505389980976538E-2</v>
      </c>
      <c r="AK55" s="37">
        <v>37848</v>
      </c>
      <c r="AL55" s="84">
        <f t="shared" ref="AL55:AL71" si="150">(B55+N55+Z55)/AR55</f>
        <v>0.10326846158058202</v>
      </c>
      <c r="AM55" s="83">
        <f t="shared" ref="AM55:AM71" si="151">(E55+Q55+AC55)/AS55</f>
        <v>0.47430355427473581</v>
      </c>
      <c r="AN55" s="6">
        <f t="shared" ref="AN55:AN71" si="152">(H55+T55+AF55)/AT55</f>
        <v>0.84819277108433733</v>
      </c>
      <c r="AO55" s="127">
        <f t="shared" ref="AO55:AO71" si="153">AP55/AQ55</f>
        <v>0.10946254071661238</v>
      </c>
      <c r="AP55" s="52">
        <f t="shared" ref="AP55:AP71" si="154">AF55+AC55+Z55+T55+Q55+N55+H55+E55+B55</f>
        <v>87373</v>
      </c>
      <c r="AQ55" s="3">
        <f t="shared" si="138"/>
        <v>798200</v>
      </c>
      <c r="AR55" s="12">
        <f t="shared" ref="AR55:AR71" si="155">+D55+P55+AB55</f>
        <v>785293</v>
      </c>
      <c r="AS55" s="3">
        <f t="shared" ref="AS55:AS71" si="156">G55+S55+AE55</f>
        <v>12492</v>
      </c>
      <c r="AT55" s="21">
        <f t="shared" ref="AT55:AT71" si="157">J55+V55+AH55</f>
        <v>415</v>
      </c>
    </row>
    <row r="56" spans="1:46" ht="14.45" customHeight="1" x14ac:dyDescent="0.2">
      <c r="A56" s="146">
        <v>44641</v>
      </c>
      <c r="B56" s="3">
        <v>11122</v>
      </c>
      <c r="C56" s="83">
        <v>8.2287050258580505E-2</v>
      </c>
      <c r="D56" s="3">
        <v>135161</v>
      </c>
      <c r="E56" s="134">
        <v>838</v>
      </c>
      <c r="F56" s="83">
        <v>0.48977206312098187</v>
      </c>
      <c r="G56" s="3">
        <v>1711</v>
      </c>
      <c r="H56" s="134">
        <v>36</v>
      </c>
      <c r="I56" s="83">
        <v>0.65454545454545454</v>
      </c>
      <c r="J56" s="3">
        <v>55</v>
      </c>
      <c r="K56" s="140">
        <v>11996</v>
      </c>
      <c r="L56" s="83">
        <v>8.7608725817406349E-2</v>
      </c>
      <c r="M56" s="18">
        <v>136927</v>
      </c>
      <c r="N56" s="3">
        <v>72353</v>
      </c>
      <c r="O56" s="6">
        <v>0.11224933056561388</v>
      </c>
      <c r="P56" s="130">
        <v>644574</v>
      </c>
      <c r="Q56" s="55">
        <v>5131</v>
      </c>
      <c r="R56" s="6">
        <v>0.46175305975521957</v>
      </c>
      <c r="S56" s="33">
        <v>11112</v>
      </c>
      <c r="T56" s="55">
        <v>334</v>
      </c>
      <c r="U56" s="6">
        <v>0.86304909560723519</v>
      </c>
      <c r="V56" s="33">
        <v>387</v>
      </c>
      <c r="W56" s="52">
        <v>77818</v>
      </c>
      <c r="X56" s="6">
        <v>0.11861180082094523</v>
      </c>
      <c r="Y56" s="21">
        <v>656073</v>
      </c>
      <c r="Z56" s="3">
        <v>456</v>
      </c>
      <c r="AA56" s="83">
        <v>1.2113484220592923E-2</v>
      </c>
      <c r="AB56" s="33">
        <v>37644</v>
      </c>
      <c r="AC56" s="3">
        <v>75</v>
      </c>
      <c r="AD56" s="83">
        <v>0.37688442211055279</v>
      </c>
      <c r="AE56" s="33">
        <v>199</v>
      </c>
      <c r="AF56" s="3">
        <v>14</v>
      </c>
      <c r="AG56" s="6">
        <v>0.875</v>
      </c>
      <c r="AH56" s="3">
        <v>16</v>
      </c>
      <c r="AI56" s="34">
        <v>545</v>
      </c>
      <c r="AJ56" s="6">
        <v>1.4395520219762804E-2</v>
      </c>
      <c r="AK56" s="37">
        <v>37859</v>
      </c>
      <c r="AL56" s="84">
        <f t="shared" si="150"/>
        <v>0.10268308826138181</v>
      </c>
      <c r="AM56" s="83">
        <f t="shared" si="151"/>
        <v>0.46413761326985103</v>
      </c>
      <c r="AN56" s="6">
        <f t="shared" si="152"/>
        <v>0.83842794759825323</v>
      </c>
      <c r="AO56" s="127">
        <f t="shared" si="153"/>
        <v>0.10875371152024592</v>
      </c>
      <c r="AP56" s="52">
        <f t="shared" si="154"/>
        <v>90359</v>
      </c>
      <c r="AQ56" s="3">
        <f t="shared" si="138"/>
        <v>830859</v>
      </c>
      <c r="AR56" s="12">
        <f t="shared" si="155"/>
        <v>817379</v>
      </c>
      <c r="AS56" s="3">
        <f t="shared" si="156"/>
        <v>13022</v>
      </c>
      <c r="AT56" s="21">
        <f t="shared" si="157"/>
        <v>458</v>
      </c>
    </row>
    <row r="57" spans="1:46" ht="14.45" customHeight="1" x14ac:dyDescent="0.2">
      <c r="A57" s="146">
        <v>44620</v>
      </c>
      <c r="B57" s="3">
        <v>10970</v>
      </c>
      <c r="C57" s="83">
        <v>8.1184088806660504E-2</v>
      </c>
      <c r="D57" s="3">
        <v>135125</v>
      </c>
      <c r="E57" s="134">
        <v>820</v>
      </c>
      <c r="F57" s="83">
        <v>0.48377581120943952</v>
      </c>
      <c r="G57" s="3">
        <v>1695</v>
      </c>
      <c r="H57" s="134">
        <v>36</v>
      </c>
      <c r="I57" s="83">
        <v>0.65454545454545454</v>
      </c>
      <c r="J57" s="3">
        <v>55</v>
      </c>
      <c r="K57" s="140">
        <v>11826</v>
      </c>
      <c r="L57" s="83">
        <v>8.6400000000000005E-2</v>
      </c>
      <c r="M57" s="18">
        <v>136875</v>
      </c>
      <c r="N57" s="3">
        <v>64901</v>
      </c>
      <c r="O57" s="6">
        <v>0.11160713518012495</v>
      </c>
      <c r="P57" s="130">
        <v>581513</v>
      </c>
      <c r="Q57" s="55">
        <v>4656</v>
      </c>
      <c r="R57" s="6">
        <v>0.46222575201032462</v>
      </c>
      <c r="S57" s="33">
        <v>10073</v>
      </c>
      <c r="T57" s="55">
        <v>298</v>
      </c>
      <c r="U57" s="6">
        <v>0.85632183908045978</v>
      </c>
      <c r="V57" s="33">
        <v>348</v>
      </c>
      <c r="W57" s="52">
        <v>69855</v>
      </c>
      <c r="X57" s="6">
        <v>0.11801146749468691</v>
      </c>
      <c r="Y57" s="21">
        <v>591934</v>
      </c>
      <c r="Z57" s="3">
        <v>459</v>
      </c>
      <c r="AA57" s="83">
        <v>1.2199335548172758E-2</v>
      </c>
      <c r="AB57" s="33">
        <v>37625</v>
      </c>
      <c r="AC57" s="3">
        <v>75</v>
      </c>
      <c r="AD57" s="83">
        <v>0.37688442211055279</v>
      </c>
      <c r="AE57" s="33">
        <v>199</v>
      </c>
      <c r="AF57" s="3">
        <v>14</v>
      </c>
      <c r="AG57" s="6">
        <v>0.875</v>
      </c>
      <c r="AH57" s="3">
        <v>16</v>
      </c>
      <c r="AI57" s="34">
        <v>548</v>
      </c>
      <c r="AJ57" s="6">
        <v>1.4482029598308669E-2</v>
      </c>
      <c r="AK57" s="37">
        <v>37840</v>
      </c>
      <c r="AL57" s="84">
        <f t="shared" si="150"/>
        <v>0.10119812320105852</v>
      </c>
      <c r="AM57" s="83">
        <f t="shared" si="151"/>
        <v>0.46385894543327483</v>
      </c>
      <c r="AN57" s="6">
        <f t="shared" si="152"/>
        <v>0.83054892601431984</v>
      </c>
      <c r="AO57" s="127">
        <f t="shared" si="153"/>
        <v>0.10725768898152871</v>
      </c>
      <c r="AP57" s="52">
        <f t="shared" si="154"/>
        <v>82229</v>
      </c>
      <c r="AQ57" s="3">
        <f t="shared" si="138"/>
        <v>766649</v>
      </c>
      <c r="AR57" s="12">
        <f t="shared" si="155"/>
        <v>754263</v>
      </c>
      <c r="AS57" s="3">
        <f t="shared" si="156"/>
        <v>11967</v>
      </c>
      <c r="AT57" s="21">
        <f t="shared" si="157"/>
        <v>419</v>
      </c>
    </row>
    <row r="58" spans="1:46" ht="14.45" customHeight="1" x14ac:dyDescent="0.2">
      <c r="A58" s="146">
        <v>44592</v>
      </c>
      <c r="B58" s="3">
        <v>10767</v>
      </c>
      <c r="C58" s="83">
        <v>7.9744922899168999E-2</v>
      </c>
      <c r="D58" s="3">
        <v>135018</v>
      </c>
      <c r="E58" s="134">
        <v>809</v>
      </c>
      <c r="F58" s="83">
        <v>0.47813238770685579</v>
      </c>
      <c r="G58" s="3">
        <v>1692</v>
      </c>
      <c r="H58" s="134">
        <v>36</v>
      </c>
      <c r="I58" s="83">
        <v>0.65454545454545454</v>
      </c>
      <c r="J58" s="3">
        <v>55</v>
      </c>
      <c r="K58" s="140">
        <v>11612</v>
      </c>
      <c r="L58" s="83">
        <v>8.4904763645669581E-2</v>
      </c>
      <c r="M58" s="18">
        <v>136765</v>
      </c>
      <c r="N58" s="3">
        <v>72318</v>
      </c>
      <c r="O58" s="6">
        <v>0.11251254365971482</v>
      </c>
      <c r="P58" s="130">
        <v>642755</v>
      </c>
      <c r="Q58" s="55">
        <v>5090</v>
      </c>
      <c r="R58" s="6">
        <v>0.45732255166217428</v>
      </c>
      <c r="S58" s="33">
        <v>11130</v>
      </c>
      <c r="T58" s="55">
        <v>354</v>
      </c>
      <c r="U58" s="6">
        <v>0.86552567237163813</v>
      </c>
      <c r="V58" s="33">
        <v>409</v>
      </c>
      <c r="W58" s="52">
        <v>77762</v>
      </c>
      <c r="X58" s="6">
        <v>0.11884871326956994</v>
      </c>
      <c r="Y58" s="21">
        <v>654294</v>
      </c>
      <c r="Z58" s="3">
        <v>459</v>
      </c>
      <c r="AA58" s="83">
        <v>1.2207771483284131E-2</v>
      </c>
      <c r="AB58" s="33">
        <v>37599</v>
      </c>
      <c r="AC58" s="3">
        <v>75</v>
      </c>
      <c r="AD58" s="83">
        <v>0.37878787878787878</v>
      </c>
      <c r="AE58" s="33">
        <v>198</v>
      </c>
      <c r="AF58" s="3">
        <v>14</v>
      </c>
      <c r="AG58" s="6">
        <v>0.875</v>
      </c>
      <c r="AH58" s="3">
        <v>16</v>
      </c>
      <c r="AI58" s="34">
        <v>548</v>
      </c>
      <c r="AJ58" s="6">
        <v>1.4492370348821833E-2</v>
      </c>
      <c r="AK58" s="37">
        <v>37813</v>
      </c>
      <c r="AL58" s="84">
        <f t="shared" si="150"/>
        <v>0.10246120789038624</v>
      </c>
      <c r="AM58" s="83">
        <f t="shared" si="151"/>
        <v>0.45883256528417821</v>
      </c>
      <c r="AN58" s="6">
        <f t="shared" si="152"/>
        <v>0.84166666666666667</v>
      </c>
      <c r="AO58" s="127">
        <f t="shared" si="153"/>
        <v>0.10848719705817063</v>
      </c>
      <c r="AP58" s="52">
        <f t="shared" si="154"/>
        <v>89922</v>
      </c>
      <c r="AQ58" s="3">
        <f t="shared" si="138"/>
        <v>828872</v>
      </c>
      <c r="AR58" s="12">
        <f t="shared" si="155"/>
        <v>815372</v>
      </c>
      <c r="AS58" s="3">
        <f t="shared" si="156"/>
        <v>13020</v>
      </c>
      <c r="AT58" s="21">
        <f t="shared" si="157"/>
        <v>480</v>
      </c>
    </row>
    <row r="59" spans="1:46" ht="14.45" customHeight="1" x14ac:dyDescent="0.2">
      <c r="A59" s="146">
        <v>44561</v>
      </c>
      <c r="B59" s="3">
        <v>10772</v>
      </c>
      <c r="C59" s="149">
        <v>7.986713525216127E-2</v>
      </c>
      <c r="D59" s="3">
        <v>134874</v>
      </c>
      <c r="E59" s="134">
        <v>762</v>
      </c>
      <c r="F59" s="139">
        <v>0.50732356857523297</v>
      </c>
      <c r="G59" s="3">
        <v>1502</v>
      </c>
      <c r="H59" s="134">
        <v>36</v>
      </c>
      <c r="I59" s="139">
        <v>0.66666666666666663</v>
      </c>
      <c r="J59" s="3">
        <v>54</v>
      </c>
      <c r="K59" s="147">
        <v>11570</v>
      </c>
      <c r="L59" s="139">
        <v>8.4805394707908821E-2</v>
      </c>
      <c r="M59" s="18">
        <v>136430</v>
      </c>
      <c r="N59" s="3">
        <v>73395</v>
      </c>
      <c r="O59" s="6">
        <v>0.11422386289712616</v>
      </c>
      <c r="P59" s="130">
        <v>642554</v>
      </c>
      <c r="Q59" s="55">
        <v>5166</v>
      </c>
      <c r="R59" s="6">
        <v>0.46390086206896552</v>
      </c>
      <c r="S59" s="33">
        <v>11136</v>
      </c>
      <c r="T59" s="55">
        <v>355</v>
      </c>
      <c r="U59" s="6">
        <v>0.87871287128712872</v>
      </c>
      <c r="V59" s="33">
        <v>404</v>
      </c>
      <c r="W59" s="52">
        <v>78916</v>
      </c>
      <c r="X59" s="6">
        <v>0.1206493256320957</v>
      </c>
      <c r="Y59" s="21">
        <v>654094</v>
      </c>
      <c r="Z59" s="3">
        <v>459</v>
      </c>
      <c r="AA59" s="149">
        <v>1.2067514985802923E-2</v>
      </c>
      <c r="AB59" s="33">
        <v>38036</v>
      </c>
      <c r="AC59" s="3">
        <v>55</v>
      </c>
      <c r="AD59" s="139">
        <v>0.35714285714285715</v>
      </c>
      <c r="AE59" s="33">
        <v>154</v>
      </c>
      <c r="AF59" s="3">
        <v>15</v>
      </c>
      <c r="AG59" s="6">
        <v>0.83333333333333337</v>
      </c>
      <c r="AH59" s="3">
        <v>18</v>
      </c>
      <c r="AI59" s="34">
        <v>529</v>
      </c>
      <c r="AJ59" s="6">
        <v>1.3845268006700167E-2</v>
      </c>
      <c r="AK59" s="21">
        <v>38208</v>
      </c>
      <c r="AL59" s="84">
        <f t="shared" si="150"/>
        <v>0.10377650025016433</v>
      </c>
      <c r="AM59" s="83">
        <f t="shared" si="151"/>
        <v>0.46771419637273298</v>
      </c>
      <c r="AN59" s="6">
        <f t="shared" si="152"/>
        <v>0.8529411764705882</v>
      </c>
      <c r="AO59" s="127">
        <f t="shared" si="153"/>
        <v>0.10982440644261353</v>
      </c>
      <c r="AP59" s="52">
        <f t="shared" si="154"/>
        <v>91015</v>
      </c>
      <c r="AQ59" s="3">
        <f t="shared" si="138"/>
        <v>828732</v>
      </c>
      <c r="AR59" s="12">
        <f t="shared" si="155"/>
        <v>815464</v>
      </c>
      <c r="AS59" s="3">
        <f t="shared" si="156"/>
        <v>12792</v>
      </c>
      <c r="AT59" s="21">
        <f t="shared" si="157"/>
        <v>476</v>
      </c>
    </row>
    <row r="60" spans="1:46" ht="14.45" customHeight="1" x14ac:dyDescent="0.2">
      <c r="A60" s="146">
        <v>44530</v>
      </c>
      <c r="B60" s="3">
        <v>10859</v>
      </c>
      <c r="C60" s="149">
        <v>8.0456704231404719E-2</v>
      </c>
      <c r="D60" s="3">
        <v>134967</v>
      </c>
      <c r="E60" s="134">
        <v>761</v>
      </c>
      <c r="F60" s="139">
        <v>0.50937081659973227</v>
      </c>
      <c r="G60" s="3">
        <v>1494</v>
      </c>
      <c r="H60" s="134">
        <v>36</v>
      </c>
      <c r="I60" s="139">
        <v>0.65454545454545454</v>
      </c>
      <c r="J60" s="3">
        <v>55</v>
      </c>
      <c r="K60" s="147">
        <v>11656</v>
      </c>
      <c r="L60" s="139">
        <v>8.5381933253245043E-2</v>
      </c>
      <c r="M60" s="18">
        <v>136516</v>
      </c>
      <c r="N60" s="3">
        <v>70988</v>
      </c>
      <c r="O60" s="6">
        <v>0.11634802133953961</v>
      </c>
      <c r="P60" s="130">
        <v>610135</v>
      </c>
      <c r="Q60" s="55">
        <v>4940</v>
      </c>
      <c r="R60" s="6">
        <v>0.46709531013615735</v>
      </c>
      <c r="S60" s="33">
        <v>10576</v>
      </c>
      <c r="T60" s="55">
        <v>324</v>
      </c>
      <c r="U60" s="6">
        <v>0.86631016042780751</v>
      </c>
      <c r="V60" s="33">
        <v>374</v>
      </c>
      <c r="W60" s="52">
        <v>76252</v>
      </c>
      <c r="X60" s="6">
        <v>0.12277224534484008</v>
      </c>
      <c r="Y60" s="21">
        <v>621085</v>
      </c>
      <c r="Z60" s="3">
        <v>459</v>
      </c>
      <c r="AA60" s="149">
        <v>1.2052938396092642E-2</v>
      </c>
      <c r="AB60" s="33">
        <v>38082</v>
      </c>
      <c r="AC60" s="3">
        <v>57</v>
      </c>
      <c r="AD60" s="139">
        <v>0.37012987012987014</v>
      </c>
      <c r="AE60" s="33">
        <v>154</v>
      </c>
      <c r="AF60" s="3">
        <v>15</v>
      </c>
      <c r="AG60" s="6">
        <v>0.83333333333333337</v>
      </c>
      <c r="AH60" s="3">
        <v>18</v>
      </c>
      <c r="AI60" s="34">
        <v>531</v>
      </c>
      <c r="AJ60" s="6">
        <v>1.3880901343650337E-2</v>
      </c>
      <c r="AK60" s="21">
        <v>38254</v>
      </c>
      <c r="AL60" s="84">
        <f t="shared" si="150"/>
        <v>0.10509152383092607</v>
      </c>
      <c r="AM60" s="83">
        <f t="shared" si="151"/>
        <v>0.47104057591623039</v>
      </c>
      <c r="AN60" s="6">
        <f t="shared" si="152"/>
        <v>0.83892617449664431</v>
      </c>
      <c r="AO60" s="127">
        <f t="shared" si="153"/>
        <v>0.11112451388758002</v>
      </c>
      <c r="AP60" s="52">
        <f t="shared" si="154"/>
        <v>88439</v>
      </c>
      <c r="AQ60" s="3">
        <f t="shared" si="138"/>
        <v>795855</v>
      </c>
      <c r="AR60" s="12">
        <f t="shared" si="155"/>
        <v>783184</v>
      </c>
      <c r="AS60" s="3">
        <f t="shared" si="156"/>
        <v>12224</v>
      </c>
      <c r="AT60" s="21">
        <f t="shared" si="157"/>
        <v>447</v>
      </c>
    </row>
    <row r="61" spans="1:46" ht="14.45" customHeight="1" x14ac:dyDescent="0.2">
      <c r="A61" s="146">
        <v>44500</v>
      </c>
      <c r="B61" s="3">
        <v>11121</v>
      </c>
      <c r="C61" s="149">
        <v>8.2321677079323724E-2</v>
      </c>
      <c r="D61" s="3">
        <v>135092</v>
      </c>
      <c r="E61" s="134">
        <v>784</v>
      </c>
      <c r="F61" s="139">
        <v>0.50909090909090904</v>
      </c>
      <c r="G61" s="3">
        <v>1540</v>
      </c>
      <c r="H61" s="134">
        <v>36</v>
      </c>
      <c r="I61" s="139">
        <v>0.65454545454545454</v>
      </c>
      <c r="J61" s="3">
        <v>55</v>
      </c>
      <c r="K61" s="147">
        <v>11941</v>
      </c>
      <c r="L61" s="139">
        <v>8.7360173242517575E-2</v>
      </c>
      <c r="M61" s="18">
        <v>136687</v>
      </c>
      <c r="N61" s="3">
        <v>72773</v>
      </c>
      <c r="O61" s="6">
        <v>0.11855833018363809</v>
      </c>
      <c r="P61" s="130">
        <v>613816</v>
      </c>
      <c r="Q61" s="55">
        <v>4961</v>
      </c>
      <c r="R61" s="6">
        <v>0.47225130890052358</v>
      </c>
      <c r="S61" s="33">
        <v>10505</v>
      </c>
      <c r="T61" s="55">
        <v>323</v>
      </c>
      <c r="U61" s="6">
        <v>0.88251366120218577</v>
      </c>
      <c r="V61" s="33">
        <v>366</v>
      </c>
      <c r="W61" s="52">
        <v>78057</v>
      </c>
      <c r="X61" s="6">
        <v>0.12495377685144721</v>
      </c>
      <c r="Y61" s="21">
        <v>624687</v>
      </c>
      <c r="Z61" s="3">
        <v>461</v>
      </c>
      <c r="AA61" s="149">
        <v>1.2115318914088985E-2</v>
      </c>
      <c r="AB61" s="33">
        <v>38051</v>
      </c>
      <c r="AC61" s="3">
        <v>56</v>
      </c>
      <c r="AD61" s="139">
        <v>0.36363636363636365</v>
      </c>
      <c r="AE61" s="33">
        <v>154</v>
      </c>
      <c r="AF61" s="3">
        <v>15</v>
      </c>
      <c r="AG61" s="6">
        <v>0.83333333333333337</v>
      </c>
      <c r="AH61" s="3">
        <v>18</v>
      </c>
      <c r="AI61" s="34">
        <v>532</v>
      </c>
      <c r="AJ61" s="6">
        <v>1.3918321429505795E-2</v>
      </c>
      <c r="AK61" s="21">
        <v>38223</v>
      </c>
      <c r="AL61" s="84">
        <f t="shared" si="150"/>
        <v>0.10719109890095926</v>
      </c>
      <c r="AM61" s="83">
        <f t="shared" si="151"/>
        <v>0.47553078121157472</v>
      </c>
      <c r="AN61" s="6">
        <f t="shared" si="152"/>
        <v>0.85193621867881553</v>
      </c>
      <c r="AO61" s="127">
        <f t="shared" si="153"/>
        <v>0.11321953434042399</v>
      </c>
      <c r="AP61" s="52">
        <f t="shared" si="154"/>
        <v>90530</v>
      </c>
      <c r="AQ61" s="3">
        <f t="shared" si="138"/>
        <v>799597</v>
      </c>
      <c r="AR61" s="12">
        <f t="shared" si="155"/>
        <v>786959</v>
      </c>
      <c r="AS61" s="3">
        <f t="shared" si="156"/>
        <v>12199</v>
      </c>
      <c r="AT61" s="21">
        <f t="shared" si="157"/>
        <v>439</v>
      </c>
    </row>
    <row r="62" spans="1:46" ht="14.45" customHeight="1" x14ac:dyDescent="0.2">
      <c r="A62" s="146">
        <v>44469</v>
      </c>
      <c r="B62" s="3">
        <v>11228</v>
      </c>
      <c r="C62" s="149">
        <v>8.2876312934107868E-2</v>
      </c>
      <c r="D62" s="3">
        <v>135479</v>
      </c>
      <c r="E62" s="134">
        <v>822</v>
      </c>
      <c r="F62" s="139">
        <v>0.51119402985074625</v>
      </c>
      <c r="G62" s="3">
        <v>1608</v>
      </c>
      <c r="H62" s="134">
        <v>35</v>
      </c>
      <c r="I62" s="139">
        <v>0.63636363636363635</v>
      </c>
      <c r="J62" s="3">
        <v>55</v>
      </c>
      <c r="K62" s="147">
        <v>12085</v>
      </c>
      <c r="L62" s="139">
        <v>8.8120342418806785E-2</v>
      </c>
      <c r="M62" s="18">
        <v>137142</v>
      </c>
      <c r="N62" s="3">
        <v>76326</v>
      </c>
      <c r="O62" s="6">
        <v>0.11960267204460302</v>
      </c>
      <c r="P62" s="130">
        <v>638163</v>
      </c>
      <c r="Q62" s="55">
        <v>5276</v>
      </c>
      <c r="R62" s="6">
        <v>0.47454578161539845</v>
      </c>
      <c r="S62" s="33">
        <v>11118</v>
      </c>
      <c r="T62" s="55">
        <v>331</v>
      </c>
      <c r="U62" s="6">
        <v>0.89218328840970351</v>
      </c>
      <c r="V62" s="33">
        <v>371</v>
      </c>
      <c r="W62" s="52">
        <v>81933</v>
      </c>
      <c r="X62" s="6">
        <v>0.12611829102350181</v>
      </c>
      <c r="Y62" s="21">
        <v>649652</v>
      </c>
      <c r="Z62" s="3">
        <v>457</v>
      </c>
      <c r="AA62" s="149">
        <v>1.2002311167139405E-2</v>
      </c>
      <c r="AB62" s="33">
        <v>38076</v>
      </c>
      <c r="AC62" s="3">
        <v>69</v>
      </c>
      <c r="AD62" s="139">
        <v>0.35204081632653061</v>
      </c>
      <c r="AE62" s="33">
        <v>196</v>
      </c>
      <c r="AF62" s="3">
        <v>15</v>
      </c>
      <c r="AG62" s="6">
        <v>0.83333333333333337</v>
      </c>
      <c r="AH62" s="3">
        <v>18</v>
      </c>
      <c r="AI62" s="34">
        <v>541</v>
      </c>
      <c r="AJ62" s="6">
        <v>1.4129015408722904E-2</v>
      </c>
      <c r="AK62" s="21">
        <v>38290</v>
      </c>
      <c r="AL62" s="84">
        <f t="shared" si="150"/>
        <v>0.10842558622575821</v>
      </c>
      <c r="AM62" s="83">
        <f t="shared" si="151"/>
        <v>0.47724810400866741</v>
      </c>
      <c r="AN62" s="6">
        <f t="shared" si="152"/>
        <v>0.85810810810810811</v>
      </c>
      <c r="AO62" s="127">
        <f t="shared" si="153"/>
        <v>0.11460530079361617</v>
      </c>
      <c r="AP62" s="52">
        <f t="shared" si="154"/>
        <v>94559</v>
      </c>
      <c r="AQ62" s="3">
        <f t="shared" si="138"/>
        <v>825084</v>
      </c>
      <c r="AR62" s="12">
        <f t="shared" si="155"/>
        <v>811718</v>
      </c>
      <c r="AS62" s="3">
        <f t="shared" si="156"/>
        <v>12922</v>
      </c>
      <c r="AT62" s="21">
        <f t="shared" si="157"/>
        <v>444</v>
      </c>
    </row>
    <row r="63" spans="1:46" ht="14.45" customHeight="1" x14ac:dyDescent="0.2">
      <c r="A63" s="146">
        <v>44439</v>
      </c>
      <c r="B63" s="3">
        <v>11246</v>
      </c>
      <c r="C63" s="83">
        <v>8.3000000000000004E-2</v>
      </c>
      <c r="D63" s="3">
        <v>135353</v>
      </c>
      <c r="E63" s="134">
        <v>782</v>
      </c>
      <c r="F63" s="83">
        <v>0.50700000000000001</v>
      </c>
      <c r="G63" s="3">
        <v>1543</v>
      </c>
      <c r="H63" s="134">
        <v>37</v>
      </c>
      <c r="I63" s="83">
        <v>0.627</v>
      </c>
      <c r="J63" s="3">
        <v>59</v>
      </c>
      <c r="K63" s="140">
        <v>12065</v>
      </c>
      <c r="L63" s="83">
        <v>8.7999999999999995E-2</v>
      </c>
      <c r="M63" s="18">
        <v>136955</v>
      </c>
      <c r="N63" s="3">
        <v>77050</v>
      </c>
      <c r="O63" s="6">
        <v>0.1203610989179217</v>
      </c>
      <c r="P63" s="130">
        <v>640157</v>
      </c>
      <c r="Q63" s="55">
        <v>5331</v>
      </c>
      <c r="R63" s="6">
        <v>0.47543030411129938</v>
      </c>
      <c r="S63" s="33">
        <v>11213</v>
      </c>
      <c r="T63" s="55">
        <v>337</v>
      </c>
      <c r="U63" s="6">
        <v>0.87305699481865284</v>
      </c>
      <c r="V63" s="33">
        <v>386</v>
      </c>
      <c r="W63" s="52">
        <v>82718</v>
      </c>
      <c r="X63" s="6">
        <v>0.12691559417941684</v>
      </c>
      <c r="Y63" s="21">
        <v>651756</v>
      </c>
      <c r="Z63" s="3">
        <v>441</v>
      </c>
      <c r="AA63" s="149">
        <v>1.1588185831406349E-2</v>
      </c>
      <c r="AB63" s="33">
        <v>38056</v>
      </c>
      <c r="AC63" s="3">
        <v>123</v>
      </c>
      <c r="AD63" s="139">
        <v>0.61809045226130654</v>
      </c>
      <c r="AE63" s="33">
        <v>199</v>
      </c>
      <c r="AF63" s="3">
        <v>14</v>
      </c>
      <c r="AG63" s="6">
        <v>0.875</v>
      </c>
      <c r="AH63" s="3">
        <v>16</v>
      </c>
      <c r="AI63" s="34">
        <v>578</v>
      </c>
      <c r="AJ63" s="6">
        <v>1.5102819367144835E-2</v>
      </c>
      <c r="AK63" s="21">
        <v>38271</v>
      </c>
      <c r="AL63" s="84">
        <f t="shared" si="150"/>
        <v>0.10907166720339838</v>
      </c>
      <c r="AM63" s="83">
        <f t="shared" si="151"/>
        <v>0.48135854882284834</v>
      </c>
      <c r="AN63" s="6">
        <f t="shared" si="152"/>
        <v>0.84164859002169201</v>
      </c>
      <c r="AO63" s="127">
        <f t="shared" si="153"/>
        <v>0.11531206241490141</v>
      </c>
      <c r="AP63" s="52">
        <f t="shared" si="154"/>
        <v>95361</v>
      </c>
      <c r="AQ63" s="3">
        <f t="shared" si="138"/>
        <v>826982</v>
      </c>
      <c r="AR63" s="12">
        <f t="shared" si="155"/>
        <v>813566</v>
      </c>
      <c r="AS63" s="3">
        <f t="shared" si="156"/>
        <v>12955</v>
      </c>
      <c r="AT63" s="21">
        <f t="shared" si="157"/>
        <v>461</v>
      </c>
    </row>
    <row r="64" spans="1:46" ht="14.45" customHeight="1" x14ac:dyDescent="0.2">
      <c r="A64" s="146">
        <v>44378</v>
      </c>
      <c r="B64" s="3">
        <v>11399</v>
      </c>
      <c r="C64" s="83">
        <v>8.4127323852188615E-2</v>
      </c>
      <c r="D64" s="3">
        <v>135497</v>
      </c>
      <c r="E64" s="134">
        <v>784</v>
      </c>
      <c r="F64" s="83">
        <v>0.51376146788990829</v>
      </c>
      <c r="G64" s="3">
        <v>1526</v>
      </c>
      <c r="H64" s="134">
        <v>34</v>
      </c>
      <c r="I64" s="83">
        <v>0.68</v>
      </c>
      <c r="J64" s="3">
        <v>50</v>
      </c>
      <c r="K64" s="140">
        <v>12217</v>
      </c>
      <c r="L64" s="83">
        <v>8.9127691084312732E-2</v>
      </c>
      <c r="M64" s="18">
        <v>137073</v>
      </c>
      <c r="N64" s="3">
        <v>76557</v>
      </c>
      <c r="O64" s="6">
        <v>0.12070191481478562</v>
      </c>
      <c r="P64" s="130">
        <v>634265</v>
      </c>
      <c r="Q64" s="55">
        <v>5265</v>
      </c>
      <c r="R64" s="6">
        <v>0.47664312873438347</v>
      </c>
      <c r="S64" s="33">
        <v>11046</v>
      </c>
      <c r="T64" s="55">
        <v>324</v>
      </c>
      <c r="U64" s="6">
        <v>0.88767123287671235</v>
      </c>
      <c r="V64" s="33">
        <v>365</v>
      </c>
      <c r="W64" s="52">
        <v>82146</v>
      </c>
      <c r="X64" s="6">
        <v>0.1272248000545165</v>
      </c>
      <c r="Y64" s="21">
        <v>645676</v>
      </c>
      <c r="Z64" s="3">
        <v>371</v>
      </c>
      <c r="AA64" s="83">
        <v>9.9373225478116469E-3</v>
      </c>
      <c r="AB64" s="33">
        <v>37334</v>
      </c>
      <c r="AC64" s="3">
        <v>76</v>
      </c>
      <c r="AD64" s="83">
        <v>0.38190954773869346</v>
      </c>
      <c r="AE64" s="33">
        <v>199</v>
      </c>
      <c r="AF64" s="3">
        <v>14</v>
      </c>
      <c r="AG64" s="6">
        <v>0.875</v>
      </c>
      <c r="AH64" s="3">
        <v>16</v>
      </c>
      <c r="AI64" s="34">
        <v>461</v>
      </c>
      <c r="AJ64" s="6">
        <v>1.227729100641828E-2</v>
      </c>
      <c r="AK64" s="37">
        <v>37549</v>
      </c>
      <c r="AL64" s="84">
        <f t="shared" si="150"/>
        <v>0.109438034632807</v>
      </c>
      <c r="AM64" s="83">
        <f t="shared" si="151"/>
        <v>0.47960222378827028</v>
      </c>
      <c r="AN64" s="6">
        <f t="shared" si="152"/>
        <v>0.86310904872389793</v>
      </c>
      <c r="AO64" s="127">
        <f t="shared" si="153"/>
        <v>0.11559701474342252</v>
      </c>
      <c r="AP64" s="52">
        <f t="shared" si="154"/>
        <v>94824</v>
      </c>
      <c r="AQ64" s="3">
        <f t="shared" si="138"/>
        <v>820298</v>
      </c>
      <c r="AR64" s="12">
        <f t="shared" si="155"/>
        <v>807096</v>
      </c>
      <c r="AS64" s="3">
        <f t="shared" si="156"/>
        <v>12771</v>
      </c>
      <c r="AT64" s="21">
        <f t="shared" si="157"/>
        <v>431</v>
      </c>
    </row>
    <row r="65" spans="1:46" ht="14.45" customHeight="1" x14ac:dyDescent="0.2">
      <c r="A65" s="146">
        <v>44348</v>
      </c>
      <c r="B65" s="3">
        <v>11365</v>
      </c>
      <c r="C65" s="83">
        <v>8.418144378768351E-2</v>
      </c>
      <c r="D65" s="3">
        <v>135006</v>
      </c>
      <c r="E65" s="134">
        <v>789</v>
      </c>
      <c r="F65" s="83">
        <v>0.51400651465798042</v>
      </c>
      <c r="G65" s="3">
        <v>1535</v>
      </c>
      <c r="H65" s="134">
        <v>34</v>
      </c>
      <c r="I65" s="83">
        <v>0.65384615384615385</v>
      </c>
      <c r="J65" s="3">
        <v>52</v>
      </c>
      <c r="K65" s="140">
        <v>12188</v>
      </c>
      <c r="L65" s="83">
        <v>8.9228584188062343E-2</v>
      </c>
      <c r="M65" s="18">
        <v>136593</v>
      </c>
      <c r="N65" s="3">
        <v>77448</v>
      </c>
      <c r="O65" s="6">
        <v>0.12105430156350865</v>
      </c>
      <c r="P65" s="130">
        <v>639779</v>
      </c>
      <c r="Q65" s="55">
        <v>5332</v>
      </c>
      <c r="R65" s="6">
        <v>0.47717916592088777</v>
      </c>
      <c r="S65" s="33">
        <v>11174</v>
      </c>
      <c r="T65" s="55">
        <v>337</v>
      </c>
      <c r="U65" s="6">
        <v>0.87080103359173122</v>
      </c>
      <c r="V65" s="33">
        <v>387</v>
      </c>
      <c r="W65" s="52">
        <v>83117</v>
      </c>
      <c r="X65" s="6">
        <v>0.12760923634353794</v>
      </c>
      <c r="Y65" s="21">
        <v>651340</v>
      </c>
      <c r="Z65" s="3">
        <v>352</v>
      </c>
      <c r="AA65" s="83">
        <v>9.7813099174701972E-3</v>
      </c>
      <c r="AB65" s="33">
        <v>35987</v>
      </c>
      <c r="AC65" s="3">
        <v>69</v>
      </c>
      <c r="AD65" s="83">
        <v>0.34158415841584161</v>
      </c>
      <c r="AE65" s="33">
        <v>202</v>
      </c>
      <c r="AF65" s="3">
        <v>11</v>
      </c>
      <c r="AG65" s="6">
        <v>0.6875</v>
      </c>
      <c r="AH65" s="3">
        <v>16</v>
      </c>
      <c r="AI65" s="34">
        <v>432</v>
      </c>
      <c r="AJ65" s="6">
        <v>1.193205358375915E-2</v>
      </c>
      <c r="AK65" s="37">
        <v>36205</v>
      </c>
      <c r="AL65" s="84">
        <f t="shared" si="150"/>
        <v>0.10997543082395544</v>
      </c>
      <c r="AM65" s="83">
        <f t="shared" si="151"/>
        <v>0.47943613972581517</v>
      </c>
      <c r="AN65" s="6">
        <f t="shared" si="152"/>
        <v>0.83956043956043958</v>
      </c>
      <c r="AO65" s="127">
        <f t="shared" si="153"/>
        <v>0.11616622458860046</v>
      </c>
      <c r="AP65" s="52">
        <f t="shared" si="154"/>
        <v>95737</v>
      </c>
      <c r="AQ65" s="3">
        <f t="shared" si="138"/>
        <v>824138</v>
      </c>
      <c r="AR65" s="12">
        <f t="shared" si="155"/>
        <v>810772</v>
      </c>
      <c r="AS65" s="3">
        <f t="shared" si="156"/>
        <v>12911</v>
      </c>
      <c r="AT65" s="21">
        <f t="shared" si="157"/>
        <v>455</v>
      </c>
    </row>
    <row r="66" spans="1:46" ht="14.45" customHeight="1" x14ac:dyDescent="0.2">
      <c r="A66" s="146">
        <v>44317</v>
      </c>
      <c r="B66" s="3">
        <v>11331</v>
      </c>
      <c r="C66" s="83">
        <v>8.4235958815002038E-2</v>
      </c>
      <c r="D66" s="3">
        <v>134515</v>
      </c>
      <c r="E66" s="134">
        <v>754</v>
      </c>
      <c r="F66" s="83">
        <v>0.51362397820163486</v>
      </c>
      <c r="G66" s="3">
        <v>1468</v>
      </c>
      <c r="H66" s="134">
        <v>34</v>
      </c>
      <c r="I66" s="83">
        <v>0.65384615384615385</v>
      </c>
      <c r="J66" s="3">
        <v>52</v>
      </c>
      <c r="K66" s="140">
        <v>12119</v>
      </c>
      <c r="L66" s="83">
        <v>8.9087367221670891E-2</v>
      </c>
      <c r="M66" s="18">
        <v>136035</v>
      </c>
      <c r="N66" s="3">
        <v>73021</v>
      </c>
      <c r="O66" s="6">
        <v>0.12035053136784367</v>
      </c>
      <c r="P66" s="130">
        <v>606736</v>
      </c>
      <c r="Q66" s="55">
        <v>5006</v>
      </c>
      <c r="R66" s="6">
        <v>0.47648962497620406</v>
      </c>
      <c r="S66" s="33">
        <v>10506</v>
      </c>
      <c r="T66" s="55">
        <v>305</v>
      </c>
      <c r="U66" s="6">
        <v>0.86402266288951846</v>
      </c>
      <c r="V66" s="33">
        <v>353</v>
      </c>
      <c r="W66" s="52">
        <v>78332</v>
      </c>
      <c r="X66" s="6">
        <v>0.12683392838348756</v>
      </c>
      <c r="Y66" s="21">
        <v>617595</v>
      </c>
      <c r="Z66" s="3">
        <v>352</v>
      </c>
      <c r="AA66" s="83">
        <v>9.7949188858279766E-3</v>
      </c>
      <c r="AB66" s="33">
        <v>35937</v>
      </c>
      <c r="AC66" s="3">
        <v>69</v>
      </c>
      <c r="AD66" s="83">
        <v>0.33990147783251229</v>
      </c>
      <c r="AE66" s="33">
        <v>203</v>
      </c>
      <c r="AF66" s="3">
        <v>11</v>
      </c>
      <c r="AG66" s="6">
        <v>0.6875</v>
      </c>
      <c r="AH66" s="3">
        <v>16</v>
      </c>
      <c r="AI66" s="34">
        <v>432</v>
      </c>
      <c r="AJ66" s="6">
        <v>1.1948224361101892E-2</v>
      </c>
      <c r="AK66" s="37">
        <v>36156</v>
      </c>
      <c r="AL66" s="84">
        <f t="shared" si="150"/>
        <v>0.10898778673885855</v>
      </c>
      <c r="AM66" s="83">
        <f t="shared" si="151"/>
        <v>0.47868933234786892</v>
      </c>
      <c r="AN66" s="6">
        <f t="shared" si="152"/>
        <v>0.83135391923990498</v>
      </c>
      <c r="AO66" s="127">
        <f t="shared" si="153"/>
        <v>0.11507294381009539</v>
      </c>
      <c r="AP66" s="52">
        <f t="shared" si="154"/>
        <v>90883</v>
      </c>
      <c r="AQ66" s="3">
        <f t="shared" si="138"/>
        <v>789786</v>
      </c>
      <c r="AR66" s="12">
        <f t="shared" si="155"/>
        <v>777188</v>
      </c>
      <c r="AS66" s="3">
        <f t="shared" si="156"/>
        <v>12177</v>
      </c>
      <c r="AT66" s="21">
        <f t="shared" si="157"/>
        <v>421</v>
      </c>
    </row>
    <row r="67" spans="1:46" ht="14.45" customHeight="1" x14ac:dyDescent="0.2">
      <c r="A67" s="146">
        <v>44287</v>
      </c>
      <c r="B67" s="3">
        <v>11291</v>
      </c>
      <c r="C67" s="83">
        <v>8.4209662743694152E-2</v>
      </c>
      <c r="D67" s="3">
        <v>134082</v>
      </c>
      <c r="E67" s="134">
        <v>783</v>
      </c>
      <c r="F67" s="83">
        <v>0.51243455497382195</v>
      </c>
      <c r="G67" s="3">
        <v>1528</v>
      </c>
      <c r="H67" s="134">
        <v>34</v>
      </c>
      <c r="I67" s="83">
        <v>0.65384615384615385</v>
      </c>
      <c r="J67" s="3">
        <v>52</v>
      </c>
      <c r="K67" s="140">
        <v>12108</v>
      </c>
      <c r="L67" s="83">
        <v>8.925122731494449E-2</v>
      </c>
      <c r="M67" s="18">
        <v>135662</v>
      </c>
      <c r="N67" s="3">
        <v>76869</v>
      </c>
      <c r="O67" s="6">
        <v>0.12103009968147901</v>
      </c>
      <c r="P67" s="130">
        <v>635123</v>
      </c>
      <c r="Q67" s="55">
        <v>5314</v>
      </c>
      <c r="R67" s="6">
        <v>0.4798627415567997</v>
      </c>
      <c r="S67" s="33">
        <v>11074</v>
      </c>
      <c r="T67" s="55">
        <v>326</v>
      </c>
      <c r="U67" s="6">
        <v>0.88108108108108107</v>
      </c>
      <c r="V67" s="33">
        <v>370</v>
      </c>
      <c r="W67" s="52">
        <v>82509</v>
      </c>
      <c r="X67" s="6">
        <v>0.12761090497968502</v>
      </c>
      <c r="Y67" s="21">
        <v>646567</v>
      </c>
      <c r="Z67" s="3">
        <v>354</v>
      </c>
      <c r="AA67" s="83">
        <v>9.8769565581317484E-3</v>
      </c>
      <c r="AB67" s="33">
        <v>35841</v>
      </c>
      <c r="AC67" s="3">
        <v>69</v>
      </c>
      <c r="AD67" s="83">
        <v>0.33990147783251229</v>
      </c>
      <c r="AE67" s="33">
        <v>203</v>
      </c>
      <c r="AF67" s="3">
        <v>11</v>
      </c>
      <c r="AG67" s="6">
        <v>0.6875</v>
      </c>
      <c r="AH67" s="3">
        <v>16</v>
      </c>
      <c r="AI67" s="34">
        <v>434</v>
      </c>
      <c r="AJ67" s="6">
        <v>1.2035496394897394E-2</v>
      </c>
      <c r="AK67" s="37">
        <v>36060</v>
      </c>
      <c r="AL67" s="84">
        <f t="shared" si="150"/>
        <v>0.10994899670329397</v>
      </c>
      <c r="AM67" s="83">
        <f t="shared" si="151"/>
        <v>0.48153065208902773</v>
      </c>
      <c r="AN67" s="6">
        <f t="shared" si="152"/>
        <v>0.84703196347031962</v>
      </c>
      <c r="AO67" s="127">
        <f t="shared" si="153"/>
        <v>0.11615822771661356</v>
      </c>
      <c r="AP67" s="52">
        <f t="shared" si="154"/>
        <v>95051</v>
      </c>
      <c r="AQ67" s="3">
        <f t="shared" si="138"/>
        <v>818289</v>
      </c>
      <c r="AR67" s="12">
        <f t="shared" si="155"/>
        <v>805046</v>
      </c>
      <c r="AS67" s="3">
        <f t="shared" si="156"/>
        <v>12805</v>
      </c>
      <c r="AT67" s="21">
        <f t="shared" si="157"/>
        <v>438</v>
      </c>
    </row>
    <row r="68" spans="1:46" ht="14.45" customHeight="1" x14ac:dyDescent="0.2">
      <c r="A68" s="146">
        <v>44256</v>
      </c>
      <c r="B68" s="3">
        <v>11329</v>
      </c>
      <c r="C68" s="83">
        <v>8.4914216329253389E-2</v>
      </c>
      <c r="D68" s="3">
        <v>133417</v>
      </c>
      <c r="E68" s="134">
        <v>876</v>
      </c>
      <c r="F68" s="83">
        <v>0.52298507462686572</v>
      </c>
      <c r="G68" s="3">
        <v>1675</v>
      </c>
      <c r="H68" s="134">
        <v>34</v>
      </c>
      <c r="I68" s="83">
        <v>0.65384615384615385</v>
      </c>
      <c r="J68" s="3">
        <v>52</v>
      </c>
      <c r="K68" s="140">
        <v>12239</v>
      </c>
      <c r="L68" s="83">
        <v>9.0562659089563721E-2</v>
      </c>
      <c r="M68" s="18">
        <v>135144</v>
      </c>
      <c r="N68" s="3">
        <v>77734</v>
      </c>
      <c r="O68" s="6">
        <v>0.12193281726704469</v>
      </c>
      <c r="P68" s="130">
        <v>637515</v>
      </c>
      <c r="Q68" s="55">
        <v>5379</v>
      </c>
      <c r="R68" s="6">
        <v>0.47838847385272143</v>
      </c>
      <c r="S68" s="33">
        <v>11244</v>
      </c>
      <c r="T68" s="55">
        <v>339</v>
      </c>
      <c r="U68" s="6">
        <v>0.86700767263427114</v>
      </c>
      <c r="V68" s="33">
        <v>391</v>
      </c>
      <c r="W68" s="52">
        <v>83452</v>
      </c>
      <c r="X68" s="6">
        <v>0.12855580374335671</v>
      </c>
      <c r="Y68" s="21">
        <v>649150</v>
      </c>
      <c r="Z68" s="3">
        <v>373</v>
      </c>
      <c r="AA68" s="83">
        <v>1.0045514529638307E-2</v>
      </c>
      <c r="AB68" s="33">
        <v>37131</v>
      </c>
      <c r="AC68" s="3">
        <v>76</v>
      </c>
      <c r="AD68" s="83">
        <v>0.37073170731707317</v>
      </c>
      <c r="AE68" s="33">
        <v>205</v>
      </c>
      <c r="AF68" s="3">
        <v>14</v>
      </c>
      <c r="AG68" s="6">
        <v>0.82352941176470584</v>
      </c>
      <c r="AH68" s="3">
        <v>17</v>
      </c>
      <c r="AI68" s="34">
        <v>463</v>
      </c>
      <c r="AJ68" s="6">
        <v>1.2395256070462881E-2</v>
      </c>
      <c r="AK68" s="37">
        <v>37353</v>
      </c>
      <c r="AL68" s="84">
        <f t="shared" si="150"/>
        <v>0.11067948909924102</v>
      </c>
      <c r="AM68" s="83">
        <f t="shared" si="151"/>
        <v>0.48239865894544348</v>
      </c>
      <c r="AN68" s="6">
        <f t="shared" si="152"/>
        <v>0.84130434782608698</v>
      </c>
      <c r="AO68" s="127">
        <f t="shared" si="153"/>
        <v>0.11702592475844249</v>
      </c>
      <c r="AP68" s="52">
        <f t="shared" si="154"/>
        <v>96154</v>
      </c>
      <c r="AQ68" s="3">
        <f t="shared" si="138"/>
        <v>821647</v>
      </c>
      <c r="AR68" s="12">
        <f t="shared" si="155"/>
        <v>808063</v>
      </c>
      <c r="AS68" s="3">
        <f t="shared" si="156"/>
        <v>13124</v>
      </c>
      <c r="AT68" s="21">
        <f t="shared" si="157"/>
        <v>460</v>
      </c>
    </row>
    <row r="69" spans="1:46" ht="14.45" customHeight="1" x14ac:dyDescent="0.2">
      <c r="A69" s="146">
        <v>44228</v>
      </c>
      <c r="B69" s="3">
        <v>11255</v>
      </c>
      <c r="C69" s="83">
        <v>8.4516666791820919E-2</v>
      </c>
      <c r="D69" s="3">
        <v>133169</v>
      </c>
      <c r="E69" s="134">
        <v>758</v>
      </c>
      <c r="F69" s="83">
        <v>0.51670074982958414</v>
      </c>
      <c r="G69" s="3">
        <v>1467</v>
      </c>
      <c r="H69" s="134">
        <v>34</v>
      </c>
      <c r="I69" s="83">
        <v>0.66666666666666663</v>
      </c>
      <c r="J69" s="3">
        <v>51</v>
      </c>
      <c r="K69" s="140">
        <v>12047</v>
      </c>
      <c r="L69" s="83">
        <v>8.9444415570916272E-2</v>
      </c>
      <c r="M69" s="18">
        <v>134687</v>
      </c>
      <c r="N69" s="3">
        <v>73880</v>
      </c>
      <c r="O69" s="6">
        <v>0.1223057312187531</v>
      </c>
      <c r="P69" s="130">
        <v>604060</v>
      </c>
      <c r="Q69" s="55">
        <v>5008</v>
      </c>
      <c r="R69" s="6">
        <v>0.47473694189022658</v>
      </c>
      <c r="S69" s="33">
        <v>10549</v>
      </c>
      <c r="T69" s="55">
        <v>293</v>
      </c>
      <c r="U69" s="6">
        <v>0.83954154727793695</v>
      </c>
      <c r="V69" s="33">
        <v>349</v>
      </c>
      <c r="W69" s="52">
        <v>79181</v>
      </c>
      <c r="X69" s="6">
        <v>0.12875838675161555</v>
      </c>
      <c r="Y69" s="21">
        <v>614958</v>
      </c>
      <c r="Z69" s="3">
        <v>373</v>
      </c>
      <c r="AA69" s="83">
        <v>1.0050657469282173E-2</v>
      </c>
      <c r="AB69" s="33">
        <v>37112</v>
      </c>
      <c r="AC69" s="3">
        <v>76</v>
      </c>
      <c r="AD69" s="83">
        <v>0.37810945273631841</v>
      </c>
      <c r="AE69" s="33">
        <v>201</v>
      </c>
      <c r="AF69" s="3">
        <v>14</v>
      </c>
      <c r="AG69" s="6">
        <v>0.82352941176470584</v>
      </c>
      <c r="AH69" s="3">
        <v>17</v>
      </c>
      <c r="AI69" s="34">
        <v>463</v>
      </c>
      <c r="AJ69" s="6">
        <v>1.2402893115456738E-2</v>
      </c>
      <c r="AK69" s="37">
        <v>37330</v>
      </c>
      <c r="AL69" s="84">
        <f t="shared" si="150"/>
        <v>0.11042680162873979</v>
      </c>
      <c r="AM69" s="83">
        <f t="shared" si="151"/>
        <v>0.47818613407546862</v>
      </c>
      <c r="AN69" s="6">
        <f t="shared" si="152"/>
        <v>0.81774580335731417</v>
      </c>
      <c r="AO69" s="127">
        <f t="shared" si="153"/>
        <v>0.11651068966612663</v>
      </c>
      <c r="AP69" s="52">
        <f t="shared" si="154"/>
        <v>91691</v>
      </c>
      <c r="AQ69" s="3">
        <f t="shared" si="138"/>
        <v>786975</v>
      </c>
      <c r="AR69" s="12">
        <f t="shared" si="155"/>
        <v>774341</v>
      </c>
      <c r="AS69" s="3">
        <f t="shared" si="156"/>
        <v>12217</v>
      </c>
      <c r="AT69" s="21">
        <f t="shared" si="157"/>
        <v>417</v>
      </c>
    </row>
    <row r="70" spans="1:46" ht="14.45" customHeight="1" x14ac:dyDescent="0.2">
      <c r="A70" s="146">
        <v>44197</v>
      </c>
      <c r="B70" s="3">
        <v>11160</v>
      </c>
      <c r="C70" s="83">
        <v>8.386248356190118E-2</v>
      </c>
      <c r="D70" s="3">
        <v>133075</v>
      </c>
      <c r="E70" s="134">
        <v>765</v>
      </c>
      <c r="F70" s="83">
        <v>0.51829268292682928</v>
      </c>
      <c r="G70" s="3">
        <v>1476</v>
      </c>
      <c r="H70" s="134">
        <v>34</v>
      </c>
      <c r="I70" s="83">
        <v>0.66666666666666663</v>
      </c>
      <c r="J70" s="3">
        <v>51</v>
      </c>
      <c r="K70" s="140">
        <v>11959</v>
      </c>
      <c r="L70" s="83">
        <v>8.8847119656468701E-2</v>
      </c>
      <c r="M70" s="18">
        <v>134602</v>
      </c>
      <c r="N70" s="3">
        <v>75170</v>
      </c>
      <c r="O70" s="6">
        <v>0.12371951861800179</v>
      </c>
      <c r="P70" s="130">
        <v>607584</v>
      </c>
      <c r="Q70" s="55">
        <v>5108</v>
      </c>
      <c r="R70" s="6">
        <v>0.47587106390907397</v>
      </c>
      <c r="S70" s="33">
        <v>10734</v>
      </c>
      <c r="T70" s="55">
        <v>302</v>
      </c>
      <c r="U70" s="6">
        <v>0.86039886039886038</v>
      </c>
      <c r="V70" s="33">
        <v>351</v>
      </c>
      <c r="W70" s="52">
        <v>80580</v>
      </c>
      <c r="X70" s="6">
        <v>0.1302473535929552</v>
      </c>
      <c r="Y70" s="21">
        <v>618669</v>
      </c>
      <c r="Z70" s="3">
        <v>372</v>
      </c>
      <c r="AA70" s="83">
        <v>1.0016964213587528E-2</v>
      </c>
      <c r="AB70" s="33">
        <v>37137</v>
      </c>
      <c r="AC70" s="3">
        <v>77</v>
      </c>
      <c r="AD70" s="83">
        <v>0.38500000000000001</v>
      </c>
      <c r="AE70" s="33">
        <v>200</v>
      </c>
      <c r="AF70" s="3">
        <v>13</v>
      </c>
      <c r="AG70" s="6">
        <v>0.76470588235294112</v>
      </c>
      <c r="AH70" s="3">
        <v>17</v>
      </c>
      <c r="AI70" s="34">
        <v>462</v>
      </c>
      <c r="AJ70" s="6">
        <v>1.2368153343684745E-2</v>
      </c>
      <c r="AK70" s="37">
        <v>37354</v>
      </c>
      <c r="AL70" s="84">
        <f t="shared" si="150"/>
        <v>0.11147138838461498</v>
      </c>
      <c r="AM70" s="83">
        <f t="shared" si="151"/>
        <v>0.47945205479452052</v>
      </c>
      <c r="AN70" s="6">
        <f t="shared" si="152"/>
        <v>0.83293556085918852</v>
      </c>
      <c r="AO70" s="127">
        <f t="shared" si="153"/>
        <v>0.1176297233201581</v>
      </c>
      <c r="AP70" s="52">
        <f t="shared" si="154"/>
        <v>93001</v>
      </c>
      <c r="AQ70" s="3">
        <f t="shared" si="138"/>
        <v>790625</v>
      </c>
      <c r="AR70" s="12">
        <f t="shared" si="155"/>
        <v>777796</v>
      </c>
      <c r="AS70" s="3">
        <f t="shared" si="156"/>
        <v>12410</v>
      </c>
      <c r="AT70" s="21">
        <f t="shared" si="157"/>
        <v>419</v>
      </c>
    </row>
    <row r="71" spans="1:46" ht="18" customHeight="1" x14ac:dyDescent="0.2">
      <c r="A71" s="133">
        <v>44196</v>
      </c>
      <c r="B71" s="3">
        <v>11040</v>
      </c>
      <c r="C71" s="83">
        <v>8.2881638413837624E-2</v>
      </c>
      <c r="D71" s="3">
        <v>133202</v>
      </c>
      <c r="E71" s="134">
        <v>788</v>
      </c>
      <c r="F71" s="83">
        <v>0.50773195876288657</v>
      </c>
      <c r="G71" s="3">
        <v>1552</v>
      </c>
      <c r="H71" s="134">
        <v>34</v>
      </c>
      <c r="I71" s="83">
        <v>0.68</v>
      </c>
      <c r="J71" s="3">
        <v>50</v>
      </c>
      <c r="K71" s="140">
        <v>11862</v>
      </c>
      <c r="L71" s="83">
        <v>8.7994421530518382E-2</v>
      </c>
      <c r="M71" s="18">
        <v>134804</v>
      </c>
      <c r="N71" s="3">
        <v>79449</v>
      </c>
      <c r="O71" s="6">
        <v>0.12489231930078284</v>
      </c>
      <c r="P71" s="130">
        <v>636140</v>
      </c>
      <c r="Q71" s="55">
        <v>5265</v>
      </c>
      <c r="R71" s="6">
        <v>0.46787523327112768</v>
      </c>
      <c r="S71" s="33">
        <v>11253</v>
      </c>
      <c r="T71" s="55">
        <v>334</v>
      </c>
      <c r="U71" s="6">
        <v>0.86082474226804129</v>
      </c>
      <c r="V71" s="33">
        <v>388</v>
      </c>
      <c r="W71" s="52">
        <v>85048</v>
      </c>
      <c r="X71" s="6">
        <v>0.13129128517199484</v>
      </c>
      <c r="Y71" s="21">
        <v>647781</v>
      </c>
      <c r="Z71" s="3">
        <v>356</v>
      </c>
      <c r="AA71" s="83">
        <v>9.9286033020972771E-3</v>
      </c>
      <c r="AB71" s="33">
        <v>35856</v>
      </c>
      <c r="AC71" s="3">
        <v>71</v>
      </c>
      <c r="AD71" s="83">
        <v>0.35858585858585856</v>
      </c>
      <c r="AE71" s="33">
        <v>198</v>
      </c>
      <c r="AF71" s="3">
        <v>12</v>
      </c>
      <c r="AG71" s="6">
        <v>0.70588235294117652</v>
      </c>
      <c r="AH71" s="3">
        <v>17</v>
      </c>
      <c r="AI71" s="34">
        <v>439</v>
      </c>
      <c r="AJ71" s="6">
        <v>1.2170441629009453E-2</v>
      </c>
      <c r="AK71" s="37">
        <v>36071</v>
      </c>
      <c r="AL71" s="84">
        <f t="shared" si="150"/>
        <v>0.11282318137899001</v>
      </c>
      <c r="AM71" s="83">
        <f t="shared" si="151"/>
        <v>0.47096823809890026</v>
      </c>
      <c r="AN71" s="6">
        <f t="shared" si="152"/>
        <v>0.8351648351648352</v>
      </c>
      <c r="AO71" s="127">
        <f t="shared" si="153"/>
        <v>0.11891319430872063</v>
      </c>
      <c r="AP71" s="52">
        <f t="shared" si="154"/>
        <v>97349</v>
      </c>
      <c r="AQ71" s="3">
        <f t="shared" si="138"/>
        <v>818656</v>
      </c>
      <c r="AR71" s="12">
        <f t="shared" si="155"/>
        <v>805198</v>
      </c>
      <c r="AS71" s="3">
        <f t="shared" si="156"/>
        <v>13003</v>
      </c>
      <c r="AT71" s="21">
        <f t="shared" si="157"/>
        <v>455</v>
      </c>
    </row>
    <row r="72" spans="1:46" ht="24" customHeight="1" x14ac:dyDescent="0.2">
      <c r="A72" s="133">
        <v>44165</v>
      </c>
      <c r="B72" s="3">
        <v>10932</v>
      </c>
      <c r="C72" s="83">
        <v>8.2198578893943386E-2</v>
      </c>
      <c r="D72" s="3">
        <v>132995</v>
      </c>
      <c r="E72" s="134">
        <v>716</v>
      </c>
      <c r="F72" s="83">
        <v>0.49142072752230609</v>
      </c>
      <c r="G72" s="3">
        <v>1457</v>
      </c>
      <c r="H72" s="134">
        <v>32</v>
      </c>
      <c r="I72" s="83">
        <v>0.64</v>
      </c>
      <c r="J72" s="3">
        <v>50</v>
      </c>
      <c r="K72" s="140">
        <v>11680</v>
      </c>
      <c r="L72" s="83">
        <v>8.6838857414759635E-2</v>
      </c>
      <c r="M72" s="18">
        <v>134502</v>
      </c>
      <c r="N72" s="3">
        <v>72017</v>
      </c>
      <c r="O72" s="6">
        <v>0.12494166428119118</v>
      </c>
      <c r="P72" s="130">
        <v>576405</v>
      </c>
      <c r="Q72" s="55">
        <v>4612</v>
      </c>
      <c r="R72" s="6">
        <v>0.45986638747631869</v>
      </c>
      <c r="S72" s="33">
        <v>10029</v>
      </c>
      <c r="T72" s="55">
        <v>288</v>
      </c>
      <c r="U72" s="6">
        <v>0.85459940652818989</v>
      </c>
      <c r="V72" s="33">
        <v>337</v>
      </c>
      <c r="W72" s="52">
        <v>76917</v>
      </c>
      <c r="X72" s="6">
        <v>0.13108521041428428</v>
      </c>
      <c r="Y72" s="21">
        <v>586771</v>
      </c>
      <c r="Z72" s="3">
        <v>373</v>
      </c>
      <c r="AA72" s="83">
        <v>1.0045514529638307E-2</v>
      </c>
      <c r="AB72" s="33">
        <v>37131</v>
      </c>
      <c r="AC72" s="3">
        <v>77</v>
      </c>
      <c r="AD72" s="83">
        <v>0.38500000000000001</v>
      </c>
      <c r="AE72" s="33">
        <v>200</v>
      </c>
      <c r="AF72" s="3">
        <v>13</v>
      </c>
      <c r="AG72" s="6">
        <v>0.8125</v>
      </c>
      <c r="AH72" s="3">
        <v>16</v>
      </c>
      <c r="AI72" s="34">
        <v>463</v>
      </c>
      <c r="AJ72" s="6">
        <v>1.2397247436206389E-2</v>
      </c>
      <c r="AK72" s="37">
        <v>37347</v>
      </c>
      <c r="AL72" s="84">
        <f>(B72+N72+Z72)/AR72</f>
        <v>0.11161224383180336</v>
      </c>
      <c r="AM72" s="83">
        <f>(E72+Q72+AC72)/AS72</f>
        <v>0.46251925380797537</v>
      </c>
      <c r="AN72" s="6">
        <f>(H72+T72+AF72)/AT72</f>
        <v>0.82630272952853601</v>
      </c>
      <c r="AO72" s="127">
        <f>AP72/AQ72</f>
        <v>0.11739737945216314</v>
      </c>
      <c r="AP72" s="52">
        <f>AF72+AC72+Z72+T72+Q72+N72+H72+E72+B72</f>
        <v>89060</v>
      </c>
      <c r="AQ72" s="3">
        <f t="shared" si="138"/>
        <v>758620</v>
      </c>
      <c r="AR72" s="12">
        <f>+D72+P72+AB72</f>
        <v>746531</v>
      </c>
      <c r="AS72" s="3">
        <f>G72+S72+AE72</f>
        <v>11686</v>
      </c>
      <c r="AT72" s="21">
        <f>J72+V72+AH72</f>
        <v>403</v>
      </c>
    </row>
    <row r="73" spans="1:46" ht="24" customHeight="1" x14ac:dyDescent="0.2">
      <c r="A73" s="133">
        <v>44135</v>
      </c>
      <c r="B73" s="3">
        <v>10834</v>
      </c>
      <c r="C73" s="83">
        <v>8.1370546175569311E-2</v>
      </c>
      <c r="D73" s="3">
        <v>133144</v>
      </c>
      <c r="E73" s="134">
        <v>803</v>
      </c>
      <c r="F73" s="83">
        <v>0.48637189582071472</v>
      </c>
      <c r="G73" s="3">
        <v>1651</v>
      </c>
      <c r="H73" s="134">
        <v>32</v>
      </c>
      <c r="I73" s="83">
        <v>0.65306122448979587</v>
      </c>
      <c r="J73" s="3">
        <v>49</v>
      </c>
      <c r="K73" s="140">
        <v>11669</v>
      </c>
      <c r="L73" s="83">
        <v>8.6537035389042158E-2</v>
      </c>
      <c r="M73" s="18">
        <v>134844</v>
      </c>
      <c r="N73" s="3">
        <v>79892</v>
      </c>
      <c r="O73" s="6">
        <v>0.12596711913204853</v>
      </c>
      <c r="P73" s="130">
        <v>634229</v>
      </c>
      <c r="Q73" s="55">
        <v>5204</v>
      </c>
      <c r="R73" s="6">
        <v>0.46497498213009292</v>
      </c>
      <c r="S73" s="33">
        <v>11192</v>
      </c>
      <c r="T73" s="55">
        <v>338</v>
      </c>
      <c r="U73" s="6">
        <v>0.86224489795918369</v>
      </c>
      <c r="V73" s="33">
        <v>392</v>
      </c>
      <c r="W73" s="52">
        <v>85434</v>
      </c>
      <c r="X73" s="6">
        <v>0.13228906819776004</v>
      </c>
      <c r="Y73" s="21">
        <v>645813</v>
      </c>
      <c r="Z73" s="3">
        <v>376</v>
      </c>
      <c r="AA73" s="83">
        <v>1.0116229014205768E-2</v>
      </c>
      <c r="AB73" s="33">
        <v>37168</v>
      </c>
      <c r="AC73" s="3">
        <v>77</v>
      </c>
      <c r="AD73" s="83">
        <v>0.38693467336683418</v>
      </c>
      <c r="AE73" s="33">
        <v>199</v>
      </c>
      <c r="AF73" s="3">
        <v>13</v>
      </c>
      <c r="AG73" s="6">
        <v>0.8125</v>
      </c>
      <c r="AH73" s="3">
        <v>16</v>
      </c>
      <c r="AI73" s="34">
        <v>466</v>
      </c>
      <c r="AJ73" s="6">
        <v>1.2465559211406255E-2</v>
      </c>
      <c r="AK73" s="37">
        <v>37383</v>
      </c>
      <c r="AL73" s="84">
        <f>(B73+N73+Z73)/AR73</f>
        <v>0.11323475124325547</v>
      </c>
      <c r="AM73" s="83">
        <f>(E73+Q73+AC73)/AS73</f>
        <v>0.46649286919184174</v>
      </c>
      <c r="AN73" s="6">
        <f>(H73+T73+AF73)/AT73</f>
        <v>0.83807439824945296</v>
      </c>
      <c r="AO73" s="127">
        <f>AP73/AQ73</f>
        <v>0.1192716737567845</v>
      </c>
      <c r="AP73" s="52">
        <f>AF73+AC73+Z73+T73+Q73+N73+H73+E73+B73</f>
        <v>97569</v>
      </c>
      <c r="AQ73" s="3">
        <f t="shared" si="138"/>
        <v>818040</v>
      </c>
      <c r="AR73" s="12">
        <f>+D73+P73+AB73</f>
        <v>804541</v>
      </c>
      <c r="AS73" s="3">
        <f>G73+S73+AE73</f>
        <v>13042</v>
      </c>
      <c r="AT73" s="21">
        <f>J73+V73+AH73</f>
        <v>457</v>
      </c>
    </row>
    <row r="74" spans="1:46" ht="25.5" customHeight="1" x14ac:dyDescent="0.2">
      <c r="A74" s="133">
        <v>44104</v>
      </c>
      <c r="B74" s="3">
        <v>10826</v>
      </c>
      <c r="C74" s="83">
        <v>8.1000000000000003E-2</v>
      </c>
      <c r="D74" s="3">
        <v>133610</v>
      </c>
      <c r="E74" s="134">
        <v>824</v>
      </c>
      <c r="F74" s="83">
        <v>0.49199999999999999</v>
      </c>
      <c r="G74" s="3">
        <v>1674</v>
      </c>
      <c r="H74" s="134">
        <v>32</v>
      </c>
      <c r="I74" s="83">
        <v>0.65300000000000002</v>
      </c>
      <c r="J74" s="3">
        <v>49</v>
      </c>
      <c r="K74" s="140">
        <v>11682</v>
      </c>
      <c r="L74" s="83">
        <v>8.5999999999999993E-2</v>
      </c>
      <c r="M74" s="18">
        <v>135333</v>
      </c>
      <c r="N74" s="3">
        <v>79796</v>
      </c>
      <c r="O74" s="6">
        <v>0.12624151623977597</v>
      </c>
      <c r="P74" s="130">
        <v>632090</v>
      </c>
      <c r="Q74" s="55">
        <v>5164</v>
      </c>
      <c r="R74" s="6">
        <v>0.46330522160416293</v>
      </c>
      <c r="S74" s="33">
        <v>11146</v>
      </c>
      <c r="T74" s="55">
        <v>341</v>
      </c>
      <c r="U74" s="6">
        <v>0.8589420654911839</v>
      </c>
      <c r="V74" s="33">
        <v>397</v>
      </c>
      <c r="W74" s="52">
        <v>85301</v>
      </c>
      <c r="X74" s="6">
        <v>0.13253049486275564</v>
      </c>
      <c r="Y74" s="21">
        <v>643633</v>
      </c>
      <c r="Z74" s="3">
        <v>342</v>
      </c>
      <c r="AA74" s="83">
        <v>0.01</v>
      </c>
      <c r="AB74" s="33">
        <v>35819</v>
      </c>
      <c r="AC74" s="3">
        <v>71</v>
      </c>
      <c r="AD74" s="83">
        <v>0.35899999999999999</v>
      </c>
      <c r="AE74" s="33">
        <v>198</v>
      </c>
      <c r="AF74" s="3">
        <v>12</v>
      </c>
      <c r="AG74" s="6">
        <v>0.8</v>
      </c>
      <c r="AH74" s="3">
        <v>15</v>
      </c>
      <c r="AI74" s="34">
        <v>425</v>
      </c>
      <c r="AJ74" s="6">
        <v>1.2E-2</v>
      </c>
      <c r="AK74" s="21">
        <v>36032</v>
      </c>
      <c r="AL74" s="84">
        <f>(B74+N74+Z74)/AR74</f>
        <v>0.11348951178948971</v>
      </c>
      <c r="AM74" s="83">
        <f>(E74+Q74+AC74)/AS74</f>
        <v>0.46543247810723615</v>
      </c>
      <c r="AN74" s="6">
        <f>(H74+T74+AF74)/AT74</f>
        <v>0.83514099783080264</v>
      </c>
      <c r="AO74" s="127">
        <f>AP74/AQ74</f>
        <v>0.1195193117038324</v>
      </c>
      <c r="AP74" s="52">
        <f>AF74+AC74+Z74+T74+Q74+N74+H74+E74+B74</f>
        <v>97408</v>
      </c>
      <c r="AQ74" s="3">
        <f t="shared" si="138"/>
        <v>814998</v>
      </c>
      <c r="AR74" s="12">
        <f>+D74+P74+AB74</f>
        <v>801519</v>
      </c>
      <c r="AS74" s="3">
        <f>G74+S74+AE74</f>
        <v>13018</v>
      </c>
      <c r="AT74" s="21">
        <f>J74+V74+AH74</f>
        <v>461</v>
      </c>
    </row>
    <row r="75" spans="1:46" ht="25.5" customHeight="1" x14ac:dyDescent="0.2">
      <c r="A75" s="133">
        <v>44044</v>
      </c>
      <c r="B75" s="3">
        <v>10813</v>
      </c>
      <c r="C75" s="139">
        <v>8.0956231376248453E-2</v>
      </c>
      <c r="D75" s="3">
        <v>133566</v>
      </c>
      <c r="E75" s="134">
        <v>787</v>
      </c>
      <c r="F75" s="139">
        <v>0.49003735990037361</v>
      </c>
      <c r="G75" s="3">
        <v>1606</v>
      </c>
      <c r="H75" s="134">
        <v>32</v>
      </c>
      <c r="I75" s="139">
        <v>0.64</v>
      </c>
      <c r="J75" s="3">
        <v>50</v>
      </c>
      <c r="K75" s="147">
        <v>11632</v>
      </c>
      <c r="L75" s="139">
        <v>8.6021505376344093E-2</v>
      </c>
      <c r="M75" s="18">
        <v>135222</v>
      </c>
      <c r="N75" s="3">
        <v>80278</v>
      </c>
      <c r="O75" s="6">
        <v>0.12700607518035692</v>
      </c>
      <c r="P75" s="130">
        <v>632080</v>
      </c>
      <c r="Q75" s="55">
        <v>5300</v>
      </c>
      <c r="R75" s="6">
        <v>0.46840477242598322</v>
      </c>
      <c r="S75" s="33">
        <v>11315</v>
      </c>
      <c r="T75" s="55">
        <v>334</v>
      </c>
      <c r="U75" s="6">
        <v>0.86082474226804129</v>
      </c>
      <c r="V75" s="33">
        <v>388</v>
      </c>
      <c r="W75" s="52">
        <v>85912</v>
      </c>
      <c r="X75" s="6">
        <v>0.13344869311553736</v>
      </c>
      <c r="Y75" s="21">
        <v>643783</v>
      </c>
      <c r="Z75" s="3">
        <v>361</v>
      </c>
      <c r="AA75" s="83">
        <v>1.0069735006973501E-2</v>
      </c>
      <c r="AB75" s="33">
        <v>35850</v>
      </c>
      <c r="AC75" s="3">
        <v>69</v>
      </c>
      <c r="AD75" s="83">
        <v>0.37912087912087911</v>
      </c>
      <c r="AE75" s="33">
        <v>182</v>
      </c>
      <c r="AF75" s="3">
        <v>12</v>
      </c>
      <c r="AG75" s="6">
        <v>0.8</v>
      </c>
      <c r="AH75" s="3">
        <v>15</v>
      </c>
      <c r="AI75" s="34">
        <v>442</v>
      </c>
      <c r="AJ75" s="6">
        <v>1.2261769356673231E-2</v>
      </c>
      <c r="AK75" s="37">
        <v>36047</v>
      </c>
      <c r="AL75" s="84">
        <f>(B75+N75+Z75)/AR75</f>
        <v>0.11410162995198977</v>
      </c>
      <c r="AM75" s="83">
        <f>(E75+Q75+AC75)/AS75</f>
        <v>0.46981607265511716</v>
      </c>
      <c r="AN75" s="6">
        <f>(H75+T75+AF75)/AT75</f>
        <v>0.83443708609271527</v>
      </c>
      <c r="AO75" s="127">
        <f>AP75/AQ75</f>
        <v>0.12022055034525404</v>
      </c>
      <c r="AP75" s="52">
        <f>AF75+AC75+Z75+T75+Q75+N75+H75+E75+B75</f>
        <v>97986</v>
      </c>
      <c r="AQ75" s="3">
        <f t="shared" si="138"/>
        <v>815052</v>
      </c>
      <c r="AR75" s="12">
        <f>+D75+P75+AB75</f>
        <v>801496</v>
      </c>
      <c r="AS75" s="3">
        <f>G75+S75+AE75</f>
        <v>13103</v>
      </c>
      <c r="AT75" s="21">
        <f>J75+V75+AH75</f>
        <v>453</v>
      </c>
    </row>
    <row r="76" spans="1:46" ht="25.5" customHeight="1" x14ac:dyDescent="0.2">
      <c r="A76" s="133">
        <v>44013</v>
      </c>
      <c r="B76" s="3">
        <v>10642</v>
      </c>
      <c r="C76" s="83">
        <v>7.9765545361875634E-2</v>
      </c>
      <c r="D76" s="3">
        <v>133416</v>
      </c>
      <c r="E76" s="134">
        <v>795</v>
      </c>
      <c r="F76" s="83">
        <v>0.4895320197044335</v>
      </c>
      <c r="G76" s="3">
        <v>1624</v>
      </c>
      <c r="H76" s="134">
        <v>32</v>
      </c>
      <c r="I76" s="83">
        <v>0.64</v>
      </c>
      <c r="J76" s="3">
        <v>50</v>
      </c>
      <c r="K76" s="140">
        <v>11469</v>
      </c>
      <c r="L76" s="83">
        <v>8.4898956251387964E-2</v>
      </c>
      <c r="M76" s="18">
        <v>135090</v>
      </c>
      <c r="N76" s="3">
        <v>80924</v>
      </c>
      <c r="O76" s="6">
        <v>0.12792508247851289</v>
      </c>
      <c r="P76" s="130">
        <v>632589</v>
      </c>
      <c r="Q76" s="55">
        <v>5338</v>
      </c>
      <c r="R76" s="6">
        <v>0.46915099314466513</v>
      </c>
      <c r="S76" s="33">
        <v>11378</v>
      </c>
      <c r="T76" s="55">
        <v>326</v>
      </c>
      <c r="U76" s="6">
        <v>0.86472148541114058</v>
      </c>
      <c r="V76" s="33">
        <v>377</v>
      </c>
      <c r="W76" s="52">
        <v>86588</v>
      </c>
      <c r="X76" s="6">
        <v>0.13438163465478067</v>
      </c>
      <c r="Y76" s="21">
        <v>644344</v>
      </c>
      <c r="Z76" s="3">
        <v>381</v>
      </c>
      <c r="AA76" s="83">
        <v>1.056455190771961E-2</v>
      </c>
      <c r="AB76" s="33">
        <v>36064</v>
      </c>
      <c r="AC76" s="3">
        <v>78</v>
      </c>
      <c r="AD76" s="83">
        <v>0.38805970149253732</v>
      </c>
      <c r="AE76" s="33">
        <v>201</v>
      </c>
      <c r="AF76" s="3">
        <v>13</v>
      </c>
      <c r="AG76" s="6">
        <v>0.8666666666666667</v>
      </c>
      <c r="AH76" s="3">
        <v>15</v>
      </c>
      <c r="AI76" s="34">
        <v>472</v>
      </c>
      <c r="AJ76" s="6">
        <v>1.3009922822491731E-2</v>
      </c>
      <c r="AK76" s="37">
        <v>36280</v>
      </c>
      <c r="AL76" s="84">
        <f t="shared" ref="AL76:AL83" si="158">(B76+N76+Z76)/AR76</f>
        <v>0.11463726936211224</v>
      </c>
      <c r="AM76" s="83">
        <f t="shared" ref="AM76:AM83" si="159">(E76+Q76+AC76)/AS76</f>
        <v>0.47042338862379762</v>
      </c>
      <c r="AN76" s="6">
        <f t="shared" ref="AN76:AN83" si="160">(H76+T76+AF76)/AT76</f>
        <v>0.83936651583710409</v>
      </c>
      <c r="AO76" s="127">
        <f t="shared" ref="AO76:AO83" si="161">AP76/AQ76</f>
        <v>0.12078865877010815</v>
      </c>
      <c r="AP76" s="52">
        <f t="shared" ref="AP76:AP83" si="162">AF76+AC76+Z76+T76+Q76+N76+H76+E76+B76</f>
        <v>98529</v>
      </c>
      <c r="AQ76" s="3">
        <f t="shared" si="138"/>
        <v>815714</v>
      </c>
      <c r="AR76" s="12">
        <f t="shared" ref="AR76:AR83" si="163">+D76+P76+AB76</f>
        <v>802069</v>
      </c>
      <c r="AS76" s="3">
        <f t="shared" ref="AS76:AS83" si="164">G76+S76+AE76</f>
        <v>13203</v>
      </c>
      <c r="AT76" s="21">
        <f t="shared" ref="AT76:AT83" si="165">J76+V76+AH76</f>
        <v>442</v>
      </c>
    </row>
    <row r="77" spans="1:46" ht="25.5" customHeight="1" x14ac:dyDescent="0.2">
      <c r="A77" s="133">
        <v>43983</v>
      </c>
      <c r="B77" s="3">
        <v>10654</v>
      </c>
      <c r="C77" s="83">
        <v>0.08</v>
      </c>
      <c r="D77" s="3">
        <v>133061</v>
      </c>
      <c r="E77" s="134">
        <v>783</v>
      </c>
      <c r="F77" s="83">
        <v>0.48599999999999999</v>
      </c>
      <c r="G77" s="3">
        <v>1610</v>
      </c>
      <c r="H77" s="134">
        <v>28</v>
      </c>
      <c r="I77" s="83">
        <v>0.622</v>
      </c>
      <c r="J77" s="3">
        <v>45</v>
      </c>
      <c r="K77" s="140">
        <v>11465</v>
      </c>
      <c r="L77" s="83">
        <v>8.5000000000000006E-2</v>
      </c>
      <c r="M77" s="18">
        <v>134716</v>
      </c>
      <c r="N77" s="3">
        <v>80431</v>
      </c>
      <c r="O77" s="6">
        <v>0.12720385892772418</v>
      </c>
      <c r="P77" s="130">
        <v>632300</v>
      </c>
      <c r="Q77" s="55">
        <v>5349</v>
      </c>
      <c r="R77" s="6">
        <v>0.47082123052548192</v>
      </c>
      <c r="S77" s="33">
        <v>11361</v>
      </c>
      <c r="T77" s="55">
        <v>348</v>
      </c>
      <c r="U77" s="6">
        <v>0.86138613861386137</v>
      </c>
      <c r="V77" s="33">
        <v>404</v>
      </c>
      <c r="W77" s="52">
        <v>86128</v>
      </c>
      <c r="X77" s="6">
        <v>0.13372563328235504</v>
      </c>
      <c r="Y77" s="21">
        <v>644065</v>
      </c>
      <c r="Z77" s="3">
        <v>357</v>
      </c>
      <c r="AA77" s="83">
        <v>0.01</v>
      </c>
      <c r="AB77" s="33">
        <v>35763</v>
      </c>
      <c r="AC77" s="3">
        <v>71</v>
      </c>
      <c r="AD77" s="83">
        <v>0.35299999999999998</v>
      </c>
      <c r="AE77" s="33">
        <v>201</v>
      </c>
      <c r="AF77" s="3">
        <v>12</v>
      </c>
      <c r="AG77" s="6">
        <v>0.8</v>
      </c>
      <c r="AH77" s="3">
        <v>15</v>
      </c>
      <c r="AI77" s="34">
        <v>440</v>
      </c>
      <c r="AJ77" s="6">
        <v>1.2E-2</v>
      </c>
      <c r="AK77" s="21">
        <v>35979</v>
      </c>
      <c r="AL77" s="84">
        <f t="shared" si="158"/>
        <v>0.11414213030691878</v>
      </c>
      <c r="AM77" s="83">
        <f t="shared" si="159"/>
        <v>0.4709231703613726</v>
      </c>
      <c r="AN77" s="6">
        <f t="shared" si="160"/>
        <v>0.83620689655172409</v>
      </c>
      <c r="AO77" s="127">
        <f t="shared" si="161"/>
        <v>0.12032132161618145</v>
      </c>
      <c r="AP77" s="52">
        <f t="shared" si="162"/>
        <v>98033</v>
      </c>
      <c r="AQ77" s="3">
        <f t="shared" si="138"/>
        <v>814760</v>
      </c>
      <c r="AR77" s="12">
        <f t="shared" si="163"/>
        <v>801124</v>
      </c>
      <c r="AS77" s="3">
        <f t="shared" si="164"/>
        <v>13172</v>
      </c>
      <c r="AT77" s="21">
        <f t="shared" si="165"/>
        <v>464</v>
      </c>
    </row>
    <row r="78" spans="1:46" ht="25.5" customHeight="1" x14ac:dyDescent="0.2">
      <c r="A78" s="133">
        <v>43952</v>
      </c>
      <c r="B78" s="3">
        <v>10737</v>
      </c>
      <c r="C78" s="83">
        <v>8.1000000000000003E-2</v>
      </c>
      <c r="D78" s="3">
        <v>132471</v>
      </c>
      <c r="E78" s="134">
        <v>788</v>
      </c>
      <c r="F78" s="83">
        <v>0.49199999999999999</v>
      </c>
      <c r="G78" s="3">
        <v>1603</v>
      </c>
      <c r="H78" s="134">
        <v>28</v>
      </c>
      <c r="I78" s="83">
        <v>0.622</v>
      </c>
      <c r="J78" s="3">
        <v>45</v>
      </c>
      <c r="K78" s="140">
        <v>11553</v>
      </c>
      <c r="L78" s="83">
        <v>8.5999999999999993E-2</v>
      </c>
      <c r="M78" s="18">
        <v>134119</v>
      </c>
      <c r="N78" s="3">
        <v>76402</v>
      </c>
      <c r="O78" s="6">
        <v>0.12745520000266916</v>
      </c>
      <c r="P78" s="130">
        <v>599442</v>
      </c>
      <c r="Q78" s="55">
        <v>5032</v>
      </c>
      <c r="R78" s="6">
        <v>0.47023642650219605</v>
      </c>
      <c r="S78" s="33">
        <v>10701</v>
      </c>
      <c r="T78" s="55">
        <v>319</v>
      </c>
      <c r="U78" s="6">
        <v>0.87637362637362637</v>
      </c>
      <c r="V78" s="33">
        <v>364</v>
      </c>
      <c r="W78" s="52">
        <v>81753</v>
      </c>
      <c r="X78" s="6">
        <v>0.13391001249780921</v>
      </c>
      <c r="Y78" s="21">
        <v>610507</v>
      </c>
      <c r="Z78" s="3">
        <v>382</v>
      </c>
      <c r="AA78" s="83">
        <v>0.01</v>
      </c>
      <c r="AB78" s="33">
        <v>36953</v>
      </c>
      <c r="AC78" s="3">
        <v>78</v>
      </c>
      <c r="AD78" s="83">
        <v>0.39</v>
      </c>
      <c r="AE78" s="33">
        <v>200</v>
      </c>
      <c r="AF78" s="3">
        <v>13</v>
      </c>
      <c r="AG78" s="6">
        <v>0.81299999999999994</v>
      </c>
      <c r="AH78" s="3">
        <v>16</v>
      </c>
      <c r="AI78" s="34">
        <v>473</v>
      </c>
      <c r="AJ78" s="6">
        <v>1.2999999999999999E-2</v>
      </c>
      <c r="AK78" s="21">
        <v>37169</v>
      </c>
      <c r="AL78" s="84">
        <f t="shared" si="158"/>
        <v>0.11383127879240336</v>
      </c>
      <c r="AM78" s="83">
        <f t="shared" si="159"/>
        <v>0.47168905950095968</v>
      </c>
      <c r="AN78" s="6">
        <f t="shared" si="160"/>
        <v>0.84705882352941175</v>
      </c>
      <c r="AO78" s="127">
        <f t="shared" si="161"/>
        <v>0.11995344047992121</v>
      </c>
      <c r="AP78" s="52">
        <f t="shared" si="162"/>
        <v>93779</v>
      </c>
      <c r="AQ78" s="3">
        <f t="shared" si="138"/>
        <v>781795</v>
      </c>
      <c r="AR78" s="12">
        <f t="shared" si="163"/>
        <v>768866</v>
      </c>
      <c r="AS78" s="3">
        <f t="shared" si="164"/>
        <v>12504</v>
      </c>
      <c r="AT78" s="21">
        <f t="shared" si="165"/>
        <v>425</v>
      </c>
    </row>
    <row r="79" spans="1:46" ht="25.5" customHeight="1" x14ac:dyDescent="0.2">
      <c r="A79" s="133">
        <v>43922</v>
      </c>
      <c r="B79" s="3">
        <v>10719</v>
      </c>
      <c r="C79" s="83">
        <v>8.3840438013296839E-2</v>
      </c>
      <c r="D79" s="3">
        <v>127850</v>
      </c>
      <c r="E79" s="134">
        <v>854</v>
      </c>
      <c r="F79" s="83">
        <v>0.46590289143480634</v>
      </c>
      <c r="G79" s="3">
        <v>1833</v>
      </c>
      <c r="H79" s="134">
        <v>32</v>
      </c>
      <c r="I79" s="83">
        <v>0.64</v>
      </c>
      <c r="J79" s="3">
        <v>50</v>
      </c>
      <c r="K79" s="140">
        <v>11605</v>
      </c>
      <c r="L79" s="83">
        <v>8.9452953373467051E-2</v>
      </c>
      <c r="M79" s="18">
        <v>129733</v>
      </c>
      <c r="N79" s="3">
        <v>80574</v>
      </c>
      <c r="O79" s="6">
        <v>0.1285350570458664</v>
      </c>
      <c r="P79" s="130">
        <v>626864</v>
      </c>
      <c r="Q79" s="55">
        <v>5300</v>
      </c>
      <c r="R79" s="6">
        <v>0.46799116997792495</v>
      </c>
      <c r="S79" s="33">
        <v>11325</v>
      </c>
      <c r="T79" s="55">
        <v>341</v>
      </c>
      <c r="U79" s="6">
        <v>0.87435897435897436</v>
      </c>
      <c r="V79" s="33">
        <v>390</v>
      </c>
      <c r="W79" s="52">
        <v>86215</v>
      </c>
      <c r="X79" s="6">
        <v>0.1350107034525094</v>
      </c>
      <c r="Y79" s="21">
        <v>638579</v>
      </c>
      <c r="Z79" s="3">
        <v>384</v>
      </c>
      <c r="AA79" s="83">
        <v>1.041130059919204E-2</v>
      </c>
      <c r="AB79" s="33">
        <v>36883</v>
      </c>
      <c r="AC79" s="3">
        <v>78</v>
      </c>
      <c r="AD79" s="83">
        <v>0.39195979899497485</v>
      </c>
      <c r="AE79" s="33">
        <v>199</v>
      </c>
      <c r="AF79" s="3">
        <v>13</v>
      </c>
      <c r="AG79" s="6">
        <v>0.8666666666666667</v>
      </c>
      <c r="AH79" s="3">
        <v>15</v>
      </c>
      <c r="AI79" s="34">
        <v>475</v>
      </c>
      <c r="AJ79" s="6">
        <v>1.2804269887052862E-2</v>
      </c>
      <c r="AK79" s="37">
        <v>37097</v>
      </c>
      <c r="AL79" s="84">
        <f t="shared" si="158"/>
        <v>0.11581271783495894</v>
      </c>
      <c r="AM79" s="83">
        <f t="shared" si="159"/>
        <v>0.46657183499288762</v>
      </c>
      <c r="AN79" s="6">
        <f t="shared" si="160"/>
        <v>0.84835164835164834</v>
      </c>
      <c r="AO79" s="127">
        <f t="shared" si="161"/>
        <v>0.12204358282562028</v>
      </c>
      <c r="AP79" s="52">
        <f t="shared" si="162"/>
        <v>98295</v>
      </c>
      <c r="AQ79" s="3">
        <f t="shared" si="138"/>
        <v>805409</v>
      </c>
      <c r="AR79" s="12">
        <f t="shared" si="163"/>
        <v>791597</v>
      </c>
      <c r="AS79" s="3">
        <f t="shared" si="164"/>
        <v>13357</v>
      </c>
      <c r="AT79" s="21">
        <f t="shared" si="165"/>
        <v>455</v>
      </c>
    </row>
    <row r="80" spans="1:46" ht="25.5" customHeight="1" x14ac:dyDescent="0.2">
      <c r="A80" s="133">
        <v>43891</v>
      </c>
      <c r="B80" s="3">
        <v>10772</v>
      </c>
      <c r="C80" s="83">
        <v>8.4000000000000005E-2</v>
      </c>
      <c r="D80" s="3">
        <v>127508</v>
      </c>
      <c r="E80" s="134">
        <v>854</v>
      </c>
      <c r="F80" s="83">
        <v>0.46800000000000003</v>
      </c>
      <c r="G80" s="3">
        <v>1823</v>
      </c>
      <c r="H80" s="134">
        <v>32</v>
      </c>
      <c r="I80" s="83">
        <v>0.64</v>
      </c>
      <c r="J80" s="3">
        <v>50</v>
      </c>
      <c r="K80" s="140">
        <v>11658</v>
      </c>
      <c r="L80" s="83">
        <v>0.09</v>
      </c>
      <c r="M80" s="18">
        <v>129381</v>
      </c>
      <c r="N80" s="3">
        <v>81583</v>
      </c>
      <c r="O80" s="6">
        <v>0.12959700593951198</v>
      </c>
      <c r="P80" s="130">
        <v>629513</v>
      </c>
      <c r="Q80" s="55">
        <v>5301</v>
      </c>
      <c r="R80" s="6">
        <v>0.46434828311142257</v>
      </c>
      <c r="S80" s="33">
        <v>11416</v>
      </c>
      <c r="T80" s="55">
        <v>354</v>
      </c>
      <c r="U80" s="6">
        <v>0.86764705882352944</v>
      </c>
      <c r="V80" s="33">
        <v>408</v>
      </c>
      <c r="W80" s="52">
        <v>87238</v>
      </c>
      <c r="X80" s="6">
        <v>0.1360252098350789</v>
      </c>
      <c r="Y80" s="21">
        <v>641337</v>
      </c>
      <c r="Z80" s="3">
        <v>394</v>
      </c>
      <c r="AA80" s="83">
        <v>1.0999999999999999E-2</v>
      </c>
      <c r="AB80" s="33">
        <v>35632</v>
      </c>
      <c r="AC80" s="3">
        <v>79</v>
      </c>
      <c r="AD80" s="83">
        <v>0.39500000000000002</v>
      </c>
      <c r="AE80" s="33">
        <v>200</v>
      </c>
      <c r="AF80" s="3">
        <v>13</v>
      </c>
      <c r="AG80" s="6">
        <v>0.86699999999999999</v>
      </c>
      <c r="AH80" s="3">
        <v>15</v>
      </c>
      <c r="AI80" s="34">
        <v>486</v>
      </c>
      <c r="AJ80" s="6">
        <v>1.4E-2</v>
      </c>
      <c r="AK80" s="21">
        <v>35847</v>
      </c>
      <c r="AL80" s="84">
        <f t="shared" si="158"/>
        <v>0.1170108483787988</v>
      </c>
      <c r="AM80" s="83">
        <f t="shared" si="159"/>
        <v>0.46387380013393853</v>
      </c>
      <c r="AN80" s="6">
        <f t="shared" si="160"/>
        <v>0.84355179704016914</v>
      </c>
      <c r="AO80" s="127">
        <f t="shared" si="161"/>
        <v>0.12321635578037728</v>
      </c>
      <c r="AP80" s="52">
        <f t="shared" si="162"/>
        <v>99382</v>
      </c>
      <c r="AQ80" s="3">
        <f t="shared" si="138"/>
        <v>806565</v>
      </c>
      <c r="AR80" s="12">
        <f t="shared" si="163"/>
        <v>792653</v>
      </c>
      <c r="AS80" s="3">
        <f t="shared" si="164"/>
        <v>13439</v>
      </c>
      <c r="AT80" s="21">
        <f t="shared" si="165"/>
        <v>473</v>
      </c>
    </row>
    <row r="81" spans="1:46" ht="25.5" customHeight="1" x14ac:dyDescent="0.2">
      <c r="A81" s="133">
        <v>43862</v>
      </c>
      <c r="B81" s="3">
        <v>10809</v>
      </c>
      <c r="C81" s="83">
        <v>8.4855003061657067E-2</v>
      </c>
      <c r="D81" s="3">
        <v>127382</v>
      </c>
      <c r="E81" s="134">
        <v>851</v>
      </c>
      <c r="F81" s="83">
        <v>0.46887052341597796</v>
      </c>
      <c r="G81" s="3">
        <v>1815</v>
      </c>
      <c r="H81" s="134">
        <v>32</v>
      </c>
      <c r="I81" s="83">
        <v>0.64</v>
      </c>
      <c r="J81" s="3">
        <v>50</v>
      </c>
      <c r="K81" s="140">
        <v>11692</v>
      </c>
      <c r="L81" s="83">
        <v>9.0462447871130475E-2</v>
      </c>
      <c r="M81" s="18">
        <v>129247</v>
      </c>
      <c r="N81" s="3">
        <v>74234</v>
      </c>
      <c r="O81" s="6">
        <v>0.13065409770280831</v>
      </c>
      <c r="P81" s="130">
        <v>568172</v>
      </c>
      <c r="Q81" s="55">
        <v>4763</v>
      </c>
      <c r="R81" s="6">
        <v>0.46518214669401309</v>
      </c>
      <c r="S81" s="33">
        <v>10239</v>
      </c>
      <c r="T81" s="55">
        <v>310</v>
      </c>
      <c r="U81" s="6">
        <v>0.87818696883852687</v>
      </c>
      <c r="V81" s="33">
        <v>353</v>
      </c>
      <c r="W81" s="52">
        <v>79307</v>
      </c>
      <c r="X81" s="6">
        <v>0.1370282187558314</v>
      </c>
      <c r="Y81" s="21">
        <v>578764</v>
      </c>
      <c r="Z81" s="3">
        <v>393</v>
      </c>
      <c r="AA81" s="83">
        <v>1.1030340453001768E-2</v>
      </c>
      <c r="AB81" s="33">
        <v>35629</v>
      </c>
      <c r="AC81" s="3">
        <v>80</v>
      </c>
      <c r="AD81" s="83">
        <v>0.39603960396039606</v>
      </c>
      <c r="AE81" s="33">
        <v>202</v>
      </c>
      <c r="AF81" s="3">
        <v>13</v>
      </c>
      <c r="AG81" s="6">
        <v>0.8666666666666667</v>
      </c>
      <c r="AH81" s="3">
        <v>15</v>
      </c>
      <c r="AI81" s="34">
        <v>486</v>
      </c>
      <c r="AJ81" s="6">
        <v>1.355799810299615E-2</v>
      </c>
      <c r="AK81" s="37">
        <v>35846</v>
      </c>
      <c r="AL81" s="84">
        <f t="shared" si="158"/>
        <v>0.11684626146942695</v>
      </c>
      <c r="AM81" s="83">
        <f t="shared" si="159"/>
        <v>0.46458877284595301</v>
      </c>
      <c r="AN81" s="6">
        <f t="shared" si="160"/>
        <v>0.84928229665071775</v>
      </c>
      <c r="AO81" s="127">
        <f t="shared" si="161"/>
        <v>0.12298734837475482</v>
      </c>
      <c r="AP81" s="52">
        <f t="shared" si="162"/>
        <v>91485</v>
      </c>
      <c r="AQ81" s="3">
        <f t="shared" si="138"/>
        <v>743857</v>
      </c>
      <c r="AR81" s="12">
        <f t="shared" si="163"/>
        <v>731183</v>
      </c>
      <c r="AS81" s="3">
        <f t="shared" si="164"/>
        <v>12256</v>
      </c>
      <c r="AT81" s="21">
        <f t="shared" si="165"/>
        <v>418</v>
      </c>
    </row>
    <row r="82" spans="1:46" ht="21" customHeight="1" x14ac:dyDescent="0.2">
      <c r="A82" s="133">
        <v>43831</v>
      </c>
      <c r="B82" s="3">
        <v>10898</v>
      </c>
      <c r="C82" s="144">
        <v>8.5608798114689716E-2</v>
      </c>
      <c r="D82" s="3">
        <v>127300</v>
      </c>
      <c r="E82" s="134">
        <v>854</v>
      </c>
      <c r="F82" s="144">
        <v>0.46845858475041141</v>
      </c>
      <c r="G82" s="3">
        <v>1823</v>
      </c>
      <c r="H82" s="134">
        <v>32</v>
      </c>
      <c r="I82" s="144">
        <v>0.64</v>
      </c>
      <c r="J82" s="3">
        <v>50</v>
      </c>
      <c r="K82" s="145">
        <v>11784</v>
      </c>
      <c r="L82" s="144">
        <v>9.1226494700904992E-2</v>
      </c>
      <c r="M82" s="18">
        <v>129173</v>
      </c>
      <c r="N82" s="3">
        <v>82958</v>
      </c>
      <c r="O82" s="6">
        <v>0.13179421432327537</v>
      </c>
      <c r="P82" s="130">
        <v>629451</v>
      </c>
      <c r="Q82" s="55">
        <v>5202</v>
      </c>
      <c r="R82" s="6">
        <v>0.45507829586212928</v>
      </c>
      <c r="S82" s="33">
        <v>11431</v>
      </c>
      <c r="T82" s="55">
        <v>355</v>
      </c>
      <c r="U82" s="6">
        <v>0.86797066014669921</v>
      </c>
      <c r="V82" s="33">
        <v>409</v>
      </c>
      <c r="W82" s="52">
        <v>88515</v>
      </c>
      <c r="X82" s="6">
        <v>0.13802626264831411</v>
      </c>
      <c r="Y82" s="21">
        <v>641291</v>
      </c>
      <c r="Z82" s="3">
        <v>397</v>
      </c>
      <c r="AA82" s="144">
        <v>1.1140732425985688E-2</v>
      </c>
      <c r="AB82" s="3">
        <v>35635</v>
      </c>
      <c r="AC82" s="134">
        <v>77</v>
      </c>
      <c r="AD82" s="144">
        <v>0.41176470588235292</v>
      </c>
      <c r="AE82" s="3">
        <v>187</v>
      </c>
      <c r="AF82" s="134">
        <v>13</v>
      </c>
      <c r="AG82" s="144">
        <v>0.8125</v>
      </c>
      <c r="AH82" s="3">
        <v>16</v>
      </c>
      <c r="AI82" s="145">
        <v>487</v>
      </c>
      <c r="AJ82" s="144">
        <v>1.3588927953568837E-2</v>
      </c>
      <c r="AK82" s="18">
        <v>35838</v>
      </c>
      <c r="AL82" s="84">
        <f t="shared" si="158"/>
        <v>0.11894834083388652</v>
      </c>
      <c r="AM82" s="83">
        <f t="shared" si="159"/>
        <v>0.45629045457927236</v>
      </c>
      <c r="AN82" s="6">
        <f t="shared" si="160"/>
        <v>0.84210526315789469</v>
      </c>
      <c r="AO82" s="127">
        <f t="shared" si="161"/>
        <v>0.1249978295973469</v>
      </c>
      <c r="AP82" s="52">
        <f t="shared" si="162"/>
        <v>100786</v>
      </c>
      <c r="AQ82" s="3">
        <f t="shared" si="138"/>
        <v>806302</v>
      </c>
      <c r="AR82" s="12">
        <f t="shared" si="163"/>
        <v>792386</v>
      </c>
      <c r="AS82" s="3">
        <f t="shared" si="164"/>
        <v>13441</v>
      </c>
      <c r="AT82" s="21">
        <f t="shared" si="165"/>
        <v>475</v>
      </c>
    </row>
    <row r="83" spans="1:46" ht="21" customHeight="1" x14ac:dyDescent="0.2">
      <c r="A83" s="109">
        <v>43800</v>
      </c>
      <c r="B83" s="3">
        <v>11076</v>
      </c>
      <c r="C83" s="144">
        <v>8.7040573355022743E-2</v>
      </c>
      <c r="D83" s="3">
        <v>127251</v>
      </c>
      <c r="E83" s="134">
        <v>841</v>
      </c>
      <c r="F83" s="144">
        <v>0.45931185144729658</v>
      </c>
      <c r="G83" s="3">
        <v>1831</v>
      </c>
      <c r="H83" s="134">
        <v>32</v>
      </c>
      <c r="I83" s="144">
        <v>0.64</v>
      </c>
      <c r="J83" s="3">
        <v>50</v>
      </c>
      <c r="K83" s="145">
        <v>11949</v>
      </c>
      <c r="L83" s="144">
        <v>9.2533221819533495E-2</v>
      </c>
      <c r="M83" s="18">
        <v>129132</v>
      </c>
      <c r="N83" s="3">
        <v>84664</v>
      </c>
      <c r="O83" s="6">
        <v>0.13457613540269203</v>
      </c>
      <c r="P83" s="130">
        <v>629116</v>
      </c>
      <c r="Q83" s="55">
        <v>5156</v>
      </c>
      <c r="R83" s="6">
        <v>0.45228070175438595</v>
      </c>
      <c r="S83" s="33">
        <v>11400</v>
      </c>
      <c r="T83" s="55">
        <v>351</v>
      </c>
      <c r="U83" s="6">
        <v>0.87096774193548387</v>
      </c>
      <c r="V83" s="33">
        <v>403</v>
      </c>
      <c r="W83" s="52">
        <v>90171</v>
      </c>
      <c r="X83" s="6">
        <v>0.14069016521588532</v>
      </c>
      <c r="Y83" s="21">
        <v>640919</v>
      </c>
      <c r="Z83" s="3">
        <v>397</v>
      </c>
      <c r="AA83" s="144">
        <v>1.1128864967902895E-2</v>
      </c>
      <c r="AB83" s="3">
        <v>35673</v>
      </c>
      <c r="AC83" s="134">
        <v>76</v>
      </c>
      <c r="AD83" s="144">
        <v>0.41304347826086957</v>
      </c>
      <c r="AE83" s="3">
        <v>184</v>
      </c>
      <c r="AF83" s="134">
        <v>13</v>
      </c>
      <c r="AG83" s="144">
        <v>0.8125</v>
      </c>
      <c r="AH83" s="3">
        <v>16</v>
      </c>
      <c r="AI83" s="145">
        <v>486</v>
      </c>
      <c r="AJ83" s="144">
        <v>1.3547793605218409E-2</v>
      </c>
      <c r="AK83" s="18">
        <v>35873</v>
      </c>
      <c r="AL83" s="84">
        <f t="shared" si="158"/>
        <v>0.12137897075905257</v>
      </c>
      <c r="AM83" s="83">
        <f t="shared" si="159"/>
        <v>0.4527021990309355</v>
      </c>
      <c r="AN83" s="6">
        <f t="shared" si="160"/>
        <v>0.84434968017057566</v>
      </c>
      <c r="AO83" s="127">
        <f t="shared" si="161"/>
        <v>0.1273147343918285</v>
      </c>
      <c r="AP83" s="52">
        <f t="shared" si="162"/>
        <v>102606</v>
      </c>
      <c r="AQ83" s="3">
        <f t="shared" si="138"/>
        <v>805924</v>
      </c>
      <c r="AR83" s="12">
        <f t="shared" si="163"/>
        <v>792040</v>
      </c>
      <c r="AS83" s="3">
        <f t="shared" si="164"/>
        <v>13415</v>
      </c>
      <c r="AT83" s="21">
        <f t="shared" si="165"/>
        <v>469</v>
      </c>
    </row>
    <row r="84" spans="1:46" ht="21" customHeight="1" x14ac:dyDescent="0.2">
      <c r="A84" s="109">
        <v>43770</v>
      </c>
      <c r="B84" s="3">
        <v>11282</v>
      </c>
      <c r="C84" s="83">
        <v>8.8999999999999996E-2</v>
      </c>
      <c r="D84" s="3">
        <v>127322</v>
      </c>
      <c r="E84" s="134">
        <v>838</v>
      </c>
      <c r="F84" s="83">
        <v>0.45500000000000002</v>
      </c>
      <c r="G84" s="3">
        <v>1841</v>
      </c>
      <c r="H84" s="134">
        <v>32</v>
      </c>
      <c r="I84" s="83">
        <v>0.64</v>
      </c>
      <c r="J84" s="3">
        <v>50</v>
      </c>
      <c r="K84" s="140">
        <v>12152</v>
      </c>
      <c r="L84" s="83">
        <v>9.4E-2</v>
      </c>
      <c r="M84" s="18">
        <v>129213</v>
      </c>
      <c r="N84" s="3">
        <v>77025</v>
      </c>
      <c r="O84" s="6">
        <v>0.13538215468982062</v>
      </c>
      <c r="P84" s="130">
        <v>568945</v>
      </c>
      <c r="Q84" s="55">
        <v>4609</v>
      </c>
      <c r="R84" s="6">
        <v>0.45239497447978011</v>
      </c>
      <c r="S84" s="33">
        <v>10188</v>
      </c>
      <c r="T84" s="55">
        <v>298</v>
      </c>
      <c r="U84" s="6">
        <v>0.87905604719764008</v>
      </c>
      <c r="V84" s="33">
        <v>339</v>
      </c>
      <c r="W84" s="52">
        <v>81932</v>
      </c>
      <c r="X84" s="6">
        <v>0.14139078333379351</v>
      </c>
      <c r="Y84" s="21">
        <v>579472</v>
      </c>
      <c r="Z84" s="3">
        <v>398</v>
      </c>
      <c r="AA84" s="83">
        <v>1.0999999999999999E-2</v>
      </c>
      <c r="AB84" s="33">
        <v>36922</v>
      </c>
      <c r="AC84" s="3">
        <v>75</v>
      </c>
      <c r="AD84" s="83">
        <v>0.40799999999999997</v>
      </c>
      <c r="AE84" s="33">
        <v>184</v>
      </c>
      <c r="AF84" s="3">
        <v>13</v>
      </c>
      <c r="AG84" s="6">
        <v>0.86699999999999999</v>
      </c>
      <c r="AH84" s="3">
        <v>15</v>
      </c>
      <c r="AI84" s="34">
        <v>486</v>
      </c>
      <c r="AJ84" s="6">
        <v>1.2999999999999999E-2</v>
      </c>
      <c r="AK84" s="21">
        <v>37121</v>
      </c>
      <c r="AL84" s="84">
        <f t="shared" ref="AL84:AL90" si="166">(B84+N84+Z84)/AR84</f>
        <v>0.12098517571867554</v>
      </c>
      <c r="AM84" s="83">
        <f t="shared" ref="AM84:AM90" si="167">(E84+Q84+AC84)/AS84</f>
        <v>0.45214116105788915</v>
      </c>
      <c r="AN84" s="6">
        <f t="shared" ref="AN84:AN90" si="168">(H84+T84+AF84)/AT84</f>
        <v>0.84900990099009899</v>
      </c>
      <c r="AO84" s="127">
        <f t="shared" ref="AO84:AO90" si="169">AP84/AQ84</f>
        <v>0.12680241242360613</v>
      </c>
      <c r="AP84" s="52">
        <f t="shared" ref="AP84:AP90" si="170">AF84+AC84+Z84+T84+Q84+N84+H84+E84+B84</f>
        <v>94570</v>
      </c>
      <c r="AQ84" s="3">
        <f t="shared" si="138"/>
        <v>745806</v>
      </c>
      <c r="AR84" s="12">
        <f t="shared" ref="AR84:AR90" si="171">+D84+P84+AB84</f>
        <v>733189</v>
      </c>
      <c r="AS84" s="3">
        <f t="shared" ref="AS84:AS90" si="172">G84+S84+AE84</f>
        <v>12213</v>
      </c>
      <c r="AT84" s="21">
        <f t="shared" ref="AT84:AT90" si="173">J84+V84+AH84</f>
        <v>404</v>
      </c>
    </row>
    <row r="85" spans="1:46" ht="21" customHeight="1" x14ac:dyDescent="0.2">
      <c r="A85" s="109">
        <v>43739</v>
      </c>
      <c r="B85" s="3">
        <v>11110</v>
      </c>
      <c r="C85" s="83">
        <v>8.6999999999999994E-2</v>
      </c>
      <c r="D85" s="3">
        <v>127611</v>
      </c>
      <c r="E85" s="134">
        <v>831</v>
      </c>
      <c r="F85" s="83">
        <v>0.44500000000000001</v>
      </c>
      <c r="G85" s="3">
        <v>1866</v>
      </c>
      <c r="H85" s="134">
        <v>32</v>
      </c>
      <c r="I85" s="83">
        <v>0.64</v>
      </c>
      <c r="J85" s="3">
        <v>50</v>
      </c>
      <c r="K85" s="140">
        <v>11973</v>
      </c>
      <c r="L85" s="83">
        <v>9.1999999999999998E-2</v>
      </c>
      <c r="M85" s="18">
        <v>129527</v>
      </c>
      <c r="N85" s="3">
        <v>85929</v>
      </c>
      <c r="O85" s="6">
        <v>0.13651723683228029</v>
      </c>
      <c r="P85" s="130">
        <v>629437</v>
      </c>
      <c r="Q85" s="55">
        <v>5153</v>
      </c>
      <c r="R85" s="6">
        <v>0.44984722828459189</v>
      </c>
      <c r="S85" s="33">
        <v>11455</v>
      </c>
      <c r="T85" s="55">
        <v>358</v>
      </c>
      <c r="U85" s="6">
        <v>0.8689320388349514</v>
      </c>
      <c r="V85" s="33">
        <v>412</v>
      </c>
      <c r="W85" s="52">
        <v>91440</v>
      </c>
      <c r="X85" s="6">
        <v>0.14258448411361851</v>
      </c>
      <c r="Y85" s="21">
        <v>641304</v>
      </c>
      <c r="Z85" s="3">
        <v>399</v>
      </c>
      <c r="AA85" s="83">
        <v>1.0999999999999999E-2</v>
      </c>
      <c r="AB85" s="33">
        <v>36955</v>
      </c>
      <c r="AC85" s="3">
        <v>75</v>
      </c>
      <c r="AD85" s="83">
        <v>0.40799999999999997</v>
      </c>
      <c r="AE85" s="33">
        <v>184</v>
      </c>
      <c r="AF85" s="3">
        <v>14</v>
      </c>
      <c r="AG85" s="6">
        <v>0.875</v>
      </c>
      <c r="AH85" s="3">
        <v>16</v>
      </c>
      <c r="AI85" s="34">
        <v>488</v>
      </c>
      <c r="AJ85" s="6">
        <v>1.2999999999999999E-2</v>
      </c>
      <c r="AK85" s="21">
        <v>37155</v>
      </c>
      <c r="AL85" s="84">
        <f t="shared" si="166"/>
        <v>0.12271742046314686</v>
      </c>
      <c r="AM85" s="83">
        <f t="shared" si="167"/>
        <v>0.44864864864864867</v>
      </c>
      <c r="AN85" s="6">
        <f t="shared" si="168"/>
        <v>0.84518828451882844</v>
      </c>
      <c r="AO85" s="127">
        <f t="shared" si="169"/>
        <v>0.12859257462381773</v>
      </c>
      <c r="AP85" s="52">
        <f t="shared" si="170"/>
        <v>103901</v>
      </c>
      <c r="AQ85" s="3">
        <f t="shared" si="138"/>
        <v>807986</v>
      </c>
      <c r="AR85" s="12">
        <f t="shared" si="171"/>
        <v>794003</v>
      </c>
      <c r="AS85" s="3">
        <f t="shared" si="172"/>
        <v>13505</v>
      </c>
      <c r="AT85" s="21">
        <f t="shared" si="173"/>
        <v>478</v>
      </c>
    </row>
    <row r="86" spans="1:46" ht="21" customHeight="1" x14ac:dyDescent="0.2">
      <c r="A86" s="109">
        <v>43709</v>
      </c>
      <c r="B86" s="3">
        <v>11141</v>
      </c>
      <c r="C86" s="83">
        <v>8.6999999999999994E-2</v>
      </c>
      <c r="D86" s="3">
        <v>128113</v>
      </c>
      <c r="E86" s="134">
        <v>826</v>
      </c>
      <c r="F86" s="83">
        <v>0.44</v>
      </c>
      <c r="G86" s="3">
        <v>1876</v>
      </c>
      <c r="H86" s="134">
        <v>32</v>
      </c>
      <c r="I86" s="83">
        <v>0.64</v>
      </c>
      <c r="J86" s="3">
        <v>50</v>
      </c>
      <c r="K86" s="140">
        <v>11999</v>
      </c>
      <c r="L86" s="83">
        <v>9.1999999999999998E-2</v>
      </c>
      <c r="M86" s="18">
        <v>130039</v>
      </c>
      <c r="N86" s="3">
        <v>81455</v>
      </c>
      <c r="O86" s="6">
        <v>0.13584436809979653</v>
      </c>
      <c r="P86" s="130">
        <v>599620</v>
      </c>
      <c r="Q86" s="55">
        <v>4851</v>
      </c>
      <c r="R86" s="6">
        <v>0.44854368932038835</v>
      </c>
      <c r="S86" s="33">
        <v>10815</v>
      </c>
      <c r="T86" s="55">
        <v>316</v>
      </c>
      <c r="U86" s="6">
        <v>0.88515406162464982</v>
      </c>
      <c r="V86" s="33">
        <v>357</v>
      </c>
      <c r="W86" s="52">
        <v>86622</v>
      </c>
      <c r="X86" s="6">
        <v>0.14181914628875297</v>
      </c>
      <c r="Y86" s="21">
        <v>610792</v>
      </c>
      <c r="Z86" s="3">
        <v>391</v>
      </c>
      <c r="AA86" s="83">
        <v>1.0999999999999999E-2</v>
      </c>
      <c r="AB86" s="33">
        <v>35776</v>
      </c>
      <c r="AC86" s="3">
        <v>74</v>
      </c>
      <c r="AD86" s="83">
        <v>0.40899999999999997</v>
      </c>
      <c r="AE86" s="33">
        <v>181</v>
      </c>
      <c r="AF86" s="3">
        <v>13</v>
      </c>
      <c r="AG86" s="6">
        <v>0.81299999999999994</v>
      </c>
      <c r="AH86" s="3">
        <v>16</v>
      </c>
      <c r="AI86" s="34">
        <v>478</v>
      </c>
      <c r="AJ86" s="6">
        <v>1.2999999999999999E-2</v>
      </c>
      <c r="AK86" s="21">
        <v>35973</v>
      </c>
      <c r="AL86" s="84">
        <f t="shared" si="166"/>
        <v>0.12178900314207167</v>
      </c>
      <c r="AM86" s="83">
        <f t="shared" si="167"/>
        <v>0.44678371659415789</v>
      </c>
      <c r="AN86" s="6">
        <f t="shared" si="168"/>
        <v>0.85342789598108748</v>
      </c>
      <c r="AO86" s="127">
        <f t="shared" si="169"/>
        <v>0.12757272104675052</v>
      </c>
      <c r="AP86" s="52">
        <f t="shared" si="170"/>
        <v>99099</v>
      </c>
      <c r="AQ86" s="3">
        <f t="shared" si="138"/>
        <v>776804</v>
      </c>
      <c r="AR86" s="12">
        <f t="shared" si="171"/>
        <v>763509</v>
      </c>
      <c r="AS86" s="3">
        <f t="shared" si="172"/>
        <v>12872</v>
      </c>
      <c r="AT86" s="21">
        <f t="shared" si="173"/>
        <v>423</v>
      </c>
    </row>
    <row r="87" spans="1:46" ht="15.75" customHeight="1" x14ac:dyDescent="0.2">
      <c r="A87" s="109">
        <v>43678</v>
      </c>
      <c r="B87" s="3">
        <v>11219</v>
      </c>
      <c r="C87" s="83">
        <v>8.7999999999999995E-2</v>
      </c>
      <c r="D87" s="3">
        <v>128117</v>
      </c>
      <c r="E87" s="134">
        <v>824</v>
      </c>
      <c r="F87" s="83">
        <v>0.438</v>
      </c>
      <c r="G87" s="3">
        <v>1881</v>
      </c>
      <c r="H87" s="134">
        <v>32</v>
      </c>
      <c r="I87" s="83">
        <v>0.64</v>
      </c>
      <c r="J87" s="3">
        <v>50</v>
      </c>
      <c r="K87" s="140">
        <v>12075</v>
      </c>
      <c r="L87" s="83">
        <v>9.2999999999999999E-2</v>
      </c>
      <c r="M87" s="18">
        <v>130048</v>
      </c>
      <c r="N87" s="3">
        <v>88410</v>
      </c>
      <c r="O87" s="6">
        <v>0.14075672061199959</v>
      </c>
      <c r="P87" s="130">
        <v>628105</v>
      </c>
      <c r="Q87" s="55">
        <v>5111</v>
      </c>
      <c r="R87" s="6">
        <v>0.4493186813186813</v>
      </c>
      <c r="S87" s="33">
        <v>11375</v>
      </c>
      <c r="T87" s="55">
        <v>358</v>
      </c>
      <c r="U87" s="6">
        <v>0.87530562347188268</v>
      </c>
      <c r="V87" s="33">
        <v>409</v>
      </c>
      <c r="W87" s="52">
        <v>93879</v>
      </c>
      <c r="X87" s="6">
        <v>0.14671138275544665</v>
      </c>
      <c r="Y87" s="21">
        <v>639889</v>
      </c>
      <c r="Z87" s="3">
        <v>389</v>
      </c>
      <c r="AA87" s="83">
        <v>1.0999999999999999E-2</v>
      </c>
      <c r="AB87" s="33">
        <v>35783</v>
      </c>
      <c r="AC87" s="3">
        <v>74</v>
      </c>
      <c r="AD87" s="83">
        <v>0.41099999999999998</v>
      </c>
      <c r="AE87" s="33">
        <v>180</v>
      </c>
      <c r="AF87" s="3">
        <v>13</v>
      </c>
      <c r="AG87" s="6">
        <v>0.81299999999999994</v>
      </c>
      <c r="AH87" s="3">
        <v>16</v>
      </c>
      <c r="AI87" s="34">
        <v>476</v>
      </c>
      <c r="AJ87" s="6">
        <v>1.2999999999999999E-2</v>
      </c>
      <c r="AK87" s="21">
        <v>35979</v>
      </c>
      <c r="AL87" s="84">
        <f t="shared" si="166"/>
        <v>0.12628455628436688</v>
      </c>
      <c r="AM87" s="83">
        <f t="shared" si="167"/>
        <v>0.44723131884489431</v>
      </c>
      <c r="AN87" s="6">
        <f t="shared" si="168"/>
        <v>0.84842105263157896</v>
      </c>
      <c r="AO87" s="127">
        <f t="shared" si="169"/>
        <v>0.13206090957370248</v>
      </c>
      <c r="AP87" s="52">
        <f t="shared" si="170"/>
        <v>106430</v>
      </c>
      <c r="AQ87" s="3">
        <f t="shared" si="138"/>
        <v>805916</v>
      </c>
      <c r="AR87" s="12">
        <f t="shared" si="171"/>
        <v>792005</v>
      </c>
      <c r="AS87" s="3">
        <f t="shared" si="172"/>
        <v>13436</v>
      </c>
      <c r="AT87" s="21">
        <f t="shared" si="173"/>
        <v>475</v>
      </c>
    </row>
    <row r="88" spans="1:46" ht="15.75" customHeight="1" x14ac:dyDescent="0.2">
      <c r="A88" s="109">
        <v>43647</v>
      </c>
      <c r="B88" s="3">
        <v>11366</v>
      </c>
      <c r="C88" s="83">
        <v>8.8776068109036946E-2</v>
      </c>
      <c r="D88" s="3">
        <v>128030</v>
      </c>
      <c r="E88" s="134">
        <v>830</v>
      </c>
      <c r="F88" s="83">
        <v>0.44031830238726788</v>
      </c>
      <c r="G88" s="3">
        <v>1885</v>
      </c>
      <c r="H88" s="134">
        <v>32</v>
      </c>
      <c r="I88" s="83">
        <v>0.64</v>
      </c>
      <c r="J88" s="3">
        <v>50</v>
      </c>
      <c r="K88" s="140">
        <v>12228</v>
      </c>
      <c r="L88" s="83">
        <v>9.408686954179972E-2</v>
      </c>
      <c r="M88" s="18">
        <v>129965</v>
      </c>
      <c r="N88" s="3">
        <v>89985</v>
      </c>
      <c r="O88" s="6">
        <v>0.14316306286383401</v>
      </c>
      <c r="P88" s="130">
        <v>628549</v>
      </c>
      <c r="Q88" s="55">
        <v>5109</v>
      </c>
      <c r="R88" s="6">
        <v>0.44733385868137643</v>
      </c>
      <c r="S88" s="33">
        <v>11421</v>
      </c>
      <c r="T88" s="55">
        <v>357</v>
      </c>
      <c r="U88" s="6">
        <v>0.87286063569682149</v>
      </c>
      <c r="V88" s="33">
        <v>409</v>
      </c>
      <c r="W88" s="52">
        <v>95451</v>
      </c>
      <c r="X88" s="6">
        <v>0.14905391963196796</v>
      </c>
      <c r="Y88" s="21">
        <v>640379</v>
      </c>
      <c r="Z88" s="3">
        <v>391</v>
      </c>
      <c r="AA88" s="83">
        <v>1.0576428899889096E-2</v>
      </c>
      <c r="AB88" s="33">
        <v>36969</v>
      </c>
      <c r="AC88" s="3">
        <v>72</v>
      </c>
      <c r="AD88" s="83">
        <v>0.4</v>
      </c>
      <c r="AE88" s="33">
        <v>180</v>
      </c>
      <c r="AF88" s="3">
        <v>13</v>
      </c>
      <c r="AG88" s="6">
        <v>0.8125</v>
      </c>
      <c r="AH88" s="3">
        <v>16</v>
      </c>
      <c r="AI88" s="34">
        <v>476</v>
      </c>
      <c r="AJ88" s="6">
        <v>1.2807749226422709E-2</v>
      </c>
      <c r="AK88" s="37">
        <v>37165</v>
      </c>
      <c r="AL88" s="84">
        <f t="shared" si="166"/>
        <v>0.12821152595684193</v>
      </c>
      <c r="AM88" s="83">
        <f t="shared" si="167"/>
        <v>0.44572148895150526</v>
      </c>
      <c r="AN88" s="6">
        <f t="shared" si="168"/>
        <v>0.84631578947368424</v>
      </c>
      <c r="AO88" s="127">
        <f t="shared" si="169"/>
        <v>0.13393658770366645</v>
      </c>
      <c r="AP88" s="52">
        <f t="shared" si="170"/>
        <v>108155</v>
      </c>
      <c r="AQ88" s="3">
        <f t="shared" si="138"/>
        <v>807509</v>
      </c>
      <c r="AR88" s="12">
        <f t="shared" si="171"/>
        <v>793548</v>
      </c>
      <c r="AS88" s="3">
        <f t="shared" si="172"/>
        <v>13486</v>
      </c>
      <c r="AT88" s="21">
        <f t="shared" si="173"/>
        <v>475</v>
      </c>
    </row>
    <row r="89" spans="1:46" ht="15.75" customHeight="1" x14ac:dyDescent="0.2">
      <c r="A89" s="109">
        <v>43617</v>
      </c>
      <c r="B89" s="3">
        <v>11478</v>
      </c>
      <c r="C89" s="83">
        <v>0.09</v>
      </c>
      <c r="D89" s="3">
        <v>127819</v>
      </c>
      <c r="E89" s="134">
        <v>831</v>
      </c>
      <c r="F89" s="83">
        <v>0.441</v>
      </c>
      <c r="G89" s="3">
        <v>1885</v>
      </c>
      <c r="H89" s="134">
        <v>32</v>
      </c>
      <c r="I89" s="83">
        <v>0.64</v>
      </c>
      <c r="J89" s="3">
        <v>50</v>
      </c>
      <c r="K89" s="140">
        <v>12341</v>
      </c>
      <c r="L89" s="83">
        <v>9.5000000000000001E-2</v>
      </c>
      <c r="M89" s="18">
        <v>129754</v>
      </c>
      <c r="N89" s="3">
        <v>83965</v>
      </c>
      <c r="O89" s="6">
        <v>0.14137021266565308</v>
      </c>
      <c r="P89" s="130">
        <v>593937</v>
      </c>
      <c r="Q89" s="55">
        <v>4787</v>
      </c>
      <c r="R89" s="6">
        <v>0.44361041608748031</v>
      </c>
      <c r="S89" s="33">
        <v>10791</v>
      </c>
      <c r="T89" s="55">
        <v>311</v>
      </c>
      <c r="U89" s="6">
        <v>0.87605633802816907</v>
      </c>
      <c r="V89" s="33">
        <v>355</v>
      </c>
      <c r="W89" s="52">
        <v>89063</v>
      </c>
      <c r="X89" s="6">
        <v>0.14719137705075172</v>
      </c>
      <c r="Y89" s="21">
        <v>605083</v>
      </c>
      <c r="Z89" s="3">
        <v>393</v>
      </c>
      <c r="AA89" s="83">
        <v>1.0999999999999999E-2</v>
      </c>
      <c r="AB89" s="33">
        <v>37001</v>
      </c>
      <c r="AC89" s="3">
        <v>72</v>
      </c>
      <c r="AD89" s="83">
        <v>0.4</v>
      </c>
      <c r="AE89" s="33">
        <v>180</v>
      </c>
      <c r="AF89" s="3">
        <v>13</v>
      </c>
      <c r="AG89" s="6">
        <v>0.81299999999999994</v>
      </c>
      <c r="AH89" s="3">
        <v>16</v>
      </c>
      <c r="AI89" s="34">
        <v>478</v>
      </c>
      <c r="AJ89" s="6">
        <v>1.2999999999999999E-2</v>
      </c>
      <c r="AK89" s="21">
        <v>37197</v>
      </c>
      <c r="AL89" s="84">
        <f t="shared" si="166"/>
        <v>0.12630657773173756</v>
      </c>
      <c r="AM89" s="83">
        <f t="shared" si="167"/>
        <v>0.44259489732420659</v>
      </c>
      <c r="AN89" s="6">
        <f t="shared" si="168"/>
        <v>0.84560570071258911</v>
      </c>
      <c r="AO89" s="127">
        <f t="shared" si="169"/>
        <v>0.13196569063020541</v>
      </c>
      <c r="AP89" s="52">
        <f t="shared" si="170"/>
        <v>101882</v>
      </c>
      <c r="AQ89" s="3">
        <f t="shared" si="138"/>
        <v>772034</v>
      </c>
      <c r="AR89" s="12">
        <f t="shared" si="171"/>
        <v>758757</v>
      </c>
      <c r="AS89" s="3">
        <f t="shared" si="172"/>
        <v>12856</v>
      </c>
      <c r="AT89" s="21">
        <f t="shared" si="173"/>
        <v>421</v>
      </c>
    </row>
    <row r="90" spans="1:46" ht="15.75" customHeight="1" x14ac:dyDescent="0.2">
      <c r="A90" s="109">
        <v>43586</v>
      </c>
      <c r="B90" s="3">
        <v>11563</v>
      </c>
      <c r="C90" s="83">
        <v>9.0682372501195971E-2</v>
      </c>
      <c r="D90" s="3">
        <v>127511</v>
      </c>
      <c r="E90" s="134">
        <v>829</v>
      </c>
      <c r="F90" s="83">
        <v>0.44002123142250532</v>
      </c>
      <c r="G90" s="3">
        <v>1884</v>
      </c>
      <c r="H90" s="134">
        <v>32</v>
      </c>
      <c r="I90" s="83">
        <v>0.65306122448979587</v>
      </c>
      <c r="J90" s="3">
        <v>49</v>
      </c>
      <c r="K90" s="140">
        <v>12424</v>
      </c>
      <c r="L90" s="83">
        <v>9.5979728685763724E-2</v>
      </c>
      <c r="M90" s="18">
        <v>129444</v>
      </c>
      <c r="N90" s="3">
        <v>90874</v>
      </c>
      <c r="O90" s="6">
        <v>0.14492721264624453</v>
      </c>
      <c r="P90" s="130">
        <v>627032</v>
      </c>
      <c r="Q90" s="55">
        <v>5067</v>
      </c>
      <c r="R90" s="6">
        <v>0.44303576112616944</v>
      </c>
      <c r="S90" s="33">
        <v>11437</v>
      </c>
      <c r="T90" s="55">
        <v>354</v>
      </c>
      <c r="U90" s="6">
        <v>0.8719211822660099</v>
      </c>
      <c r="V90" s="33">
        <v>406</v>
      </c>
      <c r="W90" s="52">
        <v>96295</v>
      </c>
      <c r="X90" s="6">
        <v>0.1507258853453336</v>
      </c>
      <c r="Y90" s="21">
        <v>638875</v>
      </c>
      <c r="Z90" s="3">
        <v>389</v>
      </c>
      <c r="AA90" s="83">
        <v>1.0514934450601433E-2</v>
      </c>
      <c r="AB90" s="33">
        <v>36995</v>
      </c>
      <c r="AC90" s="3">
        <v>72</v>
      </c>
      <c r="AD90" s="83">
        <v>0.4</v>
      </c>
      <c r="AE90" s="33">
        <v>180</v>
      </c>
      <c r="AF90" s="3">
        <v>13</v>
      </c>
      <c r="AG90" s="6">
        <v>0.8125</v>
      </c>
      <c r="AH90" s="3">
        <v>16</v>
      </c>
      <c r="AI90" s="34">
        <v>474</v>
      </c>
      <c r="AJ90" s="6">
        <v>1.274501895619908E-2</v>
      </c>
      <c r="AK90" s="37">
        <v>37191</v>
      </c>
      <c r="AL90" s="84">
        <f t="shared" si="166"/>
        <v>0.12990658692317994</v>
      </c>
      <c r="AM90" s="83">
        <f t="shared" si="167"/>
        <v>0.44204133027183173</v>
      </c>
      <c r="AN90" s="6">
        <f t="shared" si="168"/>
        <v>0.84713375796178347</v>
      </c>
      <c r="AO90" s="127">
        <f t="shared" si="169"/>
        <v>0.13555759705031595</v>
      </c>
      <c r="AP90" s="52">
        <f t="shared" si="170"/>
        <v>109193</v>
      </c>
      <c r="AQ90" s="3">
        <f t="shared" si="138"/>
        <v>805510</v>
      </c>
      <c r="AR90" s="12">
        <f t="shared" si="171"/>
        <v>791538</v>
      </c>
      <c r="AS90" s="3">
        <f t="shared" si="172"/>
        <v>13501</v>
      </c>
      <c r="AT90" s="21">
        <f t="shared" si="173"/>
        <v>471</v>
      </c>
    </row>
    <row r="91" spans="1:46" ht="15.75" customHeight="1" x14ac:dyDescent="0.2">
      <c r="A91" s="109">
        <v>43556</v>
      </c>
      <c r="B91" s="3">
        <v>11711</v>
      </c>
      <c r="C91" s="83">
        <v>9.2280900824232112E-2</v>
      </c>
      <c r="D91" s="3">
        <v>126906</v>
      </c>
      <c r="E91" s="134">
        <v>827</v>
      </c>
      <c r="F91" s="83">
        <v>0.43965975544922914</v>
      </c>
      <c r="G91" s="3">
        <v>1881</v>
      </c>
      <c r="H91" s="134">
        <v>33</v>
      </c>
      <c r="I91" s="83">
        <v>0.67346938775510201</v>
      </c>
      <c r="J91" s="3">
        <v>49</v>
      </c>
      <c r="K91" s="140">
        <v>12571</v>
      </c>
      <c r="L91" s="83">
        <v>9.7573659536154489E-2</v>
      </c>
      <c r="M91" s="18">
        <v>128836</v>
      </c>
      <c r="N91" s="3">
        <v>86621</v>
      </c>
      <c r="O91" s="6">
        <v>0.14462311104729497</v>
      </c>
      <c r="P91" s="130">
        <v>598943</v>
      </c>
      <c r="Q91" s="55">
        <v>4906</v>
      </c>
      <c r="R91" s="6">
        <v>0.43690444385074362</v>
      </c>
      <c r="S91" s="33">
        <v>11229</v>
      </c>
      <c r="T91" s="55">
        <v>350</v>
      </c>
      <c r="U91" s="6">
        <v>0.86419753086419748</v>
      </c>
      <c r="V91" s="33">
        <v>405</v>
      </c>
      <c r="W91" s="52">
        <v>91877</v>
      </c>
      <c r="X91" s="6">
        <v>0.15047569757786486</v>
      </c>
      <c r="Y91" s="21">
        <v>610577</v>
      </c>
      <c r="Z91" s="3">
        <v>394</v>
      </c>
      <c r="AA91" s="83">
        <v>1.0679243237382773E-2</v>
      </c>
      <c r="AB91" s="33">
        <v>36894</v>
      </c>
      <c r="AC91" s="3">
        <v>72</v>
      </c>
      <c r="AD91" s="83">
        <v>0.39779005524861877</v>
      </c>
      <c r="AE91" s="33">
        <v>181</v>
      </c>
      <c r="AF91" s="3">
        <v>13</v>
      </c>
      <c r="AG91" s="6">
        <v>0.8125</v>
      </c>
      <c r="AH91" s="3">
        <v>16</v>
      </c>
      <c r="AI91" s="34">
        <v>479</v>
      </c>
      <c r="AJ91" s="6">
        <v>1.2914184033862661E-2</v>
      </c>
      <c r="AK91" s="37">
        <v>37091</v>
      </c>
      <c r="AL91" s="84">
        <f t="shared" ref="AL91:AL96" si="174">(B91+N91+Z91)/AR91</f>
        <v>0.1294354717119659</v>
      </c>
      <c r="AM91" s="83">
        <f t="shared" ref="AM91:AM96" si="175">(E91+Q91+AC91)/AS91</f>
        <v>0.43676171845609812</v>
      </c>
      <c r="AN91" s="6">
        <f t="shared" ref="AN91:AN96" si="176">(H91+T91+AF91)/AT91</f>
        <v>0.8425531914893617</v>
      </c>
      <c r="AO91" s="127">
        <f t="shared" ref="AO91:AO96" si="177">AP91/AQ91</f>
        <v>0.13512744300093754</v>
      </c>
      <c r="AP91" s="52">
        <f t="shared" ref="AP91:AP96" si="178">AF91+AC91+Z91+T91+Q91+N91+H91+E91+B91</f>
        <v>104927</v>
      </c>
      <c r="AQ91" s="3">
        <f t="shared" si="138"/>
        <v>776504</v>
      </c>
      <c r="AR91" s="12">
        <f t="shared" ref="AR91:AR96" si="179">+D91+P91+AB91</f>
        <v>762743</v>
      </c>
      <c r="AS91" s="3">
        <f t="shared" ref="AS91:AS96" si="180">G91+S91+AE91</f>
        <v>13291</v>
      </c>
      <c r="AT91" s="21">
        <f t="shared" ref="AT91:AT96" si="181">J91+V91+AH91</f>
        <v>470</v>
      </c>
    </row>
    <row r="92" spans="1:46" ht="15.75" customHeight="1" x14ac:dyDescent="0.2">
      <c r="A92" s="109">
        <v>43525</v>
      </c>
      <c r="B92" s="3">
        <v>11722</v>
      </c>
      <c r="C92" s="83">
        <v>9.2999999999999999E-2</v>
      </c>
      <c r="D92" s="3">
        <v>126690</v>
      </c>
      <c r="E92" s="134">
        <v>820</v>
      </c>
      <c r="F92" s="83">
        <v>0.442</v>
      </c>
      <c r="G92" s="3">
        <v>1854</v>
      </c>
      <c r="H92" s="134">
        <v>33</v>
      </c>
      <c r="I92" s="83">
        <v>0.67300000000000004</v>
      </c>
      <c r="J92" s="3">
        <v>49</v>
      </c>
      <c r="K92" s="140">
        <v>12575</v>
      </c>
      <c r="L92" s="83">
        <v>9.8000000000000004E-2</v>
      </c>
      <c r="M92" s="18">
        <v>128593</v>
      </c>
      <c r="N92" s="3">
        <v>91321</v>
      </c>
      <c r="O92" s="6">
        <v>0.14646535118741169</v>
      </c>
      <c r="P92" s="130">
        <v>623499</v>
      </c>
      <c r="Q92" s="55">
        <v>4992</v>
      </c>
      <c r="R92" s="6">
        <v>0.43071613459879204</v>
      </c>
      <c r="S92" s="33">
        <v>11590</v>
      </c>
      <c r="T92" s="55">
        <v>355</v>
      </c>
      <c r="U92" s="6">
        <v>0.86165048543689315</v>
      </c>
      <c r="V92" s="33">
        <v>412</v>
      </c>
      <c r="W92" s="52">
        <v>96668</v>
      </c>
      <c r="X92" s="6">
        <v>0.15211305725718763</v>
      </c>
      <c r="Y92" s="21">
        <v>635501</v>
      </c>
      <c r="Z92" s="3">
        <v>393</v>
      </c>
      <c r="AA92" s="83">
        <v>1.0999999999999999E-2</v>
      </c>
      <c r="AB92" s="33">
        <v>36892</v>
      </c>
      <c r="AC92" s="3">
        <v>72</v>
      </c>
      <c r="AD92" s="83">
        <v>0.39800000000000002</v>
      </c>
      <c r="AE92" s="33">
        <v>181</v>
      </c>
      <c r="AF92" s="3">
        <v>13</v>
      </c>
      <c r="AG92" s="6">
        <v>0.81299999999999994</v>
      </c>
      <c r="AH92" s="3">
        <v>16</v>
      </c>
      <c r="AI92" s="34">
        <v>478</v>
      </c>
      <c r="AJ92" s="6">
        <v>1.2999999999999999E-2</v>
      </c>
      <c r="AK92" s="21">
        <v>37089</v>
      </c>
      <c r="AL92" s="84">
        <f t="shared" si="174"/>
        <v>0.13141722389436411</v>
      </c>
      <c r="AM92" s="83">
        <f t="shared" si="175"/>
        <v>0.43185321100917429</v>
      </c>
      <c r="AN92" s="6">
        <f t="shared" si="176"/>
        <v>0.84067085953878407</v>
      </c>
      <c r="AO92" s="127">
        <f t="shared" si="177"/>
        <v>0.13694873705507979</v>
      </c>
      <c r="AP92" s="52">
        <f t="shared" si="178"/>
        <v>109721</v>
      </c>
      <c r="AQ92" s="3">
        <f t="shared" si="138"/>
        <v>801183</v>
      </c>
      <c r="AR92" s="12">
        <f t="shared" si="179"/>
        <v>787081</v>
      </c>
      <c r="AS92" s="3">
        <f t="shared" si="180"/>
        <v>13625</v>
      </c>
      <c r="AT92" s="21">
        <f t="shared" si="181"/>
        <v>477</v>
      </c>
    </row>
    <row r="93" spans="1:46" ht="15.75" customHeight="1" x14ac:dyDescent="0.2">
      <c r="A93" s="109">
        <v>43497</v>
      </c>
      <c r="B93" s="3">
        <v>11757</v>
      </c>
      <c r="C93" s="83">
        <v>8.3614846844796559E-2</v>
      </c>
      <c r="D93" s="3">
        <v>140609</v>
      </c>
      <c r="E93" s="134">
        <v>816</v>
      </c>
      <c r="F93" s="83">
        <v>0.43965517241379309</v>
      </c>
      <c r="G93" s="3">
        <v>1856</v>
      </c>
      <c r="H93" s="134">
        <v>31</v>
      </c>
      <c r="I93" s="83">
        <v>0.63265306122448983</v>
      </c>
      <c r="J93" s="3">
        <v>49</v>
      </c>
      <c r="K93" s="140">
        <v>12604</v>
      </c>
      <c r="L93" s="83">
        <v>8.844043392228132E-2</v>
      </c>
      <c r="M93" s="18">
        <v>142514</v>
      </c>
      <c r="N93" s="3">
        <v>86234</v>
      </c>
      <c r="O93" s="6">
        <v>0.14589917638380379</v>
      </c>
      <c r="P93" s="130">
        <v>591052</v>
      </c>
      <c r="Q93" s="55">
        <v>4604</v>
      </c>
      <c r="R93" s="6">
        <v>0.42609902822767237</v>
      </c>
      <c r="S93" s="33">
        <v>10805</v>
      </c>
      <c r="T93" s="55">
        <v>296</v>
      </c>
      <c r="U93" s="6">
        <v>0.87315634218289084</v>
      </c>
      <c r="V93" s="33">
        <v>339</v>
      </c>
      <c r="W93" s="52">
        <v>91134</v>
      </c>
      <c r="X93" s="6">
        <v>0.15133610983799295</v>
      </c>
      <c r="Y93" s="21">
        <v>602196</v>
      </c>
      <c r="Z93" s="3">
        <v>386</v>
      </c>
      <c r="AA93" s="83">
        <v>1.0455604312259602E-2</v>
      </c>
      <c r="AB93" s="33">
        <v>36918</v>
      </c>
      <c r="AC93" s="3">
        <v>70</v>
      </c>
      <c r="AD93" s="83">
        <v>0.38674033149171272</v>
      </c>
      <c r="AE93" s="33">
        <v>181</v>
      </c>
      <c r="AF93" s="3">
        <v>13</v>
      </c>
      <c r="AG93" s="6">
        <v>0.8125</v>
      </c>
      <c r="AH93" s="3">
        <v>16</v>
      </c>
      <c r="AI93" s="34">
        <v>469</v>
      </c>
      <c r="AJ93" s="6">
        <v>1.2636400377205981E-2</v>
      </c>
      <c r="AK93" s="37">
        <v>37115</v>
      </c>
      <c r="AL93" s="84">
        <f t="shared" si="174"/>
        <v>0.12799855317410441</v>
      </c>
      <c r="AM93" s="83">
        <f t="shared" si="175"/>
        <v>0.42750350412708299</v>
      </c>
      <c r="AN93" s="6">
        <f t="shared" si="176"/>
        <v>0.84158415841584155</v>
      </c>
      <c r="AO93" s="127">
        <f t="shared" si="177"/>
        <v>0.1332868608703994</v>
      </c>
      <c r="AP93" s="52">
        <f t="shared" si="178"/>
        <v>104207</v>
      </c>
      <c r="AQ93" s="3">
        <f t="shared" si="138"/>
        <v>781825</v>
      </c>
      <c r="AR93" s="12">
        <f t="shared" si="179"/>
        <v>768579</v>
      </c>
      <c r="AS93" s="3">
        <f t="shared" si="180"/>
        <v>12842</v>
      </c>
      <c r="AT93" s="21">
        <f t="shared" si="181"/>
        <v>404</v>
      </c>
    </row>
    <row r="94" spans="1:46" ht="15.75" customHeight="1" x14ac:dyDescent="0.2">
      <c r="A94" s="109">
        <v>43466</v>
      </c>
      <c r="B94" s="3">
        <v>11808</v>
      </c>
      <c r="C94" s="83">
        <v>8.4002048830459281E-2</v>
      </c>
      <c r="D94" s="3">
        <v>140568</v>
      </c>
      <c r="E94" s="134">
        <v>814</v>
      </c>
      <c r="F94" s="83">
        <v>0.4369296833064949</v>
      </c>
      <c r="G94" s="3">
        <v>1863</v>
      </c>
      <c r="H94" s="134">
        <v>31</v>
      </c>
      <c r="I94" s="83">
        <v>0.63265306122448983</v>
      </c>
      <c r="J94" s="3">
        <v>49</v>
      </c>
      <c r="K94" s="140">
        <v>12653</v>
      </c>
      <c r="L94" s="83">
        <v>8.8805446378439082E-2</v>
      </c>
      <c r="M94" s="18">
        <v>142480</v>
      </c>
      <c r="N94" s="3">
        <v>93299</v>
      </c>
      <c r="O94" s="6">
        <v>0.15018503703155206</v>
      </c>
      <c r="P94" s="130">
        <v>621227</v>
      </c>
      <c r="Q94" s="55">
        <v>4900</v>
      </c>
      <c r="R94" s="6">
        <v>0.420636964546313</v>
      </c>
      <c r="S94" s="33">
        <v>11649</v>
      </c>
      <c r="T94" s="55">
        <v>347</v>
      </c>
      <c r="U94" s="6">
        <v>0.86318407960199006</v>
      </c>
      <c r="V94" s="33">
        <v>402</v>
      </c>
      <c r="W94" s="52">
        <v>98546</v>
      </c>
      <c r="X94" s="6">
        <v>0.15561254299059812</v>
      </c>
      <c r="Y94" s="21">
        <v>633278</v>
      </c>
      <c r="Z94" s="3">
        <v>368</v>
      </c>
      <c r="AA94" s="83">
        <v>9.9634493028292938E-3</v>
      </c>
      <c r="AB94" s="33">
        <v>36935</v>
      </c>
      <c r="AC94" s="3">
        <v>69</v>
      </c>
      <c r="AD94" s="83">
        <v>0.37912087912087911</v>
      </c>
      <c r="AE94" s="33">
        <v>182</v>
      </c>
      <c r="AF94" s="3">
        <v>13</v>
      </c>
      <c r="AG94" s="6">
        <v>0.8125</v>
      </c>
      <c r="AH94" s="3">
        <v>16</v>
      </c>
      <c r="AI94" s="34">
        <v>450</v>
      </c>
      <c r="AJ94" s="6">
        <v>1.2118600705571863E-2</v>
      </c>
      <c r="AK94" s="37">
        <v>37133</v>
      </c>
      <c r="AL94" s="84">
        <f t="shared" si="174"/>
        <v>0.1320533847482879</v>
      </c>
      <c r="AM94" s="83">
        <f t="shared" si="175"/>
        <v>0.42230173798743975</v>
      </c>
      <c r="AN94" s="6">
        <f t="shared" si="176"/>
        <v>0.83725910064239828</v>
      </c>
      <c r="AO94" s="127">
        <f t="shared" si="177"/>
        <v>0.13734805773467784</v>
      </c>
      <c r="AP94" s="52">
        <f t="shared" si="178"/>
        <v>111649</v>
      </c>
      <c r="AQ94" s="3">
        <f t="shared" si="138"/>
        <v>812891</v>
      </c>
      <c r="AR94" s="12">
        <f t="shared" si="179"/>
        <v>798730</v>
      </c>
      <c r="AS94" s="3">
        <f t="shared" si="180"/>
        <v>13694</v>
      </c>
      <c r="AT94" s="21">
        <f t="shared" si="181"/>
        <v>467</v>
      </c>
    </row>
    <row r="95" spans="1:46" ht="15.75" customHeight="1" x14ac:dyDescent="0.2">
      <c r="A95" s="109">
        <v>43435</v>
      </c>
      <c r="B95" s="3">
        <v>11933</v>
      </c>
      <c r="C95" s="83">
        <v>9.426122674671196E-2</v>
      </c>
      <c r="D95" s="3">
        <v>126595</v>
      </c>
      <c r="E95" s="134">
        <v>807</v>
      </c>
      <c r="F95" s="83">
        <v>0.43293991416309013</v>
      </c>
      <c r="G95" s="3">
        <v>1864</v>
      </c>
      <c r="H95" s="134">
        <v>31</v>
      </c>
      <c r="I95" s="83">
        <v>0.63265306122448983</v>
      </c>
      <c r="J95" s="3">
        <v>49</v>
      </c>
      <c r="K95" s="140">
        <v>12771</v>
      </c>
      <c r="L95" s="83">
        <v>9.9379026986646746E-2</v>
      </c>
      <c r="M95" s="18">
        <v>128508</v>
      </c>
      <c r="N95" s="3">
        <v>92841</v>
      </c>
      <c r="O95" s="6">
        <v>0.15101696238605533</v>
      </c>
      <c r="P95" s="130">
        <v>614772</v>
      </c>
      <c r="Q95" s="55">
        <v>4465</v>
      </c>
      <c r="R95" s="6">
        <v>0.40742768500775617</v>
      </c>
      <c r="S95" s="33">
        <v>10959</v>
      </c>
      <c r="T95" s="55">
        <v>321</v>
      </c>
      <c r="U95" s="6">
        <v>0.87465940054495916</v>
      </c>
      <c r="V95" s="33">
        <v>367</v>
      </c>
      <c r="W95" s="52">
        <v>97627</v>
      </c>
      <c r="X95" s="6">
        <v>0.15592926346993602</v>
      </c>
      <c r="Y95" s="21">
        <v>626098</v>
      </c>
      <c r="Z95" s="3">
        <v>369</v>
      </c>
      <c r="AA95" s="83">
        <v>9.9907943899929606E-3</v>
      </c>
      <c r="AB95" s="33">
        <v>36934</v>
      </c>
      <c r="AC95" s="3">
        <v>71</v>
      </c>
      <c r="AD95" s="83">
        <v>0.3858695652173913</v>
      </c>
      <c r="AE95" s="33">
        <v>184</v>
      </c>
      <c r="AF95" s="3">
        <v>13</v>
      </c>
      <c r="AG95" s="6">
        <v>0.8125</v>
      </c>
      <c r="AH95" s="3">
        <v>16</v>
      </c>
      <c r="AI95" s="34">
        <v>453</v>
      </c>
      <c r="AJ95" s="6">
        <v>1.2199062853449669E-2</v>
      </c>
      <c r="AK95" s="37">
        <v>37134</v>
      </c>
      <c r="AL95" s="84">
        <f t="shared" si="174"/>
        <v>0.13509297816654481</v>
      </c>
      <c r="AM95" s="83">
        <f t="shared" si="175"/>
        <v>0.41077881140924116</v>
      </c>
      <c r="AN95" s="6">
        <f t="shared" si="176"/>
        <v>0.84490740740740744</v>
      </c>
      <c r="AO95" s="127">
        <f t="shared" si="177"/>
        <v>0.14000934650263974</v>
      </c>
      <c r="AP95" s="52">
        <f t="shared" si="178"/>
        <v>110851</v>
      </c>
      <c r="AQ95" s="3">
        <f t="shared" si="138"/>
        <v>791740</v>
      </c>
      <c r="AR95" s="12">
        <f t="shared" si="179"/>
        <v>778301</v>
      </c>
      <c r="AS95" s="3">
        <f t="shared" si="180"/>
        <v>13007</v>
      </c>
      <c r="AT95" s="21">
        <f t="shared" si="181"/>
        <v>432</v>
      </c>
    </row>
    <row r="96" spans="1:46" ht="15.75" customHeight="1" x14ac:dyDescent="0.2">
      <c r="A96" s="109">
        <v>43405</v>
      </c>
      <c r="B96" s="3">
        <v>11953</v>
      </c>
      <c r="C96" s="83">
        <v>9.4393859226559476E-2</v>
      </c>
      <c r="D96" s="3">
        <v>126629</v>
      </c>
      <c r="E96" s="134">
        <v>807</v>
      </c>
      <c r="F96" s="83">
        <v>0.43201284796573874</v>
      </c>
      <c r="G96" s="3">
        <v>1868</v>
      </c>
      <c r="H96" s="134">
        <v>31</v>
      </c>
      <c r="I96" s="83">
        <v>0.63265306122448983</v>
      </c>
      <c r="J96" s="3">
        <v>49</v>
      </c>
      <c r="K96" s="140">
        <v>12791</v>
      </c>
      <c r="L96" s="83">
        <v>9.9505235479906029E-2</v>
      </c>
      <c r="M96" s="18">
        <v>128546</v>
      </c>
      <c r="N96" s="3">
        <v>91004</v>
      </c>
      <c r="O96" s="6">
        <v>0.15492996111599147</v>
      </c>
      <c r="P96" s="130">
        <v>587388</v>
      </c>
      <c r="Q96" s="55">
        <v>4218</v>
      </c>
      <c r="R96" s="6">
        <v>0.40702499276271348</v>
      </c>
      <c r="S96" s="33">
        <v>10363</v>
      </c>
      <c r="T96" s="55">
        <v>328</v>
      </c>
      <c r="U96" s="6">
        <v>0.86772486772486768</v>
      </c>
      <c r="V96" s="33">
        <v>378</v>
      </c>
      <c r="W96" s="52">
        <v>95550</v>
      </c>
      <c r="X96" s="6">
        <v>0.159748147974768</v>
      </c>
      <c r="Y96" s="21">
        <v>598129</v>
      </c>
      <c r="Z96" s="3">
        <v>370</v>
      </c>
      <c r="AA96" s="83">
        <v>1.0005408328826392E-2</v>
      </c>
      <c r="AB96" s="33">
        <v>36980</v>
      </c>
      <c r="AC96" s="3">
        <v>71</v>
      </c>
      <c r="AD96" s="83">
        <v>0.3858695652173913</v>
      </c>
      <c r="AE96" s="33">
        <v>184</v>
      </c>
      <c r="AF96" s="3">
        <v>13</v>
      </c>
      <c r="AG96" s="6">
        <v>0.8125</v>
      </c>
      <c r="AH96" s="3">
        <v>16</v>
      </c>
      <c r="AI96" s="34">
        <v>454</v>
      </c>
      <c r="AJ96" s="6">
        <v>1.2210866057019903E-2</v>
      </c>
      <c r="AK96" s="37">
        <v>37180</v>
      </c>
      <c r="AL96" s="84">
        <f t="shared" si="174"/>
        <v>0.13758643509894181</v>
      </c>
      <c r="AM96" s="83">
        <f t="shared" si="175"/>
        <v>0.41047120418848165</v>
      </c>
      <c r="AN96" s="6">
        <f t="shared" si="176"/>
        <v>0.83972911963882624</v>
      </c>
      <c r="AO96" s="127">
        <f t="shared" si="177"/>
        <v>0.14242886411688083</v>
      </c>
      <c r="AP96" s="52">
        <f t="shared" si="178"/>
        <v>108795</v>
      </c>
      <c r="AQ96" s="3">
        <f t="shared" si="138"/>
        <v>763855</v>
      </c>
      <c r="AR96" s="12">
        <f t="shared" si="179"/>
        <v>750997</v>
      </c>
      <c r="AS96" s="3">
        <f t="shared" si="180"/>
        <v>12415</v>
      </c>
      <c r="AT96" s="21">
        <f t="shared" si="181"/>
        <v>443</v>
      </c>
    </row>
    <row r="97" spans="1:46" ht="15.75" customHeight="1" x14ac:dyDescent="0.2">
      <c r="A97" s="109">
        <v>43404</v>
      </c>
      <c r="B97" s="3">
        <v>11693</v>
      </c>
      <c r="C97" s="83">
        <v>9.2044774709531152E-2</v>
      </c>
      <c r="D97" s="3">
        <v>127036</v>
      </c>
      <c r="E97" s="134">
        <v>812</v>
      </c>
      <c r="F97" s="83">
        <v>0.43868179362506754</v>
      </c>
      <c r="G97" s="3">
        <v>1851</v>
      </c>
      <c r="H97" s="134">
        <v>31</v>
      </c>
      <c r="I97" s="83">
        <v>0.62</v>
      </c>
      <c r="J97" s="3">
        <v>50</v>
      </c>
      <c r="K97" s="140">
        <v>12536</v>
      </c>
      <c r="L97" s="83">
        <v>9.7225776929818444E-2</v>
      </c>
      <c r="M97" s="18">
        <v>128937</v>
      </c>
      <c r="N97" s="3">
        <v>98088</v>
      </c>
      <c r="O97" s="6">
        <v>0.15840292233431466</v>
      </c>
      <c r="P97" s="130">
        <v>619231</v>
      </c>
      <c r="Q97" s="55">
        <v>4755</v>
      </c>
      <c r="R97" s="6">
        <v>0.42001589965550745</v>
      </c>
      <c r="S97" s="33">
        <v>11321</v>
      </c>
      <c r="T97" s="55">
        <v>350</v>
      </c>
      <c r="U97" s="6">
        <v>0.87281795511221949</v>
      </c>
      <c r="V97" s="33">
        <v>401</v>
      </c>
      <c r="W97" s="52">
        <v>103193</v>
      </c>
      <c r="X97" s="6">
        <v>0.1635510093461795</v>
      </c>
      <c r="Y97" s="21">
        <v>630953</v>
      </c>
      <c r="Z97" s="3">
        <v>371</v>
      </c>
      <c r="AA97" s="83">
        <v>1.0003505271388897E-2</v>
      </c>
      <c r="AB97" s="33">
        <v>37087</v>
      </c>
      <c r="AC97" s="3">
        <v>71</v>
      </c>
      <c r="AD97" s="83">
        <v>0.3858695652173913</v>
      </c>
      <c r="AE97" s="33">
        <v>184</v>
      </c>
      <c r="AF97" s="3">
        <v>13</v>
      </c>
      <c r="AG97" s="6">
        <v>0.8125</v>
      </c>
      <c r="AH97" s="3">
        <v>16</v>
      </c>
      <c r="AI97" s="34">
        <v>455</v>
      </c>
      <c r="AJ97" s="6">
        <v>1.2202644353259849E-2</v>
      </c>
      <c r="AK97" s="37">
        <v>37287</v>
      </c>
      <c r="AL97" s="84">
        <f>(B97+N97+Z97)/AR97</f>
        <v>0.14061586460272113</v>
      </c>
      <c r="AM97" s="83">
        <f>(E97+Q97+AC97)/AS97</f>
        <v>0.42213237496256362</v>
      </c>
      <c r="AN97" s="6">
        <f>(H97+T97+AF97)/AT97</f>
        <v>0.84368308351177734</v>
      </c>
      <c r="AO97" s="127">
        <f>AP97/AQ97</f>
        <v>0.14574429518162216</v>
      </c>
      <c r="AP97" s="52">
        <f>AF97+AC97+Z97+T97+Q97+N97+H97+E97+B97</f>
        <v>116184</v>
      </c>
      <c r="AQ97" s="3">
        <f t="shared" si="138"/>
        <v>797177</v>
      </c>
      <c r="AR97" s="12">
        <f>+D97+P97+AB97</f>
        <v>783354</v>
      </c>
      <c r="AS97" s="3">
        <f>G97+S97+AE97</f>
        <v>13356</v>
      </c>
      <c r="AT97" s="21">
        <f>J97+V97+AH97</f>
        <v>467</v>
      </c>
    </row>
    <row r="98" spans="1:46" ht="15.75" customHeight="1" x14ac:dyDescent="0.2">
      <c r="A98" s="109">
        <v>43344</v>
      </c>
      <c r="B98" s="3">
        <v>11454</v>
      </c>
      <c r="C98" s="83">
        <v>8.994181344180166E-2</v>
      </c>
      <c r="D98" s="3">
        <v>127349</v>
      </c>
      <c r="E98" s="134">
        <v>810</v>
      </c>
      <c r="F98" s="83">
        <v>0.43571812802582033</v>
      </c>
      <c r="G98" s="3">
        <v>1859</v>
      </c>
      <c r="H98" s="134">
        <v>31</v>
      </c>
      <c r="I98" s="83">
        <v>0.64583333333333337</v>
      </c>
      <c r="J98" s="3">
        <v>48</v>
      </c>
      <c r="K98" s="140">
        <v>12295</v>
      </c>
      <c r="L98" s="83">
        <v>9.5121309649068508E-2</v>
      </c>
      <c r="M98" s="18">
        <v>129256</v>
      </c>
      <c r="N98" s="3">
        <v>94275</v>
      </c>
      <c r="O98" s="6">
        <v>0.16045743346399133</v>
      </c>
      <c r="P98" s="130">
        <v>587539</v>
      </c>
      <c r="Q98" s="55">
        <v>4412</v>
      </c>
      <c r="R98" s="6">
        <v>0.42529400424137265</v>
      </c>
      <c r="S98" s="33">
        <v>10374</v>
      </c>
      <c r="T98" s="55">
        <v>312</v>
      </c>
      <c r="U98" s="6">
        <v>0.86908077994428967</v>
      </c>
      <c r="V98" s="33">
        <v>359</v>
      </c>
      <c r="W98" s="52">
        <v>98999</v>
      </c>
      <c r="X98" s="6">
        <v>0.16547490104835258</v>
      </c>
      <c r="Y98" s="21">
        <v>598272</v>
      </c>
      <c r="Z98" s="3">
        <v>372</v>
      </c>
      <c r="AA98" s="83">
        <v>1.0029387182874551E-2</v>
      </c>
      <c r="AB98" s="33">
        <v>37091</v>
      </c>
      <c r="AC98" s="3">
        <v>71</v>
      </c>
      <c r="AD98" s="83">
        <v>0.3858695652173913</v>
      </c>
      <c r="AE98" s="33">
        <v>184</v>
      </c>
      <c r="AF98" s="3">
        <v>13</v>
      </c>
      <c r="AG98" s="6">
        <v>0.8125</v>
      </c>
      <c r="AH98" s="3">
        <v>16</v>
      </c>
      <c r="AI98" s="34">
        <v>456</v>
      </c>
      <c r="AJ98" s="6">
        <v>1.2228151564720711E-2</v>
      </c>
      <c r="AK98" s="37">
        <v>37291</v>
      </c>
      <c r="AL98" s="84">
        <f>(B98+N98+Z98)/AR98</f>
        <v>0.14109569549149645</v>
      </c>
      <c r="AM98" s="83">
        <f>(E98+Q98+AC98)/AS98</f>
        <v>0.42627043569300155</v>
      </c>
      <c r="AN98" s="6">
        <f>(H98+T98+AF98)/AT98</f>
        <v>0.84160756501182032</v>
      </c>
      <c r="AO98" s="127">
        <f>AP98/AQ98</f>
        <v>0.1461130018997959</v>
      </c>
      <c r="AP98" s="52">
        <f>AF98+AC98+Z98+T98+Q98+N98+H98+E98+B98</f>
        <v>111750</v>
      </c>
      <c r="AQ98" s="3">
        <f t="shared" si="138"/>
        <v>764819</v>
      </c>
      <c r="AR98" s="12">
        <f>+D98+P98+AB98</f>
        <v>751979</v>
      </c>
      <c r="AS98" s="3">
        <f>G98+S98+AE98</f>
        <v>12417</v>
      </c>
      <c r="AT98" s="21">
        <f>J98+V98+AH98</f>
        <v>423</v>
      </c>
    </row>
    <row r="99" spans="1:46" ht="15.75" customHeight="1" x14ac:dyDescent="0.2">
      <c r="A99" s="109">
        <v>43313</v>
      </c>
      <c r="B99" s="3">
        <v>11627</v>
      </c>
      <c r="C99" s="83">
        <v>9.1273049840250572E-2</v>
      </c>
      <c r="D99" s="3">
        <v>127387</v>
      </c>
      <c r="E99" s="134">
        <v>805</v>
      </c>
      <c r="F99" s="83">
        <v>0.43186695278969955</v>
      </c>
      <c r="G99" s="3">
        <v>1864</v>
      </c>
      <c r="H99" s="134">
        <v>31</v>
      </c>
      <c r="I99" s="83">
        <v>0.64583333333333337</v>
      </c>
      <c r="J99" s="3">
        <v>48</v>
      </c>
      <c r="K99" s="140">
        <v>12463</v>
      </c>
      <c r="L99" s="83">
        <v>9.6388989860710442E-2</v>
      </c>
      <c r="M99" s="18">
        <v>129299</v>
      </c>
      <c r="N99" s="3">
        <v>100400</v>
      </c>
      <c r="O99" s="6">
        <v>0.16240698802976383</v>
      </c>
      <c r="P99" s="130">
        <v>618200</v>
      </c>
      <c r="Q99" s="55">
        <v>4702</v>
      </c>
      <c r="R99" s="6">
        <v>0.42862351868732906</v>
      </c>
      <c r="S99" s="33">
        <v>10970</v>
      </c>
      <c r="T99" s="55">
        <v>363</v>
      </c>
      <c r="U99" s="6">
        <v>0.88321167883211682</v>
      </c>
      <c r="V99" s="33">
        <v>411</v>
      </c>
      <c r="W99" s="52">
        <v>105465</v>
      </c>
      <c r="X99" s="6">
        <v>0.16751617345504391</v>
      </c>
      <c r="Y99" s="21">
        <v>629581</v>
      </c>
      <c r="Z99" s="3">
        <v>372</v>
      </c>
      <c r="AA99" s="83">
        <v>1.0032362459546926E-2</v>
      </c>
      <c r="AB99" s="33">
        <v>37080</v>
      </c>
      <c r="AC99" s="3">
        <v>72</v>
      </c>
      <c r="AD99" s="83">
        <v>0.38918918918918921</v>
      </c>
      <c r="AE99" s="33">
        <v>185</v>
      </c>
      <c r="AF99" s="3">
        <v>13</v>
      </c>
      <c r="AG99" s="6">
        <v>0.8125</v>
      </c>
      <c r="AH99" s="3">
        <v>16</v>
      </c>
      <c r="AI99" s="34">
        <v>457</v>
      </c>
      <c r="AJ99" s="6">
        <v>1.2258254875137469E-2</v>
      </c>
      <c r="AK99" s="37">
        <v>37281</v>
      </c>
      <c r="AL99" s="84">
        <f>(B99+N99+Z99)/AR99</f>
        <v>0.14361024548115608</v>
      </c>
      <c r="AM99" s="83">
        <f>(E99+Q99+AC99)/AS99</f>
        <v>0.42852753667716414</v>
      </c>
      <c r="AN99" s="6">
        <f>(H99+T99+AF99)/AT99</f>
        <v>0.85684210526315785</v>
      </c>
      <c r="AO99" s="127">
        <f>AP99/AQ99</f>
        <v>0.14869479916750505</v>
      </c>
      <c r="AP99" s="52">
        <f>AF99+AC99+Z99+T99+Q99+N99+H99+E99+B99</f>
        <v>118385</v>
      </c>
      <c r="AQ99" s="3">
        <f t="shared" si="138"/>
        <v>796161</v>
      </c>
      <c r="AR99" s="12">
        <f>+D99+P99+AB99</f>
        <v>782667</v>
      </c>
      <c r="AS99" s="3">
        <f>G99+S99+AE99</f>
        <v>13019</v>
      </c>
      <c r="AT99" s="21">
        <f>J99+V99+AH99</f>
        <v>475</v>
      </c>
    </row>
    <row r="100" spans="1:46" ht="15.75" customHeight="1" x14ac:dyDescent="0.2">
      <c r="A100" s="109">
        <v>43282</v>
      </c>
      <c r="B100" s="3">
        <v>11836</v>
      </c>
      <c r="C100" s="83">
        <v>9.3143311324986419E-2</v>
      </c>
      <c r="D100" s="3">
        <v>127073</v>
      </c>
      <c r="E100" s="134">
        <v>803</v>
      </c>
      <c r="F100" s="83">
        <v>0.43148844707146694</v>
      </c>
      <c r="G100" s="3">
        <v>1861</v>
      </c>
      <c r="H100" s="134">
        <v>30</v>
      </c>
      <c r="I100" s="83">
        <v>0.63829787234042556</v>
      </c>
      <c r="J100" s="3">
        <v>47</v>
      </c>
      <c r="K100" s="140">
        <v>12669</v>
      </c>
      <c r="L100" s="83">
        <v>9.8223769392391122E-2</v>
      </c>
      <c r="M100" s="18">
        <v>128981</v>
      </c>
      <c r="N100" s="3">
        <v>100682</v>
      </c>
      <c r="O100" s="6">
        <v>0.16324445972151061</v>
      </c>
      <c r="P100" s="130">
        <v>616756</v>
      </c>
      <c r="Q100" s="55">
        <v>4701</v>
      </c>
      <c r="R100" s="6">
        <v>0.43112619222303744</v>
      </c>
      <c r="S100" s="33">
        <v>10904</v>
      </c>
      <c r="T100" s="55">
        <v>303</v>
      </c>
      <c r="U100" s="6">
        <v>0.86324786324786329</v>
      </c>
      <c r="V100" s="33">
        <v>351</v>
      </c>
      <c r="W100" s="52">
        <v>105686</v>
      </c>
      <c r="X100" s="6">
        <v>0.16828686121739905</v>
      </c>
      <c r="Y100" s="21">
        <v>628011</v>
      </c>
      <c r="Z100" s="3">
        <v>373</v>
      </c>
      <c r="AA100" s="83">
        <v>1.0069922518290543E-2</v>
      </c>
      <c r="AB100" s="33">
        <v>37041</v>
      </c>
      <c r="AC100" s="3">
        <v>72</v>
      </c>
      <c r="AD100" s="83">
        <v>0.38918918918918921</v>
      </c>
      <c r="AE100" s="33">
        <v>185</v>
      </c>
      <c r="AF100" s="3">
        <v>13</v>
      </c>
      <c r="AG100" s="6">
        <v>0.8125</v>
      </c>
      <c r="AH100" s="3">
        <v>16</v>
      </c>
      <c r="AI100" s="34">
        <v>458</v>
      </c>
      <c r="AJ100" s="6">
        <v>1.2297943182428441E-2</v>
      </c>
      <c r="AK100" s="37">
        <v>37242</v>
      </c>
      <c r="AL100" s="84">
        <f>(B100+N100+Z100)/AR100</f>
        <v>0.14457079923674876</v>
      </c>
      <c r="AM100" s="83">
        <f>(E100+Q100+AC100)/AS100</f>
        <v>0.43057915057915058</v>
      </c>
      <c r="AN100" s="6">
        <f>(H100+T100+AF100)/AT100</f>
        <v>0.83574879227053145</v>
      </c>
      <c r="AO100" s="127">
        <f>AP100/AQ100</f>
        <v>0.14959445201288285</v>
      </c>
      <c r="AP100" s="52">
        <f>AF100+AC100+Z100+T100+Q100+N100+H100+E100+B100</f>
        <v>118813</v>
      </c>
      <c r="AQ100" s="3">
        <f t="shared" si="138"/>
        <v>794234</v>
      </c>
      <c r="AR100" s="12">
        <f>+D100+P100+AB100</f>
        <v>780870</v>
      </c>
      <c r="AS100" s="3">
        <f>G100+S100+AE100</f>
        <v>12950</v>
      </c>
      <c r="AT100" s="21">
        <f>J100+V100+AH100</f>
        <v>414</v>
      </c>
    </row>
    <row r="101" spans="1:46" ht="15.75" customHeight="1" x14ac:dyDescent="0.2">
      <c r="A101" s="109">
        <v>43252</v>
      </c>
      <c r="B101" s="3">
        <v>11654</v>
      </c>
      <c r="C101" s="83">
        <v>9.1738497264533397E-2</v>
      </c>
      <c r="D101" s="3">
        <v>127035</v>
      </c>
      <c r="E101" s="134">
        <v>810</v>
      </c>
      <c r="F101" s="83">
        <v>0.43454935622317598</v>
      </c>
      <c r="G101" s="3">
        <v>1864</v>
      </c>
      <c r="H101" s="134">
        <v>30</v>
      </c>
      <c r="I101" s="83">
        <v>0.63829787234042556</v>
      </c>
      <c r="J101" s="3">
        <v>47</v>
      </c>
      <c r="K101" s="140">
        <v>12494</v>
      </c>
      <c r="L101" s="83">
        <v>9.6893273153102852E-2</v>
      </c>
      <c r="M101" s="18">
        <v>128946</v>
      </c>
      <c r="N101" s="3">
        <v>100272</v>
      </c>
      <c r="O101" s="6">
        <v>0.15149871499863266</v>
      </c>
      <c r="P101" s="130">
        <v>661867</v>
      </c>
      <c r="Q101" s="55">
        <v>4639</v>
      </c>
      <c r="R101" s="6">
        <v>0.43065354623096919</v>
      </c>
      <c r="S101" s="33">
        <v>10772</v>
      </c>
      <c r="T101" s="55">
        <v>307</v>
      </c>
      <c r="U101" s="6">
        <v>0.86478873239436616</v>
      </c>
      <c r="V101" s="33">
        <v>355</v>
      </c>
      <c r="W101" s="52">
        <v>105218</v>
      </c>
      <c r="X101" s="6">
        <v>0.15634314719001952</v>
      </c>
      <c r="Y101" s="21">
        <v>672994</v>
      </c>
      <c r="Z101" s="3">
        <v>417</v>
      </c>
      <c r="AA101" s="83">
        <v>1.1246257989697672E-2</v>
      </c>
      <c r="AB101" s="33">
        <v>37079</v>
      </c>
      <c r="AC101" s="3">
        <v>72</v>
      </c>
      <c r="AD101" s="83">
        <v>0.38918918918918921</v>
      </c>
      <c r="AE101" s="33">
        <v>185</v>
      </c>
      <c r="AF101" s="3">
        <v>13</v>
      </c>
      <c r="AG101" s="6">
        <v>0.8125</v>
      </c>
      <c r="AH101" s="3">
        <v>16</v>
      </c>
      <c r="AI101" s="34">
        <v>502</v>
      </c>
      <c r="AJ101" s="6">
        <v>1.3465665236051503E-2</v>
      </c>
      <c r="AK101" s="37">
        <v>37280</v>
      </c>
      <c r="AL101" s="84">
        <f t="shared" ref="AL101:AL108" si="182">(B101+N101+Z101)/AR101</f>
        <v>0.13601160317247007</v>
      </c>
      <c r="AM101" s="83">
        <f t="shared" ref="AM101:AM108" si="183">(E101+Q101+AC101)/AS101</f>
        <v>0.43062163637781764</v>
      </c>
      <c r="AN101" s="6">
        <f t="shared" ref="AN101:AN108" si="184">(H101+T101+AF101)/AT101</f>
        <v>0.83732057416267947</v>
      </c>
      <c r="AO101" s="127">
        <f t="shared" ref="AO101:AO108" si="185">AP101/AQ101</f>
        <v>0.14086175257977646</v>
      </c>
      <c r="AP101" s="52">
        <f t="shared" ref="AP101:AP108" si="186">AF101+AC101+Z101+T101+Q101+N101+H101+E101+B101</f>
        <v>118214</v>
      </c>
      <c r="AQ101" s="3">
        <f t="shared" si="138"/>
        <v>839220</v>
      </c>
      <c r="AR101" s="12">
        <f t="shared" ref="AR101:AR108" si="187">+D101+P101+AB101</f>
        <v>825981</v>
      </c>
      <c r="AS101" s="3">
        <f t="shared" ref="AS101:AS108" si="188">G101+S101+AE101</f>
        <v>12821</v>
      </c>
      <c r="AT101" s="21">
        <f t="shared" ref="AT101:AT108" si="189">J101+V101+AH101</f>
        <v>418</v>
      </c>
    </row>
    <row r="102" spans="1:46" ht="15.75" customHeight="1" x14ac:dyDescent="0.2">
      <c r="A102" s="109">
        <v>43221</v>
      </c>
      <c r="B102" s="3">
        <v>10252</v>
      </c>
      <c r="C102" s="83">
        <v>8.0904693135096323E-2</v>
      </c>
      <c r="D102" s="3">
        <v>126717</v>
      </c>
      <c r="E102" s="134">
        <v>810</v>
      </c>
      <c r="F102" s="83">
        <v>0.43618739903069464</v>
      </c>
      <c r="G102" s="3">
        <v>1857</v>
      </c>
      <c r="H102" s="134">
        <v>29</v>
      </c>
      <c r="I102" s="83">
        <v>0.63043478260869568</v>
      </c>
      <c r="J102" s="3">
        <v>46</v>
      </c>
      <c r="K102" s="140">
        <v>11091</v>
      </c>
      <c r="L102" s="83">
        <v>8.6230757269475974E-2</v>
      </c>
      <c r="M102" s="18">
        <v>128620</v>
      </c>
      <c r="N102" s="3">
        <v>100344</v>
      </c>
      <c r="O102" s="6">
        <v>0.16295853606251745</v>
      </c>
      <c r="P102" s="130">
        <v>615764</v>
      </c>
      <c r="Q102" s="55">
        <v>4750</v>
      </c>
      <c r="R102" s="6">
        <v>0.43162199000454338</v>
      </c>
      <c r="S102" s="33">
        <v>11005</v>
      </c>
      <c r="T102" s="55">
        <v>322</v>
      </c>
      <c r="U102" s="6">
        <v>0.86792452830188682</v>
      </c>
      <c r="V102" s="33">
        <v>371</v>
      </c>
      <c r="W102" s="52">
        <v>105416</v>
      </c>
      <c r="X102" s="6">
        <v>0.168090059635807</v>
      </c>
      <c r="Y102" s="21">
        <v>627140</v>
      </c>
      <c r="Z102" s="3">
        <v>415</v>
      </c>
      <c r="AA102" s="83">
        <v>1.1183572275520104E-2</v>
      </c>
      <c r="AB102" s="33">
        <v>37108</v>
      </c>
      <c r="AC102" s="3">
        <v>68</v>
      </c>
      <c r="AD102" s="83">
        <v>0.36559139784946237</v>
      </c>
      <c r="AE102" s="33">
        <v>186</v>
      </c>
      <c r="AF102" s="3">
        <v>13</v>
      </c>
      <c r="AG102" s="6">
        <v>0.8125</v>
      </c>
      <c r="AH102" s="3">
        <v>16</v>
      </c>
      <c r="AI102" s="34">
        <v>496</v>
      </c>
      <c r="AJ102" s="6">
        <v>1.3294023050120611E-2</v>
      </c>
      <c r="AK102" s="37">
        <v>37310</v>
      </c>
      <c r="AL102" s="84">
        <f t="shared" si="182"/>
        <v>0.14239682704604606</v>
      </c>
      <c r="AM102" s="83">
        <f t="shared" si="183"/>
        <v>0.43133047210300429</v>
      </c>
      <c r="AN102" s="6">
        <f t="shared" si="184"/>
        <v>0.84064665127020788</v>
      </c>
      <c r="AO102" s="127">
        <f t="shared" si="185"/>
        <v>0.14753174373006167</v>
      </c>
      <c r="AP102" s="52">
        <f t="shared" si="186"/>
        <v>117003</v>
      </c>
      <c r="AQ102" s="3">
        <f t="shared" si="138"/>
        <v>793070</v>
      </c>
      <c r="AR102" s="12">
        <f t="shared" si="187"/>
        <v>779589</v>
      </c>
      <c r="AS102" s="3">
        <f t="shared" si="188"/>
        <v>13048</v>
      </c>
      <c r="AT102" s="21">
        <f t="shared" si="189"/>
        <v>433</v>
      </c>
    </row>
    <row r="103" spans="1:46" ht="15.75" customHeight="1" x14ac:dyDescent="0.2">
      <c r="A103" s="109">
        <v>43191</v>
      </c>
      <c r="B103" s="3">
        <v>10129</v>
      </c>
      <c r="C103" s="83">
        <v>8.0439961880559088E-2</v>
      </c>
      <c r="D103" s="3">
        <v>125920</v>
      </c>
      <c r="E103" s="134">
        <v>816</v>
      </c>
      <c r="F103" s="83">
        <v>0.44131963223363979</v>
      </c>
      <c r="G103" s="3">
        <v>1849</v>
      </c>
      <c r="H103" s="134">
        <v>29</v>
      </c>
      <c r="I103" s="83">
        <v>0.63043478260869568</v>
      </c>
      <c r="J103" s="3">
        <v>46</v>
      </c>
      <c r="K103" s="140">
        <v>10974</v>
      </c>
      <c r="L103" s="83">
        <v>8.5858467316042714E-2</v>
      </c>
      <c r="M103" s="18">
        <v>127815</v>
      </c>
      <c r="N103" s="3">
        <v>99058</v>
      </c>
      <c r="O103" s="6">
        <v>0.16163867657905215</v>
      </c>
      <c r="P103" s="130">
        <v>612836</v>
      </c>
      <c r="Q103" s="55">
        <v>4845</v>
      </c>
      <c r="R103" s="6">
        <v>0.43901776005799203</v>
      </c>
      <c r="S103" s="33">
        <v>11036</v>
      </c>
      <c r="T103" s="55">
        <v>330</v>
      </c>
      <c r="U103" s="6">
        <v>0.88</v>
      </c>
      <c r="V103" s="33">
        <v>375</v>
      </c>
      <c r="W103" s="52">
        <v>104233</v>
      </c>
      <c r="X103" s="6">
        <v>0.16697397023934435</v>
      </c>
      <c r="Y103" s="21">
        <v>624247</v>
      </c>
      <c r="Z103" s="3">
        <v>415</v>
      </c>
      <c r="AA103" s="83">
        <v>1.1207734687263693E-2</v>
      </c>
      <c r="AB103" s="33">
        <v>37028</v>
      </c>
      <c r="AC103" s="3">
        <v>68</v>
      </c>
      <c r="AD103" s="83">
        <v>0.36559139784946237</v>
      </c>
      <c r="AE103" s="33">
        <v>186</v>
      </c>
      <c r="AF103" s="3">
        <v>13</v>
      </c>
      <c r="AG103" s="6">
        <v>0.8666666666666667</v>
      </c>
      <c r="AH103" s="3">
        <v>15</v>
      </c>
      <c r="AI103" s="34">
        <v>496</v>
      </c>
      <c r="AJ103" s="6">
        <v>1.332294716484461E-2</v>
      </c>
      <c r="AK103" s="37">
        <v>37229</v>
      </c>
      <c r="AL103" s="84">
        <f t="shared" si="182"/>
        <v>0.14127901580852403</v>
      </c>
      <c r="AM103" s="83">
        <f t="shared" si="183"/>
        <v>0.43829852344885623</v>
      </c>
      <c r="AN103" s="6">
        <f t="shared" si="184"/>
        <v>0.85321100917431192</v>
      </c>
      <c r="AO103" s="127">
        <f t="shared" si="185"/>
        <v>0.14659105450334542</v>
      </c>
      <c r="AP103" s="52">
        <f t="shared" si="186"/>
        <v>115703</v>
      </c>
      <c r="AQ103" s="3">
        <f t="shared" si="138"/>
        <v>789291</v>
      </c>
      <c r="AR103" s="12">
        <f t="shared" si="187"/>
        <v>775784</v>
      </c>
      <c r="AS103" s="3">
        <f t="shared" si="188"/>
        <v>13071</v>
      </c>
      <c r="AT103" s="21">
        <f t="shared" si="189"/>
        <v>436</v>
      </c>
    </row>
    <row r="104" spans="1:46" ht="15.75" customHeight="1" x14ac:dyDescent="0.2">
      <c r="A104" s="109">
        <v>43160</v>
      </c>
      <c r="B104" s="3">
        <v>10881</v>
      </c>
      <c r="C104" s="83">
        <v>8.6725381580520469E-2</v>
      </c>
      <c r="D104" s="3">
        <v>125465</v>
      </c>
      <c r="E104" s="134">
        <v>827</v>
      </c>
      <c r="F104" s="83">
        <v>0.45265462506841819</v>
      </c>
      <c r="G104" s="3">
        <v>1827</v>
      </c>
      <c r="H104" s="134">
        <v>29</v>
      </c>
      <c r="I104" s="83">
        <v>0.65909090909090906</v>
      </c>
      <c r="J104" s="3">
        <v>44</v>
      </c>
      <c r="K104" s="140">
        <v>11737</v>
      </c>
      <c r="L104" s="83">
        <v>9.2173462335867318E-2</v>
      </c>
      <c r="M104" s="18">
        <v>127336</v>
      </c>
      <c r="N104" s="3">
        <v>102134</v>
      </c>
      <c r="O104" s="6">
        <v>0.16556193699717781</v>
      </c>
      <c r="P104" s="130">
        <v>616893</v>
      </c>
      <c r="Q104" s="55">
        <v>4957</v>
      </c>
      <c r="R104" s="6">
        <v>0.43878905904222359</v>
      </c>
      <c r="S104" s="33">
        <v>11297</v>
      </c>
      <c r="T104" s="55">
        <v>334</v>
      </c>
      <c r="U104" s="6">
        <v>0.86528497409326421</v>
      </c>
      <c r="V104" s="33">
        <v>386</v>
      </c>
      <c r="W104" s="52">
        <v>107425</v>
      </c>
      <c r="X104" s="6">
        <v>0.17090216616606424</v>
      </c>
      <c r="Y104" s="21">
        <v>628576</v>
      </c>
      <c r="Z104" s="3">
        <v>415</v>
      </c>
      <c r="AA104" s="83">
        <v>1.1203801193272319E-2</v>
      </c>
      <c r="AB104" s="33">
        <v>37041</v>
      </c>
      <c r="AC104" s="3">
        <v>68</v>
      </c>
      <c r="AD104" s="83">
        <v>0.36363636363636365</v>
      </c>
      <c r="AE104" s="33">
        <v>187</v>
      </c>
      <c r="AF104" s="3">
        <v>13</v>
      </c>
      <c r="AG104" s="6">
        <v>0.8666666666666667</v>
      </c>
      <c r="AH104" s="3">
        <v>15</v>
      </c>
      <c r="AI104" s="34">
        <v>496</v>
      </c>
      <c r="AJ104" s="6">
        <v>1.3317938941546063E-2</v>
      </c>
      <c r="AK104" s="37">
        <v>37243</v>
      </c>
      <c r="AL104" s="84">
        <f t="shared" si="182"/>
        <v>0.14553521367104655</v>
      </c>
      <c r="AM104" s="83">
        <f t="shared" si="183"/>
        <v>0.43963639095484935</v>
      </c>
      <c r="AN104" s="6">
        <f t="shared" si="184"/>
        <v>0.84494382022471914</v>
      </c>
      <c r="AO104" s="127">
        <f t="shared" si="185"/>
        <v>0.15086332431870189</v>
      </c>
      <c r="AP104" s="52">
        <f t="shared" si="186"/>
        <v>119658</v>
      </c>
      <c r="AQ104" s="3">
        <f t="shared" si="138"/>
        <v>793155</v>
      </c>
      <c r="AR104" s="12">
        <f t="shared" si="187"/>
        <v>779399</v>
      </c>
      <c r="AS104" s="3">
        <f t="shared" si="188"/>
        <v>13311</v>
      </c>
      <c r="AT104" s="21">
        <f t="shared" si="189"/>
        <v>445</v>
      </c>
    </row>
    <row r="105" spans="1:46" ht="15.75" customHeight="1" x14ac:dyDescent="0.2">
      <c r="A105" s="109">
        <v>43132</v>
      </c>
      <c r="B105" s="3">
        <v>11011</v>
      </c>
      <c r="C105" s="83">
        <v>8.7804916947760422E-2</v>
      </c>
      <c r="D105" s="3">
        <v>125403</v>
      </c>
      <c r="E105" s="134">
        <v>830</v>
      </c>
      <c r="F105" s="83">
        <v>0.45479452054794522</v>
      </c>
      <c r="G105" s="3">
        <v>1825</v>
      </c>
      <c r="H105" s="134">
        <v>29</v>
      </c>
      <c r="I105" s="83">
        <v>0.65909090909090906</v>
      </c>
      <c r="J105" s="3">
        <v>44</v>
      </c>
      <c r="K105" s="140">
        <v>11870</v>
      </c>
      <c r="L105" s="83">
        <v>9.3264818656106613E-2</v>
      </c>
      <c r="M105" s="18">
        <v>127272</v>
      </c>
      <c r="N105" s="3">
        <v>97378</v>
      </c>
      <c r="O105" s="6">
        <v>0.16626485452806994</v>
      </c>
      <c r="P105" s="130">
        <v>585680</v>
      </c>
      <c r="Q105" s="55">
        <v>4605</v>
      </c>
      <c r="R105" s="6">
        <v>0.43439298179417035</v>
      </c>
      <c r="S105" s="33">
        <v>10601</v>
      </c>
      <c r="T105" s="55">
        <v>285</v>
      </c>
      <c r="U105" s="6">
        <v>0.85843373493975905</v>
      </c>
      <c r="V105" s="33">
        <v>332</v>
      </c>
      <c r="W105" s="52">
        <v>102268</v>
      </c>
      <c r="X105" s="6">
        <v>0.17141430039238167</v>
      </c>
      <c r="Y105" s="21">
        <v>596613</v>
      </c>
      <c r="Z105" s="3">
        <v>415</v>
      </c>
      <c r="AA105" s="83">
        <v>1.1198359372891875E-2</v>
      </c>
      <c r="AB105" s="33">
        <v>37059</v>
      </c>
      <c r="AC105" s="3">
        <v>68</v>
      </c>
      <c r="AD105" s="83">
        <v>0.36363636363636365</v>
      </c>
      <c r="AE105" s="33">
        <v>187</v>
      </c>
      <c r="AF105" s="3">
        <v>13</v>
      </c>
      <c r="AG105" s="6">
        <v>0.8666666666666667</v>
      </c>
      <c r="AH105" s="3">
        <v>15</v>
      </c>
      <c r="AI105" s="34">
        <v>496</v>
      </c>
      <c r="AJ105" s="6">
        <v>1.3311505327285903E-2</v>
      </c>
      <c r="AK105" s="37">
        <v>37261</v>
      </c>
      <c r="AL105" s="84">
        <f t="shared" si="182"/>
        <v>0.1454322842455042</v>
      </c>
      <c r="AM105" s="83">
        <f t="shared" si="183"/>
        <v>0.43629588519781176</v>
      </c>
      <c r="AN105" s="6">
        <f t="shared" si="184"/>
        <v>0.83631713554987208</v>
      </c>
      <c r="AO105" s="127">
        <f t="shared" si="185"/>
        <v>0.15060711085652423</v>
      </c>
      <c r="AP105" s="52">
        <f t="shared" si="186"/>
        <v>114634</v>
      </c>
      <c r="AQ105" s="3">
        <f t="shared" si="138"/>
        <v>761146</v>
      </c>
      <c r="AR105" s="12">
        <f t="shared" si="187"/>
        <v>748142</v>
      </c>
      <c r="AS105" s="3">
        <f t="shared" si="188"/>
        <v>12613</v>
      </c>
      <c r="AT105" s="21">
        <f t="shared" si="189"/>
        <v>391</v>
      </c>
    </row>
    <row r="106" spans="1:46" ht="15.75" customHeight="1" x14ac:dyDescent="0.2">
      <c r="A106" s="109">
        <v>43101</v>
      </c>
      <c r="B106" s="3">
        <v>11150</v>
      </c>
      <c r="C106" s="83">
        <v>8.8910507387944857E-2</v>
      </c>
      <c r="D106" s="3">
        <v>125407</v>
      </c>
      <c r="E106" s="134">
        <v>829</v>
      </c>
      <c r="F106" s="83">
        <v>0.45374931581828132</v>
      </c>
      <c r="G106" s="3">
        <v>1827</v>
      </c>
      <c r="H106" s="134">
        <v>30</v>
      </c>
      <c r="I106" s="83">
        <v>0.625</v>
      </c>
      <c r="J106" s="3">
        <v>48</v>
      </c>
      <c r="K106" s="140">
        <v>12009</v>
      </c>
      <c r="L106" s="83">
        <v>9.4349554532455499E-2</v>
      </c>
      <c r="M106" s="18">
        <v>127282</v>
      </c>
      <c r="N106" s="3">
        <v>117740</v>
      </c>
      <c r="O106" s="6">
        <v>0.18701861449926377</v>
      </c>
      <c r="P106" s="130">
        <v>629563</v>
      </c>
      <c r="Q106" s="55">
        <v>4815</v>
      </c>
      <c r="R106" s="6">
        <v>0.43413578577224776</v>
      </c>
      <c r="S106" s="33">
        <v>11091</v>
      </c>
      <c r="T106" s="55">
        <v>300</v>
      </c>
      <c r="U106" s="6">
        <v>0.85470085470085466</v>
      </c>
      <c r="V106" s="33">
        <v>351</v>
      </c>
      <c r="W106" s="52">
        <v>122855</v>
      </c>
      <c r="X106" s="6">
        <v>0.19165997145108071</v>
      </c>
      <c r="Y106" s="21">
        <v>641005</v>
      </c>
      <c r="Z106" s="3">
        <v>416</v>
      </c>
      <c r="AA106" s="83">
        <v>1.1226858098990662E-2</v>
      </c>
      <c r="AB106" s="33">
        <v>37054</v>
      </c>
      <c r="AC106" s="3">
        <v>72</v>
      </c>
      <c r="AD106" s="83">
        <v>0.38502673796791442</v>
      </c>
      <c r="AE106" s="33">
        <v>187</v>
      </c>
      <c r="AF106" s="3">
        <v>13</v>
      </c>
      <c r="AG106" s="6">
        <v>0.8666666666666667</v>
      </c>
      <c r="AH106" s="3">
        <v>15</v>
      </c>
      <c r="AI106" s="34">
        <v>501</v>
      </c>
      <c r="AJ106" s="6">
        <v>1.344749838952115E-2</v>
      </c>
      <c r="AK106" s="37">
        <v>37256</v>
      </c>
      <c r="AL106" s="84">
        <f t="shared" si="182"/>
        <v>0.16326020423623527</v>
      </c>
      <c r="AM106" s="83">
        <f t="shared" si="183"/>
        <v>0.43616940099198781</v>
      </c>
      <c r="AN106" s="6">
        <f t="shared" si="184"/>
        <v>0.82850241545893721</v>
      </c>
      <c r="AO106" s="127">
        <f t="shared" si="185"/>
        <v>0.16804192948110777</v>
      </c>
      <c r="AP106" s="52">
        <f t="shared" si="186"/>
        <v>135365</v>
      </c>
      <c r="AQ106" s="3">
        <f t="shared" si="138"/>
        <v>805543</v>
      </c>
      <c r="AR106" s="12">
        <f t="shared" si="187"/>
        <v>792024</v>
      </c>
      <c r="AS106" s="3">
        <f t="shared" si="188"/>
        <v>13105</v>
      </c>
      <c r="AT106" s="21">
        <f t="shared" si="189"/>
        <v>414</v>
      </c>
    </row>
    <row r="107" spans="1:46" x14ac:dyDescent="0.2">
      <c r="A107" s="109">
        <v>43070</v>
      </c>
      <c r="B107" s="3">
        <v>11188</v>
      </c>
      <c r="C107" s="83">
        <v>8.9229885790850505E-2</v>
      </c>
      <c r="D107" s="3">
        <v>125384</v>
      </c>
      <c r="E107" s="134">
        <v>832</v>
      </c>
      <c r="F107" s="83">
        <v>0.45439650464227199</v>
      </c>
      <c r="G107" s="3">
        <v>1831</v>
      </c>
      <c r="H107" s="134">
        <v>35</v>
      </c>
      <c r="I107" s="83">
        <v>0.72916666666666663</v>
      </c>
      <c r="J107" s="3">
        <v>48</v>
      </c>
      <c r="K107" s="140">
        <v>12055</v>
      </c>
      <c r="L107" s="83">
        <v>9.4725096846687562E-2</v>
      </c>
      <c r="M107" s="18">
        <v>127263</v>
      </c>
      <c r="N107" s="3">
        <v>101870</v>
      </c>
      <c r="O107" s="6">
        <v>0.16876707426778417</v>
      </c>
      <c r="P107" s="130">
        <v>603613</v>
      </c>
      <c r="Q107" s="55">
        <v>3692</v>
      </c>
      <c r="R107" s="6">
        <v>0.37742792884890614</v>
      </c>
      <c r="S107" s="33">
        <v>9782</v>
      </c>
      <c r="T107" s="55">
        <v>284</v>
      </c>
      <c r="U107" s="6">
        <v>0.86322188449848025</v>
      </c>
      <c r="V107" s="33">
        <v>329</v>
      </c>
      <c r="W107" s="52">
        <v>105846</v>
      </c>
      <c r="X107" s="6">
        <v>0.17246514719971845</v>
      </c>
      <c r="Y107" s="21">
        <v>613724</v>
      </c>
      <c r="Z107" s="3">
        <v>419</v>
      </c>
      <c r="AA107" s="83">
        <v>1.1301720882559206E-2</v>
      </c>
      <c r="AB107" s="33">
        <v>37074</v>
      </c>
      <c r="AC107" s="3">
        <v>72</v>
      </c>
      <c r="AD107" s="83">
        <v>0.38709677419354838</v>
      </c>
      <c r="AE107" s="33">
        <v>186</v>
      </c>
      <c r="AF107" s="3">
        <v>13</v>
      </c>
      <c r="AG107" s="6">
        <v>0.9285714285714286</v>
      </c>
      <c r="AH107" s="3">
        <v>14</v>
      </c>
      <c r="AI107" s="34">
        <v>504</v>
      </c>
      <c r="AJ107" s="6">
        <v>1.3521489510114289E-2</v>
      </c>
      <c r="AK107" s="37">
        <v>37274</v>
      </c>
      <c r="AL107" s="84">
        <f t="shared" si="182"/>
        <v>0.14812856771761365</v>
      </c>
      <c r="AM107" s="83">
        <f t="shared" si="183"/>
        <v>0.38952453597762521</v>
      </c>
      <c r="AN107" s="6">
        <f t="shared" si="184"/>
        <v>0.84910485933503832</v>
      </c>
      <c r="AO107" s="127">
        <f t="shared" si="185"/>
        <v>0.15214047729489208</v>
      </c>
      <c r="AP107" s="52">
        <f t="shared" si="186"/>
        <v>118405</v>
      </c>
      <c r="AQ107" s="3">
        <f t="shared" ref="AQ107:AQ170" si="190">SUM(AR107:AT107)</f>
        <v>778261</v>
      </c>
      <c r="AR107" s="12">
        <f t="shared" si="187"/>
        <v>766071</v>
      </c>
      <c r="AS107" s="3">
        <f t="shared" si="188"/>
        <v>11799</v>
      </c>
      <c r="AT107" s="21">
        <f t="shared" si="189"/>
        <v>391</v>
      </c>
    </row>
    <row r="108" spans="1:46" x14ac:dyDescent="0.2">
      <c r="A108" s="109">
        <v>43040</v>
      </c>
      <c r="B108" s="3">
        <v>11200</v>
      </c>
      <c r="C108" s="83">
        <v>8.9252984396665763E-2</v>
      </c>
      <c r="D108" s="3">
        <v>125486</v>
      </c>
      <c r="E108" s="134">
        <v>836</v>
      </c>
      <c r="F108" s="83">
        <v>0.45583424209378409</v>
      </c>
      <c r="G108" s="3">
        <v>1834</v>
      </c>
      <c r="H108" s="134">
        <v>35</v>
      </c>
      <c r="I108" s="83">
        <v>0.74468085106382975</v>
      </c>
      <c r="J108" s="3">
        <v>47</v>
      </c>
      <c r="K108" s="140">
        <v>12071</v>
      </c>
      <c r="L108" s="83">
        <v>9.4773371438441667E-2</v>
      </c>
      <c r="M108" s="18">
        <v>127367</v>
      </c>
      <c r="N108" s="3">
        <v>105884</v>
      </c>
      <c r="O108" s="6">
        <v>0.17318767450190797</v>
      </c>
      <c r="P108" s="130">
        <v>611383</v>
      </c>
      <c r="Q108" s="55">
        <v>4690</v>
      </c>
      <c r="R108" s="6">
        <v>0.45322767684576731</v>
      </c>
      <c r="S108" s="33">
        <v>10348</v>
      </c>
      <c r="T108" s="55">
        <v>256</v>
      </c>
      <c r="U108" s="6">
        <v>0.89198606271777003</v>
      </c>
      <c r="V108" s="33">
        <v>287</v>
      </c>
      <c r="W108" s="52">
        <v>110830</v>
      </c>
      <c r="X108" s="6">
        <v>0.17817812346266507</v>
      </c>
      <c r="Y108" s="21">
        <v>622018</v>
      </c>
      <c r="Z108" s="3">
        <v>414</v>
      </c>
      <c r="AA108" s="83">
        <v>1.1162640207075065E-2</v>
      </c>
      <c r="AB108" s="33">
        <v>37088</v>
      </c>
      <c r="AC108" s="3">
        <v>72</v>
      </c>
      <c r="AD108" s="83">
        <v>0.38502673796791442</v>
      </c>
      <c r="AE108" s="33">
        <v>187</v>
      </c>
      <c r="AF108" s="3">
        <v>13</v>
      </c>
      <c r="AG108" s="6">
        <v>0.9285714285714286</v>
      </c>
      <c r="AH108" s="3">
        <v>14</v>
      </c>
      <c r="AI108" s="34">
        <v>499</v>
      </c>
      <c r="AJ108" s="6">
        <v>1.3381962509050927E-2</v>
      </c>
      <c r="AK108" s="37">
        <v>37289</v>
      </c>
      <c r="AL108" s="84">
        <f t="shared" si="182"/>
        <v>0.15181463569681519</v>
      </c>
      <c r="AM108" s="83">
        <f t="shared" si="183"/>
        <v>0.45258307057967501</v>
      </c>
      <c r="AN108" s="6">
        <f t="shared" si="184"/>
        <v>0.87356321839080464</v>
      </c>
      <c r="AO108" s="127">
        <f t="shared" si="185"/>
        <v>0.15686294449797503</v>
      </c>
      <c r="AP108" s="52">
        <f t="shared" si="186"/>
        <v>123400</v>
      </c>
      <c r="AQ108" s="3">
        <f t="shared" si="190"/>
        <v>786674</v>
      </c>
      <c r="AR108" s="12">
        <f t="shared" si="187"/>
        <v>773957</v>
      </c>
      <c r="AS108" s="3">
        <f t="shared" si="188"/>
        <v>12369</v>
      </c>
      <c r="AT108" s="21">
        <f t="shared" si="189"/>
        <v>348</v>
      </c>
    </row>
    <row r="109" spans="1:46" x14ac:dyDescent="0.2">
      <c r="A109" s="109">
        <v>43009</v>
      </c>
      <c r="B109" s="3">
        <v>11378</v>
      </c>
      <c r="C109" s="83">
        <v>9.054591755530797E-2</v>
      </c>
      <c r="D109" s="3">
        <v>125660</v>
      </c>
      <c r="E109" s="134">
        <v>842</v>
      </c>
      <c r="F109" s="83">
        <v>0.45293168370091447</v>
      </c>
      <c r="G109" s="3">
        <v>1859</v>
      </c>
      <c r="H109" s="134">
        <v>31</v>
      </c>
      <c r="I109" s="83">
        <v>0.64583333333333337</v>
      </c>
      <c r="J109" s="3">
        <v>48</v>
      </c>
      <c r="K109" s="140">
        <v>12251</v>
      </c>
      <c r="L109" s="83">
        <v>9.603580863389434E-2</v>
      </c>
      <c r="M109" s="18">
        <v>127567</v>
      </c>
      <c r="N109" s="3">
        <v>106774</v>
      </c>
      <c r="O109" s="6">
        <v>0.17249462438549981</v>
      </c>
      <c r="P109" s="130">
        <v>618999</v>
      </c>
      <c r="Q109" s="55">
        <v>5345</v>
      </c>
      <c r="R109" s="6">
        <v>0.46161153812937211</v>
      </c>
      <c r="S109" s="33">
        <v>11579</v>
      </c>
      <c r="T109" s="55">
        <v>365</v>
      </c>
      <c r="U109" s="6">
        <v>0.87951807228915657</v>
      </c>
      <c r="V109" s="33">
        <v>415</v>
      </c>
      <c r="W109" s="52">
        <v>112484</v>
      </c>
      <c r="X109" s="6">
        <v>0.17826505206872342</v>
      </c>
      <c r="Y109" s="21">
        <v>630993</v>
      </c>
      <c r="Z109" s="3">
        <v>412</v>
      </c>
      <c r="AA109" s="83">
        <v>1.1100035024382358E-2</v>
      </c>
      <c r="AB109" s="33">
        <v>37117</v>
      </c>
      <c r="AC109" s="3">
        <v>72</v>
      </c>
      <c r="AD109" s="83">
        <v>0.38502673796791442</v>
      </c>
      <c r="AE109" s="33">
        <v>187</v>
      </c>
      <c r="AF109" s="3">
        <v>13</v>
      </c>
      <c r="AG109" s="6">
        <v>0.9285714285714286</v>
      </c>
      <c r="AH109" s="3">
        <v>14</v>
      </c>
      <c r="AI109" s="34">
        <v>497</v>
      </c>
      <c r="AJ109" s="6">
        <v>1.3317969880486629E-2</v>
      </c>
      <c r="AK109" s="37">
        <v>37318</v>
      </c>
      <c r="AL109" s="84">
        <f t="shared" ref="AL109:AL114" si="191">(B109+N109+Z109)/AR109</f>
        <v>0.15165981048279814</v>
      </c>
      <c r="AM109" s="83">
        <f t="shared" ref="AM109:AM114" si="192">(E109+Q109+AC109)/AS109</f>
        <v>0.4593761467889908</v>
      </c>
      <c r="AN109" s="6">
        <f t="shared" ref="AN109:AN114" si="193">(H109+T109+AF109)/AT109</f>
        <v>0.8574423480083857</v>
      </c>
      <c r="AO109" s="127">
        <f t="shared" ref="AO109:AO114" si="194">AP109/AQ109</f>
        <v>0.15735074973802518</v>
      </c>
      <c r="AP109" s="52">
        <f t="shared" ref="AP109:AP114" si="195">AF109+AC109+Z109+T109+Q109+N109+H109+E109+B109</f>
        <v>125232</v>
      </c>
      <c r="AQ109" s="3">
        <f t="shared" si="190"/>
        <v>795878</v>
      </c>
      <c r="AR109" s="12">
        <f t="shared" ref="AR109:AR114" si="196">+D109+P109+AB109</f>
        <v>781776</v>
      </c>
      <c r="AS109" s="3">
        <f t="shared" ref="AS109:AS114" si="197">G109+S109+AE109</f>
        <v>13625</v>
      </c>
      <c r="AT109" s="21">
        <f t="shared" ref="AT109:AT114" si="198">J109+V109+AH109</f>
        <v>477</v>
      </c>
    </row>
    <row r="110" spans="1:46" x14ac:dyDescent="0.2">
      <c r="A110" s="109">
        <v>42979</v>
      </c>
      <c r="B110" s="3">
        <v>11518</v>
      </c>
      <c r="C110" s="83">
        <v>9.1321377035662746E-2</v>
      </c>
      <c r="D110" s="3">
        <v>126126</v>
      </c>
      <c r="E110" s="134">
        <v>844</v>
      </c>
      <c r="F110" s="83">
        <v>0.45425188374596343</v>
      </c>
      <c r="G110" s="3">
        <v>1858</v>
      </c>
      <c r="H110" s="134">
        <v>31</v>
      </c>
      <c r="I110" s="83">
        <v>0.64583333333333337</v>
      </c>
      <c r="J110" s="3">
        <v>48</v>
      </c>
      <c r="K110" s="140">
        <v>12393</v>
      </c>
      <c r="L110" s="83">
        <v>9.6796113471632098E-2</v>
      </c>
      <c r="M110" s="18">
        <v>128032</v>
      </c>
      <c r="N110" s="3">
        <v>108114</v>
      </c>
      <c r="O110" s="6">
        <v>0.17476020056834163</v>
      </c>
      <c r="P110" s="130">
        <v>618642</v>
      </c>
      <c r="Q110" s="55">
        <v>5322</v>
      </c>
      <c r="R110" s="6">
        <v>0.46278260869565219</v>
      </c>
      <c r="S110" s="33">
        <v>11500</v>
      </c>
      <c r="T110" s="55">
        <v>358</v>
      </c>
      <c r="U110" s="6">
        <v>0.88395061728395063</v>
      </c>
      <c r="V110" s="33">
        <v>405</v>
      </c>
      <c r="W110" s="52">
        <v>113794</v>
      </c>
      <c r="X110" s="6">
        <v>0.18046870415686697</v>
      </c>
      <c r="Y110" s="21">
        <v>630547</v>
      </c>
      <c r="Z110" s="3">
        <v>414</v>
      </c>
      <c r="AA110" s="83">
        <v>1.1132024737832751E-2</v>
      </c>
      <c r="AB110" s="33">
        <v>37190</v>
      </c>
      <c r="AC110" s="3">
        <v>72</v>
      </c>
      <c r="AD110" s="83">
        <v>0.38502673796791442</v>
      </c>
      <c r="AE110" s="33">
        <v>187</v>
      </c>
      <c r="AF110" s="3">
        <v>13</v>
      </c>
      <c r="AG110" s="6">
        <v>0.9285714285714286</v>
      </c>
      <c r="AH110" s="3">
        <v>14</v>
      </c>
      <c r="AI110" s="34">
        <v>499</v>
      </c>
      <c r="AJ110" s="6">
        <v>1.3345457463025862E-2</v>
      </c>
      <c r="AK110" s="37">
        <v>37391</v>
      </c>
      <c r="AL110" s="84">
        <f t="shared" si="191"/>
        <v>0.15351975425790132</v>
      </c>
      <c r="AM110" s="83">
        <f t="shared" si="192"/>
        <v>0.46053894425987452</v>
      </c>
      <c r="AN110" s="6">
        <f t="shared" si="193"/>
        <v>0.86081370449678796</v>
      </c>
      <c r="AO110" s="127">
        <f t="shared" si="194"/>
        <v>0.15915926479641193</v>
      </c>
      <c r="AP110" s="52">
        <f t="shared" si="195"/>
        <v>126686</v>
      </c>
      <c r="AQ110" s="3">
        <f t="shared" si="190"/>
        <v>795970</v>
      </c>
      <c r="AR110" s="12">
        <f t="shared" si="196"/>
        <v>781958</v>
      </c>
      <c r="AS110" s="3">
        <f t="shared" si="197"/>
        <v>13545</v>
      </c>
      <c r="AT110" s="21">
        <f t="shared" si="198"/>
        <v>467</v>
      </c>
    </row>
    <row r="111" spans="1:46" x14ac:dyDescent="0.2">
      <c r="A111" s="109">
        <v>42948</v>
      </c>
      <c r="B111" s="3">
        <v>11621</v>
      </c>
      <c r="C111" s="83">
        <v>9.2075238487624E-2</v>
      </c>
      <c r="D111" s="3">
        <v>126212</v>
      </c>
      <c r="E111" s="134">
        <v>847</v>
      </c>
      <c r="F111" s="83">
        <v>0.45709660010793307</v>
      </c>
      <c r="G111" s="3">
        <v>1853</v>
      </c>
      <c r="H111" s="134">
        <v>31</v>
      </c>
      <c r="I111" s="83">
        <v>0.64583333333333337</v>
      </c>
      <c r="J111" s="3">
        <v>48</v>
      </c>
      <c r="K111" s="140">
        <v>12499</v>
      </c>
      <c r="L111" s="83">
        <v>9.7562308274726214E-2</v>
      </c>
      <c r="M111" s="18">
        <v>128113</v>
      </c>
      <c r="N111" s="3">
        <v>108114</v>
      </c>
      <c r="O111" s="6">
        <v>0.17476020056834163</v>
      </c>
      <c r="P111" s="130">
        <v>618642</v>
      </c>
      <c r="Q111" s="55">
        <v>5322</v>
      </c>
      <c r="R111" s="6">
        <v>0.46278260869565219</v>
      </c>
      <c r="S111" s="33">
        <v>11500</v>
      </c>
      <c r="T111" s="55">
        <v>358</v>
      </c>
      <c r="U111" s="6">
        <v>0.88395061728395063</v>
      </c>
      <c r="V111" s="33">
        <v>405</v>
      </c>
      <c r="W111" s="52">
        <v>113794</v>
      </c>
      <c r="X111" s="6">
        <v>0.18046870415686697</v>
      </c>
      <c r="Y111" s="21">
        <v>630547</v>
      </c>
      <c r="Z111" s="3">
        <v>414</v>
      </c>
      <c r="AA111" s="83">
        <v>1.1162640207075065E-2</v>
      </c>
      <c r="AB111" s="33">
        <v>37088</v>
      </c>
      <c r="AC111" s="3">
        <v>72</v>
      </c>
      <c r="AD111" s="83">
        <v>0.38502673796791442</v>
      </c>
      <c r="AE111" s="33">
        <v>187</v>
      </c>
      <c r="AF111" s="3">
        <v>13</v>
      </c>
      <c r="AG111" s="6">
        <v>0.9285714285714286</v>
      </c>
      <c r="AH111" s="3">
        <v>14</v>
      </c>
      <c r="AI111" s="34">
        <v>499</v>
      </c>
      <c r="AJ111" s="6">
        <v>1.3381962509050927E-2</v>
      </c>
      <c r="AK111" s="37">
        <v>37289</v>
      </c>
      <c r="AL111" s="84">
        <f t="shared" si="191"/>
        <v>0.15365461888477663</v>
      </c>
      <c r="AM111" s="83">
        <f t="shared" si="192"/>
        <v>0.46093057607090104</v>
      </c>
      <c r="AN111" s="6">
        <f t="shared" si="193"/>
        <v>0.86081370449678796</v>
      </c>
      <c r="AO111" s="127">
        <f t="shared" si="194"/>
        <v>0.15929663835245725</v>
      </c>
      <c r="AP111" s="52">
        <f t="shared" si="195"/>
        <v>126792</v>
      </c>
      <c r="AQ111" s="3">
        <f t="shared" si="190"/>
        <v>795949</v>
      </c>
      <c r="AR111" s="12">
        <f t="shared" si="196"/>
        <v>781942</v>
      </c>
      <c r="AS111" s="3">
        <f t="shared" si="197"/>
        <v>13540</v>
      </c>
      <c r="AT111" s="21">
        <f t="shared" si="198"/>
        <v>467</v>
      </c>
    </row>
    <row r="112" spans="1:46" x14ac:dyDescent="0.2">
      <c r="A112" s="109">
        <v>42917</v>
      </c>
      <c r="B112" s="3">
        <v>11871</v>
      </c>
      <c r="C112" s="83">
        <v>9.4197091007197101E-2</v>
      </c>
      <c r="D112" s="3">
        <v>126023</v>
      </c>
      <c r="E112" s="134">
        <v>855</v>
      </c>
      <c r="F112" s="83">
        <v>0.46116504854368934</v>
      </c>
      <c r="G112" s="3">
        <v>1854</v>
      </c>
      <c r="H112" s="134">
        <v>32</v>
      </c>
      <c r="I112" s="83">
        <v>0.66666666666666663</v>
      </c>
      <c r="J112" s="3">
        <v>48</v>
      </c>
      <c r="K112" s="140">
        <v>12758</v>
      </c>
      <c r="L112" s="83">
        <v>9.9730310728942742E-2</v>
      </c>
      <c r="M112" s="18">
        <v>127925</v>
      </c>
      <c r="N112" s="3">
        <v>111443</v>
      </c>
      <c r="O112" s="6">
        <v>0.18042891188622792</v>
      </c>
      <c r="P112" s="130">
        <v>617656</v>
      </c>
      <c r="Q112" s="55">
        <v>5380</v>
      </c>
      <c r="R112" s="6">
        <v>0.46543818669435072</v>
      </c>
      <c r="S112" s="33">
        <v>11559</v>
      </c>
      <c r="T112" s="55">
        <v>349</v>
      </c>
      <c r="U112" s="6">
        <v>0.87909319899244331</v>
      </c>
      <c r="V112" s="33">
        <v>397</v>
      </c>
      <c r="W112" s="52">
        <v>117172</v>
      </c>
      <c r="X112" s="6">
        <v>0.18610191673602156</v>
      </c>
      <c r="Y112" s="21">
        <v>629612</v>
      </c>
      <c r="Z112" s="3">
        <v>414</v>
      </c>
      <c r="AA112" s="83">
        <v>1.1155722023119831E-2</v>
      </c>
      <c r="AB112" s="33">
        <v>37111</v>
      </c>
      <c r="AC112" s="3">
        <v>72</v>
      </c>
      <c r="AD112" s="83">
        <v>0.38502673796791442</v>
      </c>
      <c r="AE112" s="33">
        <v>187</v>
      </c>
      <c r="AF112" s="3">
        <v>13</v>
      </c>
      <c r="AG112" s="6">
        <v>0.9285714285714286</v>
      </c>
      <c r="AH112" s="3">
        <v>14</v>
      </c>
      <c r="AI112" s="34">
        <v>499</v>
      </c>
      <c r="AJ112" s="6">
        <v>1.3373713550600344E-2</v>
      </c>
      <c r="AK112" s="37">
        <v>37312</v>
      </c>
      <c r="AL112" s="84">
        <f t="shared" si="191"/>
        <v>0.15846514427695027</v>
      </c>
      <c r="AM112" s="83">
        <f t="shared" si="192"/>
        <v>0.46375</v>
      </c>
      <c r="AN112" s="6">
        <f t="shared" si="193"/>
        <v>0.85838779956427014</v>
      </c>
      <c r="AO112" s="127">
        <f t="shared" si="194"/>
        <v>0.16409280253230488</v>
      </c>
      <c r="AP112" s="52">
        <f t="shared" si="195"/>
        <v>130429</v>
      </c>
      <c r="AQ112" s="3">
        <f t="shared" si="190"/>
        <v>794849</v>
      </c>
      <c r="AR112" s="12">
        <f t="shared" si="196"/>
        <v>780790</v>
      </c>
      <c r="AS112" s="3">
        <f t="shared" si="197"/>
        <v>13600</v>
      </c>
      <c r="AT112" s="21">
        <f t="shared" si="198"/>
        <v>459</v>
      </c>
    </row>
    <row r="113" spans="1:46" x14ac:dyDescent="0.2">
      <c r="A113" s="109">
        <v>42887</v>
      </c>
      <c r="B113" s="3">
        <v>11913</v>
      </c>
      <c r="C113" s="83">
        <v>9.4573138783481253E-2</v>
      </c>
      <c r="D113" s="3">
        <v>125966</v>
      </c>
      <c r="E113" s="134">
        <v>848</v>
      </c>
      <c r="F113" s="83">
        <v>0.45788336933045354</v>
      </c>
      <c r="G113" s="3">
        <v>1852</v>
      </c>
      <c r="H113" s="134">
        <v>33</v>
      </c>
      <c r="I113" s="83">
        <v>0.7021276595744681</v>
      </c>
      <c r="J113" s="3">
        <v>47</v>
      </c>
      <c r="K113" s="140">
        <v>12794</v>
      </c>
      <c r="L113" s="83">
        <v>0.10005865561334219</v>
      </c>
      <c r="M113" s="18">
        <v>127865</v>
      </c>
      <c r="N113" s="3">
        <v>112841</v>
      </c>
      <c r="O113" s="6">
        <v>0.1828021092364143</v>
      </c>
      <c r="P113" s="130">
        <v>617285</v>
      </c>
      <c r="Q113" s="55">
        <v>5404</v>
      </c>
      <c r="R113" s="6">
        <v>0.46702964307320022</v>
      </c>
      <c r="S113" s="33">
        <v>11571</v>
      </c>
      <c r="T113" s="55">
        <v>353</v>
      </c>
      <c r="U113" s="6">
        <v>0.87810945273631846</v>
      </c>
      <c r="V113" s="33">
        <v>402</v>
      </c>
      <c r="W113" s="52">
        <v>118598</v>
      </c>
      <c r="X113" s="6">
        <v>0.18847277269418902</v>
      </c>
      <c r="Y113" s="21">
        <v>629258</v>
      </c>
      <c r="Z113" s="3">
        <v>417</v>
      </c>
      <c r="AA113" s="83">
        <v>1.1244135253195276E-2</v>
      </c>
      <c r="AB113" s="33">
        <v>37086</v>
      </c>
      <c r="AC113" s="3">
        <v>72</v>
      </c>
      <c r="AD113" s="83">
        <v>0.38297872340425532</v>
      </c>
      <c r="AE113" s="33">
        <v>188</v>
      </c>
      <c r="AF113" s="3">
        <v>13</v>
      </c>
      <c r="AG113" s="6">
        <v>0.9285714285714286</v>
      </c>
      <c r="AH113" s="3">
        <v>14</v>
      </c>
      <c r="AI113" s="34">
        <v>502</v>
      </c>
      <c r="AJ113" s="6">
        <v>1.3462776228277193E-2</v>
      </c>
      <c r="AK113" s="37">
        <v>37288</v>
      </c>
      <c r="AL113" s="84">
        <f t="shared" si="191"/>
        <v>0.16040633726197784</v>
      </c>
      <c r="AM113" s="83">
        <f t="shared" si="192"/>
        <v>0.46462420101388585</v>
      </c>
      <c r="AN113" s="6">
        <f t="shared" si="193"/>
        <v>0.86177105831533474</v>
      </c>
      <c r="AO113" s="127">
        <f t="shared" si="194"/>
        <v>0.16602740898602864</v>
      </c>
      <c r="AP113" s="52">
        <f t="shared" si="195"/>
        <v>131894</v>
      </c>
      <c r="AQ113" s="3">
        <f t="shared" si="190"/>
        <v>794411</v>
      </c>
      <c r="AR113" s="12">
        <f t="shared" si="196"/>
        <v>780337</v>
      </c>
      <c r="AS113" s="3">
        <f t="shared" si="197"/>
        <v>13611</v>
      </c>
      <c r="AT113" s="21">
        <f t="shared" si="198"/>
        <v>463</v>
      </c>
    </row>
    <row r="114" spans="1:46" x14ac:dyDescent="0.2">
      <c r="A114" s="109">
        <v>42856</v>
      </c>
      <c r="B114" s="3">
        <v>11670</v>
      </c>
      <c r="C114" s="83">
        <v>9.159406639981163E-2</v>
      </c>
      <c r="D114" s="3">
        <v>127410</v>
      </c>
      <c r="E114" s="134">
        <v>839</v>
      </c>
      <c r="F114" s="83">
        <v>0.46845337800111669</v>
      </c>
      <c r="G114" s="3">
        <v>1791</v>
      </c>
      <c r="H114" s="134">
        <v>32</v>
      </c>
      <c r="I114" s="83">
        <v>0.71111111111111114</v>
      </c>
      <c r="J114" s="3">
        <v>45</v>
      </c>
      <c r="K114" s="140">
        <v>12541</v>
      </c>
      <c r="L114" s="83">
        <v>9.7032016464726187E-2</v>
      </c>
      <c r="M114" s="18">
        <v>129246</v>
      </c>
      <c r="N114" s="3">
        <v>113790</v>
      </c>
      <c r="O114" s="6">
        <v>0.18436397749200831</v>
      </c>
      <c r="P114" s="130">
        <v>617203</v>
      </c>
      <c r="Q114" s="55">
        <v>5603</v>
      </c>
      <c r="R114" s="6">
        <v>0.47032653403844538</v>
      </c>
      <c r="S114" s="33">
        <v>11913</v>
      </c>
      <c r="T114" s="55">
        <v>363</v>
      </c>
      <c r="U114" s="6">
        <v>0.8875305623471883</v>
      </c>
      <c r="V114" s="33">
        <v>409</v>
      </c>
      <c r="W114" s="52">
        <v>119756</v>
      </c>
      <c r="X114" s="6">
        <v>0.19023231801755291</v>
      </c>
      <c r="Y114" s="21">
        <v>629525</v>
      </c>
      <c r="Z114" s="3">
        <v>419</v>
      </c>
      <c r="AA114" s="83">
        <v>1.131331677286964E-2</v>
      </c>
      <c r="AB114" s="33">
        <v>37036</v>
      </c>
      <c r="AC114" s="3">
        <v>72</v>
      </c>
      <c r="AD114" s="83">
        <v>0.38297872340425532</v>
      </c>
      <c r="AE114" s="33">
        <v>188</v>
      </c>
      <c r="AF114" s="3">
        <v>13</v>
      </c>
      <c r="AG114" s="6">
        <v>0.9285714285714286</v>
      </c>
      <c r="AH114" s="3">
        <v>14</v>
      </c>
      <c r="AI114" s="34">
        <v>504</v>
      </c>
      <c r="AJ114" s="6">
        <v>1.3534561469466674E-2</v>
      </c>
      <c r="AK114" s="37">
        <v>37238</v>
      </c>
      <c r="AL114" s="84">
        <f t="shared" si="191"/>
        <v>0.16104287218431804</v>
      </c>
      <c r="AM114" s="83">
        <f t="shared" si="192"/>
        <v>0.46890296573567519</v>
      </c>
      <c r="AN114" s="6">
        <f t="shared" si="193"/>
        <v>0.87179487179487181</v>
      </c>
      <c r="AO114" s="127">
        <f t="shared" si="194"/>
        <v>0.16683354082679969</v>
      </c>
      <c r="AP114" s="52">
        <f t="shared" si="195"/>
        <v>132801</v>
      </c>
      <c r="AQ114" s="3">
        <f t="shared" si="190"/>
        <v>796009</v>
      </c>
      <c r="AR114" s="12">
        <f t="shared" si="196"/>
        <v>781649</v>
      </c>
      <c r="AS114" s="3">
        <f t="shared" si="197"/>
        <v>13892</v>
      </c>
      <c r="AT114" s="21">
        <f t="shared" si="198"/>
        <v>468</v>
      </c>
    </row>
    <row r="115" spans="1:46" x14ac:dyDescent="0.2">
      <c r="A115" s="109">
        <v>42826</v>
      </c>
      <c r="B115" s="3">
        <v>11257</v>
      </c>
      <c r="C115" s="83">
        <v>8.9019809418370177E-2</v>
      </c>
      <c r="D115" s="3">
        <v>126455</v>
      </c>
      <c r="E115" s="134">
        <v>825</v>
      </c>
      <c r="F115" s="83">
        <v>0.46928327645051193</v>
      </c>
      <c r="G115" s="3">
        <v>1758</v>
      </c>
      <c r="H115" s="134">
        <v>30</v>
      </c>
      <c r="I115" s="83">
        <v>0.69767441860465118</v>
      </c>
      <c r="J115" s="3">
        <v>43</v>
      </c>
      <c r="K115" s="140">
        <v>12112</v>
      </c>
      <c r="L115" s="83">
        <v>9.4436127744510975E-2</v>
      </c>
      <c r="M115" s="18">
        <v>128256</v>
      </c>
      <c r="N115" s="3">
        <v>112935</v>
      </c>
      <c r="O115" s="6">
        <f>N115/P115</f>
        <v>0.18322241726721417</v>
      </c>
      <c r="P115" s="130">
        <v>616382</v>
      </c>
      <c r="Q115" s="55">
        <v>5326</v>
      </c>
      <c r="R115" s="6">
        <f t="shared" ref="R115:R126" si="199">Q115/S115</f>
        <v>0.47608831679628139</v>
      </c>
      <c r="S115" s="33">
        <v>11187</v>
      </c>
      <c r="T115" s="55">
        <v>341</v>
      </c>
      <c r="U115" s="6">
        <f t="shared" ref="U115:U126" si="200">T115/V115</f>
        <v>0.88571428571428568</v>
      </c>
      <c r="V115" s="33">
        <v>385</v>
      </c>
      <c r="W115" s="52">
        <f t="shared" ref="W115:W120" si="201">+T115+Q115+N115</f>
        <v>118602</v>
      </c>
      <c r="X115" s="6">
        <f t="shared" ref="X115:X120" si="202">W115/Y115</f>
        <v>0.18887052236310303</v>
      </c>
      <c r="Y115" s="21">
        <f t="shared" ref="Y115:Y120" si="203">+V115+S115+P115</f>
        <v>627954</v>
      </c>
      <c r="Z115" s="3">
        <v>420</v>
      </c>
      <c r="AA115" s="83">
        <v>1.1363328914260978E-2</v>
      </c>
      <c r="AB115" s="33">
        <v>36961</v>
      </c>
      <c r="AC115" s="3">
        <v>71</v>
      </c>
      <c r="AD115" s="83">
        <v>0.37967914438502676</v>
      </c>
      <c r="AE115" s="33">
        <v>187</v>
      </c>
      <c r="AF115" s="3">
        <v>13</v>
      </c>
      <c r="AG115" s="6">
        <v>0.9285714285714286</v>
      </c>
      <c r="AH115" s="3">
        <v>14</v>
      </c>
      <c r="AI115" s="34">
        <v>504</v>
      </c>
      <c r="AJ115" s="6">
        <v>1.3562240998869813E-2</v>
      </c>
      <c r="AK115" s="37">
        <v>37162</v>
      </c>
      <c r="AL115" s="84">
        <f t="shared" ref="AL115:AL120" si="204">(B115+N115+Z115)/AR115</f>
        <v>0.15980035855439487</v>
      </c>
      <c r="AM115" s="83">
        <f t="shared" ref="AM115:AM120" si="205">(E115+Q115+AC115)/AS115</f>
        <v>0.4738044471519951</v>
      </c>
      <c r="AN115" s="6">
        <f t="shared" ref="AN115:AN120" si="206">(H115+T115+AF115)/AT115</f>
        <v>0.86877828054298645</v>
      </c>
      <c r="AO115" s="127">
        <f t="shared" ref="AO115:AO120" si="207">AP115/AQ115</f>
        <v>0.16539277917546877</v>
      </c>
      <c r="AP115" s="52">
        <f t="shared" ref="AP115:AP120" si="208">AF115+AC115+Z115+T115+Q115+N115+H115+E115+B115</f>
        <v>131218</v>
      </c>
      <c r="AQ115" s="3">
        <f t="shared" si="190"/>
        <v>793372</v>
      </c>
      <c r="AR115" s="12">
        <f t="shared" ref="AR115:AR120" si="209">+D115+P115+AB115</f>
        <v>779798</v>
      </c>
      <c r="AS115" s="3">
        <f t="shared" ref="AS115:AS120" si="210">G115+S115+AE115</f>
        <v>13132</v>
      </c>
      <c r="AT115" s="21">
        <f t="shared" ref="AT115:AT120" si="211">J115+V115+AH115</f>
        <v>442</v>
      </c>
    </row>
    <row r="116" spans="1:46" x14ac:dyDescent="0.2">
      <c r="A116" s="109">
        <v>42795</v>
      </c>
      <c r="B116" s="3">
        <v>11108</v>
      </c>
      <c r="C116" s="83">
        <f t="shared" ref="C116:C125" si="212">B116/D116</f>
        <v>8.9431352500261657E-2</v>
      </c>
      <c r="D116" s="3">
        <v>124207</v>
      </c>
      <c r="E116" s="134">
        <v>843</v>
      </c>
      <c r="F116" s="83">
        <f t="shared" ref="F116:F125" si="213">E116/G116</f>
        <v>0.46833333333333332</v>
      </c>
      <c r="G116" s="3">
        <v>1800</v>
      </c>
      <c r="H116" s="134">
        <v>32</v>
      </c>
      <c r="I116" s="83">
        <f t="shared" ref="I116:I125" si="214">H116/J116</f>
        <v>0.69565217391304346</v>
      </c>
      <c r="J116" s="3">
        <v>46</v>
      </c>
      <c r="K116" s="140">
        <f>+H116+E116+B116</f>
        <v>11983</v>
      </c>
      <c r="L116" s="83">
        <f>K116/M116</f>
        <v>9.506318770675827E-2</v>
      </c>
      <c r="M116" s="18">
        <f>+J116+G116+D116</f>
        <v>126053</v>
      </c>
      <c r="N116" s="3">
        <v>115343</v>
      </c>
      <c r="O116" s="6">
        <f>N116/P116</f>
        <v>0.18493049654486862</v>
      </c>
      <c r="P116" s="130">
        <v>623710</v>
      </c>
      <c r="Q116" s="55">
        <v>6119</v>
      </c>
      <c r="R116" s="6">
        <f t="shared" si="199"/>
        <v>0.47920745555642574</v>
      </c>
      <c r="S116" s="33">
        <v>12769</v>
      </c>
      <c r="T116" s="55">
        <v>419</v>
      </c>
      <c r="U116" s="6">
        <f t="shared" si="200"/>
        <v>0.88771186440677963</v>
      </c>
      <c r="V116" s="33">
        <v>472</v>
      </c>
      <c r="W116" s="52">
        <f t="shared" si="201"/>
        <v>121881</v>
      </c>
      <c r="X116" s="6">
        <f t="shared" si="202"/>
        <v>0.19135066904675557</v>
      </c>
      <c r="Y116" s="21">
        <f t="shared" si="203"/>
        <v>636951</v>
      </c>
      <c r="Z116" s="3">
        <v>418</v>
      </c>
      <c r="AA116" s="83">
        <f t="shared" ref="AA116:AA125" si="215">Z116/AB116</f>
        <v>1.1308911855419079E-2</v>
      </c>
      <c r="AB116" s="33">
        <v>36962</v>
      </c>
      <c r="AC116" s="3">
        <v>72</v>
      </c>
      <c r="AD116" s="83">
        <f t="shared" ref="AD116:AD125" si="216">AC116/AE116</f>
        <v>0.38297872340425532</v>
      </c>
      <c r="AE116" s="33">
        <v>188</v>
      </c>
      <c r="AF116" s="3">
        <v>13</v>
      </c>
      <c r="AG116" s="6">
        <f t="shared" ref="AG116:AG125" si="217">AF116/AH116</f>
        <v>0.9285714285714286</v>
      </c>
      <c r="AH116" s="3">
        <v>14</v>
      </c>
      <c r="AI116" s="34">
        <f>+AF116+AC116+Z116</f>
        <v>503</v>
      </c>
      <c r="AJ116" s="6">
        <f>AI116/AK116</f>
        <v>1.3534603379614681E-2</v>
      </c>
      <c r="AK116" s="37">
        <f>+AH116+AE116+AB116</f>
        <v>37164</v>
      </c>
      <c r="AL116" s="84">
        <f t="shared" si="204"/>
        <v>0.16164147594724793</v>
      </c>
      <c r="AM116" s="83">
        <f t="shared" si="205"/>
        <v>0.47665514671003589</v>
      </c>
      <c r="AN116" s="6">
        <f t="shared" si="206"/>
        <v>0.8721804511278195</v>
      </c>
      <c r="AO116" s="127">
        <f t="shared" si="207"/>
        <v>0.16792348606792573</v>
      </c>
      <c r="AP116" s="52">
        <f t="shared" si="208"/>
        <v>134367</v>
      </c>
      <c r="AQ116" s="3">
        <f t="shared" si="190"/>
        <v>800168</v>
      </c>
      <c r="AR116" s="12">
        <f t="shared" si="209"/>
        <v>784879</v>
      </c>
      <c r="AS116" s="3">
        <f t="shared" si="210"/>
        <v>14757</v>
      </c>
      <c r="AT116" s="21">
        <f t="shared" si="211"/>
        <v>532</v>
      </c>
    </row>
    <row r="117" spans="1:46" x14ac:dyDescent="0.2">
      <c r="A117" s="109">
        <v>42767</v>
      </c>
      <c r="B117" s="3">
        <v>10883</v>
      </c>
      <c r="C117" s="83">
        <f t="shared" si="212"/>
        <v>8.767279992266297E-2</v>
      </c>
      <c r="D117" s="3">
        <v>124132</v>
      </c>
      <c r="E117" s="134">
        <v>836</v>
      </c>
      <c r="F117" s="83">
        <f t="shared" si="213"/>
        <v>0.46651785714285715</v>
      </c>
      <c r="G117" s="3">
        <v>1792</v>
      </c>
      <c r="H117" s="134">
        <v>34</v>
      </c>
      <c r="I117" s="83">
        <f t="shared" si="214"/>
        <v>0.72340425531914898</v>
      </c>
      <c r="J117" s="3">
        <v>47</v>
      </c>
      <c r="K117" s="140">
        <f>+H117+E117+B117</f>
        <v>11753</v>
      </c>
      <c r="L117" s="83">
        <f>K117/M117</f>
        <v>9.3299251415008222E-2</v>
      </c>
      <c r="M117" s="18">
        <f>+J117+G117+D117</f>
        <v>125971</v>
      </c>
      <c r="N117" s="3">
        <v>102593</v>
      </c>
      <c r="O117" s="6">
        <f>N117/P117</f>
        <v>0.16797623940048367</v>
      </c>
      <c r="P117" s="130">
        <v>610759</v>
      </c>
      <c r="Q117" s="55">
        <v>4915</v>
      </c>
      <c r="R117" s="6">
        <f t="shared" si="199"/>
        <v>0.47630584358949513</v>
      </c>
      <c r="S117" s="33">
        <v>10319</v>
      </c>
      <c r="T117" s="55">
        <v>297</v>
      </c>
      <c r="U117" s="6">
        <f t="shared" si="200"/>
        <v>0.8892215568862275</v>
      </c>
      <c r="V117" s="33">
        <v>334</v>
      </c>
      <c r="W117" s="52">
        <f t="shared" si="201"/>
        <v>107805</v>
      </c>
      <c r="X117" s="6">
        <f t="shared" si="202"/>
        <v>0.17348393658313646</v>
      </c>
      <c r="Y117" s="21">
        <f t="shared" si="203"/>
        <v>621412</v>
      </c>
      <c r="Z117" s="3">
        <v>423</v>
      </c>
      <c r="AA117" s="83">
        <f t="shared" si="215"/>
        <v>1.1442638028511917E-2</v>
      </c>
      <c r="AB117" s="33">
        <v>36967</v>
      </c>
      <c r="AC117" s="3">
        <v>72</v>
      </c>
      <c r="AD117" s="83">
        <f t="shared" si="216"/>
        <v>0.38297872340425532</v>
      </c>
      <c r="AE117" s="33">
        <v>188</v>
      </c>
      <c r="AF117" s="3">
        <v>13</v>
      </c>
      <c r="AG117" s="6">
        <f t="shared" si="217"/>
        <v>0.9285714285714286</v>
      </c>
      <c r="AH117" s="3">
        <v>14</v>
      </c>
      <c r="AI117" s="34">
        <f>+AF117+AC117+Z117</f>
        <v>508</v>
      </c>
      <c r="AJ117" s="6">
        <f>AI117/AK117</f>
        <v>1.3667303397992952E-2</v>
      </c>
      <c r="AK117" s="37">
        <f>+AH117+AE117+AB117</f>
        <v>37169</v>
      </c>
      <c r="AL117" s="84">
        <f t="shared" si="204"/>
        <v>0.14756470749801129</v>
      </c>
      <c r="AM117" s="83">
        <f t="shared" si="205"/>
        <v>0.47345312627042851</v>
      </c>
      <c r="AN117" s="6">
        <f t="shared" si="206"/>
        <v>0.87088607594936707</v>
      </c>
      <c r="AO117" s="127">
        <f t="shared" si="207"/>
        <v>0.15303765715975487</v>
      </c>
      <c r="AP117" s="52">
        <f t="shared" si="208"/>
        <v>120066</v>
      </c>
      <c r="AQ117" s="3">
        <f t="shared" si="190"/>
        <v>784552</v>
      </c>
      <c r="AR117" s="12">
        <f t="shared" si="209"/>
        <v>771858</v>
      </c>
      <c r="AS117" s="3">
        <f t="shared" si="210"/>
        <v>12299</v>
      </c>
      <c r="AT117" s="21">
        <f t="shared" si="211"/>
        <v>395</v>
      </c>
    </row>
    <row r="118" spans="1:46" x14ac:dyDescent="0.2">
      <c r="A118" s="109">
        <v>42736</v>
      </c>
      <c r="B118" s="3">
        <v>10804</v>
      </c>
      <c r="C118" s="83">
        <f t="shared" si="212"/>
        <v>8.7039886567789437E-2</v>
      </c>
      <c r="D118" s="3">
        <v>124127</v>
      </c>
      <c r="E118" s="134">
        <v>838</v>
      </c>
      <c r="F118" s="83">
        <f t="shared" si="213"/>
        <v>0.46763392857142855</v>
      </c>
      <c r="G118" s="3">
        <v>1792</v>
      </c>
      <c r="H118" s="134">
        <v>34</v>
      </c>
      <c r="I118" s="83">
        <f t="shared" si="214"/>
        <v>0.72340425531914898</v>
      </c>
      <c r="J118" s="3">
        <v>47</v>
      </c>
      <c r="K118" s="140">
        <f>+H118+E118+B118</f>
        <v>11676</v>
      </c>
      <c r="L118" s="83">
        <f>K118/M118</f>
        <v>9.2691678706952677E-2</v>
      </c>
      <c r="M118" s="18">
        <f>+J118+G118+D118</f>
        <v>125966</v>
      </c>
      <c r="N118" s="3">
        <v>119322</v>
      </c>
      <c r="O118" s="6">
        <f>N118/P118</f>
        <v>0.1930164543284007</v>
      </c>
      <c r="P118" s="130">
        <v>618196</v>
      </c>
      <c r="Q118" s="55">
        <v>5845</v>
      </c>
      <c r="R118" s="6">
        <f t="shared" si="199"/>
        <v>0.48166460651009479</v>
      </c>
      <c r="S118" s="33">
        <v>12135</v>
      </c>
      <c r="T118" s="55">
        <v>373</v>
      </c>
      <c r="U118" s="6">
        <f t="shared" si="200"/>
        <v>0.89234449760765555</v>
      </c>
      <c r="V118" s="33">
        <v>418</v>
      </c>
      <c r="W118" s="52">
        <f t="shared" si="201"/>
        <v>125540</v>
      </c>
      <c r="X118" s="6">
        <f t="shared" si="202"/>
        <v>0.19903321289451112</v>
      </c>
      <c r="Y118" s="21">
        <f t="shared" si="203"/>
        <v>630749</v>
      </c>
      <c r="Z118" s="3">
        <v>423</v>
      </c>
      <c r="AA118" s="83">
        <f t="shared" si="215"/>
        <v>1.1441709494184474E-2</v>
      </c>
      <c r="AB118" s="33">
        <v>36970</v>
      </c>
      <c r="AC118" s="3">
        <v>72</v>
      </c>
      <c r="AD118" s="83">
        <f t="shared" si="216"/>
        <v>0.38095238095238093</v>
      </c>
      <c r="AE118" s="33">
        <v>189</v>
      </c>
      <c r="AF118" s="3">
        <v>13</v>
      </c>
      <c r="AG118" s="6">
        <f t="shared" si="217"/>
        <v>0.9285714285714286</v>
      </c>
      <c r="AH118" s="3">
        <v>14</v>
      </c>
      <c r="AI118" s="34">
        <f>+AF118+AC118+Z118</f>
        <v>508</v>
      </c>
      <c r="AJ118" s="6">
        <f>AI118/AK118</f>
        <v>1.366583272805531E-2</v>
      </c>
      <c r="AK118" s="37">
        <f>+AH118+AE118+AB118</f>
        <v>37173</v>
      </c>
      <c r="AL118" s="84">
        <f t="shared" si="204"/>
        <v>0.16752235680289698</v>
      </c>
      <c r="AM118" s="83">
        <f t="shared" si="205"/>
        <v>0.47853499574950409</v>
      </c>
      <c r="AN118" s="6">
        <f t="shared" si="206"/>
        <v>0.87682672233820458</v>
      </c>
      <c r="AO118" s="127">
        <f t="shared" si="207"/>
        <v>0.17348039018098271</v>
      </c>
      <c r="AP118" s="52">
        <f t="shared" si="208"/>
        <v>137724</v>
      </c>
      <c r="AQ118" s="3">
        <f t="shared" si="190"/>
        <v>793888</v>
      </c>
      <c r="AR118" s="12">
        <f t="shared" si="209"/>
        <v>779293</v>
      </c>
      <c r="AS118" s="3">
        <f t="shared" si="210"/>
        <v>14116</v>
      </c>
      <c r="AT118" s="21">
        <f t="shared" si="211"/>
        <v>479</v>
      </c>
    </row>
    <row r="119" spans="1:46" x14ac:dyDescent="0.2">
      <c r="A119" s="109">
        <v>42705</v>
      </c>
      <c r="B119" s="3">
        <v>10958</v>
      </c>
      <c r="C119" s="83">
        <f t="shared" si="212"/>
        <v>8.8176836480973339E-2</v>
      </c>
      <c r="D119" s="3">
        <v>124273</v>
      </c>
      <c r="E119" s="134">
        <v>835</v>
      </c>
      <c r="F119" s="83">
        <f t="shared" si="213"/>
        <v>0.46183628318584069</v>
      </c>
      <c r="G119" s="3">
        <v>1808</v>
      </c>
      <c r="H119" s="134">
        <v>30</v>
      </c>
      <c r="I119" s="83">
        <f t="shared" si="214"/>
        <v>0.69767441860465118</v>
      </c>
      <c r="J119" s="3">
        <v>43</v>
      </c>
      <c r="K119" s="140">
        <f>+H119+E119+B119</f>
        <v>11823</v>
      </c>
      <c r="L119" s="83">
        <f>K119/M119</f>
        <v>9.3741080206780625E-2</v>
      </c>
      <c r="M119" s="18">
        <f>+J119+G119+D119</f>
        <v>126124</v>
      </c>
      <c r="N119" s="3">
        <v>122411</v>
      </c>
      <c r="O119" s="6">
        <f t="shared" ref="O119:O126" si="218">N119/P119</f>
        <v>0.19810810810810811</v>
      </c>
      <c r="P119" s="130">
        <v>617900</v>
      </c>
      <c r="Q119" s="55">
        <v>5930</v>
      </c>
      <c r="R119" s="6">
        <f t="shared" si="199"/>
        <v>0.48887056883759272</v>
      </c>
      <c r="S119" s="33">
        <v>12130</v>
      </c>
      <c r="T119" s="55">
        <v>374</v>
      </c>
      <c r="U119" s="6">
        <f t="shared" si="200"/>
        <v>0.89473684210526316</v>
      </c>
      <c r="V119" s="33">
        <v>418</v>
      </c>
      <c r="W119" s="52">
        <f t="shared" si="201"/>
        <v>128715</v>
      </c>
      <c r="X119" s="6">
        <f t="shared" si="202"/>
        <v>0.20416434027865898</v>
      </c>
      <c r="Y119" s="21">
        <f t="shared" si="203"/>
        <v>630448</v>
      </c>
      <c r="Z119" s="3">
        <v>470</v>
      </c>
      <c r="AA119" s="83">
        <f t="shared" si="215"/>
        <v>1.2524983344437041E-2</v>
      </c>
      <c r="AB119" s="33">
        <v>37525</v>
      </c>
      <c r="AC119" s="3">
        <v>70</v>
      </c>
      <c r="AD119" s="83">
        <f t="shared" si="216"/>
        <v>0.38251366120218577</v>
      </c>
      <c r="AE119" s="33">
        <v>183</v>
      </c>
      <c r="AF119" s="3">
        <v>13</v>
      </c>
      <c r="AG119" s="6">
        <f t="shared" si="217"/>
        <v>0.9285714285714286</v>
      </c>
      <c r="AH119" s="3">
        <v>14</v>
      </c>
      <c r="AI119" s="34">
        <f>+AF119+AC119+Z119</f>
        <v>553</v>
      </c>
      <c r="AJ119" s="6">
        <f>AI119/AK119</f>
        <v>1.4659880176024601E-2</v>
      </c>
      <c r="AK119" s="37">
        <f>+AH119+AE119+AB119</f>
        <v>37722</v>
      </c>
      <c r="AL119" s="84">
        <f t="shared" si="204"/>
        <v>0.17165492280344441</v>
      </c>
      <c r="AM119" s="83">
        <f t="shared" si="205"/>
        <v>0.48403087600028327</v>
      </c>
      <c r="AN119" s="6">
        <f t="shared" si="206"/>
        <v>0.87789473684210528</v>
      </c>
      <c r="AO119" s="127">
        <f t="shared" si="207"/>
        <v>0.17763070097470207</v>
      </c>
      <c r="AP119" s="52">
        <f t="shared" si="208"/>
        <v>141091</v>
      </c>
      <c r="AQ119" s="3">
        <f t="shared" si="190"/>
        <v>794294</v>
      </c>
      <c r="AR119" s="12">
        <f t="shared" si="209"/>
        <v>779698</v>
      </c>
      <c r="AS119" s="3">
        <f t="shared" si="210"/>
        <v>14121</v>
      </c>
      <c r="AT119" s="21">
        <f t="shared" si="211"/>
        <v>475</v>
      </c>
    </row>
    <row r="120" spans="1:46" x14ac:dyDescent="0.2">
      <c r="A120" s="109">
        <v>42675</v>
      </c>
      <c r="B120" s="3">
        <v>10833</v>
      </c>
      <c r="C120" s="83">
        <f t="shared" si="212"/>
        <v>8.6889913775817118E-2</v>
      </c>
      <c r="D120" s="3">
        <v>124675</v>
      </c>
      <c r="E120" s="134">
        <v>836</v>
      </c>
      <c r="F120" s="83">
        <f t="shared" si="213"/>
        <v>0.45808219178082193</v>
      </c>
      <c r="G120" s="3">
        <v>1825</v>
      </c>
      <c r="H120" s="134">
        <v>34</v>
      </c>
      <c r="I120" s="83">
        <f t="shared" si="214"/>
        <v>0.73913043478260865</v>
      </c>
      <c r="J120" s="3">
        <v>46</v>
      </c>
      <c r="K120" s="140">
        <f t="shared" ref="K120:K125" si="219">+H120+E120+B120</f>
        <v>11703</v>
      </c>
      <c r="L120" s="83">
        <f>K120/M120</f>
        <v>9.2480204826703327E-2</v>
      </c>
      <c r="M120" s="18">
        <f t="shared" ref="M120:M125" si="220">+J120+G120+D120</f>
        <v>126546</v>
      </c>
      <c r="N120" s="3">
        <f>100381+15712+636</f>
        <v>116729</v>
      </c>
      <c r="O120" s="6">
        <f t="shared" si="218"/>
        <v>0.19089117654273544</v>
      </c>
      <c r="P120" s="130">
        <f>554975+51272+5248</f>
        <v>611495</v>
      </c>
      <c r="Q120" s="55">
        <v>5420</v>
      </c>
      <c r="R120" s="6">
        <f t="shared" si="199"/>
        <v>0.49058653149891385</v>
      </c>
      <c r="S120" s="33">
        <v>11048</v>
      </c>
      <c r="T120" s="55">
        <v>337</v>
      </c>
      <c r="U120" s="6">
        <f t="shared" si="200"/>
        <v>0.89153439153439151</v>
      </c>
      <c r="V120" s="33">
        <v>378</v>
      </c>
      <c r="W120" s="52">
        <f t="shared" si="201"/>
        <v>122486</v>
      </c>
      <c r="X120" s="6">
        <f t="shared" si="202"/>
        <v>0.19663167560573491</v>
      </c>
      <c r="Y120" s="21">
        <f t="shared" si="203"/>
        <v>622921</v>
      </c>
      <c r="Z120" s="3">
        <v>474</v>
      </c>
      <c r="AA120" s="83">
        <f t="shared" si="215"/>
        <v>1.2605377230540116E-2</v>
      </c>
      <c r="AB120" s="33">
        <v>37603</v>
      </c>
      <c r="AC120" s="3">
        <v>72</v>
      </c>
      <c r="AD120" s="83">
        <f t="shared" si="216"/>
        <v>0.39344262295081966</v>
      </c>
      <c r="AE120" s="33">
        <v>183</v>
      </c>
      <c r="AF120" s="3">
        <v>12</v>
      </c>
      <c r="AG120" s="6">
        <f t="shared" si="217"/>
        <v>0.92307692307692313</v>
      </c>
      <c r="AH120" s="3">
        <v>13</v>
      </c>
      <c r="AI120" s="34">
        <f>+AF120+AC120+Z120</f>
        <v>558</v>
      </c>
      <c r="AJ120" s="6">
        <f>AI120/AK120</f>
        <v>1.4762295298817429E-2</v>
      </c>
      <c r="AK120" s="37">
        <f>+AH120+AE120+AB120</f>
        <v>37799</v>
      </c>
      <c r="AL120" s="84">
        <f t="shared" si="204"/>
        <v>0.16546971786299083</v>
      </c>
      <c r="AM120" s="83">
        <f t="shared" si="205"/>
        <v>0.48468137254901961</v>
      </c>
      <c r="AN120" s="6">
        <f t="shared" si="206"/>
        <v>0.8764302059496567</v>
      </c>
      <c r="AO120" s="127">
        <f t="shared" si="207"/>
        <v>0.17115816001199086</v>
      </c>
      <c r="AP120" s="52">
        <f t="shared" si="208"/>
        <v>134747</v>
      </c>
      <c r="AQ120" s="3">
        <f t="shared" si="190"/>
        <v>787266</v>
      </c>
      <c r="AR120" s="12">
        <f t="shared" si="209"/>
        <v>773773</v>
      </c>
      <c r="AS120" s="3">
        <f t="shared" si="210"/>
        <v>13056</v>
      </c>
      <c r="AT120" s="21">
        <f t="shared" si="211"/>
        <v>437</v>
      </c>
    </row>
    <row r="121" spans="1:46" x14ac:dyDescent="0.2">
      <c r="A121" s="109">
        <v>42644</v>
      </c>
      <c r="B121" s="3">
        <v>10865</v>
      </c>
      <c r="C121" s="83">
        <f t="shared" si="212"/>
        <v>8.6863017860283651E-2</v>
      </c>
      <c r="D121" s="3">
        <v>125082</v>
      </c>
      <c r="E121" s="134">
        <v>835</v>
      </c>
      <c r="F121" s="83">
        <f t="shared" si="213"/>
        <v>0.45603495357728019</v>
      </c>
      <c r="G121" s="3">
        <v>1831</v>
      </c>
      <c r="H121" s="134">
        <v>34</v>
      </c>
      <c r="I121" s="83">
        <f t="shared" si="214"/>
        <v>0.73913043478260865</v>
      </c>
      <c r="J121" s="3">
        <v>46</v>
      </c>
      <c r="K121" s="140">
        <f t="shared" si="219"/>
        <v>11734</v>
      </c>
      <c r="L121" s="83">
        <f t="shared" ref="L121:L128" si="221">K121/M121</f>
        <v>9.2423538307642619E-2</v>
      </c>
      <c r="M121" s="18">
        <f t="shared" si="220"/>
        <v>126959</v>
      </c>
      <c r="N121" s="3">
        <f>107130+15833+641</f>
        <v>123604</v>
      </c>
      <c r="O121" s="6">
        <f t="shared" si="218"/>
        <v>0.2023661005183417</v>
      </c>
      <c r="P121" s="130">
        <f>554338+51257+5199</f>
        <v>610794</v>
      </c>
      <c r="Q121" s="55">
        <v>5387</v>
      </c>
      <c r="R121" s="6">
        <f t="shared" si="199"/>
        <v>0.49281858933308936</v>
      </c>
      <c r="S121" s="33">
        <v>10931</v>
      </c>
      <c r="T121" s="55">
        <v>318</v>
      </c>
      <c r="U121" s="6">
        <f t="shared" si="200"/>
        <v>0.88579387186629521</v>
      </c>
      <c r="V121" s="33">
        <v>359</v>
      </c>
      <c r="W121" s="52">
        <f t="shared" ref="W121:W126" si="222">+T121+Q121+N121</f>
        <v>129309</v>
      </c>
      <c r="X121" s="6">
        <f t="shared" ref="X121:X126" si="223">W121/Y121</f>
        <v>0.20786421126407367</v>
      </c>
      <c r="Y121" s="21">
        <f t="shared" ref="Y121:Y126" si="224">+V121+S121+P121</f>
        <v>622084</v>
      </c>
      <c r="Z121" s="3">
        <v>430</v>
      </c>
      <c r="AA121" s="83">
        <f t="shared" si="215"/>
        <v>1.1185391358634863E-2</v>
      </c>
      <c r="AB121" s="33">
        <v>38443</v>
      </c>
      <c r="AC121" s="3">
        <v>74</v>
      </c>
      <c r="AD121" s="83">
        <f t="shared" si="216"/>
        <v>0.39153439153439151</v>
      </c>
      <c r="AE121" s="33">
        <v>189</v>
      </c>
      <c r="AF121" s="3">
        <v>13</v>
      </c>
      <c r="AG121" s="6">
        <f t="shared" si="217"/>
        <v>0.9285714285714286</v>
      </c>
      <c r="AH121" s="3">
        <v>14</v>
      </c>
      <c r="AI121" s="34">
        <f t="shared" ref="AI121:AI126" si="225">+AF121+AC121+Z121</f>
        <v>517</v>
      </c>
      <c r="AJ121" s="6">
        <f t="shared" ref="AJ121:AJ126" si="226">AI121/AK121</f>
        <v>1.3377839879935828E-2</v>
      </c>
      <c r="AK121" s="37">
        <f t="shared" ref="AK121:AK126" si="227">+AH121+AE121+AB121</f>
        <v>38646</v>
      </c>
      <c r="AL121" s="84">
        <f t="shared" ref="AL121:AL126" si="228">(B121+N121+Z121)/AR121</f>
        <v>0.17421631136521254</v>
      </c>
      <c r="AM121" s="83">
        <f t="shared" ref="AM121:AM126" si="229">(E121+Q121+AC121)/AS121</f>
        <v>0.48614006640413865</v>
      </c>
      <c r="AN121" s="6">
        <f t="shared" ref="AN121:AN126" si="230">(H121+T121+AF121)/AT121</f>
        <v>0.87112171837708829</v>
      </c>
      <c r="AO121" s="127">
        <f t="shared" ref="AO121:AO126" si="231">AP121/AQ121</f>
        <v>0.17971559841511053</v>
      </c>
      <c r="AP121" s="52">
        <f t="shared" ref="AP121:AP126" si="232">AF121+AC121+Z121+T121+Q121+N121+H121+E121+B121</f>
        <v>141560</v>
      </c>
      <c r="AQ121" s="3">
        <f t="shared" si="190"/>
        <v>787689</v>
      </c>
      <c r="AR121" s="12">
        <f t="shared" ref="AR121:AR126" si="233">+D121+P121+AB121</f>
        <v>774319</v>
      </c>
      <c r="AS121" s="3">
        <f t="shared" ref="AS121:AS126" si="234">G121+S121+AE121</f>
        <v>12951</v>
      </c>
      <c r="AT121" s="21">
        <f t="shared" ref="AT121:AT126" si="235">J121+V121+AH121</f>
        <v>419</v>
      </c>
    </row>
    <row r="122" spans="1:46" x14ac:dyDescent="0.2">
      <c r="A122" s="109">
        <v>42614</v>
      </c>
      <c r="B122" s="3">
        <v>10899</v>
      </c>
      <c r="C122" s="83">
        <f t="shared" si="212"/>
        <v>8.705480163262698E-2</v>
      </c>
      <c r="D122" s="3">
        <v>125197</v>
      </c>
      <c r="E122" s="134">
        <v>837</v>
      </c>
      <c r="F122" s="83">
        <f t="shared" si="213"/>
        <v>0.45662847790507366</v>
      </c>
      <c r="G122" s="3">
        <v>1833</v>
      </c>
      <c r="H122" s="134">
        <v>35</v>
      </c>
      <c r="I122" s="83">
        <f t="shared" si="214"/>
        <v>0.76086956521739135</v>
      </c>
      <c r="J122" s="3">
        <v>46</v>
      </c>
      <c r="K122" s="140">
        <f t="shared" si="219"/>
        <v>11771</v>
      </c>
      <c r="L122" s="83">
        <f t="shared" si="221"/>
        <v>9.2629607478988948E-2</v>
      </c>
      <c r="M122" s="18">
        <f t="shared" si="220"/>
        <v>127076</v>
      </c>
      <c r="N122" s="3">
        <f>101943+16606+629</f>
        <v>119178</v>
      </c>
      <c r="O122" s="6">
        <f t="shared" si="218"/>
        <v>0.1944401390699412</v>
      </c>
      <c r="P122" s="130">
        <f>553904+53606+5419</f>
        <v>612929</v>
      </c>
      <c r="Q122" s="55">
        <v>5780</v>
      </c>
      <c r="R122" s="6">
        <f t="shared" si="199"/>
        <v>0.50462720447005416</v>
      </c>
      <c r="S122" s="33">
        <v>11454</v>
      </c>
      <c r="T122" s="55">
        <v>354</v>
      </c>
      <c r="U122" s="6">
        <f t="shared" si="200"/>
        <v>0.88279301745635907</v>
      </c>
      <c r="V122" s="33">
        <v>401</v>
      </c>
      <c r="W122" s="52">
        <f t="shared" si="222"/>
        <v>125312</v>
      </c>
      <c r="X122" s="6">
        <f t="shared" si="223"/>
        <v>0.20056851647929524</v>
      </c>
      <c r="Y122" s="21">
        <f t="shared" si="224"/>
        <v>624784</v>
      </c>
      <c r="Z122" s="3">
        <v>430</v>
      </c>
      <c r="AA122" s="83">
        <f t="shared" si="215"/>
        <v>1.1647119369430374E-2</v>
      </c>
      <c r="AB122" s="33">
        <v>36919</v>
      </c>
      <c r="AC122" s="3">
        <v>75</v>
      </c>
      <c r="AD122" s="83">
        <f t="shared" si="216"/>
        <v>0.33936651583710409</v>
      </c>
      <c r="AE122" s="33">
        <v>221</v>
      </c>
      <c r="AF122" s="3">
        <v>13</v>
      </c>
      <c r="AG122" s="6">
        <f t="shared" si="217"/>
        <v>0.76470588235294112</v>
      </c>
      <c r="AH122" s="3">
        <v>17</v>
      </c>
      <c r="AI122" s="34">
        <f t="shared" si="225"/>
        <v>518</v>
      </c>
      <c r="AJ122" s="6">
        <f t="shared" si="226"/>
        <v>1.3940845601098043E-2</v>
      </c>
      <c r="AK122" s="37">
        <f t="shared" si="227"/>
        <v>37157</v>
      </c>
      <c r="AL122" s="84">
        <f t="shared" si="228"/>
        <v>0.16838635176022038</v>
      </c>
      <c r="AM122" s="83">
        <f t="shared" si="229"/>
        <v>0.49541012733195144</v>
      </c>
      <c r="AN122" s="6">
        <f t="shared" si="230"/>
        <v>0.86637931034482762</v>
      </c>
      <c r="AO122" s="127">
        <f t="shared" si="231"/>
        <v>0.17439548197313873</v>
      </c>
      <c r="AP122" s="52">
        <f t="shared" si="232"/>
        <v>137601</v>
      </c>
      <c r="AQ122" s="3">
        <f t="shared" si="190"/>
        <v>789017</v>
      </c>
      <c r="AR122" s="12">
        <f t="shared" si="233"/>
        <v>775045</v>
      </c>
      <c r="AS122" s="3">
        <f t="shared" si="234"/>
        <v>13508</v>
      </c>
      <c r="AT122" s="21">
        <f t="shared" si="235"/>
        <v>464</v>
      </c>
    </row>
    <row r="123" spans="1:46" x14ac:dyDescent="0.2">
      <c r="A123" s="109">
        <v>42583</v>
      </c>
      <c r="B123" s="3">
        <v>10998</v>
      </c>
      <c r="C123" s="83">
        <f t="shared" si="212"/>
        <v>8.7799270335214702E-2</v>
      </c>
      <c r="D123" s="3">
        <v>125263</v>
      </c>
      <c r="E123" s="134">
        <v>831</v>
      </c>
      <c r="F123" s="83">
        <f t="shared" si="213"/>
        <v>0.45286103542234335</v>
      </c>
      <c r="G123" s="3">
        <v>1835</v>
      </c>
      <c r="H123" s="134">
        <v>35</v>
      </c>
      <c r="I123" s="83">
        <f t="shared" si="214"/>
        <v>0.74468085106382975</v>
      </c>
      <c r="J123" s="3">
        <v>47</v>
      </c>
      <c r="K123" s="140">
        <f t="shared" si="219"/>
        <v>11864</v>
      </c>
      <c r="L123" s="83">
        <f t="shared" si="221"/>
        <v>9.3310786896850059E-2</v>
      </c>
      <c r="M123" s="18">
        <f t="shared" si="220"/>
        <v>127145</v>
      </c>
      <c r="N123" s="3">
        <f>108014+38909+678</f>
        <v>147601</v>
      </c>
      <c r="O123" s="6">
        <f t="shared" si="218"/>
        <v>0.2397357726878486</v>
      </c>
      <c r="P123" s="130">
        <f>553479+56265+5938</f>
        <v>615682</v>
      </c>
      <c r="Q123" s="55">
        <v>6029</v>
      </c>
      <c r="R123" s="6">
        <f t="shared" si="199"/>
        <v>0.49507308260798161</v>
      </c>
      <c r="S123" s="33">
        <v>12178</v>
      </c>
      <c r="T123" s="55">
        <v>390</v>
      </c>
      <c r="U123" s="6">
        <f t="shared" si="200"/>
        <v>0.88636363636363635</v>
      </c>
      <c r="V123" s="33">
        <v>440</v>
      </c>
      <c r="W123" s="52">
        <f t="shared" si="222"/>
        <v>154020</v>
      </c>
      <c r="X123" s="6">
        <f t="shared" si="223"/>
        <v>0.24513767308610537</v>
      </c>
      <c r="Y123" s="21">
        <f t="shared" si="224"/>
        <v>628300</v>
      </c>
      <c r="Z123" s="3">
        <v>481</v>
      </c>
      <c r="AA123" s="83">
        <f t="shared" si="215"/>
        <v>1.273126703898785E-2</v>
      </c>
      <c r="AB123" s="33">
        <v>37781</v>
      </c>
      <c r="AC123" s="3">
        <v>73</v>
      </c>
      <c r="AD123" s="83">
        <f t="shared" si="216"/>
        <v>0.39890710382513661</v>
      </c>
      <c r="AE123" s="33">
        <v>183</v>
      </c>
      <c r="AF123" s="3">
        <v>12</v>
      </c>
      <c r="AG123" s="6">
        <f t="shared" si="217"/>
        <v>0.92307692307692313</v>
      </c>
      <c r="AH123" s="3">
        <v>13</v>
      </c>
      <c r="AI123" s="34">
        <f t="shared" si="225"/>
        <v>566</v>
      </c>
      <c r="AJ123" s="6">
        <f t="shared" si="226"/>
        <v>1.4903757537456881E-2</v>
      </c>
      <c r="AK123" s="37">
        <f t="shared" si="227"/>
        <v>37977</v>
      </c>
      <c r="AL123" s="84">
        <f t="shared" si="228"/>
        <v>0.20428237916802572</v>
      </c>
      <c r="AM123" s="83">
        <f t="shared" si="229"/>
        <v>0.48837700760777686</v>
      </c>
      <c r="AN123" s="6">
        <f t="shared" si="230"/>
        <v>0.874</v>
      </c>
      <c r="AO123" s="127">
        <f t="shared" si="231"/>
        <v>0.20978747753402352</v>
      </c>
      <c r="AP123" s="52">
        <f t="shared" si="232"/>
        <v>166450</v>
      </c>
      <c r="AQ123" s="3">
        <f t="shared" si="190"/>
        <v>793422</v>
      </c>
      <c r="AR123" s="12">
        <f t="shared" si="233"/>
        <v>778726</v>
      </c>
      <c r="AS123" s="3">
        <f t="shared" si="234"/>
        <v>14196</v>
      </c>
      <c r="AT123" s="21">
        <f t="shared" si="235"/>
        <v>500</v>
      </c>
    </row>
    <row r="124" spans="1:46" x14ac:dyDescent="0.2">
      <c r="A124" s="109">
        <v>42552</v>
      </c>
      <c r="B124" s="3">
        <v>10914</v>
      </c>
      <c r="C124" s="83">
        <f t="shared" si="212"/>
        <v>8.7295239314051698E-2</v>
      </c>
      <c r="D124" s="3">
        <v>125024</v>
      </c>
      <c r="E124" s="134">
        <v>838</v>
      </c>
      <c r="F124" s="83">
        <f t="shared" si="213"/>
        <v>0.45593035908596302</v>
      </c>
      <c r="G124" s="3">
        <v>1838</v>
      </c>
      <c r="H124" s="134">
        <v>34</v>
      </c>
      <c r="I124" s="83">
        <f t="shared" si="214"/>
        <v>0.72340425531914898</v>
      </c>
      <c r="J124" s="3">
        <v>47</v>
      </c>
      <c r="K124" s="140">
        <f t="shared" si="219"/>
        <v>11786</v>
      </c>
      <c r="L124" s="83">
        <f t="shared" si="221"/>
        <v>9.2869694032732111E-2</v>
      </c>
      <c r="M124" s="18">
        <f t="shared" si="220"/>
        <v>126909</v>
      </c>
      <c r="N124" s="3">
        <f>101943+15792+629</f>
        <v>118364</v>
      </c>
      <c r="O124" s="6">
        <f t="shared" si="218"/>
        <v>0.1942670507233889</v>
      </c>
      <c r="P124" s="130">
        <f>553155+51007+5123</f>
        <v>609285</v>
      </c>
      <c r="Q124" s="55">
        <v>5394</v>
      </c>
      <c r="R124" s="6">
        <f t="shared" si="199"/>
        <v>0.49641082274986198</v>
      </c>
      <c r="S124" s="33">
        <v>10866</v>
      </c>
      <c r="T124" s="55">
        <v>321</v>
      </c>
      <c r="U124" s="6">
        <f t="shared" si="200"/>
        <v>0.89415041782729809</v>
      </c>
      <c r="V124" s="33">
        <v>359</v>
      </c>
      <c r="W124" s="52">
        <f t="shared" si="222"/>
        <v>124079</v>
      </c>
      <c r="X124" s="6">
        <f t="shared" si="223"/>
        <v>0.19996293371581442</v>
      </c>
      <c r="Y124" s="21">
        <f t="shared" si="224"/>
        <v>620510</v>
      </c>
      <c r="Z124" s="3">
        <v>253</v>
      </c>
      <c r="AA124" s="83">
        <f t="shared" si="215"/>
        <v>7.1215447841017849E-3</v>
      </c>
      <c r="AB124" s="33">
        <v>35526</v>
      </c>
      <c r="AC124" s="3">
        <v>55</v>
      </c>
      <c r="AD124" s="83">
        <f t="shared" si="216"/>
        <v>0.31791907514450868</v>
      </c>
      <c r="AE124" s="33">
        <v>173</v>
      </c>
      <c r="AF124" s="3">
        <v>12</v>
      </c>
      <c r="AG124" s="6">
        <f t="shared" si="217"/>
        <v>0.8571428571428571</v>
      </c>
      <c r="AH124" s="3">
        <v>14</v>
      </c>
      <c r="AI124" s="34">
        <f t="shared" si="225"/>
        <v>320</v>
      </c>
      <c r="AJ124" s="6">
        <f t="shared" si="226"/>
        <v>8.9603225716125782E-3</v>
      </c>
      <c r="AK124" s="37">
        <f t="shared" si="227"/>
        <v>35713</v>
      </c>
      <c r="AL124" s="84">
        <f t="shared" si="228"/>
        <v>0.16825813323634287</v>
      </c>
      <c r="AM124" s="83">
        <f t="shared" si="229"/>
        <v>0.4882348373068261</v>
      </c>
      <c r="AN124" s="6">
        <f t="shared" si="230"/>
        <v>0.87380952380952381</v>
      </c>
      <c r="AO124" s="127">
        <f t="shared" si="231"/>
        <v>0.17389788694626193</v>
      </c>
      <c r="AP124" s="52">
        <f t="shared" si="232"/>
        <v>136185</v>
      </c>
      <c r="AQ124" s="3">
        <f t="shared" si="190"/>
        <v>783132</v>
      </c>
      <c r="AR124" s="12">
        <f t="shared" si="233"/>
        <v>769835</v>
      </c>
      <c r="AS124" s="3">
        <f t="shared" si="234"/>
        <v>12877</v>
      </c>
      <c r="AT124" s="21">
        <f t="shared" si="235"/>
        <v>420</v>
      </c>
    </row>
    <row r="125" spans="1:46" x14ac:dyDescent="0.2">
      <c r="A125" s="109">
        <v>42522</v>
      </c>
      <c r="B125" s="3">
        <v>10623</v>
      </c>
      <c r="C125" s="83">
        <f t="shared" si="212"/>
        <v>8.5649323948431416E-2</v>
      </c>
      <c r="D125" s="3">
        <v>124029</v>
      </c>
      <c r="E125" s="134">
        <v>835</v>
      </c>
      <c r="F125" s="83">
        <f t="shared" si="213"/>
        <v>0.4585392641405821</v>
      </c>
      <c r="G125" s="3">
        <v>1821</v>
      </c>
      <c r="H125" s="134">
        <v>35</v>
      </c>
      <c r="I125" s="83">
        <f t="shared" si="214"/>
        <v>0.74468085106382975</v>
      </c>
      <c r="J125" s="3">
        <v>47</v>
      </c>
      <c r="K125" s="140">
        <f t="shared" si="219"/>
        <v>11493</v>
      </c>
      <c r="L125" s="83">
        <f t="shared" si="221"/>
        <v>9.1288910776269494E-2</v>
      </c>
      <c r="M125" s="18">
        <f t="shared" si="220"/>
        <v>125897</v>
      </c>
      <c r="N125" s="3">
        <f>103149+16693+626</f>
        <v>120468</v>
      </c>
      <c r="O125" s="6">
        <f t="shared" si="218"/>
        <v>0.19677883044756617</v>
      </c>
      <c r="P125" s="130">
        <f>552859+53689+5652</f>
        <v>612200</v>
      </c>
      <c r="Q125" s="55">
        <v>5726</v>
      </c>
      <c r="R125" s="6">
        <f t="shared" si="199"/>
        <v>0.4959722823733218</v>
      </c>
      <c r="S125" s="33">
        <v>11545</v>
      </c>
      <c r="T125" s="55">
        <v>370</v>
      </c>
      <c r="U125" s="6">
        <f t="shared" si="200"/>
        <v>0.89588377723970947</v>
      </c>
      <c r="V125" s="33">
        <v>413</v>
      </c>
      <c r="W125" s="52">
        <f t="shared" si="222"/>
        <v>126564</v>
      </c>
      <c r="X125" s="6">
        <f t="shared" si="223"/>
        <v>0.20277557926037959</v>
      </c>
      <c r="Y125" s="21">
        <f t="shared" si="224"/>
        <v>624158</v>
      </c>
      <c r="Z125" s="3">
        <v>249</v>
      </c>
      <c r="AA125" s="83">
        <f t="shared" si="215"/>
        <v>6.7195595854922276E-3</v>
      </c>
      <c r="AB125" s="33">
        <v>37056</v>
      </c>
      <c r="AC125" s="3">
        <v>63</v>
      </c>
      <c r="AD125" s="83">
        <f t="shared" si="216"/>
        <v>0.33510638297872342</v>
      </c>
      <c r="AE125" s="33">
        <v>188</v>
      </c>
      <c r="AF125" s="3">
        <v>12</v>
      </c>
      <c r="AG125" s="6">
        <f t="shared" si="217"/>
        <v>0.8571428571428571</v>
      </c>
      <c r="AH125" s="3">
        <v>14</v>
      </c>
      <c r="AI125" s="34">
        <f t="shared" si="225"/>
        <v>324</v>
      </c>
      <c r="AJ125" s="6">
        <f t="shared" si="226"/>
        <v>8.6961189543185349E-3</v>
      </c>
      <c r="AK125" s="37">
        <f t="shared" si="227"/>
        <v>37258</v>
      </c>
      <c r="AL125" s="84">
        <f t="shared" si="228"/>
        <v>0.1698468223229469</v>
      </c>
      <c r="AM125" s="83">
        <f t="shared" si="229"/>
        <v>0.48871181938911024</v>
      </c>
      <c r="AN125" s="6">
        <f t="shared" si="230"/>
        <v>0.879746835443038</v>
      </c>
      <c r="AO125" s="127">
        <f t="shared" si="231"/>
        <v>0.17576364165204944</v>
      </c>
      <c r="AP125" s="52">
        <f t="shared" si="232"/>
        <v>138381</v>
      </c>
      <c r="AQ125" s="3">
        <f t="shared" si="190"/>
        <v>787313</v>
      </c>
      <c r="AR125" s="12">
        <f t="shared" si="233"/>
        <v>773285</v>
      </c>
      <c r="AS125" s="3">
        <f t="shared" si="234"/>
        <v>13554</v>
      </c>
      <c r="AT125" s="21">
        <f t="shared" si="235"/>
        <v>474</v>
      </c>
    </row>
    <row r="126" spans="1:46" ht="13.5" customHeight="1" x14ac:dyDescent="0.2">
      <c r="A126" s="109">
        <v>42491</v>
      </c>
      <c r="B126" s="3">
        <v>10587</v>
      </c>
      <c r="C126" s="138">
        <f t="shared" ref="C126:C179" si="236">B126/D126</f>
        <v>8.5547367400368474E-2</v>
      </c>
      <c r="D126" s="3">
        <v>123756</v>
      </c>
      <c r="E126" s="134">
        <v>788</v>
      </c>
      <c r="F126" s="139">
        <f t="shared" ref="F126:F179" si="237">E126/G126</f>
        <v>0.45105895821408126</v>
      </c>
      <c r="G126" s="3">
        <v>1747</v>
      </c>
      <c r="H126" s="134">
        <v>35</v>
      </c>
      <c r="I126" s="139">
        <f t="shared" ref="I126:I179" si="238">H126/J126</f>
        <v>0.74468085106382975</v>
      </c>
      <c r="J126" s="3">
        <v>47</v>
      </c>
      <c r="K126" s="140">
        <f t="shared" ref="K126:K133" si="239">+H126+E126+B126</f>
        <v>11410</v>
      </c>
      <c r="L126" s="83">
        <f t="shared" si="221"/>
        <v>9.0880127439267225E-2</v>
      </c>
      <c r="M126" s="18">
        <f t="shared" ref="M126:M133" si="240">+J126+G126+D126</f>
        <v>125550</v>
      </c>
      <c r="N126" s="3">
        <f>677+17407+108271</f>
        <v>126355</v>
      </c>
      <c r="O126" s="6">
        <f t="shared" si="218"/>
        <v>0.20568337571095099</v>
      </c>
      <c r="P126" s="130">
        <f>552785+55695+5838</f>
        <v>614318</v>
      </c>
      <c r="Q126" s="55">
        <v>6029</v>
      </c>
      <c r="R126" s="6">
        <f t="shared" si="199"/>
        <v>0.49756540397788229</v>
      </c>
      <c r="S126" s="33">
        <v>12117</v>
      </c>
      <c r="T126" s="55">
        <v>383</v>
      </c>
      <c r="U126" s="6">
        <f t="shared" si="200"/>
        <v>0.89485981308411211</v>
      </c>
      <c r="V126" s="33">
        <v>428</v>
      </c>
      <c r="W126" s="52">
        <f t="shared" si="222"/>
        <v>132767</v>
      </c>
      <c r="X126" s="6">
        <f t="shared" si="223"/>
        <v>0.21179587884434078</v>
      </c>
      <c r="Y126" s="21">
        <f t="shared" si="224"/>
        <v>626863</v>
      </c>
      <c r="Z126" s="3">
        <v>294</v>
      </c>
      <c r="AA126" s="83">
        <f t="shared" ref="AA126:AA179" si="241">Z126/AB126</f>
        <v>7.7984084880636604E-3</v>
      </c>
      <c r="AB126" s="33">
        <v>37700</v>
      </c>
      <c r="AC126" s="3">
        <v>64</v>
      </c>
      <c r="AD126" s="83">
        <f t="shared" ref="AD126:AD179" si="242">AC126/AE126</f>
        <v>0.34972677595628415</v>
      </c>
      <c r="AE126" s="33">
        <v>183</v>
      </c>
      <c r="AF126" s="3">
        <v>12</v>
      </c>
      <c r="AG126" s="6">
        <f t="shared" ref="AG126:AG179" si="243">AF126/AH126</f>
        <v>0.92307692307692313</v>
      </c>
      <c r="AH126" s="3">
        <v>13</v>
      </c>
      <c r="AI126" s="34">
        <f t="shared" si="225"/>
        <v>370</v>
      </c>
      <c r="AJ126" s="6">
        <f t="shared" si="226"/>
        <v>9.7635634367743297E-3</v>
      </c>
      <c r="AK126" s="37">
        <f t="shared" si="227"/>
        <v>37896</v>
      </c>
      <c r="AL126" s="84">
        <f t="shared" si="228"/>
        <v>0.17690203590220863</v>
      </c>
      <c r="AM126" s="83">
        <f t="shared" si="229"/>
        <v>0.48985548515697303</v>
      </c>
      <c r="AN126" s="6">
        <f t="shared" si="230"/>
        <v>0.88114754098360659</v>
      </c>
      <c r="AO126" s="127">
        <f t="shared" si="231"/>
        <v>0.18289934696428864</v>
      </c>
      <c r="AP126" s="52">
        <f t="shared" si="232"/>
        <v>144547</v>
      </c>
      <c r="AQ126" s="3">
        <f t="shared" si="190"/>
        <v>790309</v>
      </c>
      <c r="AR126" s="12">
        <f t="shared" si="233"/>
        <v>775774</v>
      </c>
      <c r="AS126" s="3">
        <f t="shared" si="234"/>
        <v>14047</v>
      </c>
      <c r="AT126" s="21">
        <f t="shared" si="235"/>
        <v>488</v>
      </c>
    </row>
    <row r="127" spans="1:46" x14ac:dyDescent="0.2">
      <c r="A127" s="109">
        <v>42461</v>
      </c>
      <c r="B127" s="3">
        <v>10569</v>
      </c>
      <c r="C127" s="83">
        <f t="shared" si="236"/>
        <v>8.5690657456279032E-2</v>
      </c>
      <c r="D127" s="3">
        <v>123339</v>
      </c>
      <c r="E127" s="134">
        <v>841</v>
      </c>
      <c r="F127" s="83">
        <f t="shared" si="237"/>
        <v>0.46464088397790054</v>
      </c>
      <c r="G127" s="3">
        <v>1810</v>
      </c>
      <c r="H127" s="134">
        <v>35</v>
      </c>
      <c r="I127" s="83">
        <f t="shared" si="238"/>
        <v>0.74468085106382975</v>
      </c>
      <c r="J127" s="3">
        <v>47</v>
      </c>
      <c r="K127" s="140">
        <f t="shared" si="239"/>
        <v>11445</v>
      </c>
      <c r="L127" s="83">
        <f t="shared" si="221"/>
        <v>9.1416658679191035E-2</v>
      </c>
      <c r="M127" s="18">
        <f t="shared" si="240"/>
        <v>125196</v>
      </c>
      <c r="N127" s="3">
        <v>119726</v>
      </c>
      <c r="O127" s="6">
        <f t="shared" ref="O127:O179" si="244">N127/P127</f>
        <v>0.19643958784537638</v>
      </c>
      <c r="P127" s="130">
        <v>609480</v>
      </c>
      <c r="Q127" s="55">
        <v>5402</v>
      </c>
      <c r="R127" s="6">
        <f t="shared" ref="R127:R179" si="245">Q127/S127</f>
        <v>0.49319821053592622</v>
      </c>
      <c r="S127" s="33">
        <v>10953</v>
      </c>
      <c r="T127" s="55">
        <v>317</v>
      </c>
      <c r="U127" s="6">
        <f t="shared" ref="U127:U179" si="246">T127/V127</f>
        <v>0.89295774647887327</v>
      </c>
      <c r="V127" s="33">
        <v>355</v>
      </c>
      <c r="W127" s="52">
        <f t="shared" ref="W127:W133" si="247">+T127+Q127+N127</f>
        <v>125445</v>
      </c>
      <c r="X127" s="6">
        <f>W127/Y127</f>
        <v>0.20207381585984266</v>
      </c>
      <c r="Y127" s="21">
        <f t="shared" ref="Y127:Y133" si="248">+V127+S127+P127</f>
        <v>620788</v>
      </c>
      <c r="Z127" s="3">
        <v>251</v>
      </c>
      <c r="AA127" s="83">
        <f t="shared" si="241"/>
        <v>7.020193544778207E-3</v>
      </c>
      <c r="AB127" s="33">
        <v>35754</v>
      </c>
      <c r="AC127" s="3">
        <v>55</v>
      </c>
      <c r="AD127" s="83">
        <f t="shared" si="242"/>
        <v>0.30555555555555558</v>
      </c>
      <c r="AE127" s="33">
        <v>180</v>
      </c>
      <c r="AF127" s="3">
        <v>12</v>
      </c>
      <c r="AG127" s="6">
        <f t="shared" si="243"/>
        <v>0.8571428571428571</v>
      </c>
      <c r="AH127" s="3">
        <v>14</v>
      </c>
      <c r="AI127" s="34">
        <f t="shared" ref="AI127:AI133" si="249">+AF127+AC127+Z127</f>
        <v>318</v>
      </c>
      <c r="AJ127" s="6">
        <f>AI127/AK127</f>
        <v>8.8461110492934238E-3</v>
      </c>
      <c r="AK127" s="37">
        <f t="shared" ref="AK127:AK133" si="250">+AH127+AE127+AB127</f>
        <v>35948</v>
      </c>
      <c r="AL127" s="84">
        <f t="shared" ref="AL127:AL133" si="251">(B127+N127+Z127)/AR127</f>
        <v>0.16985504304730975</v>
      </c>
      <c r="AM127" s="83">
        <f t="shared" ref="AM127:AM133" si="252">(E127+Q127+AC127)/AS127</f>
        <v>0.48659507069458396</v>
      </c>
      <c r="AN127" s="6">
        <f t="shared" ref="AN127:AN133" si="253">(H127+T127+AF127)/AT127</f>
        <v>0.875</v>
      </c>
      <c r="AO127" s="127">
        <f t="shared" ref="AO127:AO133" si="254">AP127/AQ127</f>
        <v>0.17547305903838187</v>
      </c>
      <c r="AP127" s="52">
        <f t="shared" ref="AP127:AP133" si="255">AF127+AC127+Z127+T127+Q127+N127+H127+E127+B127</f>
        <v>137208</v>
      </c>
      <c r="AQ127" s="3">
        <f t="shared" si="190"/>
        <v>781932</v>
      </c>
      <c r="AR127" s="12">
        <f t="shared" ref="AR127:AR133" si="256">+D127+P127+AB127</f>
        <v>768573</v>
      </c>
      <c r="AS127" s="3">
        <f t="shared" ref="AS127:AS133" si="257">G127+S127+AE127</f>
        <v>12943</v>
      </c>
      <c r="AT127" s="21">
        <f t="shared" ref="AT127:AT133" si="258">J127+V127+AH127</f>
        <v>416</v>
      </c>
    </row>
    <row r="128" spans="1:46" x14ac:dyDescent="0.2">
      <c r="A128" s="109">
        <v>42430</v>
      </c>
      <c r="B128" s="3">
        <v>10544</v>
      </c>
      <c r="C128" s="83">
        <f t="shared" si="236"/>
        <v>8.5517084762808504E-2</v>
      </c>
      <c r="D128" s="3">
        <v>123297</v>
      </c>
      <c r="E128" s="134">
        <v>833</v>
      </c>
      <c r="F128" s="83">
        <f t="shared" si="237"/>
        <v>0.45895316804407715</v>
      </c>
      <c r="G128" s="3">
        <v>1815</v>
      </c>
      <c r="H128" s="134">
        <v>35</v>
      </c>
      <c r="I128" s="83">
        <f t="shared" si="238"/>
        <v>0.74468085106382975</v>
      </c>
      <c r="J128" s="3">
        <v>47</v>
      </c>
      <c r="K128" s="140">
        <f t="shared" si="239"/>
        <v>11412</v>
      </c>
      <c r="L128" s="83">
        <f t="shared" si="221"/>
        <v>9.1180019015811881E-2</v>
      </c>
      <c r="M128" s="18">
        <f t="shared" si="240"/>
        <v>125159</v>
      </c>
      <c r="N128" s="3">
        <v>127380</v>
      </c>
      <c r="O128" s="6">
        <f t="shared" si="244"/>
        <v>0.2071071337985575</v>
      </c>
      <c r="P128" s="130">
        <v>615044</v>
      </c>
      <c r="Q128" s="55">
        <v>6007</v>
      </c>
      <c r="R128" s="6">
        <f t="shared" si="245"/>
        <v>0.49367192636423407</v>
      </c>
      <c r="S128" s="33">
        <v>12168</v>
      </c>
      <c r="T128" s="55">
        <v>392</v>
      </c>
      <c r="U128" s="6">
        <f t="shared" si="246"/>
        <v>0.89090909090909087</v>
      </c>
      <c r="V128" s="33">
        <v>440</v>
      </c>
      <c r="W128" s="52">
        <f t="shared" si="247"/>
        <v>133779</v>
      </c>
      <c r="X128" s="6">
        <f>W128/Y128</f>
        <v>0.21314199588306895</v>
      </c>
      <c r="Y128" s="21">
        <f t="shared" si="248"/>
        <v>627652</v>
      </c>
      <c r="Z128" s="3">
        <v>251</v>
      </c>
      <c r="AA128" s="83">
        <f t="shared" si="241"/>
        <v>7.0174457615745922E-3</v>
      </c>
      <c r="AB128" s="33">
        <v>35768</v>
      </c>
      <c r="AC128" s="3">
        <v>63</v>
      </c>
      <c r="AD128" s="83">
        <f t="shared" si="242"/>
        <v>0.33333333333333331</v>
      </c>
      <c r="AE128" s="33">
        <v>189</v>
      </c>
      <c r="AF128" s="3">
        <v>12</v>
      </c>
      <c r="AG128" s="6">
        <f t="shared" si="243"/>
        <v>0.8571428571428571</v>
      </c>
      <c r="AH128" s="3">
        <v>14</v>
      </c>
      <c r="AI128" s="34">
        <f t="shared" si="249"/>
        <v>326</v>
      </c>
      <c r="AJ128" s="6">
        <f>AI128/AK128</f>
        <v>9.0628561897083768E-3</v>
      </c>
      <c r="AK128" s="37">
        <f t="shared" si="250"/>
        <v>35971</v>
      </c>
      <c r="AL128" s="84">
        <f t="shared" si="251"/>
        <v>0.17849553486653688</v>
      </c>
      <c r="AM128" s="83">
        <f t="shared" si="252"/>
        <v>0.48708721422523288</v>
      </c>
      <c r="AN128" s="6">
        <f t="shared" si="253"/>
        <v>0.87624750499001991</v>
      </c>
      <c r="AO128" s="127">
        <f t="shared" si="254"/>
        <v>0.18448316518378968</v>
      </c>
      <c r="AP128" s="52">
        <f t="shared" si="255"/>
        <v>145517</v>
      </c>
      <c r="AQ128" s="3">
        <f t="shared" si="190"/>
        <v>788782</v>
      </c>
      <c r="AR128" s="12">
        <f t="shared" si="256"/>
        <v>774109</v>
      </c>
      <c r="AS128" s="3">
        <f t="shared" si="257"/>
        <v>14172</v>
      </c>
      <c r="AT128" s="21">
        <f t="shared" si="258"/>
        <v>501</v>
      </c>
    </row>
    <row r="129" spans="1:46" x14ac:dyDescent="0.2">
      <c r="A129" s="109">
        <v>42401</v>
      </c>
      <c r="B129" s="3">
        <v>10481</v>
      </c>
      <c r="C129" s="83">
        <f t="shared" si="236"/>
        <v>8.5129712958300172E-2</v>
      </c>
      <c r="D129" s="3">
        <v>123118</v>
      </c>
      <c r="E129" s="134">
        <v>830</v>
      </c>
      <c r="F129" s="83">
        <f t="shared" si="237"/>
        <v>0.45730027548209368</v>
      </c>
      <c r="G129" s="3">
        <v>1815</v>
      </c>
      <c r="H129" s="134">
        <v>35</v>
      </c>
      <c r="I129" s="83">
        <f t="shared" si="238"/>
        <v>0.74468085106382975</v>
      </c>
      <c r="J129" s="3">
        <v>47</v>
      </c>
      <c r="K129" s="140">
        <f t="shared" si="239"/>
        <v>11346</v>
      </c>
      <c r="L129" s="83">
        <f t="shared" ref="L129:L134" si="259">K129/M129</f>
        <v>9.0782525204032641E-2</v>
      </c>
      <c r="M129" s="18">
        <f t="shared" si="240"/>
        <v>124980</v>
      </c>
      <c r="N129" s="3">
        <v>120508</v>
      </c>
      <c r="O129" s="6">
        <f t="shared" si="244"/>
        <v>0.19795942840340303</v>
      </c>
      <c r="P129" s="130">
        <v>608751</v>
      </c>
      <c r="Q129" s="55">
        <v>5404</v>
      </c>
      <c r="R129" s="6">
        <f t="shared" si="245"/>
        <v>0.49297573435504471</v>
      </c>
      <c r="S129" s="33">
        <v>10962</v>
      </c>
      <c r="T129" s="55">
        <v>329</v>
      </c>
      <c r="U129" s="6">
        <f t="shared" si="246"/>
        <v>0.88918918918918921</v>
      </c>
      <c r="V129" s="33">
        <v>370</v>
      </c>
      <c r="W129" s="52">
        <f t="shared" si="247"/>
        <v>126241</v>
      </c>
      <c r="X129" s="6">
        <f>W129/Y129</f>
        <v>0.20358726170528785</v>
      </c>
      <c r="Y129" s="21">
        <f t="shared" si="248"/>
        <v>620083</v>
      </c>
      <c r="Z129" s="3">
        <v>253</v>
      </c>
      <c r="AA129" s="83">
        <f t="shared" si="241"/>
        <v>7.071779964221825E-3</v>
      </c>
      <c r="AB129" s="33">
        <v>35776</v>
      </c>
      <c r="AC129" s="3">
        <v>55</v>
      </c>
      <c r="AD129" s="83">
        <f t="shared" si="242"/>
        <v>0.29100529100529099</v>
      </c>
      <c r="AE129" s="33">
        <v>189</v>
      </c>
      <c r="AF129" s="3">
        <v>12</v>
      </c>
      <c r="AG129" s="6">
        <f t="shared" si="243"/>
        <v>0.8571428571428571</v>
      </c>
      <c r="AH129" s="3">
        <v>14</v>
      </c>
      <c r="AI129" s="34">
        <f t="shared" si="249"/>
        <v>320</v>
      </c>
      <c r="AJ129" s="6">
        <f t="shared" ref="AJ129:AJ134" si="260">AI129/AK129</f>
        <v>8.8940771005308651E-3</v>
      </c>
      <c r="AK129" s="37">
        <f t="shared" si="250"/>
        <v>35979</v>
      </c>
      <c r="AL129" s="84">
        <f t="shared" si="251"/>
        <v>0.17096704857062836</v>
      </c>
      <c r="AM129" s="83">
        <f t="shared" si="252"/>
        <v>0.48503779114607437</v>
      </c>
      <c r="AN129" s="6">
        <f t="shared" si="253"/>
        <v>0.87238979118329463</v>
      </c>
      <c r="AO129" s="127">
        <f t="shared" si="254"/>
        <v>0.17656796945618802</v>
      </c>
      <c r="AP129" s="52">
        <f t="shared" si="255"/>
        <v>137907</v>
      </c>
      <c r="AQ129" s="3">
        <f t="shared" si="190"/>
        <v>781042</v>
      </c>
      <c r="AR129" s="12">
        <f t="shared" si="256"/>
        <v>767645</v>
      </c>
      <c r="AS129" s="3">
        <f t="shared" si="257"/>
        <v>12966</v>
      </c>
      <c r="AT129" s="21">
        <f t="shared" si="258"/>
        <v>431</v>
      </c>
    </row>
    <row r="130" spans="1:46" x14ac:dyDescent="0.2">
      <c r="A130" s="109">
        <v>42370</v>
      </c>
      <c r="B130" s="3">
        <v>10221</v>
      </c>
      <c r="C130" s="83">
        <f t="shared" si="236"/>
        <v>8.3165174938974781E-2</v>
      </c>
      <c r="D130" s="3">
        <v>122900</v>
      </c>
      <c r="E130" s="134">
        <v>820</v>
      </c>
      <c r="F130" s="83">
        <f t="shared" si="237"/>
        <v>0.44833242208857299</v>
      </c>
      <c r="G130" s="3">
        <v>1829</v>
      </c>
      <c r="H130" s="134">
        <v>32</v>
      </c>
      <c r="I130" s="83">
        <f t="shared" si="238"/>
        <v>0.68085106382978722</v>
      </c>
      <c r="J130" s="3">
        <v>47</v>
      </c>
      <c r="K130" s="140">
        <f t="shared" si="239"/>
        <v>11073</v>
      </c>
      <c r="L130" s="83">
        <f t="shared" si="259"/>
        <v>8.8743027505289479E-2</v>
      </c>
      <c r="M130" s="18">
        <f t="shared" si="240"/>
        <v>124776</v>
      </c>
      <c r="N130" s="3">
        <v>127504</v>
      </c>
      <c r="O130" s="6">
        <f t="shared" si="244"/>
        <v>0.20865797040259088</v>
      </c>
      <c r="P130" s="130">
        <v>611067</v>
      </c>
      <c r="Q130" s="55">
        <v>5742</v>
      </c>
      <c r="R130" s="6">
        <f t="shared" si="245"/>
        <v>0.49363823933975243</v>
      </c>
      <c r="S130" s="33">
        <v>11632</v>
      </c>
      <c r="T130" s="55">
        <v>354</v>
      </c>
      <c r="U130" s="6">
        <f t="shared" si="246"/>
        <v>0.89168765743073053</v>
      </c>
      <c r="V130" s="33">
        <v>397</v>
      </c>
      <c r="W130" s="52">
        <f t="shared" si="247"/>
        <v>133600</v>
      </c>
      <c r="X130" s="6">
        <f t="shared" ref="X130:X137" si="261">W130/Y130</f>
        <v>0.21441318833694969</v>
      </c>
      <c r="Y130" s="21">
        <f t="shared" si="248"/>
        <v>623096</v>
      </c>
      <c r="Z130" s="3">
        <v>253</v>
      </c>
      <c r="AA130" s="83">
        <f t="shared" si="241"/>
        <v>7.0711870091394397E-3</v>
      </c>
      <c r="AB130" s="33">
        <v>35779</v>
      </c>
      <c r="AC130" s="3">
        <v>55</v>
      </c>
      <c r="AD130" s="83">
        <f t="shared" si="242"/>
        <v>0.31791907514450868</v>
      </c>
      <c r="AE130" s="33">
        <v>173</v>
      </c>
      <c r="AF130" s="3">
        <v>12</v>
      </c>
      <c r="AG130" s="6">
        <f t="shared" si="243"/>
        <v>0.8571428571428571</v>
      </c>
      <c r="AH130" s="3">
        <v>14</v>
      </c>
      <c r="AI130" s="34">
        <f t="shared" si="249"/>
        <v>320</v>
      </c>
      <c r="AJ130" s="6">
        <f t="shared" si="260"/>
        <v>8.8972918867819602E-3</v>
      </c>
      <c r="AK130" s="37">
        <f t="shared" si="250"/>
        <v>35966</v>
      </c>
      <c r="AL130" s="84">
        <f t="shared" si="251"/>
        <v>0.17925133745417318</v>
      </c>
      <c r="AM130" s="83">
        <f t="shared" si="252"/>
        <v>0.48533079067038287</v>
      </c>
      <c r="AN130" s="6">
        <f t="shared" si="253"/>
        <v>0.86899563318777295</v>
      </c>
      <c r="AO130" s="127">
        <f t="shared" si="254"/>
        <v>0.18497827357183499</v>
      </c>
      <c r="AP130" s="52">
        <f t="shared" si="255"/>
        <v>144993</v>
      </c>
      <c r="AQ130" s="3">
        <f t="shared" si="190"/>
        <v>783838</v>
      </c>
      <c r="AR130" s="12">
        <f t="shared" si="256"/>
        <v>769746</v>
      </c>
      <c r="AS130" s="3">
        <f t="shared" si="257"/>
        <v>13634</v>
      </c>
      <c r="AT130" s="21">
        <f t="shared" si="258"/>
        <v>458</v>
      </c>
    </row>
    <row r="131" spans="1:46" x14ac:dyDescent="0.2">
      <c r="A131" s="109">
        <v>42339</v>
      </c>
      <c r="B131" s="3">
        <v>10657</v>
      </c>
      <c r="C131" s="83">
        <f t="shared" si="236"/>
        <v>8.6476354312051668E-2</v>
      </c>
      <c r="D131" s="3">
        <v>123236</v>
      </c>
      <c r="E131" s="134">
        <v>826</v>
      </c>
      <c r="F131" s="83">
        <f t="shared" si="237"/>
        <v>0.44432490586336743</v>
      </c>
      <c r="G131" s="3">
        <v>1859</v>
      </c>
      <c r="H131" s="134">
        <v>33</v>
      </c>
      <c r="I131" s="83">
        <f t="shared" si="238"/>
        <v>0.71739130434782605</v>
      </c>
      <c r="J131" s="3">
        <v>46</v>
      </c>
      <c r="K131" s="140">
        <f t="shared" si="239"/>
        <v>11516</v>
      </c>
      <c r="L131" s="83">
        <f t="shared" si="259"/>
        <v>9.2024196706115502E-2</v>
      </c>
      <c r="M131" s="18">
        <f t="shared" si="240"/>
        <v>125141</v>
      </c>
      <c r="N131" s="3">
        <v>132794</v>
      </c>
      <c r="O131" s="6">
        <f t="shared" si="244"/>
        <v>0.21560617622704617</v>
      </c>
      <c r="P131" s="130">
        <v>615910</v>
      </c>
      <c r="Q131" s="55">
        <v>6244</v>
      </c>
      <c r="R131" s="6">
        <f t="shared" si="245"/>
        <v>0.49254555494202096</v>
      </c>
      <c r="S131" s="33">
        <v>12677</v>
      </c>
      <c r="T131" s="55">
        <v>403</v>
      </c>
      <c r="U131" s="6">
        <f t="shared" si="246"/>
        <v>0.88962472406181015</v>
      </c>
      <c r="V131" s="33">
        <v>453</v>
      </c>
      <c r="W131" s="52">
        <f t="shared" si="247"/>
        <v>139441</v>
      </c>
      <c r="X131" s="6">
        <f t="shared" si="261"/>
        <v>0.22167270761795752</v>
      </c>
      <c r="Y131" s="21">
        <f t="shared" si="248"/>
        <v>629040</v>
      </c>
      <c r="Z131" s="3">
        <v>252</v>
      </c>
      <c r="AA131" s="83">
        <f t="shared" si="241"/>
        <v>7.0400893979606092E-3</v>
      </c>
      <c r="AB131" s="33">
        <v>35795</v>
      </c>
      <c r="AC131" s="3">
        <v>64</v>
      </c>
      <c r="AD131" s="83">
        <f t="shared" si="242"/>
        <v>0.33684210526315789</v>
      </c>
      <c r="AE131" s="33">
        <v>190</v>
      </c>
      <c r="AF131" s="3">
        <v>13</v>
      </c>
      <c r="AG131" s="6">
        <f t="shared" si="243"/>
        <v>0.9285714285714286</v>
      </c>
      <c r="AH131" s="3">
        <v>14</v>
      </c>
      <c r="AI131" s="34">
        <f t="shared" si="249"/>
        <v>329</v>
      </c>
      <c r="AJ131" s="6">
        <f t="shared" si="260"/>
        <v>9.1391427539653878E-3</v>
      </c>
      <c r="AK131" s="37">
        <f t="shared" si="250"/>
        <v>35999</v>
      </c>
      <c r="AL131" s="84">
        <f t="shared" si="251"/>
        <v>0.18543734297191658</v>
      </c>
      <c r="AM131" s="83">
        <f t="shared" si="252"/>
        <v>0.48444927339399702</v>
      </c>
      <c r="AN131" s="6">
        <f t="shared" si="253"/>
        <v>0.87524366471734893</v>
      </c>
      <c r="AO131" s="127">
        <f t="shared" si="254"/>
        <v>0.19145764256245412</v>
      </c>
      <c r="AP131" s="52">
        <f t="shared" si="255"/>
        <v>151286</v>
      </c>
      <c r="AQ131" s="3">
        <f t="shared" si="190"/>
        <v>790180</v>
      </c>
      <c r="AR131" s="12">
        <f t="shared" si="256"/>
        <v>774941</v>
      </c>
      <c r="AS131" s="3">
        <f t="shared" si="257"/>
        <v>14726</v>
      </c>
      <c r="AT131" s="21">
        <f t="shared" si="258"/>
        <v>513</v>
      </c>
    </row>
    <row r="132" spans="1:46" x14ac:dyDescent="0.2">
      <c r="A132" s="109">
        <v>42309</v>
      </c>
      <c r="B132" s="3">
        <v>10800</v>
      </c>
      <c r="C132" s="83">
        <f t="shared" si="236"/>
        <v>8.7248755897369606E-2</v>
      </c>
      <c r="D132" s="3">
        <v>123784</v>
      </c>
      <c r="E132" s="134">
        <v>837</v>
      </c>
      <c r="F132" s="83">
        <f t="shared" si="237"/>
        <v>0.44544970729111227</v>
      </c>
      <c r="G132" s="3">
        <v>1879</v>
      </c>
      <c r="H132" s="134">
        <v>33</v>
      </c>
      <c r="I132" s="83">
        <f t="shared" si="238"/>
        <v>0.73333333333333328</v>
      </c>
      <c r="J132" s="3">
        <v>45</v>
      </c>
      <c r="K132" s="140">
        <f t="shared" si="239"/>
        <v>11670</v>
      </c>
      <c r="L132" s="83">
        <f t="shared" si="259"/>
        <v>9.2834187163903653E-2</v>
      </c>
      <c r="M132" s="18">
        <f t="shared" si="240"/>
        <v>125708</v>
      </c>
      <c r="N132" s="3">
        <v>119579</v>
      </c>
      <c r="O132" s="6">
        <f t="shared" si="244"/>
        <v>0.19784843405907043</v>
      </c>
      <c r="P132" s="130">
        <v>604397</v>
      </c>
      <c r="Q132" s="55">
        <v>5046</v>
      </c>
      <c r="R132" s="6">
        <f t="shared" si="245"/>
        <v>0.48472622478386168</v>
      </c>
      <c r="S132" s="33">
        <v>10410</v>
      </c>
      <c r="T132" s="55">
        <v>298</v>
      </c>
      <c r="U132" s="6">
        <f t="shared" si="246"/>
        <v>0.87647058823529411</v>
      </c>
      <c r="V132" s="33">
        <v>340</v>
      </c>
      <c r="W132" s="52">
        <f t="shared" si="247"/>
        <v>124923</v>
      </c>
      <c r="X132" s="6">
        <f t="shared" si="261"/>
        <v>0.20307828860418728</v>
      </c>
      <c r="Y132" s="21">
        <f t="shared" si="248"/>
        <v>615147</v>
      </c>
      <c r="Z132" s="3">
        <v>233</v>
      </c>
      <c r="AA132" s="83">
        <f t="shared" si="241"/>
        <v>6.5032935134531648E-3</v>
      </c>
      <c r="AB132" s="33">
        <v>35828</v>
      </c>
      <c r="AC132" s="3">
        <v>47</v>
      </c>
      <c r="AD132" s="83">
        <f t="shared" si="242"/>
        <v>0.24479166666666666</v>
      </c>
      <c r="AE132" s="33">
        <v>192</v>
      </c>
      <c r="AF132" s="3">
        <v>12</v>
      </c>
      <c r="AG132" s="6">
        <f t="shared" si="243"/>
        <v>0.8571428571428571</v>
      </c>
      <c r="AH132" s="3">
        <v>14</v>
      </c>
      <c r="AI132" s="34">
        <f t="shared" si="249"/>
        <v>292</v>
      </c>
      <c r="AJ132" s="6">
        <f t="shared" si="260"/>
        <v>8.1034578453682629E-3</v>
      </c>
      <c r="AK132" s="37">
        <f t="shared" si="250"/>
        <v>36034</v>
      </c>
      <c r="AL132" s="84">
        <f t="shared" si="251"/>
        <v>0.17095610130247157</v>
      </c>
      <c r="AM132" s="83">
        <f t="shared" si="252"/>
        <v>0.47512218572229792</v>
      </c>
      <c r="AN132" s="6">
        <f t="shared" si="253"/>
        <v>0.85964912280701755</v>
      </c>
      <c r="AO132" s="127">
        <f t="shared" si="254"/>
        <v>0.17619634207718221</v>
      </c>
      <c r="AP132" s="52">
        <f t="shared" si="255"/>
        <v>136885</v>
      </c>
      <c r="AQ132" s="3">
        <f t="shared" si="190"/>
        <v>776889</v>
      </c>
      <c r="AR132" s="12">
        <f t="shared" si="256"/>
        <v>764009</v>
      </c>
      <c r="AS132" s="3">
        <f t="shared" si="257"/>
        <v>12481</v>
      </c>
      <c r="AT132" s="21">
        <f t="shared" si="258"/>
        <v>399</v>
      </c>
    </row>
    <row r="133" spans="1:46" x14ac:dyDescent="0.2">
      <c r="A133" s="109">
        <v>42278</v>
      </c>
      <c r="B133" s="3">
        <v>10875</v>
      </c>
      <c r="C133" s="83">
        <f t="shared" si="236"/>
        <v>8.7710808391202308E-2</v>
      </c>
      <c r="D133" s="3">
        <v>123987</v>
      </c>
      <c r="E133" s="134">
        <v>839</v>
      </c>
      <c r="F133" s="83">
        <f t="shared" si="237"/>
        <v>0.4460393407761829</v>
      </c>
      <c r="G133" s="3">
        <v>1881</v>
      </c>
      <c r="H133" s="134">
        <v>33</v>
      </c>
      <c r="I133" s="83">
        <f t="shared" si="238"/>
        <v>0.73333333333333328</v>
      </c>
      <c r="J133" s="3">
        <v>45</v>
      </c>
      <c r="K133" s="140">
        <f t="shared" si="239"/>
        <v>11747</v>
      </c>
      <c r="L133" s="83">
        <f t="shared" si="259"/>
        <v>9.3294576413873065E-2</v>
      </c>
      <c r="M133" s="18">
        <f t="shared" si="240"/>
        <v>125913</v>
      </c>
      <c r="N133" s="3">
        <v>131076</v>
      </c>
      <c r="O133" s="6">
        <f t="shared" si="244"/>
        <v>0.21526758176246269</v>
      </c>
      <c r="P133" s="130">
        <v>608898</v>
      </c>
      <c r="Q133" s="55">
        <v>5669</v>
      </c>
      <c r="R133" s="6">
        <f t="shared" si="245"/>
        <v>0.48984705780696447</v>
      </c>
      <c r="S133" s="33">
        <v>11573</v>
      </c>
      <c r="T133" s="55">
        <v>358</v>
      </c>
      <c r="U133" s="6">
        <f t="shared" si="246"/>
        <v>0.88177339901477836</v>
      </c>
      <c r="V133" s="33">
        <v>406</v>
      </c>
      <c r="W133" s="52">
        <f t="shared" si="247"/>
        <v>137103</v>
      </c>
      <c r="X133" s="6">
        <f t="shared" si="261"/>
        <v>0.22082151537261002</v>
      </c>
      <c r="Y133" s="21">
        <f t="shared" si="248"/>
        <v>620877</v>
      </c>
      <c r="Z133" s="3">
        <v>170</v>
      </c>
      <c r="AA133" s="83">
        <f t="shared" si="241"/>
        <v>4.7339255381359472E-3</v>
      </c>
      <c r="AB133" s="33">
        <v>35911</v>
      </c>
      <c r="AC133" s="3">
        <v>31</v>
      </c>
      <c r="AD133" s="83">
        <f t="shared" si="242"/>
        <v>0.16939890710382513</v>
      </c>
      <c r="AE133" s="33">
        <v>183</v>
      </c>
      <c r="AF133" s="3">
        <v>11</v>
      </c>
      <c r="AG133" s="6">
        <f t="shared" si="243"/>
        <v>0.7857142857142857</v>
      </c>
      <c r="AH133" s="3">
        <v>14</v>
      </c>
      <c r="AI133" s="34">
        <f t="shared" si="249"/>
        <v>212</v>
      </c>
      <c r="AJ133" s="6">
        <f t="shared" si="260"/>
        <v>5.8712750636977958E-3</v>
      </c>
      <c r="AK133" s="37">
        <f t="shared" si="250"/>
        <v>36108</v>
      </c>
      <c r="AL133" s="84">
        <f t="shared" si="251"/>
        <v>0.18486178388024913</v>
      </c>
      <c r="AM133" s="83">
        <f t="shared" si="252"/>
        <v>0.47950428979980936</v>
      </c>
      <c r="AN133" s="6">
        <f t="shared" si="253"/>
        <v>0.86451612903225805</v>
      </c>
      <c r="AO133" s="127">
        <f t="shared" si="254"/>
        <v>0.19039772741787564</v>
      </c>
      <c r="AP133" s="52">
        <f t="shared" si="255"/>
        <v>149062</v>
      </c>
      <c r="AQ133" s="3">
        <f t="shared" si="190"/>
        <v>782898</v>
      </c>
      <c r="AR133" s="12">
        <f t="shared" si="256"/>
        <v>768796</v>
      </c>
      <c r="AS133" s="3">
        <f t="shared" si="257"/>
        <v>13637</v>
      </c>
      <c r="AT133" s="21">
        <f t="shared" si="258"/>
        <v>465</v>
      </c>
    </row>
    <row r="134" spans="1:46" x14ac:dyDescent="0.2">
      <c r="A134" s="109">
        <v>42248</v>
      </c>
      <c r="B134" s="3">
        <v>10925</v>
      </c>
      <c r="C134" s="83">
        <f t="shared" si="236"/>
        <v>8.8031715591081597E-2</v>
      </c>
      <c r="D134" s="3">
        <v>124103</v>
      </c>
      <c r="E134" s="134">
        <v>840</v>
      </c>
      <c r="F134" s="83">
        <f t="shared" si="237"/>
        <v>0.44680851063829785</v>
      </c>
      <c r="G134" s="3">
        <v>1880</v>
      </c>
      <c r="H134" s="134">
        <v>33</v>
      </c>
      <c r="I134" s="83">
        <f t="shared" si="238"/>
        <v>0.71739130434782605</v>
      </c>
      <c r="J134" s="3">
        <v>46</v>
      </c>
      <c r="K134" s="140">
        <f t="shared" ref="K134:K139" si="262">+H134+E134+B134</f>
        <v>11798</v>
      </c>
      <c r="L134" s="83">
        <f t="shared" si="259"/>
        <v>9.3613374699473936E-2</v>
      </c>
      <c r="M134" s="18">
        <f t="shared" ref="M134:M139" si="263">+J134+G134+D134</f>
        <v>126029</v>
      </c>
      <c r="N134" s="3">
        <v>132298</v>
      </c>
      <c r="O134" s="6">
        <f t="shared" si="244"/>
        <v>0.21732588204759229</v>
      </c>
      <c r="P134" s="130">
        <v>608754</v>
      </c>
      <c r="Q134" s="55">
        <v>5670</v>
      </c>
      <c r="R134" s="6">
        <f t="shared" si="245"/>
        <v>0.48993346582562863</v>
      </c>
      <c r="S134" s="33">
        <v>11573</v>
      </c>
      <c r="T134" s="55">
        <v>360</v>
      </c>
      <c r="U134" s="6">
        <f t="shared" si="246"/>
        <v>0.88235294117647056</v>
      </c>
      <c r="V134" s="33">
        <v>408</v>
      </c>
      <c r="W134" s="52">
        <f t="shared" ref="W134:W139" si="264">+T134+Q134+N134</f>
        <v>138328</v>
      </c>
      <c r="X134" s="6">
        <f t="shared" si="261"/>
        <v>0.22284549767614198</v>
      </c>
      <c r="Y134" s="21">
        <f t="shared" ref="Y134:Y139" si="265">+V134+S134+P134</f>
        <v>620735</v>
      </c>
      <c r="Z134" s="3">
        <v>78</v>
      </c>
      <c r="AA134" s="83">
        <f t="shared" si="241"/>
        <v>2.1715526601520088E-3</v>
      </c>
      <c r="AB134" s="33">
        <v>35919</v>
      </c>
      <c r="AC134" s="3">
        <v>26</v>
      </c>
      <c r="AD134" s="83">
        <f t="shared" si="242"/>
        <v>0.14285714285714285</v>
      </c>
      <c r="AE134" s="33">
        <v>182</v>
      </c>
      <c r="AF134" s="3">
        <v>11</v>
      </c>
      <c r="AG134" s="6">
        <f t="shared" si="243"/>
        <v>0.7857142857142857</v>
      </c>
      <c r="AH134" s="3">
        <v>14</v>
      </c>
      <c r="AI134" s="34">
        <f t="shared" ref="AI134:AI139" si="266">+AF134+AC134+Z134</f>
        <v>115</v>
      </c>
      <c r="AJ134" s="6">
        <f t="shared" si="260"/>
        <v>3.1842724629655267E-3</v>
      </c>
      <c r="AK134" s="37">
        <f t="shared" ref="AK134:AK139" si="267">+AH134+AE134+AB134</f>
        <v>36115</v>
      </c>
      <c r="AL134" s="84">
        <f t="shared" ref="AL134:AL139" si="268">(B134+N134+Z134)/AR134</f>
        <v>0.18640150056713528</v>
      </c>
      <c r="AM134" s="83">
        <f t="shared" ref="AM134:AM139" si="269">(E134+Q134+AC134)/AS134</f>
        <v>0.47935460212687936</v>
      </c>
      <c r="AN134" s="6">
        <f t="shared" ref="AN134:AN139" si="270">(H134+T134+AF134)/AT134</f>
        <v>0.86324786324786329</v>
      </c>
      <c r="AO134" s="127">
        <f t="shared" ref="AO134:AO139" si="271">AP134/AQ134</f>
        <v>0.19190832810689776</v>
      </c>
      <c r="AP134" s="52">
        <f t="shared" ref="AP134:AP139" si="272">AF134+AC134+Z134+T134+Q134+N134+H134+E134+B134</f>
        <v>150241</v>
      </c>
      <c r="AQ134" s="3">
        <f t="shared" si="190"/>
        <v>782879</v>
      </c>
      <c r="AR134" s="12">
        <f t="shared" ref="AR134:AR139" si="273">+D134+P134+AB134</f>
        <v>768776</v>
      </c>
      <c r="AS134" s="3">
        <f t="shared" ref="AS134:AS139" si="274">G134+S134+AE134</f>
        <v>13635</v>
      </c>
      <c r="AT134" s="21">
        <f t="shared" ref="AT134:AT139" si="275">J134+V134+AH134</f>
        <v>468</v>
      </c>
    </row>
    <row r="135" spans="1:46" x14ac:dyDescent="0.2">
      <c r="A135" s="109">
        <v>42217</v>
      </c>
      <c r="B135" s="3">
        <v>11059</v>
      </c>
      <c r="C135" s="83">
        <f t="shared" si="236"/>
        <v>8.9138039430625635E-2</v>
      </c>
      <c r="D135" s="3">
        <v>124066</v>
      </c>
      <c r="E135" s="134">
        <v>836</v>
      </c>
      <c r="F135" s="83">
        <f t="shared" si="237"/>
        <v>0.44397238449283061</v>
      </c>
      <c r="G135" s="3">
        <v>1883</v>
      </c>
      <c r="H135" s="134">
        <v>33</v>
      </c>
      <c r="I135" s="83">
        <f t="shared" si="238"/>
        <v>0.75</v>
      </c>
      <c r="J135" s="3">
        <v>44</v>
      </c>
      <c r="K135" s="140">
        <f t="shared" si="262"/>
        <v>11928</v>
      </c>
      <c r="L135" s="83">
        <f t="shared" ref="L135:L140" si="276">K135/M135</f>
        <v>9.4671926218123231E-2</v>
      </c>
      <c r="M135" s="18">
        <f t="shared" si="263"/>
        <v>125993</v>
      </c>
      <c r="N135" s="3">
        <v>132862</v>
      </c>
      <c r="O135" s="6">
        <f t="shared" si="244"/>
        <v>0.2185165570756129</v>
      </c>
      <c r="P135" s="130">
        <v>608018</v>
      </c>
      <c r="Q135" s="55">
        <v>5691</v>
      </c>
      <c r="R135" s="6">
        <f t="shared" si="245"/>
        <v>0.49085734000345005</v>
      </c>
      <c r="S135" s="33">
        <v>11594</v>
      </c>
      <c r="T135" s="55">
        <v>360</v>
      </c>
      <c r="U135" s="6">
        <f t="shared" si="246"/>
        <v>0.88669950738916259</v>
      </c>
      <c r="V135" s="33">
        <v>406</v>
      </c>
      <c r="W135" s="52">
        <f t="shared" si="264"/>
        <v>138913</v>
      </c>
      <c r="X135" s="6">
        <f t="shared" si="261"/>
        <v>0.22404672122422253</v>
      </c>
      <c r="Y135" s="21">
        <f t="shared" si="265"/>
        <v>620018</v>
      </c>
      <c r="Z135" s="3">
        <v>38</v>
      </c>
      <c r="AA135" s="83">
        <f t="shared" si="241"/>
        <v>1.0584368558854661E-3</v>
      </c>
      <c r="AB135" s="33">
        <v>35902</v>
      </c>
      <c r="AC135" s="3">
        <v>22</v>
      </c>
      <c r="AD135" s="83">
        <f t="shared" si="242"/>
        <v>0.12087912087912088</v>
      </c>
      <c r="AE135" s="33">
        <v>182</v>
      </c>
      <c r="AF135" s="3">
        <v>10</v>
      </c>
      <c r="AG135" s="6">
        <f t="shared" si="243"/>
        <v>0.66666666666666663</v>
      </c>
      <c r="AH135" s="3">
        <v>15</v>
      </c>
      <c r="AI135" s="34">
        <f t="shared" si="266"/>
        <v>70</v>
      </c>
      <c r="AJ135" s="6">
        <f t="shared" ref="AJ135:AJ140" si="277">AI135/AK135</f>
        <v>1.9391118867558659E-3</v>
      </c>
      <c r="AK135" s="37">
        <f t="shared" si="267"/>
        <v>36099</v>
      </c>
      <c r="AL135" s="84">
        <f t="shared" si="268"/>
        <v>0.1874500316412018</v>
      </c>
      <c r="AM135" s="83">
        <f t="shared" si="269"/>
        <v>0.47946408961124531</v>
      </c>
      <c r="AN135" s="6">
        <f t="shared" si="270"/>
        <v>0.8666666666666667</v>
      </c>
      <c r="AO135" s="127">
        <f t="shared" si="271"/>
        <v>0.19295367659280663</v>
      </c>
      <c r="AP135" s="52">
        <f t="shared" si="272"/>
        <v>150911</v>
      </c>
      <c r="AQ135" s="3">
        <f t="shared" si="190"/>
        <v>782110</v>
      </c>
      <c r="AR135" s="12">
        <f t="shared" si="273"/>
        <v>767986</v>
      </c>
      <c r="AS135" s="3">
        <f t="shared" si="274"/>
        <v>13659</v>
      </c>
      <c r="AT135" s="21">
        <f t="shared" si="275"/>
        <v>465</v>
      </c>
    </row>
    <row r="136" spans="1:46" x14ac:dyDescent="0.2">
      <c r="A136" s="109">
        <v>42186</v>
      </c>
      <c r="B136" s="3">
        <v>11046</v>
      </c>
      <c r="C136" s="83">
        <f t="shared" si="236"/>
        <v>8.8986635087125704E-2</v>
      </c>
      <c r="D136" s="3">
        <v>124131</v>
      </c>
      <c r="E136" s="134">
        <v>836</v>
      </c>
      <c r="F136" s="83">
        <f t="shared" si="237"/>
        <v>0.44420828905419768</v>
      </c>
      <c r="G136" s="3">
        <v>1882</v>
      </c>
      <c r="H136" s="134">
        <v>33</v>
      </c>
      <c r="I136" s="83">
        <f t="shared" si="238"/>
        <v>0.75</v>
      </c>
      <c r="J136" s="3">
        <v>44</v>
      </c>
      <c r="K136" s="140">
        <f t="shared" si="262"/>
        <v>11915</v>
      </c>
      <c r="L136" s="83">
        <f t="shared" si="276"/>
        <v>9.4520732684420544E-2</v>
      </c>
      <c r="M136" s="18">
        <f t="shared" si="263"/>
        <v>126057</v>
      </c>
      <c r="N136" s="3">
        <v>134558</v>
      </c>
      <c r="O136" s="6">
        <f t="shared" si="244"/>
        <v>0.22125136475447574</v>
      </c>
      <c r="P136" s="130">
        <v>608168</v>
      </c>
      <c r="Q136" s="55">
        <v>5692</v>
      </c>
      <c r="R136" s="6">
        <f t="shared" si="245"/>
        <v>0.48971866127505809</v>
      </c>
      <c r="S136" s="33">
        <v>11623</v>
      </c>
      <c r="T136" s="55">
        <v>354</v>
      </c>
      <c r="U136" s="6">
        <f t="shared" si="246"/>
        <v>0.87841191066997515</v>
      </c>
      <c r="V136" s="33">
        <v>403</v>
      </c>
      <c r="W136" s="52">
        <f t="shared" si="264"/>
        <v>140604</v>
      </c>
      <c r="X136" s="6">
        <f t="shared" si="261"/>
        <v>0.22670970696266007</v>
      </c>
      <c r="Y136" s="21">
        <f t="shared" si="265"/>
        <v>620194</v>
      </c>
      <c r="Z136" s="3">
        <v>38</v>
      </c>
      <c r="AA136" s="83">
        <f t="shared" si="241"/>
        <v>1.0589677850852749E-3</v>
      </c>
      <c r="AB136" s="33">
        <v>35884</v>
      </c>
      <c r="AC136" s="3">
        <v>21</v>
      </c>
      <c r="AD136" s="83">
        <f t="shared" si="242"/>
        <v>0.11538461538461539</v>
      </c>
      <c r="AE136" s="33">
        <v>182</v>
      </c>
      <c r="AF136" s="3">
        <v>10</v>
      </c>
      <c r="AG136" s="6">
        <f t="shared" si="243"/>
        <v>0.7142857142857143</v>
      </c>
      <c r="AH136" s="3">
        <v>14</v>
      </c>
      <c r="AI136" s="34">
        <f t="shared" si="266"/>
        <v>69</v>
      </c>
      <c r="AJ136" s="6">
        <f t="shared" si="277"/>
        <v>1.9124168514412416E-3</v>
      </c>
      <c r="AK136" s="37">
        <f t="shared" si="267"/>
        <v>36080</v>
      </c>
      <c r="AL136" s="84">
        <f t="shared" si="268"/>
        <v>0.18959284441337546</v>
      </c>
      <c r="AM136" s="83">
        <f t="shared" si="269"/>
        <v>0.47848323226419232</v>
      </c>
      <c r="AN136" s="6">
        <f t="shared" si="270"/>
        <v>0.86117136659436011</v>
      </c>
      <c r="AO136" s="127">
        <f t="shared" si="271"/>
        <v>0.19504276322937478</v>
      </c>
      <c r="AP136" s="52">
        <f t="shared" si="272"/>
        <v>152588</v>
      </c>
      <c r="AQ136" s="3">
        <f t="shared" si="190"/>
        <v>782331</v>
      </c>
      <c r="AR136" s="12">
        <f t="shared" si="273"/>
        <v>768183</v>
      </c>
      <c r="AS136" s="3">
        <f t="shared" si="274"/>
        <v>13687</v>
      </c>
      <c r="AT136" s="21">
        <f t="shared" si="275"/>
        <v>461</v>
      </c>
    </row>
    <row r="137" spans="1:46" x14ac:dyDescent="0.2">
      <c r="A137" s="109">
        <v>42156</v>
      </c>
      <c r="B137" s="3">
        <v>11097</v>
      </c>
      <c r="C137" s="83">
        <f t="shared" si="236"/>
        <v>8.9544651286644558E-2</v>
      </c>
      <c r="D137" s="3">
        <v>123927</v>
      </c>
      <c r="E137" s="134">
        <v>837</v>
      </c>
      <c r="F137" s="83">
        <f t="shared" si="237"/>
        <v>0.44473963868225291</v>
      </c>
      <c r="G137" s="3">
        <v>1882</v>
      </c>
      <c r="H137" s="134">
        <v>33</v>
      </c>
      <c r="I137" s="83">
        <f t="shared" si="238"/>
        <v>0.76744186046511631</v>
      </c>
      <c r="J137" s="3">
        <v>43</v>
      </c>
      <c r="K137" s="140">
        <f t="shared" si="262"/>
        <v>11967</v>
      </c>
      <c r="L137" s="83">
        <f t="shared" si="276"/>
        <v>9.5087881003082991E-2</v>
      </c>
      <c r="M137" s="18">
        <f t="shared" si="263"/>
        <v>125852</v>
      </c>
      <c r="N137" s="3">
        <v>137362</v>
      </c>
      <c r="O137" s="6">
        <f t="shared" si="244"/>
        <v>0.22464629680812614</v>
      </c>
      <c r="P137" s="130">
        <v>611459</v>
      </c>
      <c r="Q137" s="55">
        <v>6017</v>
      </c>
      <c r="R137" s="6">
        <f t="shared" si="245"/>
        <v>0.49267174322443297</v>
      </c>
      <c r="S137" s="33">
        <v>12213</v>
      </c>
      <c r="T137" s="55">
        <v>395</v>
      </c>
      <c r="U137" s="6">
        <f t="shared" si="246"/>
        <v>0.8816964285714286</v>
      </c>
      <c r="V137" s="33">
        <v>448</v>
      </c>
      <c r="W137" s="52">
        <f t="shared" si="264"/>
        <v>143774</v>
      </c>
      <c r="X137" s="6">
        <f t="shared" si="261"/>
        <v>0.23036275075306031</v>
      </c>
      <c r="Y137" s="21">
        <f t="shared" si="265"/>
        <v>624120</v>
      </c>
      <c r="Z137" s="3">
        <v>38</v>
      </c>
      <c r="AA137" s="83">
        <f t="shared" si="241"/>
        <v>1.0589677850852749E-3</v>
      </c>
      <c r="AB137" s="33">
        <v>35884</v>
      </c>
      <c r="AC137" s="3">
        <v>21</v>
      </c>
      <c r="AD137" s="83">
        <f t="shared" si="242"/>
        <v>0.11538461538461539</v>
      </c>
      <c r="AE137" s="33">
        <v>182</v>
      </c>
      <c r="AF137" s="3">
        <v>10</v>
      </c>
      <c r="AG137" s="6">
        <f t="shared" si="243"/>
        <v>0.7142857142857143</v>
      </c>
      <c r="AH137" s="3">
        <v>14</v>
      </c>
      <c r="AI137" s="34">
        <f t="shared" si="266"/>
        <v>69</v>
      </c>
      <c r="AJ137" s="6">
        <f t="shared" si="277"/>
        <v>1.9124168514412416E-3</v>
      </c>
      <c r="AK137" s="37">
        <f t="shared" si="267"/>
        <v>36080</v>
      </c>
      <c r="AL137" s="84">
        <f t="shared" si="268"/>
        <v>0.19253568789139991</v>
      </c>
      <c r="AM137" s="83">
        <f t="shared" si="269"/>
        <v>0.48154374168242631</v>
      </c>
      <c r="AN137" s="6">
        <f t="shared" si="270"/>
        <v>0.86732673267326732</v>
      </c>
      <c r="AO137" s="127">
        <f t="shared" si="271"/>
        <v>0.19821843847480827</v>
      </c>
      <c r="AP137" s="52">
        <f t="shared" si="272"/>
        <v>155810</v>
      </c>
      <c r="AQ137" s="3">
        <f t="shared" si="190"/>
        <v>786052</v>
      </c>
      <c r="AR137" s="12">
        <f t="shared" si="273"/>
        <v>771270</v>
      </c>
      <c r="AS137" s="3">
        <f t="shared" si="274"/>
        <v>14277</v>
      </c>
      <c r="AT137" s="21">
        <f t="shared" si="275"/>
        <v>505</v>
      </c>
    </row>
    <row r="138" spans="1:46" x14ac:dyDescent="0.2">
      <c r="A138" s="109">
        <v>42125</v>
      </c>
      <c r="B138" s="3">
        <v>11097</v>
      </c>
      <c r="C138" s="83">
        <f t="shared" si="236"/>
        <v>8.9840429407621505E-2</v>
      </c>
      <c r="D138" s="3">
        <v>123519</v>
      </c>
      <c r="E138" s="134">
        <v>834</v>
      </c>
      <c r="F138" s="83">
        <f t="shared" si="237"/>
        <v>0.44291024960169939</v>
      </c>
      <c r="G138" s="3">
        <v>1883</v>
      </c>
      <c r="H138" s="134">
        <v>33</v>
      </c>
      <c r="I138" s="83">
        <f t="shared" si="238"/>
        <v>0.76744186046511631</v>
      </c>
      <c r="J138" s="3">
        <v>43</v>
      </c>
      <c r="K138" s="140">
        <f t="shared" si="262"/>
        <v>11964</v>
      </c>
      <c r="L138" s="83">
        <f t="shared" si="276"/>
        <v>9.5372473992586387E-2</v>
      </c>
      <c r="M138" s="18">
        <f t="shared" si="263"/>
        <v>125445</v>
      </c>
      <c r="N138" s="3">
        <v>130674</v>
      </c>
      <c r="O138" s="6">
        <f t="shared" si="244"/>
        <v>0.21613834283020583</v>
      </c>
      <c r="P138" s="130">
        <v>604585</v>
      </c>
      <c r="Q138" s="55">
        <v>5382</v>
      </c>
      <c r="R138" s="6">
        <f t="shared" si="245"/>
        <v>0.4883847549909256</v>
      </c>
      <c r="S138" s="33">
        <v>11020</v>
      </c>
      <c r="T138" s="55">
        <v>331</v>
      </c>
      <c r="U138" s="6">
        <f t="shared" si="246"/>
        <v>0.88502673796791442</v>
      </c>
      <c r="V138" s="33">
        <v>374</v>
      </c>
      <c r="W138" s="52">
        <f t="shared" si="264"/>
        <v>136387</v>
      </c>
      <c r="X138" s="6">
        <f t="shared" ref="X138:X144" si="278">W138/Y138</f>
        <v>0.22141501577164158</v>
      </c>
      <c r="Y138" s="21">
        <f t="shared" si="265"/>
        <v>615979</v>
      </c>
      <c r="Z138" s="3">
        <v>38</v>
      </c>
      <c r="AA138" s="83">
        <f t="shared" si="241"/>
        <v>1.0593220338983051E-3</v>
      </c>
      <c r="AB138" s="33">
        <v>35872</v>
      </c>
      <c r="AC138" s="3">
        <v>21</v>
      </c>
      <c r="AD138" s="83">
        <f t="shared" si="242"/>
        <v>0.11475409836065574</v>
      </c>
      <c r="AE138" s="33">
        <v>183</v>
      </c>
      <c r="AF138" s="3">
        <v>10</v>
      </c>
      <c r="AG138" s="6">
        <f t="shared" si="243"/>
        <v>0.7142857142857143</v>
      </c>
      <c r="AH138" s="3">
        <v>14</v>
      </c>
      <c r="AI138" s="34">
        <f t="shared" si="266"/>
        <v>69</v>
      </c>
      <c r="AJ138" s="6">
        <f t="shared" si="277"/>
        <v>1.9130000831739167E-3</v>
      </c>
      <c r="AK138" s="37">
        <f t="shared" si="267"/>
        <v>36069</v>
      </c>
      <c r="AL138" s="84">
        <f t="shared" si="268"/>
        <v>0.18561970533105751</v>
      </c>
      <c r="AM138" s="83">
        <f t="shared" si="269"/>
        <v>0.47661623108665752</v>
      </c>
      <c r="AN138" s="6">
        <f t="shared" si="270"/>
        <v>0.86774941995359633</v>
      </c>
      <c r="AO138" s="127">
        <f t="shared" si="271"/>
        <v>0.19089560934953756</v>
      </c>
      <c r="AP138" s="52">
        <f t="shared" si="272"/>
        <v>148420</v>
      </c>
      <c r="AQ138" s="3">
        <f t="shared" si="190"/>
        <v>777493</v>
      </c>
      <c r="AR138" s="12">
        <f t="shared" si="273"/>
        <v>763976</v>
      </c>
      <c r="AS138" s="3">
        <f t="shared" si="274"/>
        <v>13086</v>
      </c>
      <c r="AT138" s="21">
        <f t="shared" si="275"/>
        <v>431</v>
      </c>
    </row>
    <row r="139" spans="1:46" x14ac:dyDescent="0.2">
      <c r="A139" s="109">
        <v>42095</v>
      </c>
      <c r="B139" s="3">
        <v>11196</v>
      </c>
      <c r="C139" s="83">
        <f t="shared" si="236"/>
        <v>9.1356392744363663E-2</v>
      </c>
      <c r="D139" s="3">
        <v>122553</v>
      </c>
      <c r="E139" s="134">
        <v>815</v>
      </c>
      <c r="F139" s="83">
        <f t="shared" si="237"/>
        <v>0.43959007551240559</v>
      </c>
      <c r="G139" s="3">
        <v>1854</v>
      </c>
      <c r="H139" s="134">
        <v>34</v>
      </c>
      <c r="I139" s="83">
        <f t="shared" si="238"/>
        <v>0.77272727272727271</v>
      </c>
      <c r="J139" s="3">
        <v>44</v>
      </c>
      <c r="K139" s="140">
        <f t="shared" si="262"/>
        <v>12045</v>
      </c>
      <c r="L139" s="83">
        <f t="shared" si="276"/>
        <v>9.6785080071674801E-2</v>
      </c>
      <c r="M139" s="18">
        <f t="shared" si="263"/>
        <v>124451</v>
      </c>
      <c r="N139" s="3">
        <v>139601</v>
      </c>
      <c r="O139" s="6">
        <f t="shared" si="244"/>
        <v>0.22955480499491893</v>
      </c>
      <c r="P139" s="130">
        <v>608138</v>
      </c>
      <c r="Q139" s="55">
        <v>5703</v>
      </c>
      <c r="R139" s="6">
        <f t="shared" si="245"/>
        <v>0.48739423980856339</v>
      </c>
      <c r="S139" s="33">
        <v>11701</v>
      </c>
      <c r="T139" s="55">
        <v>357</v>
      </c>
      <c r="U139" s="6">
        <f t="shared" si="246"/>
        <v>0.88805970149253732</v>
      </c>
      <c r="V139" s="33">
        <v>402</v>
      </c>
      <c r="W139" s="52">
        <f t="shared" si="264"/>
        <v>145661</v>
      </c>
      <c r="X139" s="6">
        <f t="shared" si="278"/>
        <v>0.23484580993517037</v>
      </c>
      <c r="Y139" s="21">
        <f t="shared" si="265"/>
        <v>620241</v>
      </c>
      <c r="Z139" s="3">
        <v>38</v>
      </c>
      <c r="AA139" s="83">
        <f t="shared" si="241"/>
        <v>1.0619271182651464E-3</v>
      </c>
      <c r="AB139" s="33">
        <v>35784</v>
      </c>
      <c r="AC139" s="3">
        <v>22</v>
      </c>
      <c r="AD139" s="83">
        <f t="shared" si="242"/>
        <v>0.11891891891891893</v>
      </c>
      <c r="AE139" s="33">
        <v>185</v>
      </c>
      <c r="AF139" s="3">
        <v>10</v>
      </c>
      <c r="AG139" s="6">
        <f t="shared" si="243"/>
        <v>0.7142857142857143</v>
      </c>
      <c r="AH139" s="3">
        <v>14</v>
      </c>
      <c r="AI139" s="34">
        <f t="shared" si="266"/>
        <v>70</v>
      </c>
      <c r="AJ139" s="6">
        <f t="shared" si="277"/>
        <v>1.945363088124948E-3</v>
      </c>
      <c r="AK139" s="37">
        <f t="shared" si="267"/>
        <v>35983</v>
      </c>
      <c r="AL139" s="84">
        <f t="shared" si="268"/>
        <v>0.1967905019733194</v>
      </c>
      <c r="AM139" s="83">
        <f t="shared" si="269"/>
        <v>0.4759825327510917</v>
      </c>
      <c r="AN139" s="6">
        <f t="shared" si="270"/>
        <v>0.87173913043478257</v>
      </c>
      <c r="AO139" s="127">
        <f t="shared" si="271"/>
        <v>0.20210202709193967</v>
      </c>
      <c r="AP139" s="52">
        <f t="shared" si="272"/>
        <v>157776</v>
      </c>
      <c r="AQ139" s="3">
        <f t="shared" si="190"/>
        <v>780675</v>
      </c>
      <c r="AR139" s="12">
        <f t="shared" si="273"/>
        <v>766475</v>
      </c>
      <c r="AS139" s="3">
        <f t="shared" si="274"/>
        <v>13740</v>
      </c>
      <c r="AT139" s="21">
        <f t="shared" si="275"/>
        <v>460</v>
      </c>
    </row>
    <row r="140" spans="1:46" x14ac:dyDescent="0.2">
      <c r="A140" s="109">
        <v>42064</v>
      </c>
      <c r="B140" s="3">
        <v>11245</v>
      </c>
      <c r="C140" s="83">
        <f t="shared" si="236"/>
        <v>9.1953553029683541E-2</v>
      </c>
      <c r="D140" s="3">
        <v>122290</v>
      </c>
      <c r="E140" s="134">
        <v>813</v>
      </c>
      <c r="F140" s="83">
        <f t="shared" si="237"/>
        <v>0.4489232468249586</v>
      </c>
      <c r="G140" s="3">
        <v>1811</v>
      </c>
      <c r="H140" s="134">
        <v>34</v>
      </c>
      <c r="I140" s="83">
        <f t="shared" si="238"/>
        <v>0.77272727272727271</v>
      </c>
      <c r="J140" s="3">
        <v>44</v>
      </c>
      <c r="K140" s="140">
        <f t="shared" ref="K140:K145" si="279">+H140+E140+B140</f>
        <v>12092</v>
      </c>
      <c r="L140" s="83">
        <f t="shared" si="276"/>
        <v>9.7402231261830924E-2</v>
      </c>
      <c r="M140" s="18">
        <f t="shared" ref="M140:M145" si="280">+J140+G140+D140</f>
        <v>124145</v>
      </c>
      <c r="N140" s="3">
        <v>148988</v>
      </c>
      <c r="O140" s="6">
        <f t="shared" si="244"/>
        <v>0.24527034590842942</v>
      </c>
      <c r="P140" s="130">
        <v>607444</v>
      </c>
      <c r="Q140" s="55">
        <v>5797</v>
      </c>
      <c r="R140" s="6">
        <f t="shared" si="245"/>
        <v>0.48187863674147963</v>
      </c>
      <c r="S140" s="33">
        <v>12030</v>
      </c>
      <c r="T140" s="55">
        <v>348</v>
      </c>
      <c r="U140" s="6">
        <f t="shared" si="246"/>
        <v>0.89690721649484539</v>
      </c>
      <c r="V140" s="33">
        <v>388</v>
      </c>
      <c r="W140" s="52">
        <f t="shared" ref="W140:W145" si="281">+T140+Q140+N140</f>
        <v>155133</v>
      </c>
      <c r="X140" s="6">
        <f t="shared" si="278"/>
        <v>0.25027022143638422</v>
      </c>
      <c r="Y140" s="21">
        <f t="shared" ref="Y140:Y145" si="282">+V140+S140+P140</f>
        <v>619862</v>
      </c>
      <c r="Z140" s="3">
        <v>36</v>
      </c>
      <c r="AA140" s="83">
        <f t="shared" si="241"/>
        <v>1.005586592178771E-3</v>
      </c>
      <c r="AB140" s="33">
        <v>35800</v>
      </c>
      <c r="AC140" s="3">
        <v>18</v>
      </c>
      <c r="AD140" s="83">
        <f t="shared" si="242"/>
        <v>9.7826086956521743E-2</v>
      </c>
      <c r="AE140" s="33">
        <v>184</v>
      </c>
      <c r="AF140" s="3">
        <v>9</v>
      </c>
      <c r="AG140" s="6">
        <f t="shared" si="243"/>
        <v>0.69230769230769229</v>
      </c>
      <c r="AH140" s="3">
        <v>13</v>
      </c>
      <c r="AI140" s="34">
        <f t="shared" ref="AI140:AI145" si="283">+AF140+AC140+Z140</f>
        <v>63</v>
      </c>
      <c r="AJ140" s="6">
        <f t="shared" si="277"/>
        <v>1.7501458454871239E-3</v>
      </c>
      <c r="AK140" s="37">
        <f t="shared" ref="AK140:AK145" si="284">+AH140+AE140+AB140</f>
        <v>35997</v>
      </c>
      <c r="AL140" s="84">
        <f t="shared" ref="AL140:AL145" si="285">(B140+N140+Z140)/AR140</f>
        <v>0.20935582221037863</v>
      </c>
      <c r="AM140" s="83">
        <f t="shared" ref="AM140:AM145" si="286">(E140+Q140+AC140)/AS140</f>
        <v>0.47258467023172906</v>
      </c>
      <c r="AN140" s="6">
        <f t="shared" ref="AN140:AN145" si="287">(H140+T140+AF140)/AT140</f>
        <v>0.87865168539325844</v>
      </c>
      <c r="AO140" s="127">
        <f t="shared" ref="AO140:AO145" si="288">AP140/AQ140</f>
        <v>0.2144706950220768</v>
      </c>
      <c r="AP140" s="52">
        <f t="shared" ref="AP140:AP145" si="289">AF140+AC140+Z140+T140+Q140+N140+H140+E140+B140</f>
        <v>167288</v>
      </c>
      <c r="AQ140" s="3">
        <f t="shared" si="190"/>
        <v>780004</v>
      </c>
      <c r="AR140" s="12">
        <f t="shared" ref="AR140:AR145" si="290">+D140+P140+AB140</f>
        <v>765534</v>
      </c>
      <c r="AS140" s="3">
        <f t="shared" ref="AS140:AS145" si="291">G140+S140+AE140</f>
        <v>14025</v>
      </c>
      <c r="AT140" s="21">
        <f t="shared" ref="AT140:AT145" si="292">J140+V140+AH140</f>
        <v>445</v>
      </c>
    </row>
    <row r="141" spans="1:46" x14ac:dyDescent="0.2">
      <c r="A141" s="109">
        <v>42036</v>
      </c>
      <c r="B141" s="3">
        <v>11397</v>
      </c>
      <c r="C141" s="83">
        <f t="shared" si="236"/>
        <v>9.3205646150574917E-2</v>
      </c>
      <c r="D141" s="3">
        <v>122278</v>
      </c>
      <c r="E141" s="134">
        <v>800</v>
      </c>
      <c r="F141" s="83">
        <f t="shared" si="237"/>
        <v>0.44444444444444442</v>
      </c>
      <c r="G141" s="3">
        <v>1800</v>
      </c>
      <c r="H141" s="134">
        <v>34</v>
      </c>
      <c r="I141" s="83">
        <f t="shared" si="238"/>
        <v>0.77272727272727271</v>
      </c>
      <c r="J141" s="3">
        <v>44</v>
      </c>
      <c r="K141" s="140">
        <f t="shared" si="279"/>
        <v>12231</v>
      </c>
      <c r="L141" s="83">
        <f t="shared" ref="L141:L147" si="293">K141/M141</f>
        <v>9.8540145985401464E-2</v>
      </c>
      <c r="M141" s="18">
        <f t="shared" si="280"/>
        <v>124122</v>
      </c>
      <c r="N141" s="3">
        <v>149207</v>
      </c>
      <c r="O141" s="6">
        <f t="shared" si="244"/>
        <v>0.24556578698331977</v>
      </c>
      <c r="P141" s="130">
        <v>607605</v>
      </c>
      <c r="Q141" s="55">
        <v>5770</v>
      </c>
      <c r="R141" s="6">
        <f t="shared" si="245"/>
        <v>0.47963424771404822</v>
      </c>
      <c r="S141" s="33">
        <v>12030</v>
      </c>
      <c r="T141" s="55">
        <v>358</v>
      </c>
      <c r="U141" s="6">
        <f t="shared" si="246"/>
        <v>0.88833746898263022</v>
      </c>
      <c r="V141" s="33">
        <v>403</v>
      </c>
      <c r="W141" s="52">
        <f t="shared" si="281"/>
        <v>155335</v>
      </c>
      <c r="X141" s="6">
        <f t="shared" si="278"/>
        <v>0.25052496782455269</v>
      </c>
      <c r="Y141" s="21">
        <f t="shared" si="282"/>
        <v>620038</v>
      </c>
      <c r="Z141" s="3">
        <v>36</v>
      </c>
      <c r="AA141" s="83">
        <f t="shared" si="241"/>
        <v>1.004772670183371E-3</v>
      </c>
      <c r="AB141" s="33">
        <v>35829</v>
      </c>
      <c r="AC141" s="3">
        <v>18</v>
      </c>
      <c r="AD141" s="83">
        <f t="shared" si="242"/>
        <v>9.7297297297297303E-2</v>
      </c>
      <c r="AE141" s="33">
        <v>185</v>
      </c>
      <c r="AF141" s="3">
        <v>9</v>
      </c>
      <c r="AG141" s="6">
        <f t="shared" si="243"/>
        <v>0.75</v>
      </c>
      <c r="AH141" s="3">
        <v>12</v>
      </c>
      <c r="AI141" s="34">
        <f t="shared" si="283"/>
        <v>63</v>
      </c>
      <c r="AJ141" s="6">
        <f t="shared" ref="AJ141:AJ147" si="294">AI141/AK141</f>
        <v>1.7487370232609782E-3</v>
      </c>
      <c r="AK141" s="37">
        <f t="shared" si="284"/>
        <v>36026</v>
      </c>
      <c r="AL141" s="84">
        <f t="shared" si="285"/>
        <v>0.2097916710199135</v>
      </c>
      <c r="AM141" s="83">
        <f t="shared" si="286"/>
        <v>0.47006778451658937</v>
      </c>
      <c r="AN141" s="6">
        <f t="shared" si="287"/>
        <v>0.87363834422657949</v>
      </c>
      <c r="AO141" s="127">
        <f t="shared" si="288"/>
        <v>0.21485773905196967</v>
      </c>
      <c r="AP141" s="52">
        <f t="shared" si="289"/>
        <v>167629</v>
      </c>
      <c r="AQ141" s="3">
        <f t="shared" si="190"/>
        <v>780186</v>
      </c>
      <c r="AR141" s="12">
        <f t="shared" si="290"/>
        <v>765712</v>
      </c>
      <c r="AS141" s="3">
        <f t="shared" si="291"/>
        <v>14015</v>
      </c>
      <c r="AT141" s="21">
        <f t="shared" si="292"/>
        <v>459</v>
      </c>
    </row>
    <row r="142" spans="1:46" x14ac:dyDescent="0.2">
      <c r="A142" s="109">
        <v>42005</v>
      </c>
      <c r="B142" s="3">
        <v>11711</v>
      </c>
      <c r="C142" s="83">
        <f t="shared" si="236"/>
        <v>9.5753205128205135E-2</v>
      </c>
      <c r="D142" s="3">
        <v>122304</v>
      </c>
      <c r="E142" s="134">
        <v>800</v>
      </c>
      <c r="F142" s="83">
        <f t="shared" si="237"/>
        <v>0.45070422535211269</v>
      </c>
      <c r="G142" s="3">
        <v>1775</v>
      </c>
      <c r="H142" s="134">
        <v>34</v>
      </c>
      <c r="I142" s="83">
        <f t="shared" si="238"/>
        <v>0.77272727272727271</v>
      </c>
      <c r="J142" s="3">
        <v>44</v>
      </c>
      <c r="K142" s="140">
        <f t="shared" si="279"/>
        <v>12545</v>
      </c>
      <c r="L142" s="83">
        <f t="shared" si="293"/>
        <v>0.10106910081129203</v>
      </c>
      <c r="M142" s="18">
        <f t="shared" si="280"/>
        <v>124123</v>
      </c>
      <c r="N142" s="3">
        <v>152467</v>
      </c>
      <c r="O142" s="6">
        <f t="shared" si="244"/>
        <v>0.25096167932171365</v>
      </c>
      <c r="P142" s="130">
        <v>607531</v>
      </c>
      <c r="Q142" s="55">
        <v>5691</v>
      </c>
      <c r="R142" s="6">
        <f t="shared" si="245"/>
        <v>0.4718514219384794</v>
      </c>
      <c r="S142" s="33">
        <v>12061</v>
      </c>
      <c r="T142" s="55">
        <v>351</v>
      </c>
      <c r="U142" s="6">
        <f t="shared" si="246"/>
        <v>0.87969924812030076</v>
      </c>
      <c r="V142" s="33">
        <v>399</v>
      </c>
      <c r="W142" s="52">
        <f t="shared" si="281"/>
        <v>158509</v>
      </c>
      <c r="X142" s="6">
        <f t="shared" si="278"/>
        <v>0.25566338866209348</v>
      </c>
      <c r="Y142" s="21">
        <f t="shared" si="282"/>
        <v>619991</v>
      </c>
      <c r="Z142" s="3">
        <v>45</v>
      </c>
      <c r="AA142" s="83">
        <f t="shared" si="241"/>
        <v>1.213494053879136E-3</v>
      </c>
      <c r="AB142" s="33">
        <v>37083</v>
      </c>
      <c r="AC142" s="3">
        <v>18</v>
      </c>
      <c r="AD142" s="83">
        <f t="shared" si="242"/>
        <v>9.9447513812154692E-2</v>
      </c>
      <c r="AE142" s="33">
        <v>181</v>
      </c>
      <c r="AF142" s="3">
        <v>9</v>
      </c>
      <c r="AG142" s="6">
        <f t="shared" si="243"/>
        <v>0.69230769230769229</v>
      </c>
      <c r="AH142" s="3">
        <v>13</v>
      </c>
      <c r="AI142" s="34">
        <f t="shared" si="283"/>
        <v>72</v>
      </c>
      <c r="AJ142" s="6">
        <f t="shared" si="294"/>
        <v>1.9314859028355287E-3</v>
      </c>
      <c r="AK142" s="37">
        <f t="shared" si="284"/>
        <v>37277</v>
      </c>
      <c r="AL142" s="84">
        <f t="shared" si="285"/>
        <v>0.2141337144257926</v>
      </c>
      <c r="AM142" s="83">
        <f t="shared" si="286"/>
        <v>0.4643647000071342</v>
      </c>
      <c r="AN142" s="6">
        <f t="shared" si="287"/>
        <v>0.86403508771929827</v>
      </c>
      <c r="AO142" s="127">
        <f t="shared" si="288"/>
        <v>0.2190017545633364</v>
      </c>
      <c r="AP142" s="52">
        <f t="shared" si="289"/>
        <v>171126</v>
      </c>
      <c r="AQ142" s="3">
        <f t="shared" si="190"/>
        <v>781391</v>
      </c>
      <c r="AR142" s="12">
        <f t="shared" si="290"/>
        <v>766918</v>
      </c>
      <c r="AS142" s="3">
        <f t="shared" si="291"/>
        <v>14017</v>
      </c>
      <c r="AT142" s="21">
        <f t="shared" si="292"/>
        <v>456</v>
      </c>
    </row>
    <row r="143" spans="1:46" x14ac:dyDescent="0.2">
      <c r="A143" s="109">
        <v>41974</v>
      </c>
      <c r="B143" s="3">
        <v>12167</v>
      </c>
      <c r="C143" s="83">
        <f t="shared" si="236"/>
        <v>9.9485686718615851E-2</v>
      </c>
      <c r="D143" s="3">
        <v>122299</v>
      </c>
      <c r="E143" s="134">
        <v>782</v>
      </c>
      <c r="F143" s="83">
        <f t="shared" si="237"/>
        <v>0.43760492445439286</v>
      </c>
      <c r="G143" s="3">
        <v>1787</v>
      </c>
      <c r="H143" s="134">
        <v>34</v>
      </c>
      <c r="I143" s="83">
        <f t="shared" si="238"/>
        <v>0.77272727272727271</v>
      </c>
      <c r="J143" s="3">
        <v>44</v>
      </c>
      <c r="K143" s="140">
        <f t="shared" si="279"/>
        <v>12983</v>
      </c>
      <c r="L143" s="83">
        <f t="shared" si="293"/>
        <v>0.10459196004189157</v>
      </c>
      <c r="M143" s="18">
        <f t="shared" si="280"/>
        <v>124130</v>
      </c>
      <c r="N143" s="3">
        <v>159680</v>
      </c>
      <c r="O143" s="6">
        <f t="shared" si="244"/>
        <v>0.26299882566280874</v>
      </c>
      <c r="P143" s="130">
        <v>607151</v>
      </c>
      <c r="Q143" s="55">
        <v>5591</v>
      </c>
      <c r="R143" s="6">
        <f t="shared" si="245"/>
        <v>0.4545898040491097</v>
      </c>
      <c r="S143" s="33">
        <v>12299</v>
      </c>
      <c r="T143" s="55">
        <v>346</v>
      </c>
      <c r="U143" s="6">
        <f t="shared" si="246"/>
        <v>0.8671679197994987</v>
      </c>
      <c r="V143" s="33">
        <v>399</v>
      </c>
      <c r="W143" s="52">
        <f t="shared" si="281"/>
        <v>165617</v>
      </c>
      <c r="X143" s="6">
        <f t="shared" si="278"/>
        <v>0.26718926706342999</v>
      </c>
      <c r="Y143" s="21">
        <f t="shared" si="282"/>
        <v>619849</v>
      </c>
      <c r="Z143" s="3">
        <v>47</v>
      </c>
      <c r="AA143" s="83">
        <f t="shared" si="241"/>
        <v>1.2658568773734817E-3</v>
      </c>
      <c r="AB143" s="33">
        <v>37129</v>
      </c>
      <c r="AC143" s="3">
        <v>16</v>
      </c>
      <c r="AD143" s="83">
        <f t="shared" si="242"/>
        <v>9.3023255813953487E-2</v>
      </c>
      <c r="AE143" s="33">
        <v>172</v>
      </c>
      <c r="AF143" s="3">
        <v>9</v>
      </c>
      <c r="AG143" s="6">
        <f t="shared" si="243"/>
        <v>0.75</v>
      </c>
      <c r="AH143" s="3">
        <v>12</v>
      </c>
      <c r="AI143" s="34">
        <f t="shared" si="283"/>
        <v>72</v>
      </c>
      <c r="AJ143" s="6">
        <f t="shared" si="294"/>
        <v>1.9296223836196499E-3</v>
      </c>
      <c r="AK143" s="37">
        <f t="shared" si="284"/>
        <v>37313</v>
      </c>
      <c r="AL143" s="84">
        <f t="shared" si="285"/>
        <v>0.22423520602573252</v>
      </c>
      <c r="AM143" s="83">
        <f t="shared" si="286"/>
        <v>0.44809931266657316</v>
      </c>
      <c r="AN143" s="6">
        <f t="shared" si="287"/>
        <v>0.85494505494505491</v>
      </c>
      <c r="AO143" s="127">
        <f t="shared" si="288"/>
        <v>0.22868786574033781</v>
      </c>
      <c r="AP143" s="52">
        <f t="shared" si="289"/>
        <v>178672</v>
      </c>
      <c r="AQ143" s="3">
        <f t="shared" si="190"/>
        <v>781292</v>
      </c>
      <c r="AR143" s="12">
        <f t="shared" si="290"/>
        <v>766579</v>
      </c>
      <c r="AS143" s="3">
        <f t="shared" si="291"/>
        <v>14258</v>
      </c>
      <c r="AT143" s="21">
        <f t="shared" si="292"/>
        <v>455</v>
      </c>
    </row>
    <row r="144" spans="1:46" x14ac:dyDescent="0.2">
      <c r="A144" s="109">
        <v>41944</v>
      </c>
      <c r="B144" s="3">
        <v>13744</v>
      </c>
      <c r="C144" s="83">
        <f t="shared" si="236"/>
        <v>0.11230409700772989</v>
      </c>
      <c r="D144" s="3">
        <v>122382</v>
      </c>
      <c r="E144" s="134">
        <v>776</v>
      </c>
      <c r="F144" s="83">
        <f t="shared" si="237"/>
        <v>0.42684268426842686</v>
      </c>
      <c r="G144" s="3">
        <v>1818</v>
      </c>
      <c r="H144" s="134">
        <v>34</v>
      </c>
      <c r="I144" s="83">
        <f t="shared" si="238"/>
        <v>0.77272727272727271</v>
      </c>
      <c r="J144" s="3">
        <v>44</v>
      </c>
      <c r="K144" s="140">
        <f t="shared" si="279"/>
        <v>14554</v>
      </c>
      <c r="L144" s="83">
        <f t="shared" si="293"/>
        <v>0.11714046553555905</v>
      </c>
      <c r="M144" s="18">
        <f t="shared" si="280"/>
        <v>124244</v>
      </c>
      <c r="N144" s="3">
        <v>163100</v>
      </c>
      <c r="O144" s="6">
        <f t="shared" si="244"/>
        <v>0.26891338219170174</v>
      </c>
      <c r="P144" s="130">
        <v>606515</v>
      </c>
      <c r="Q144" s="55">
        <v>5544</v>
      </c>
      <c r="R144" s="6">
        <f t="shared" si="245"/>
        <v>0.44673650282030619</v>
      </c>
      <c r="S144" s="33">
        <v>12410</v>
      </c>
      <c r="T144" s="55">
        <v>344</v>
      </c>
      <c r="U144" s="6">
        <f t="shared" si="246"/>
        <v>0.85785536159600995</v>
      </c>
      <c r="V144" s="33">
        <v>401</v>
      </c>
      <c r="W144" s="52">
        <f t="shared" si="281"/>
        <v>168988</v>
      </c>
      <c r="X144" s="6">
        <f t="shared" si="278"/>
        <v>0.27285791327992043</v>
      </c>
      <c r="Y144" s="21">
        <f t="shared" si="282"/>
        <v>619326</v>
      </c>
      <c r="Z144" s="3">
        <v>53</v>
      </c>
      <c r="AA144" s="83">
        <f t="shared" si="241"/>
        <v>1.42722498990171E-3</v>
      </c>
      <c r="AB144" s="33">
        <v>37135</v>
      </c>
      <c r="AC144" s="3">
        <v>41</v>
      </c>
      <c r="AD144" s="83">
        <f t="shared" si="242"/>
        <v>0.23699421965317918</v>
      </c>
      <c r="AE144" s="33">
        <v>173</v>
      </c>
      <c r="AF144" s="3">
        <v>9</v>
      </c>
      <c r="AG144" s="6">
        <f t="shared" si="243"/>
        <v>0.75</v>
      </c>
      <c r="AH144" s="3">
        <v>12</v>
      </c>
      <c r="AI144" s="34">
        <f t="shared" si="283"/>
        <v>103</v>
      </c>
      <c r="AJ144" s="6">
        <f t="shared" si="294"/>
        <v>2.7599142550911041E-3</v>
      </c>
      <c r="AK144" s="37">
        <f t="shared" si="284"/>
        <v>37320</v>
      </c>
      <c r="AL144" s="84">
        <f t="shared" si="285"/>
        <v>0.23092638427637488</v>
      </c>
      <c r="AM144" s="83">
        <f t="shared" si="286"/>
        <v>0.44170543712242205</v>
      </c>
      <c r="AN144" s="6">
        <f t="shared" si="287"/>
        <v>0.84682713347921224</v>
      </c>
      <c r="AO144" s="127">
        <f t="shared" si="288"/>
        <v>0.23517396816453021</v>
      </c>
      <c r="AP144" s="52">
        <f t="shared" si="289"/>
        <v>183645</v>
      </c>
      <c r="AQ144" s="3">
        <f t="shared" si="190"/>
        <v>780890</v>
      </c>
      <c r="AR144" s="12">
        <f t="shared" si="290"/>
        <v>766032</v>
      </c>
      <c r="AS144" s="3">
        <f t="shared" si="291"/>
        <v>14401</v>
      </c>
      <c r="AT144" s="21">
        <f t="shared" si="292"/>
        <v>457</v>
      </c>
    </row>
    <row r="145" spans="1:46" x14ac:dyDescent="0.2">
      <c r="A145" s="109">
        <v>41926</v>
      </c>
      <c r="B145" s="3">
        <v>14276</v>
      </c>
      <c r="C145" s="83">
        <f t="shared" si="236"/>
        <v>0.11615380860169561</v>
      </c>
      <c r="D145" s="3">
        <v>122906</v>
      </c>
      <c r="E145" s="134">
        <v>762</v>
      </c>
      <c r="F145" s="83">
        <f t="shared" si="237"/>
        <v>0.41458106637649617</v>
      </c>
      <c r="G145" s="3">
        <v>1838</v>
      </c>
      <c r="H145" s="134">
        <v>34</v>
      </c>
      <c r="I145" s="83">
        <f t="shared" si="238"/>
        <v>0.77272727272727271</v>
      </c>
      <c r="J145" s="3">
        <v>44</v>
      </c>
      <c r="K145" s="140">
        <f t="shared" si="279"/>
        <v>15072</v>
      </c>
      <c r="L145" s="83">
        <f t="shared" si="293"/>
        <v>0.12078084431195307</v>
      </c>
      <c r="M145" s="18">
        <f t="shared" si="280"/>
        <v>124788</v>
      </c>
      <c r="N145" s="3">
        <v>166194</v>
      </c>
      <c r="O145" s="6">
        <f t="shared" si="244"/>
        <v>0.27413036342553265</v>
      </c>
      <c r="P145" s="130">
        <v>606259</v>
      </c>
      <c r="Q145" s="55">
        <v>5623</v>
      </c>
      <c r="R145" s="6">
        <f t="shared" si="245"/>
        <v>0.44930083899320816</v>
      </c>
      <c r="S145" s="33">
        <v>12515</v>
      </c>
      <c r="T145" s="55">
        <v>350</v>
      </c>
      <c r="U145" s="6">
        <f t="shared" si="246"/>
        <v>0.87281795511221949</v>
      </c>
      <c r="V145" s="33">
        <v>401</v>
      </c>
      <c r="W145" s="52">
        <f t="shared" si="281"/>
        <v>172167</v>
      </c>
      <c r="X145" s="6">
        <f t="shared" ref="X145:X151" si="295">W145/Y145</f>
        <v>0.27805870715064401</v>
      </c>
      <c r="Y145" s="21">
        <f t="shared" si="282"/>
        <v>619175</v>
      </c>
      <c r="Z145" s="3">
        <v>60</v>
      </c>
      <c r="AA145" s="83">
        <f t="shared" si="241"/>
        <v>1.6122964475734939E-3</v>
      </c>
      <c r="AB145" s="33">
        <v>37214</v>
      </c>
      <c r="AC145" s="3">
        <v>52</v>
      </c>
      <c r="AD145" s="83">
        <f t="shared" si="242"/>
        <v>0.30057803468208094</v>
      </c>
      <c r="AE145" s="33">
        <v>173</v>
      </c>
      <c r="AF145" s="3">
        <v>8</v>
      </c>
      <c r="AG145" s="6">
        <f t="shared" si="243"/>
        <v>0.72727272727272729</v>
      </c>
      <c r="AH145" s="3">
        <v>11</v>
      </c>
      <c r="AI145" s="34">
        <f t="shared" si="283"/>
        <v>120</v>
      </c>
      <c r="AJ145" s="6">
        <f t="shared" si="294"/>
        <v>3.2087277394513077E-3</v>
      </c>
      <c r="AK145" s="37">
        <f t="shared" si="284"/>
        <v>37398</v>
      </c>
      <c r="AL145" s="84">
        <f t="shared" si="285"/>
        <v>0.23556230011521714</v>
      </c>
      <c r="AM145" s="83">
        <f t="shared" si="286"/>
        <v>0.44313644499518107</v>
      </c>
      <c r="AN145" s="6">
        <f t="shared" si="287"/>
        <v>0.85964912280701755</v>
      </c>
      <c r="AO145" s="127">
        <f t="shared" si="288"/>
        <v>0.23978545128308171</v>
      </c>
      <c r="AP145" s="52">
        <f t="shared" si="289"/>
        <v>187359</v>
      </c>
      <c r="AQ145" s="3">
        <f t="shared" si="190"/>
        <v>781361</v>
      </c>
      <c r="AR145" s="12">
        <f t="shared" si="290"/>
        <v>766379</v>
      </c>
      <c r="AS145" s="3">
        <f t="shared" si="291"/>
        <v>14526</v>
      </c>
      <c r="AT145" s="21">
        <f t="shared" si="292"/>
        <v>456</v>
      </c>
    </row>
    <row r="146" spans="1:46" x14ac:dyDescent="0.2">
      <c r="A146" s="109">
        <v>41883</v>
      </c>
      <c r="B146" s="3">
        <v>14696</v>
      </c>
      <c r="C146" s="83">
        <f t="shared" si="236"/>
        <v>0.1189295049729301</v>
      </c>
      <c r="D146" s="3">
        <v>123569</v>
      </c>
      <c r="E146" s="134">
        <v>754</v>
      </c>
      <c r="F146" s="83">
        <f t="shared" si="237"/>
        <v>0.40625</v>
      </c>
      <c r="G146" s="3">
        <v>1856</v>
      </c>
      <c r="H146" s="134">
        <v>34</v>
      </c>
      <c r="I146" s="83">
        <f t="shared" si="238"/>
        <v>0.77272727272727271</v>
      </c>
      <c r="J146" s="3">
        <v>44</v>
      </c>
      <c r="K146" s="140">
        <f t="shared" ref="K146:K151" si="296">+H146+E146+B146</f>
        <v>15484</v>
      </c>
      <c r="L146" s="83">
        <f t="shared" si="293"/>
        <v>0.12340896954626242</v>
      </c>
      <c r="M146" s="18">
        <f t="shared" ref="M146:M151" si="297">+J146+G146+D146</f>
        <v>125469</v>
      </c>
      <c r="N146" s="3">
        <v>169150</v>
      </c>
      <c r="O146" s="6">
        <f t="shared" si="244"/>
        <v>0.27934990660811576</v>
      </c>
      <c r="P146" s="130">
        <v>605513</v>
      </c>
      <c r="Q146" s="55">
        <v>5649</v>
      </c>
      <c r="R146" s="6">
        <f t="shared" si="245"/>
        <v>0.44947485677912158</v>
      </c>
      <c r="S146" s="33">
        <v>12568</v>
      </c>
      <c r="T146" s="55">
        <v>348</v>
      </c>
      <c r="U146" s="6">
        <f t="shared" si="246"/>
        <v>0.87</v>
      </c>
      <c r="V146" s="33">
        <v>400</v>
      </c>
      <c r="W146" s="52">
        <f t="shared" ref="W146:W151" si="298">+T146+Q146+N146</f>
        <v>175147</v>
      </c>
      <c r="X146" s="6">
        <f t="shared" si="295"/>
        <v>0.283188974277302</v>
      </c>
      <c r="Y146" s="21">
        <f t="shared" ref="Y146:Y151" si="299">+V146+S146+P146</f>
        <v>618481</v>
      </c>
      <c r="Z146" s="3">
        <v>63</v>
      </c>
      <c r="AA146" s="83">
        <f t="shared" si="241"/>
        <v>1.6921837228041901E-3</v>
      </c>
      <c r="AB146" s="33">
        <v>37230</v>
      </c>
      <c r="AC146" s="3">
        <v>52</v>
      </c>
      <c r="AD146" s="83">
        <f t="shared" si="242"/>
        <v>0.30057803468208094</v>
      </c>
      <c r="AE146" s="33">
        <v>173</v>
      </c>
      <c r="AF146" s="3">
        <v>8</v>
      </c>
      <c r="AG146" s="6">
        <f t="shared" si="243"/>
        <v>0.72727272727272729</v>
      </c>
      <c r="AH146" s="3">
        <v>11</v>
      </c>
      <c r="AI146" s="34">
        <f t="shared" ref="AI146:AI151" si="300">+AF146+AC146+Z146</f>
        <v>123</v>
      </c>
      <c r="AJ146" s="6">
        <f t="shared" si="294"/>
        <v>3.2875394237451222E-3</v>
      </c>
      <c r="AK146" s="37">
        <f t="shared" ref="AK146:AK151" si="301">+AH146+AE146+AB146</f>
        <v>37414</v>
      </c>
      <c r="AL146" s="84">
        <f t="shared" ref="AL146:AL151" si="302">(B146+N146+Z146)/AR146</f>
        <v>0.23999232688513294</v>
      </c>
      <c r="AM146" s="83">
        <f t="shared" ref="AM146:AM151" si="303">(E146+Q146+AC146)/AS146</f>
        <v>0.4422141535932041</v>
      </c>
      <c r="AN146" s="6">
        <f t="shared" ref="AN146:AN151" si="304">(H146+T146+AF146)/AT146</f>
        <v>0.8571428571428571</v>
      </c>
      <c r="AO146" s="127">
        <f t="shared" ref="AO146:AO151" si="305">AP146/AQ146</f>
        <v>0.24412949662385264</v>
      </c>
      <c r="AP146" s="52">
        <f t="shared" ref="AP146:AP151" si="306">AF146+AC146+Z146+T146+Q146+N146+H146+E146+B146</f>
        <v>190754</v>
      </c>
      <c r="AQ146" s="3">
        <f t="shared" si="190"/>
        <v>781364</v>
      </c>
      <c r="AR146" s="12">
        <f t="shared" ref="AR146:AR151" si="307">+D146+P146+AB146</f>
        <v>766312</v>
      </c>
      <c r="AS146" s="3">
        <f t="shared" ref="AS146:AS151" si="308">G146+S146+AE146</f>
        <v>14597</v>
      </c>
      <c r="AT146" s="21">
        <f t="shared" ref="AT146:AT151" si="309">J146+V146+AH146</f>
        <v>455</v>
      </c>
    </row>
    <row r="147" spans="1:46" x14ac:dyDescent="0.2">
      <c r="A147" s="109">
        <v>41852</v>
      </c>
      <c r="B147" s="3">
        <v>15157</v>
      </c>
      <c r="C147" s="83">
        <f t="shared" si="236"/>
        <v>0.12242936301513707</v>
      </c>
      <c r="D147" s="3">
        <v>123802</v>
      </c>
      <c r="E147" s="134">
        <v>753</v>
      </c>
      <c r="F147" s="83">
        <f t="shared" si="237"/>
        <v>0.40440386680988183</v>
      </c>
      <c r="G147" s="3">
        <v>1862</v>
      </c>
      <c r="H147" s="134">
        <v>34</v>
      </c>
      <c r="I147" s="83">
        <f t="shared" si="238"/>
        <v>0.75555555555555554</v>
      </c>
      <c r="J147" s="3">
        <v>45</v>
      </c>
      <c r="K147" s="140">
        <f t="shared" si="296"/>
        <v>15944</v>
      </c>
      <c r="L147" s="83">
        <f t="shared" si="293"/>
        <v>0.12683260546182054</v>
      </c>
      <c r="M147" s="18">
        <f t="shared" si="297"/>
        <v>125709</v>
      </c>
      <c r="N147" s="3">
        <v>174268</v>
      </c>
      <c r="O147" s="6">
        <f t="shared" si="244"/>
        <v>0.28795251794043925</v>
      </c>
      <c r="P147" s="130">
        <v>605197</v>
      </c>
      <c r="Q147" s="55">
        <v>5726</v>
      </c>
      <c r="R147" s="6">
        <f t="shared" si="245"/>
        <v>0.4527913964890084</v>
      </c>
      <c r="S147" s="33">
        <v>12646</v>
      </c>
      <c r="T147" s="55">
        <v>350</v>
      </c>
      <c r="U147" s="6">
        <f t="shared" si="246"/>
        <v>0.88161209068010071</v>
      </c>
      <c r="V147" s="33">
        <v>397</v>
      </c>
      <c r="W147" s="52">
        <f t="shared" si="298"/>
        <v>180344</v>
      </c>
      <c r="X147" s="6">
        <f t="shared" si="295"/>
        <v>0.29170548654244305</v>
      </c>
      <c r="Y147" s="21">
        <f t="shared" si="299"/>
        <v>618240</v>
      </c>
      <c r="Z147" s="3">
        <v>63</v>
      </c>
      <c r="AA147" s="83">
        <f t="shared" si="241"/>
        <v>1.6928202923473775E-3</v>
      </c>
      <c r="AB147" s="33">
        <v>37216</v>
      </c>
      <c r="AC147" s="3">
        <v>53</v>
      </c>
      <c r="AD147" s="83">
        <f t="shared" si="242"/>
        <v>0.3045977011494253</v>
      </c>
      <c r="AE147" s="33">
        <v>174</v>
      </c>
      <c r="AF147" s="3">
        <v>9</v>
      </c>
      <c r="AG147" s="6">
        <f t="shared" si="243"/>
        <v>0.75</v>
      </c>
      <c r="AH147" s="3">
        <v>12</v>
      </c>
      <c r="AI147" s="34">
        <f t="shared" si="300"/>
        <v>125</v>
      </c>
      <c r="AJ147" s="6">
        <f t="shared" si="294"/>
        <v>3.3420672691299932E-3</v>
      </c>
      <c r="AK147" s="37">
        <f t="shared" si="301"/>
        <v>37402</v>
      </c>
      <c r="AL147" s="84">
        <f t="shared" si="302"/>
        <v>0.24730395515618983</v>
      </c>
      <c r="AM147" s="83">
        <f t="shared" si="303"/>
        <v>0.44489851518866641</v>
      </c>
      <c r="AN147" s="6">
        <f t="shared" si="304"/>
        <v>0.86563876651982374</v>
      </c>
      <c r="AO147" s="127">
        <f t="shared" si="305"/>
        <v>0.25137614209235032</v>
      </c>
      <c r="AP147" s="52">
        <f t="shared" si="306"/>
        <v>196413</v>
      </c>
      <c r="AQ147" s="3">
        <f t="shared" si="190"/>
        <v>781351</v>
      </c>
      <c r="AR147" s="12">
        <f t="shared" si="307"/>
        <v>766215</v>
      </c>
      <c r="AS147" s="3">
        <f t="shared" si="308"/>
        <v>14682</v>
      </c>
      <c r="AT147" s="21">
        <f t="shared" si="309"/>
        <v>454</v>
      </c>
    </row>
    <row r="148" spans="1:46" x14ac:dyDescent="0.2">
      <c r="A148" s="109">
        <v>41821</v>
      </c>
      <c r="B148" s="3">
        <v>15454</v>
      </c>
      <c r="C148" s="83">
        <f t="shared" si="236"/>
        <v>0.12494542632149151</v>
      </c>
      <c r="D148" s="3">
        <v>123686</v>
      </c>
      <c r="E148" s="134">
        <v>755</v>
      </c>
      <c r="F148" s="83">
        <f t="shared" si="237"/>
        <v>0.40569586243954864</v>
      </c>
      <c r="G148" s="3">
        <v>1861</v>
      </c>
      <c r="H148" s="134">
        <v>34</v>
      </c>
      <c r="I148" s="83">
        <f t="shared" si="238"/>
        <v>0.75555555555555554</v>
      </c>
      <c r="J148" s="3">
        <v>45</v>
      </c>
      <c r="K148" s="140">
        <f t="shared" si="296"/>
        <v>16243</v>
      </c>
      <c r="L148" s="83">
        <f t="shared" ref="L148:L154" si="310">K148/M148</f>
        <v>0.12933148608191605</v>
      </c>
      <c r="M148" s="18">
        <f t="shared" si="297"/>
        <v>125592</v>
      </c>
      <c r="N148" s="3">
        <v>175851</v>
      </c>
      <c r="O148" s="6">
        <f t="shared" si="244"/>
        <v>0.29069404150859185</v>
      </c>
      <c r="P148" s="130">
        <v>604935</v>
      </c>
      <c r="Q148" s="55">
        <v>5660</v>
      </c>
      <c r="R148" s="6">
        <f t="shared" si="245"/>
        <v>0.45334401281537845</v>
      </c>
      <c r="S148" s="33">
        <v>12485</v>
      </c>
      <c r="T148" s="55">
        <v>350</v>
      </c>
      <c r="U148" s="6">
        <f t="shared" si="246"/>
        <v>0.87939698492462315</v>
      </c>
      <c r="V148" s="33">
        <v>398</v>
      </c>
      <c r="W148" s="52">
        <f t="shared" si="298"/>
        <v>181861</v>
      </c>
      <c r="X148" s="6">
        <f t="shared" si="295"/>
        <v>0.2943601513714395</v>
      </c>
      <c r="Y148" s="21">
        <f t="shared" si="299"/>
        <v>617818</v>
      </c>
      <c r="Z148" s="3">
        <v>62</v>
      </c>
      <c r="AA148" s="83">
        <f t="shared" si="241"/>
        <v>1.6655473472128946E-3</v>
      </c>
      <c r="AB148" s="33">
        <v>37225</v>
      </c>
      <c r="AC148" s="3">
        <v>54</v>
      </c>
      <c r="AD148" s="83">
        <f t="shared" si="242"/>
        <v>0.3016759776536313</v>
      </c>
      <c r="AE148" s="33">
        <v>179</v>
      </c>
      <c r="AF148" s="3">
        <v>9</v>
      </c>
      <c r="AG148" s="6">
        <f t="shared" si="243"/>
        <v>0.75</v>
      </c>
      <c r="AH148" s="3">
        <v>12</v>
      </c>
      <c r="AI148" s="34">
        <f t="shared" si="300"/>
        <v>125</v>
      </c>
      <c r="AJ148" s="6">
        <f t="shared" ref="AJ148:AJ154" si="311">AI148/AK148</f>
        <v>3.3408167628821896E-3</v>
      </c>
      <c r="AK148" s="37">
        <f t="shared" si="301"/>
        <v>37416</v>
      </c>
      <c r="AL148" s="84">
        <f t="shared" si="302"/>
        <v>0.24987660704632525</v>
      </c>
      <c r="AM148" s="83">
        <f t="shared" si="303"/>
        <v>0.4453700516351119</v>
      </c>
      <c r="AN148" s="6">
        <f t="shared" si="304"/>
        <v>0.86373626373626378</v>
      </c>
      <c r="AO148" s="127">
        <f t="shared" si="305"/>
        <v>0.25387090081529046</v>
      </c>
      <c r="AP148" s="52">
        <f t="shared" si="306"/>
        <v>198229</v>
      </c>
      <c r="AQ148" s="3">
        <f t="shared" si="190"/>
        <v>780826</v>
      </c>
      <c r="AR148" s="12">
        <f t="shared" si="307"/>
        <v>765846</v>
      </c>
      <c r="AS148" s="3">
        <f t="shared" si="308"/>
        <v>14525</v>
      </c>
      <c r="AT148" s="21">
        <f t="shared" si="309"/>
        <v>455</v>
      </c>
    </row>
    <row r="149" spans="1:46" x14ac:dyDescent="0.2">
      <c r="A149" s="109">
        <v>41791</v>
      </c>
      <c r="B149" s="3">
        <v>15558</v>
      </c>
      <c r="C149" s="83">
        <f t="shared" si="236"/>
        <v>0.1259573503456986</v>
      </c>
      <c r="D149" s="3">
        <v>123518</v>
      </c>
      <c r="E149" s="134">
        <v>754</v>
      </c>
      <c r="F149" s="83">
        <f t="shared" si="237"/>
        <v>0.40494092373791624</v>
      </c>
      <c r="G149" s="3">
        <v>1862</v>
      </c>
      <c r="H149" s="134">
        <v>34</v>
      </c>
      <c r="I149" s="83">
        <f t="shared" si="238"/>
        <v>0.77272727272727271</v>
      </c>
      <c r="J149" s="3">
        <v>44</v>
      </c>
      <c r="K149" s="140">
        <f t="shared" si="296"/>
        <v>16346</v>
      </c>
      <c r="L149" s="83">
        <f t="shared" si="310"/>
        <v>0.13032593443041204</v>
      </c>
      <c r="M149" s="18">
        <f t="shared" si="297"/>
        <v>125424</v>
      </c>
      <c r="N149" s="3">
        <v>177183</v>
      </c>
      <c r="O149" s="6">
        <f t="shared" si="244"/>
        <v>0.29304561828303777</v>
      </c>
      <c r="P149" s="130">
        <v>604626</v>
      </c>
      <c r="Q149" s="55">
        <v>5696</v>
      </c>
      <c r="R149" s="6">
        <f t="shared" si="245"/>
        <v>0.45397306128955128</v>
      </c>
      <c r="S149" s="33">
        <v>12547</v>
      </c>
      <c r="T149" s="55">
        <v>349</v>
      </c>
      <c r="U149" s="6">
        <f t="shared" si="246"/>
        <v>0.8835443037974684</v>
      </c>
      <c r="V149" s="33">
        <v>395</v>
      </c>
      <c r="W149" s="52">
        <f t="shared" si="298"/>
        <v>183228</v>
      </c>
      <c r="X149" s="6">
        <f t="shared" si="295"/>
        <v>0.29669283382558681</v>
      </c>
      <c r="Y149" s="21">
        <f t="shared" si="299"/>
        <v>617568</v>
      </c>
      <c r="Z149" s="3">
        <v>63</v>
      </c>
      <c r="AA149" s="83">
        <f t="shared" si="241"/>
        <v>1.6928202923473775E-3</v>
      </c>
      <c r="AB149" s="33">
        <v>37216</v>
      </c>
      <c r="AC149" s="3">
        <v>54</v>
      </c>
      <c r="AD149" s="83">
        <f t="shared" si="242"/>
        <v>0.3016759776536313</v>
      </c>
      <c r="AE149" s="33">
        <v>179</v>
      </c>
      <c r="AF149" s="3">
        <v>8</v>
      </c>
      <c r="AG149" s="6">
        <f t="shared" si="243"/>
        <v>0.8</v>
      </c>
      <c r="AH149" s="3">
        <v>10</v>
      </c>
      <c r="AI149" s="34">
        <f t="shared" si="300"/>
        <v>125</v>
      </c>
      <c r="AJ149" s="6">
        <f t="shared" si="311"/>
        <v>3.3417992247025798E-3</v>
      </c>
      <c r="AK149" s="37">
        <f t="shared" si="301"/>
        <v>37405</v>
      </c>
      <c r="AL149" s="84">
        <f t="shared" si="302"/>
        <v>0.25191282533709625</v>
      </c>
      <c r="AM149" s="83">
        <f t="shared" si="303"/>
        <v>0.44584590074033453</v>
      </c>
      <c r="AN149" s="6">
        <f t="shared" si="304"/>
        <v>0.87082405345211578</v>
      </c>
      <c r="AO149" s="127">
        <f t="shared" si="305"/>
        <v>0.25589411543099216</v>
      </c>
      <c r="AP149" s="52">
        <f t="shared" si="306"/>
        <v>199699</v>
      </c>
      <c r="AQ149" s="3">
        <f t="shared" si="190"/>
        <v>780397</v>
      </c>
      <c r="AR149" s="12">
        <f t="shared" si="307"/>
        <v>765360</v>
      </c>
      <c r="AS149" s="3">
        <f t="shared" si="308"/>
        <v>14588</v>
      </c>
      <c r="AT149" s="21">
        <f t="shared" si="309"/>
        <v>449</v>
      </c>
    </row>
    <row r="150" spans="1:46" x14ac:dyDescent="0.2">
      <c r="A150" s="109">
        <v>41760</v>
      </c>
      <c r="B150" s="3">
        <v>15604</v>
      </c>
      <c r="C150" s="83">
        <f t="shared" si="236"/>
        <v>0.12679787424225186</v>
      </c>
      <c r="D150" s="3">
        <v>123062</v>
      </c>
      <c r="E150" s="134">
        <v>748</v>
      </c>
      <c r="F150" s="83">
        <f t="shared" si="237"/>
        <v>0.40301724137931033</v>
      </c>
      <c r="G150" s="3">
        <v>1856</v>
      </c>
      <c r="H150" s="134">
        <v>34</v>
      </c>
      <c r="I150" s="83">
        <f t="shared" si="238"/>
        <v>0.77272727272727271</v>
      </c>
      <c r="J150" s="3">
        <v>44</v>
      </c>
      <c r="K150" s="140">
        <f t="shared" si="296"/>
        <v>16386</v>
      </c>
      <c r="L150" s="83">
        <f t="shared" si="310"/>
        <v>0.13112786287031258</v>
      </c>
      <c r="M150" s="18">
        <f t="shared" si="297"/>
        <v>124962</v>
      </c>
      <c r="N150" s="3">
        <v>177771</v>
      </c>
      <c r="O150" s="6">
        <f t="shared" si="244"/>
        <v>0.29418549617562662</v>
      </c>
      <c r="P150" s="130">
        <v>604282</v>
      </c>
      <c r="Q150" s="55">
        <v>5671</v>
      </c>
      <c r="R150" s="6">
        <f t="shared" si="245"/>
        <v>0.45579488828162673</v>
      </c>
      <c r="S150" s="33">
        <v>12442</v>
      </c>
      <c r="T150" s="55">
        <v>350</v>
      </c>
      <c r="U150" s="6">
        <f t="shared" si="246"/>
        <v>0.875</v>
      </c>
      <c r="V150" s="33">
        <v>400</v>
      </c>
      <c r="W150" s="52">
        <f t="shared" si="298"/>
        <v>183792</v>
      </c>
      <c r="X150" s="6">
        <f t="shared" si="295"/>
        <v>0.29782021117311919</v>
      </c>
      <c r="Y150" s="21">
        <f t="shared" si="299"/>
        <v>617124</v>
      </c>
      <c r="Z150" s="3">
        <v>64</v>
      </c>
      <c r="AA150" s="83">
        <f t="shared" si="241"/>
        <v>1.7194594449369978E-3</v>
      </c>
      <c r="AB150" s="33">
        <v>37221</v>
      </c>
      <c r="AC150" s="3">
        <v>54</v>
      </c>
      <c r="AD150" s="83">
        <f t="shared" si="242"/>
        <v>0.30337078651685395</v>
      </c>
      <c r="AE150" s="33">
        <v>178</v>
      </c>
      <c r="AF150" s="3">
        <v>8</v>
      </c>
      <c r="AG150" s="6">
        <f t="shared" si="243"/>
        <v>0.8</v>
      </c>
      <c r="AH150" s="3">
        <v>10</v>
      </c>
      <c r="AI150" s="34">
        <f t="shared" si="300"/>
        <v>126</v>
      </c>
      <c r="AJ150" s="6">
        <f t="shared" si="311"/>
        <v>3.3681734342003262E-3</v>
      </c>
      <c r="AK150" s="37">
        <f t="shared" si="301"/>
        <v>37409</v>
      </c>
      <c r="AL150" s="84">
        <f t="shared" si="302"/>
        <v>0.25300530366940677</v>
      </c>
      <c r="AM150" s="83">
        <f t="shared" si="303"/>
        <v>0.44715390991986737</v>
      </c>
      <c r="AN150" s="6">
        <f t="shared" si="304"/>
        <v>0.86343612334801767</v>
      </c>
      <c r="AO150" s="127">
        <f t="shared" si="305"/>
        <v>0.25696636925188743</v>
      </c>
      <c r="AP150" s="52">
        <f t="shared" si="306"/>
        <v>200304</v>
      </c>
      <c r="AQ150" s="3">
        <f t="shared" si="190"/>
        <v>779495</v>
      </c>
      <c r="AR150" s="12">
        <f t="shared" si="307"/>
        <v>764565</v>
      </c>
      <c r="AS150" s="3">
        <f t="shared" si="308"/>
        <v>14476</v>
      </c>
      <c r="AT150" s="21">
        <f t="shared" si="309"/>
        <v>454</v>
      </c>
    </row>
    <row r="151" spans="1:46" x14ac:dyDescent="0.2">
      <c r="A151" s="109">
        <v>41730</v>
      </c>
      <c r="B151" s="3">
        <v>15499</v>
      </c>
      <c r="C151" s="83">
        <f t="shared" si="236"/>
        <v>0.12676770568364917</v>
      </c>
      <c r="D151" s="3">
        <v>122263</v>
      </c>
      <c r="E151" s="134">
        <v>746</v>
      </c>
      <c r="F151" s="83">
        <f t="shared" si="237"/>
        <v>0.40698308783415166</v>
      </c>
      <c r="G151" s="3">
        <v>1833</v>
      </c>
      <c r="H151" s="134">
        <v>33</v>
      </c>
      <c r="I151" s="83">
        <f t="shared" si="238"/>
        <v>0.75</v>
      </c>
      <c r="J151" s="3">
        <v>44</v>
      </c>
      <c r="K151" s="140">
        <f t="shared" si="296"/>
        <v>16278</v>
      </c>
      <c r="L151" s="83">
        <f t="shared" si="310"/>
        <v>0.13112614789753504</v>
      </c>
      <c r="M151" s="18">
        <f t="shared" si="297"/>
        <v>124140</v>
      </c>
      <c r="N151" s="3">
        <v>177415</v>
      </c>
      <c r="O151" s="6">
        <f t="shared" si="244"/>
        <v>0.2932396940912404</v>
      </c>
      <c r="P151" s="130">
        <v>605017</v>
      </c>
      <c r="Q151" s="55">
        <v>5679</v>
      </c>
      <c r="R151" s="6">
        <f t="shared" si="245"/>
        <v>0.45607131384516542</v>
      </c>
      <c r="S151" s="33">
        <v>12452</v>
      </c>
      <c r="T151" s="55">
        <v>349</v>
      </c>
      <c r="U151" s="6">
        <f t="shared" si="246"/>
        <v>0.87468671679197996</v>
      </c>
      <c r="V151" s="33">
        <v>399</v>
      </c>
      <c r="W151" s="52">
        <f t="shared" si="298"/>
        <v>183443</v>
      </c>
      <c r="X151" s="6">
        <f t="shared" si="295"/>
        <v>0.29689674817274886</v>
      </c>
      <c r="Y151" s="21">
        <f t="shared" si="299"/>
        <v>617868</v>
      </c>
      <c r="Z151" s="3">
        <v>62</v>
      </c>
      <c r="AA151" s="83">
        <f t="shared" si="241"/>
        <v>1.6692692908297883E-3</v>
      </c>
      <c r="AB151" s="33">
        <v>37142</v>
      </c>
      <c r="AC151" s="3">
        <v>54</v>
      </c>
      <c r="AD151" s="83">
        <f t="shared" si="242"/>
        <v>0.3</v>
      </c>
      <c r="AE151" s="33">
        <v>180</v>
      </c>
      <c r="AF151" s="3">
        <v>8</v>
      </c>
      <c r="AG151" s="6">
        <f t="shared" si="243"/>
        <v>0.8</v>
      </c>
      <c r="AH151" s="3">
        <v>10</v>
      </c>
      <c r="AI151" s="34">
        <f t="shared" si="300"/>
        <v>124</v>
      </c>
      <c r="AJ151" s="6">
        <f t="shared" si="311"/>
        <v>3.3215471981142184E-3</v>
      </c>
      <c r="AK151" s="37">
        <f t="shared" si="301"/>
        <v>37332</v>
      </c>
      <c r="AL151" s="84">
        <f t="shared" si="302"/>
        <v>0.25244694684349744</v>
      </c>
      <c r="AM151" s="83">
        <f t="shared" si="303"/>
        <v>0.4479087452471483</v>
      </c>
      <c r="AN151" s="6">
        <f t="shared" si="304"/>
        <v>0.86092715231788075</v>
      </c>
      <c r="AO151" s="127">
        <f t="shared" si="305"/>
        <v>0.25642851643698517</v>
      </c>
      <c r="AP151" s="52">
        <f t="shared" si="306"/>
        <v>199845</v>
      </c>
      <c r="AQ151" s="3">
        <f t="shared" si="190"/>
        <v>779340</v>
      </c>
      <c r="AR151" s="12">
        <f t="shared" si="307"/>
        <v>764422</v>
      </c>
      <c r="AS151" s="3">
        <f t="shared" si="308"/>
        <v>14465</v>
      </c>
      <c r="AT151" s="21">
        <f t="shared" si="309"/>
        <v>453</v>
      </c>
    </row>
    <row r="152" spans="1:46" x14ac:dyDescent="0.2">
      <c r="A152" s="109">
        <v>41699</v>
      </c>
      <c r="B152" s="3">
        <v>15268</v>
      </c>
      <c r="C152" s="83">
        <f t="shared" si="236"/>
        <v>0.12521836120428767</v>
      </c>
      <c r="D152" s="3">
        <v>121931</v>
      </c>
      <c r="E152" s="134">
        <v>736</v>
      </c>
      <c r="F152" s="83">
        <f t="shared" si="237"/>
        <v>0.41605426794799322</v>
      </c>
      <c r="G152" s="3">
        <v>1769</v>
      </c>
      <c r="H152" s="134">
        <v>34</v>
      </c>
      <c r="I152" s="83">
        <f t="shared" si="238"/>
        <v>0.77272727272727271</v>
      </c>
      <c r="J152" s="3">
        <v>44</v>
      </c>
      <c r="K152" s="140">
        <f t="shared" ref="K152:K157" si="312">+H152+E152+B152</f>
        <v>16038</v>
      </c>
      <c r="L152" s="83">
        <f t="shared" si="310"/>
        <v>0.12960628394103957</v>
      </c>
      <c r="M152" s="18">
        <f t="shared" ref="M152:M157" si="313">+J152+G152+D152</f>
        <v>123744</v>
      </c>
      <c r="N152" s="3">
        <v>177045</v>
      </c>
      <c r="O152" s="6">
        <f t="shared" si="244"/>
        <v>0.29285079818776394</v>
      </c>
      <c r="P152" s="130">
        <v>604557</v>
      </c>
      <c r="Q152" s="55">
        <v>5681</v>
      </c>
      <c r="R152" s="6">
        <f t="shared" si="245"/>
        <v>0.45777598710717166</v>
      </c>
      <c r="S152" s="33">
        <v>12410</v>
      </c>
      <c r="T152" s="55">
        <v>352</v>
      </c>
      <c r="U152" s="6">
        <f t="shared" si="246"/>
        <v>0.87780548628428923</v>
      </c>
      <c r="V152" s="33">
        <v>401</v>
      </c>
      <c r="W152" s="52">
        <f t="shared" ref="W152:W157" si="314">+T152+Q152+N152</f>
        <v>183078</v>
      </c>
      <c r="X152" s="6">
        <f t="shared" ref="X152:X158" si="315">W152/Y152</f>
        <v>0.29654598229905016</v>
      </c>
      <c r="Y152" s="21">
        <f t="shared" ref="Y152:Y157" si="316">+V152+S152+P152</f>
        <v>617368</v>
      </c>
      <c r="Z152" s="3">
        <v>53</v>
      </c>
      <c r="AA152" s="83">
        <f t="shared" si="241"/>
        <v>1.4253059029178431E-3</v>
      </c>
      <c r="AB152" s="33">
        <v>37185</v>
      </c>
      <c r="AC152" s="3">
        <v>53</v>
      </c>
      <c r="AD152" s="83">
        <f t="shared" si="242"/>
        <v>0.29444444444444445</v>
      </c>
      <c r="AE152" s="33">
        <v>180</v>
      </c>
      <c r="AF152" s="3">
        <v>8</v>
      </c>
      <c r="AG152" s="6">
        <f t="shared" si="243"/>
        <v>0.8</v>
      </c>
      <c r="AH152" s="3">
        <v>10</v>
      </c>
      <c r="AI152" s="34">
        <f t="shared" ref="AI152:AI157" si="317">+AF152+AC152+Z152</f>
        <v>114</v>
      </c>
      <c r="AJ152" s="6">
        <f t="shared" si="311"/>
        <v>3.0501672240802677E-3</v>
      </c>
      <c r="AK152" s="37">
        <f t="shared" ref="AK152:AK157" si="318">+AH152+AE152+AB152</f>
        <v>37375</v>
      </c>
      <c r="AL152" s="84">
        <f t="shared" ref="AL152:AL157" si="319">(B152+N152+Z152)/AR152</f>
        <v>0.25189577214331266</v>
      </c>
      <c r="AM152" s="83">
        <f t="shared" ref="AM152:AM157" si="320">(E152+Q152+AC152)/AS152</f>
        <v>0.45058848109199806</v>
      </c>
      <c r="AN152" s="6">
        <f t="shared" ref="AN152:AN157" si="321">(H152+T152+AF152)/AT152</f>
        <v>0.86593406593406597</v>
      </c>
      <c r="AO152" s="127">
        <f t="shared" ref="AO152:AO157" si="322">AP152/AQ152</f>
        <v>0.25591949512323264</v>
      </c>
      <c r="AP152" s="52">
        <f t="shared" ref="AP152:AP157" si="323">AF152+AC152+Z152+T152+Q152+N152+H152+E152+B152</f>
        <v>199230</v>
      </c>
      <c r="AQ152" s="3">
        <f t="shared" si="190"/>
        <v>778487</v>
      </c>
      <c r="AR152" s="12">
        <f t="shared" ref="AR152:AR157" si="324">+D152+P152+AB152</f>
        <v>763673</v>
      </c>
      <c r="AS152" s="3">
        <f t="shared" ref="AS152:AS157" si="325">G152+S152+AE152</f>
        <v>14359</v>
      </c>
      <c r="AT152" s="21">
        <f t="shared" ref="AT152:AT157" si="326">J152+V152+AH152</f>
        <v>455</v>
      </c>
    </row>
    <row r="153" spans="1:46" x14ac:dyDescent="0.2">
      <c r="A153" s="109">
        <v>41671</v>
      </c>
      <c r="B153" s="3">
        <v>15197</v>
      </c>
      <c r="C153" s="83">
        <f t="shared" si="236"/>
        <v>0.1246125588336586</v>
      </c>
      <c r="D153" s="3">
        <v>121954</v>
      </c>
      <c r="E153" s="134">
        <v>721</v>
      </c>
      <c r="F153" s="83">
        <f t="shared" si="237"/>
        <v>0.41508347725964306</v>
      </c>
      <c r="G153" s="3">
        <v>1737</v>
      </c>
      <c r="H153" s="134">
        <v>33</v>
      </c>
      <c r="I153" s="83">
        <f t="shared" si="238"/>
        <v>0.71739130434782605</v>
      </c>
      <c r="J153" s="3">
        <v>46</v>
      </c>
      <c r="K153" s="140">
        <f t="shared" si="312"/>
        <v>15951</v>
      </c>
      <c r="L153" s="83">
        <f t="shared" si="310"/>
        <v>0.1289105118113418</v>
      </c>
      <c r="M153" s="18">
        <f t="shared" si="313"/>
        <v>123737</v>
      </c>
      <c r="N153" s="3">
        <v>178102</v>
      </c>
      <c r="O153" s="6">
        <f t="shared" si="244"/>
        <v>0.29443749183734536</v>
      </c>
      <c r="P153" s="130">
        <v>604889</v>
      </c>
      <c r="Q153" s="55">
        <v>5684</v>
      </c>
      <c r="R153" s="6">
        <f t="shared" si="245"/>
        <v>0.45890521556596159</v>
      </c>
      <c r="S153" s="33">
        <v>12386</v>
      </c>
      <c r="T153" s="55">
        <v>350</v>
      </c>
      <c r="U153" s="6">
        <f t="shared" si="246"/>
        <v>0.8771929824561403</v>
      </c>
      <c r="V153" s="33">
        <v>399</v>
      </c>
      <c r="W153" s="52">
        <f t="shared" si="314"/>
        <v>184136</v>
      </c>
      <c r="X153" s="6">
        <f t="shared" si="315"/>
        <v>0.29811194902165222</v>
      </c>
      <c r="Y153" s="21">
        <f t="shared" si="316"/>
        <v>617674</v>
      </c>
      <c r="Z153" s="3">
        <v>53</v>
      </c>
      <c r="AA153" s="83">
        <f t="shared" si="241"/>
        <v>1.4253825673022618E-3</v>
      </c>
      <c r="AB153" s="33">
        <v>37183</v>
      </c>
      <c r="AC153" s="3">
        <v>53</v>
      </c>
      <c r="AD153" s="83">
        <f t="shared" si="242"/>
        <v>0.29444444444444445</v>
      </c>
      <c r="AE153" s="33">
        <v>180</v>
      </c>
      <c r="AF153" s="3">
        <v>8</v>
      </c>
      <c r="AG153" s="6">
        <f t="shared" si="243"/>
        <v>0.72727272727272729</v>
      </c>
      <c r="AH153" s="3">
        <v>11</v>
      </c>
      <c r="AI153" s="34">
        <f t="shared" si="317"/>
        <v>114</v>
      </c>
      <c r="AJ153" s="6">
        <f t="shared" si="311"/>
        <v>3.0502488360892601E-3</v>
      </c>
      <c r="AK153" s="37">
        <f t="shared" si="318"/>
        <v>37374</v>
      </c>
      <c r="AL153" s="84">
        <f t="shared" si="319"/>
        <v>0.2530699217042352</v>
      </c>
      <c r="AM153" s="83">
        <f t="shared" si="320"/>
        <v>0.45151366846116198</v>
      </c>
      <c r="AN153" s="6">
        <f t="shared" si="321"/>
        <v>0.85745614035087714</v>
      </c>
      <c r="AO153" s="127">
        <f t="shared" si="322"/>
        <v>0.25706838215938932</v>
      </c>
      <c r="AP153" s="52">
        <f t="shared" si="323"/>
        <v>200201</v>
      </c>
      <c r="AQ153" s="3">
        <f t="shared" si="190"/>
        <v>778785</v>
      </c>
      <c r="AR153" s="12">
        <f t="shared" si="324"/>
        <v>764026</v>
      </c>
      <c r="AS153" s="3">
        <f t="shared" si="325"/>
        <v>14303</v>
      </c>
      <c r="AT153" s="21">
        <f t="shared" si="326"/>
        <v>456</v>
      </c>
    </row>
    <row r="154" spans="1:46" x14ac:dyDescent="0.2">
      <c r="A154" s="109">
        <v>41640</v>
      </c>
      <c r="B154" s="3">
        <v>15275</v>
      </c>
      <c r="C154" s="83">
        <f t="shared" si="236"/>
        <v>0.12527063377509512</v>
      </c>
      <c r="D154" s="3">
        <v>121936</v>
      </c>
      <c r="E154" s="134">
        <v>719</v>
      </c>
      <c r="F154" s="83">
        <f t="shared" si="237"/>
        <v>0.41393206678180772</v>
      </c>
      <c r="G154" s="3">
        <v>1737</v>
      </c>
      <c r="H154" s="134">
        <v>33</v>
      </c>
      <c r="I154" s="83">
        <f t="shared" si="238"/>
        <v>0.75</v>
      </c>
      <c r="J154" s="3">
        <v>44</v>
      </c>
      <c r="K154" s="140">
        <f t="shared" si="312"/>
        <v>16027</v>
      </c>
      <c r="L154" s="83">
        <f t="shared" si="310"/>
        <v>0.12954565661954298</v>
      </c>
      <c r="M154" s="18">
        <f t="shared" si="313"/>
        <v>123717</v>
      </c>
      <c r="N154" s="3">
        <v>192381</v>
      </c>
      <c r="O154" s="6">
        <f t="shared" si="244"/>
        <v>0.3182860489586849</v>
      </c>
      <c r="P154" s="130">
        <v>604428</v>
      </c>
      <c r="Q154" s="55">
        <v>5955</v>
      </c>
      <c r="R154" s="6">
        <f t="shared" si="245"/>
        <v>0.47842853699686672</v>
      </c>
      <c r="S154" s="33">
        <v>12447</v>
      </c>
      <c r="T154" s="55">
        <v>346</v>
      </c>
      <c r="U154" s="6">
        <f t="shared" si="246"/>
        <v>0.87817258883248728</v>
      </c>
      <c r="V154" s="33">
        <v>394</v>
      </c>
      <c r="W154" s="52">
        <f t="shared" si="314"/>
        <v>198682</v>
      </c>
      <c r="X154" s="6">
        <f t="shared" si="315"/>
        <v>0.321872635755238</v>
      </c>
      <c r="Y154" s="21">
        <f t="shared" si="316"/>
        <v>617269</v>
      </c>
      <c r="Z154" s="3">
        <v>53</v>
      </c>
      <c r="AA154" s="83">
        <f t="shared" si="241"/>
        <v>1.4250759592374499E-3</v>
      </c>
      <c r="AB154" s="33">
        <v>37191</v>
      </c>
      <c r="AC154" s="3">
        <v>53</v>
      </c>
      <c r="AD154" s="83">
        <f t="shared" si="242"/>
        <v>0.29608938547486036</v>
      </c>
      <c r="AE154" s="33">
        <v>179</v>
      </c>
      <c r="AF154" s="3">
        <v>8</v>
      </c>
      <c r="AG154" s="6">
        <f t="shared" si="243"/>
        <v>0.72727272727272729</v>
      </c>
      <c r="AH154" s="3">
        <v>11</v>
      </c>
      <c r="AI154" s="34">
        <f t="shared" si="317"/>
        <v>114</v>
      </c>
      <c r="AJ154" s="6">
        <f t="shared" si="311"/>
        <v>3.0496776437227468E-3</v>
      </c>
      <c r="AK154" s="37">
        <f t="shared" si="318"/>
        <v>37381</v>
      </c>
      <c r="AL154" s="84">
        <f t="shared" si="319"/>
        <v>0.2720288649802568</v>
      </c>
      <c r="AM154" s="83">
        <f t="shared" si="320"/>
        <v>0.46835619299589221</v>
      </c>
      <c r="AN154" s="6">
        <f t="shared" si="321"/>
        <v>0.86191536748329622</v>
      </c>
      <c r="AO154" s="127">
        <f t="shared" si="322"/>
        <v>0.2759919164096114</v>
      </c>
      <c r="AP154" s="52">
        <f t="shared" si="323"/>
        <v>214823</v>
      </c>
      <c r="AQ154" s="3">
        <f t="shared" si="190"/>
        <v>778367</v>
      </c>
      <c r="AR154" s="12">
        <f t="shared" si="324"/>
        <v>763555</v>
      </c>
      <c r="AS154" s="3">
        <f t="shared" si="325"/>
        <v>14363</v>
      </c>
      <c r="AT154" s="21">
        <f t="shared" si="326"/>
        <v>449</v>
      </c>
    </row>
    <row r="155" spans="1:46" x14ac:dyDescent="0.2">
      <c r="A155" s="109">
        <v>41609</v>
      </c>
      <c r="B155" s="3">
        <v>15450</v>
      </c>
      <c r="C155" s="83">
        <f t="shared" si="236"/>
        <v>0.12658850133962588</v>
      </c>
      <c r="D155" s="3">
        <v>122049</v>
      </c>
      <c r="E155" s="134">
        <v>737</v>
      </c>
      <c r="F155" s="83">
        <f t="shared" si="237"/>
        <v>0.420662100456621</v>
      </c>
      <c r="G155" s="3">
        <v>1752</v>
      </c>
      <c r="H155" s="134">
        <v>34</v>
      </c>
      <c r="I155" s="83">
        <f t="shared" si="238"/>
        <v>0.77272727272727271</v>
      </c>
      <c r="J155" s="3">
        <v>44</v>
      </c>
      <c r="K155" s="140">
        <f t="shared" si="312"/>
        <v>16221</v>
      </c>
      <c r="L155" s="83">
        <f t="shared" ref="L155:L161" si="327">K155/M155</f>
        <v>0.13097823892769186</v>
      </c>
      <c r="M155" s="18">
        <f t="shared" si="313"/>
        <v>123845</v>
      </c>
      <c r="N155" s="3">
        <v>194865</v>
      </c>
      <c r="O155" s="6">
        <f t="shared" si="244"/>
        <v>0.32230986670283451</v>
      </c>
      <c r="P155" s="130">
        <v>604589</v>
      </c>
      <c r="Q155" s="55">
        <v>5840</v>
      </c>
      <c r="R155" s="6">
        <f t="shared" si="245"/>
        <v>0.47739720428349547</v>
      </c>
      <c r="S155" s="33">
        <v>12233</v>
      </c>
      <c r="T155" s="55">
        <v>341</v>
      </c>
      <c r="U155" s="6">
        <f t="shared" si="246"/>
        <v>0.88113695090439281</v>
      </c>
      <c r="V155" s="33">
        <v>387</v>
      </c>
      <c r="W155" s="52">
        <f t="shared" si="314"/>
        <v>201046</v>
      </c>
      <c r="X155" s="6">
        <f t="shared" si="315"/>
        <v>0.32573407063085602</v>
      </c>
      <c r="Y155" s="21">
        <f t="shared" si="316"/>
        <v>617209</v>
      </c>
      <c r="Z155" s="3">
        <v>52</v>
      </c>
      <c r="AA155" s="83">
        <f t="shared" si="241"/>
        <v>1.3970232658105423E-3</v>
      </c>
      <c r="AB155" s="33">
        <v>37222</v>
      </c>
      <c r="AC155" s="3">
        <v>53</v>
      </c>
      <c r="AD155" s="83">
        <f t="shared" si="242"/>
        <v>0.29120879120879123</v>
      </c>
      <c r="AE155" s="33">
        <v>182</v>
      </c>
      <c r="AF155" s="3">
        <v>8</v>
      </c>
      <c r="AG155" s="6">
        <f t="shared" si="243"/>
        <v>0.72727272727272729</v>
      </c>
      <c r="AH155" s="3">
        <v>11</v>
      </c>
      <c r="AI155" s="34">
        <f t="shared" si="317"/>
        <v>113</v>
      </c>
      <c r="AJ155" s="6">
        <f t="shared" ref="AJ155:AJ160" si="328">AI155/AK155</f>
        <v>3.0201790725644796E-3</v>
      </c>
      <c r="AK155" s="37">
        <f t="shared" si="318"/>
        <v>37415</v>
      </c>
      <c r="AL155" s="84">
        <f t="shared" si="319"/>
        <v>0.27539994239782162</v>
      </c>
      <c r="AM155" s="83">
        <f t="shared" si="320"/>
        <v>0.46798898849438836</v>
      </c>
      <c r="AN155" s="6">
        <f t="shared" si="321"/>
        <v>0.86651583710407243</v>
      </c>
      <c r="AO155" s="127">
        <f t="shared" si="322"/>
        <v>0.27924040649017495</v>
      </c>
      <c r="AP155" s="52">
        <f t="shared" si="323"/>
        <v>217380</v>
      </c>
      <c r="AQ155" s="3">
        <f t="shared" si="190"/>
        <v>778469</v>
      </c>
      <c r="AR155" s="12">
        <f t="shared" si="324"/>
        <v>763860</v>
      </c>
      <c r="AS155" s="3">
        <f t="shared" si="325"/>
        <v>14167</v>
      </c>
      <c r="AT155" s="21">
        <f t="shared" si="326"/>
        <v>442</v>
      </c>
    </row>
    <row r="156" spans="1:46" x14ac:dyDescent="0.2">
      <c r="A156" s="109">
        <v>41579</v>
      </c>
      <c r="B156" s="3">
        <v>18437</v>
      </c>
      <c r="C156" s="83">
        <f t="shared" si="236"/>
        <v>0.15088425687232493</v>
      </c>
      <c r="D156" s="3">
        <v>122193</v>
      </c>
      <c r="E156" s="134">
        <v>774</v>
      </c>
      <c r="F156" s="83">
        <f t="shared" si="237"/>
        <v>0.43852691218130313</v>
      </c>
      <c r="G156" s="3">
        <v>1765</v>
      </c>
      <c r="H156" s="134">
        <v>34</v>
      </c>
      <c r="I156" s="83">
        <f t="shared" si="238"/>
        <v>0.77272727272727271</v>
      </c>
      <c r="J156" s="3">
        <v>44</v>
      </c>
      <c r="K156" s="140">
        <f t="shared" si="312"/>
        <v>19245</v>
      </c>
      <c r="L156" s="83">
        <f t="shared" si="327"/>
        <v>0.15519910969177916</v>
      </c>
      <c r="M156" s="18">
        <f t="shared" si="313"/>
        <v>124002</v>
      </c>
      <c r="N156" s="3">
        <v>194517</v>
      </c>
      <c r="O156" s="6">
        <f t="shared" si="244"/>
        <v>0.32189346174849826</v>
      </c>
      <c r="P156" s="130">
        <v>604290</v>
      </c>
      <c r="Q156" s="55">
        <v>5883</v>
      </c>
      <c r="R156" s="6">
        <f t="shared" si="245"/>
        <v>0.48000979112271541</v>
      </c>
      <c r="S156" s="33">
        <v>12256</v>
      </c>
      <c r="T156" s="55">
        <v>350</v>
      </c>
      <c r="U156" s="6">
        <f t="shared" si="246"/>
        <v>0.88607594936708856</v>
      </c>
      <c r="V156" s="33">
        <v>395</v>
      </c>
      <c r="W156" s="52">
        <f t="shared" si="314"/>
        <v>200750</v>
      </c>
      <c r="X156" s="6">
        <f t="shared" si="315"/>
        <v>0.32539578338933545</v>
      </c>
      <c r="Y156" s="21">
        <f t="shared" si="316"/>
        <v>616941</v>
      </c>
      <c r="Z156" s="3">
        <v>51</v>
      </c>
      <c r="AA156" s="83">
        <f t="shared" si="241"/>
        <v>1.3686865976061404E-3</v>
      </c>
      <c r="AB156" s="33">
        <v>37262</v>
      </c>
      <c r="AC156" s="3">
        <v>52</v>
      </c>
      <c r="AD156" s="83">
        <f t="shared" si="242"/>
        <v>0.29213483146067415</v>
      </c>
      <c r="AE156" s="33">
        <v>178</v>
      </c>
      <c r="AF156" s="3">
        <v>8</v>
      </c>
      <c r="AG156" s="6">
        <f t="shared" si="243"/>
        <v>0.72727272727272729</v>
      </c>
      <c r="AH156" s="3">
        <v>11</v>
      </c>
      <c r="AI156" s="34">
        <f t="shared" si="317"/>
        <v>111</v>
      </c>
      <c r="AJ156" s="6">
        <f t="shared" si="328"/>
        <v>2.9638727937838778E-3</v>
      </c>
      <c r="AK156" s="37">
        <f t="shared" si="318"/>
        <v>37451</v>
      </c>
      <c r="AL156" s="84">
        <f t="shared" si="319"/>
        <v>0.27889544285068968</v>
      </c>
      <c r="AM156" s="83">
        <f t="shared" si="320"/>
        <v>0.47249806324389043</v>
      </c>
      <c r="AN156" s="6">
        <f t="shared" si="321"/>
        <v>0.87111111111111106</v>
      </c>
      <c r="AO156" s="127">
        <f t="shared" si="322"/>
        <v>0.28276939441979254</v>
      </c>
      <c r="AP156" s="52">
        <f t="shared" si="323"/>
        <v>220106</v>
      </c>
      <c r="AQ156" s="3">
        <f t="shared" si="190"/>
        <v>778394</v>
      </c>
      <c r="AR156" s="12">
        <f t="shared" si="324"/>
        <v>763745</v>
      </c>
      <c r="AS156" s="3">
        <f t="shared" si="325"/>
        <v>14199</v>
      </c>
      <c r="AT156" s="21">
        <f t="shared" si="326"/>
        <v>450</v>
      </c>
    </row>
    <row r="157" spans="1:46" x14ac:dyDescent="0.2">
      <c r="A157" s="109">
        <v>41548</v>
      </c>
      <c r="B157" s="3">
        <v>18236</v>
      </c>
      <c r="C157" s="83">
        <f t="shared" si="236"/>
        <v>0.14866385143397517</v>
      </c>
      <c r="D157" s="3">
        <v>122666</v>
      </c>
      <c r="E157" s="134">
        <v>772</v>
      </c>
      <c r="F157" s="83">
        <f t="shared" si="237"/>
        <v>0.42936596218020023</v>
      </c>
      <c r="G157" s="3">
        <v>1798</v>
      </c>
      <c r="H157" s="134">
        <v>34</v>
      </c>
      <c r="I157" s="83">
        <f t="shared" si="238"/>
        <v>0.77272727272727271</v>
      </c>
      <c r="J157" s="3">
        <v>44</v>
      </c>
      <c r="K157" s="140">
        <f t="shared" si="312"/>
        <v>19042</v>
      </c>
      <c r="L157" s="83">
        <f t="shared" si="327"/>
        <v>0.15293796382561764</v>
      </c>
      <c r="M157" s="18">
        <f t="shared" si="313"/>
        <v>124508</v>
      </c>
      <c r="N157" s="3">
        <v>195201</v>
      </c>
      <c r="O157" s="6">
        <f t="shared" si="244"/>
        <v>0.32330625326078855</v>
      </c>
      <c r="P157" s="130">
        <v>603765</v>
      </c>
      <c r="Q157" s="55">
        <v>5907</v>
      </c>
      <c r="R157" s="6">
        <f t="shared" si="245"/>
        <v>0.48118279569892475</v>
      </c>
      <c r="S157" s="33">
        <v>12276</v>
      </c>
      <c r="T157" s="55">
        <v>350</v>
      </c>
      <c r="U157" s="6">
        <f t="shared" si="246"/>
        <v>0.89058524173027986</v>
      </c>
      <c r="V157" s="33">
        <v>393</v>
      </c>
      <c r="W157" s="52">
        <f t="shared" si="314"/>
        <v>201458</v>
      </c>
      <c r="X157" s="6">
        <f t="shared" si="315"/>
        <v>0.32681195391558543</v>
      </c>
      <c r="Y157" s="21">
        <f t="shared" si="316"/>
        <v>616434</v>
      </c>
      <c r="Z157" s="3">
        <v>52</v>
      </c>
      <c r="AA157" s="83">
        <f t="shared" si="241"/>
        <v>1.3938402980673869E-3</v>
      </c>
      <c r="AB157" s="33">
        <v>37307</v>
      </c>
      <c r="AC157" s="3">
        <v>52</v>
      </c>
      <c r="AD157" s="83">
        <f t="shared" si="242"/>
        <v>0.287292817679558</v>
      </c>
      <c r="AE157" s="33">
        <v>181</v>
      </c>
      <c r="AF157" s="3">
        <v>8</v>
      </c>
      <c r="AG157" s="6">
        <f t="shared" si="243"/>
        <v>0.72727272727272729</v>
      </c>
      <c r="AH157" s="3">
        <v>11</v>
      </c>
      <c r="AI157" s="34">
        <f t="shared" si="317"/>
        <v>112</v>
      </c>
      <c r="AJ157" s="6">
        <f t="shared" si="328"/>
        <v>2.9867463132350197E-3</v>
      </c>
      <c r="AK157" s="37">
        <f t="shared" si="318"/>
        <v>37499</v>
      </c>
      <c r="AL157" s="84">
        <f t="shared" si="319"/>
        <v>0.27953172423003703</v>
      </c>
      <c r="AM157" s="83">
        <f t="shared" si="320"/>
        <v>0.47218519817607857</v>
      </c>
      <c r="AN157" s="6">
        <f t="shared" si="321"/>
        <v>0.875</v>
      </c>
      <c r="AO157" s="127">
        <f t="shared" si="322"/>
        <v>0.2834023387771199</v>
      </c>
      <c r="AP157" s="52">
        <f t="shared" si="323"/>
        <v>220612</v>
      </c>
      <c r="AQ157" s="3">
        <f t="shared" si="190"/>
        <v>778441</v>
      </c>
      <c r="AR157" s="12">
        <f t="shared" si="324"/>
        <v>763738</v>
      </c>
      <c r="AS157" s="3">
        <f t="shared" si="325"/>
        <v>14255</v>
      </c>
      <c r="AT157" s="21">
        <f t="shared" si="326"/>
        <v>448</v>
      </c>
    </row>
    <row r="158" spans="1:46" x14ac:dyDescent="0.2">
      <c r="A158" s="109">
        <v>41518</v>
      </c>
      <c r="B158" s="3">
        <v>18086</v>
      </c>
      <c r="C158" s="83">
        <f t="shared" si="236"/>
        <v>0.1466662341664369</v>
      </c>
      <c r="D158" s="3">
        <v>123314</v>
      </c>
      <c r="E158" s="134">
        <v>771</v>
      </c>
      <c r="F158" s="83">
        <f t="shared" si="237"/>
        <v>0.42432581177765549</v>
      </c>
      <c r="G158" s="3">
        <v>1817</v>
      </c>
      <c r="H158" s="134">
        <v>34</v>
      </c>
      <c r="I158" s="83">
        <f t="shared" si="238"/>
        <v>0.75555555555555554</v>
      </c>
      <c r="J158" s="3">
        <v>45</v>
      </c>
      <c r="K158" s="140">
        <f t="shared" ref="K158:K163" si="329">+H158+E158+B158</f>
        <v>18891</v>
      </c>
      <c r="L158" s="83">
        <f t="shared" si="327"/>
        <v>0.15091551096056752</v>
      </c>
      <c r="M158" s="18">
        <f t="shared" ref="M158:M163" si="330">+J158+G158+D158</f>
        <v>125176</v>
      </c>
      <c r="N158" s="3">
        <v>195426</v>
      </c>
      <c r="O158" s="6">
        <f t="shared" si="244"/>
        <v>0.32391819253164578</v>
      </c>
      <c r="P158" s="130">
        <v>603319</v>
      </c>
      <c r="Q158" s="55">
        <v>5809</v>
      </c>
      <c r="R158" s="6">
        <f t="shared" si="245"/>
        <v>0.47626465524309258</v>
      </c>
      <c r="S158" s="33">
        <v>12197</v>
      </c>
      <c r="T158" s="55">
        <v>351</v>
      </c>
      <c r="U158" s="6">
        <f t="shared" si="246"/>
        <v>0.88636363636363635</v>
      </c>
      <c r="V158" s="33">
        <v>396</v>
      </c>
      <c r="W158" s="52">
        <f t="shared" ref="W158:W163" si="331">+T158+Q158+N158</f>
        <v>201586</v>
      </c>
      <c r="X158" s="6">
        <f t="shared" si="315"/>
        <v>0.32729675667952562</v>
      </c>
      <c r="Y158" s="21">
        <f t="shared" ref="Y158:Y163" si="332">+V158+S158+P158</f>
        <v>615912</v>
      </c>
      <c r="Z158" s="3">
        <v>52</v>
      </c>
      <c r="AA158" s="83">
        <f t="shared" si="241"/>
        <v>1.3936161659475249E-3</v>
      </c>
      <c r="AB158" s="33">
        <v>37313</v>
      </c>
      <c r="AC158" s="3">
        <v>52</v>
      </c>
      <c r="AD158" s="83">
        <f t="shared" si="242"/>
        <v>0.2857142857142857</v>
      </c>
      <c r="AE158" s="33">
        <v>182</v>
      </c>
      <c r="AF158" s="3">
        <v>8</v>
      </c>
      <c r="AG158" s="6">
        <f t="shared" si="243"/>
        <v>0.61538461538461542</v>
      </c>
      <c r="AH158" s="3">
        <v>13</v>
      </c>
      <c r="AI158" s="34">
        <f t="shared" ref="AI158:AI163" si="333">+AF158+AC158+Z158</f>
        <v>112</v>
      </c>
      <c r="AJ158" s="6">
        <f t="shared" si="328"/>
        <v>2.9860296470086384E-3</v>
      </c>
      <c r="AK158" s="37">
        <f t="shared" ref="AK158:AK163" si="334">+AH158+AE158+AB158</f>
        <v>37508</v>
      </c>
      <c r="AL158" s="84">
        <f t="shared" ref="AL158:AL163" si="335">(B158+N158+Z158)/AR158</f>
        <v>0.27955379045115752</v>
      </c>
      <c r="AM158" s="83">
        <f t="shared" ref="AM158:AM163" si="336">(E158+Q158+AC158)/AS158</f>
        <v>0.46717385178923643</v>
      </c>
      <c r="AN158" s="6">
        <f t="shared" ref="AN158:AN163" si="337">(H158+T158+AF158)/AT158</f>
        <v>0.86563876651982374</v>
      </c>
      <c r="AO158" s="127">
        <f t="shared" ref="AO158:AO163" si="338">AP158/AQ158</f>
        <v>0.28331637973994217</v>
      </c>
      <c r="AP158" s="52">
        <f t="shared" ref="AP158:AP163" si="339">AF158+AC158+Z158+T158+Q158+N158+H158+E158+B158</f>
        <v>220589</v>
      </c>
      <c r="AQ158" s="3">
        <f t="shared" si="190"/>
        <v>778596</v>
      </c>
      <c r="AR158" s="12">
        <f t="shared" ref="AR158:AR163" si="340">+D158+P158+AB158</f>
        <v>763946</v>
      </c>
      <c r="AS158" s="3">
        <f t="shared" ref="AS158:AS163" si="341">G158+S158+AE158</f>
        <v>14196</v>
      </c>
      <c r="AT158" s="21">
        <f t="shared" ref="AT158:AT163" si="342">J158+V158+AH158</f>
        <v>454</v>
      </c>
    </row>
    <row r="159" spans="1:46" x14ac:dyDescent="0.2">
      <c r="A159" s="109">
        <v>41487</v>
      </c>
      <c r="B159" s="3">
        <v>17903</v>
      </c>
      <c r="C159" s="83">
        <f t="shared" si="236"/>
        <v>0.14490724252921941</v>
      </c>
      <c r="D159" s="3">
        <v>123548</v>
      </c>
      <c r="E159" s="134">
        <v>778</v>
      </c>
      <c r="F159" s="83">
        <f t="shared" si="237"/>
        <v>0.42653508771929827</v>
      </c>
      <c r="G159" s="3">
        <v>1824</v>
      </c>
      <c r="H159" s="134">
        <v>34</v>
      </c>
      <c r="I159" s="83">
        <f t="shared" si="238"/>
        <v>0.75555555555555554</v>
      </c>
      <c r="J159" s="3">
        <v>45</v>
      </c>
      <c r="K159" s="140">
        <f t="shared" si="329"/>
        <v>18715</v>
      </c>
      <c r="L159" s="83">
        <f t="shared" si="327"/>
        <v>0.14922219475828635</v>
      </c>
      <c r="M159" s="18">
        <f t="shared" si="330"/>
        <v>125417</v>
      </c>
      <c r="N159" s="3">
        <v>196039</v>
      </c>
      <c r="O159" s="6">
        <f t="shared" si="244"/>
        <v>0.32495093553990795</v>
      </c>
      <c r="P159" s="130">
        <v>603288</v>
      </c>
      <c r="Q159" s="55">
        <v>5774</v>
      </c>
      <c r="R159" s="6">
        <f t="shared" si="245"/>
        <v>0.47762428654148398</v>
      </c>
      <c r="S159" s="33">
        <v>12089</v>
      </c>
      <c r="T159" s="55">
        <v>351</v>
      </c>
      <c r="U159" s="6">
        <f t="shared" si="246"/>
        <v>0.88860759493670882</v>
      </c>
      <c r="V159" s="33">
        <v>395</v>
      </c>
      <c r="W159" s="52">
        <f t="shared" si="331"/>
        <v>202164</v>
      </c>
      <c r="X159" s="6">
        <f t="shared" ref="X159:X165" si="343">W159/Y159</f>
        <v>0.32830982896266803</v>
      </c>
      <c r="Y159" s="21">
        <f t="shared" si="332"/>
        <v>615772</v>
      </c>
      <c r="Z159" s="3">
        <v>52</v>
      </c>
      <c r="AA159" s="83">
        <f t="shared" si="241"/>
        <v>1.3934294442360254E-3</v>
      </c>
      <c r="AB159" s="33">
        <v>37318</v>
      </c>
      <c r="AC159" s="3">
        <v>46</v>
      </c>
      <c r="AD159" s="83">
        <f t="shared" si="242"/>
        <v>0.26589595375722541</v>
      </c>
      <c r="AE159" s="33">
        <v>173</v>
      </c>
      <c r="AF159" s="3">
        <v>8</v>
      </c>
      <c r="AG159" s="6">
        <f t="shared" si="243"/>
        <v>0.72727272727272729</v>
      </c>
      <c r="AH159" s="3">
        <v>11</v>
      </c>
      <c r="AI159" s="34">
        <f t="shared" si="333"/>
        <v>106</v>
      </c>
      <c r="AJ159" s="6">
        <f t="shared" si="328"/>
        <v>2.8265159191509788E-3</v>
      </c>
      <c r="AK159" s="37">
        <f t="shared" si="334"/>
        <v>37502</v>
      </c>
      <c r="AL159" s="84">
        <f t="shared" si="335"/>
        <v>0.2800404107025547</v>
      </c>
      <c r="AM159" s="83">
        <f t="shared" si="336"/>
        <v>0.46840834871503623</v>
      </c>
      <c r="AN159" s="6">
        <f t="shared" si="337"/>
        <v>0.87139689578713964</v>
      </c>
      <c r="AO159" s="127">
        <f t="shared" si="338"/>
        <v>0.28379036100327343</v>
      </c>
      <c r="AP159" s="52">
        <f t="shared" si="339"/>
        <v>220985</v>
      </c>
      <c r="AQ159" s="3">
        <f t="shared" si="190"/>
        <v>778691</v>
      </c>
      <c r="AR159" s="12">
        <f t="shared" si="340"/>
        <v>764154</v>
      </c>
      <c r="AS159" s="3">
        <f t="shared" si="341"/>
        <v>14086</v>
      </c>
      <c r="AT159" s="21">
        <f t="shared" si="342"/>
        <v>451</v>
      </c>
    </row>
    <row r="160" spans="1:46" x14ac:dyDescent="0.2">
      <c r="A160" s="109">
        <v>41456</v>
      </c>
      <c r="B160" s="3">
        <v>17849</v>
      </c>
      <c r="C160" s="83">
        <f t="shared" si="236"/>
        <v>0.14460827999675929</v>
      </c>
      <c r="D160" s="3">
        <v>123430</v>
      </c>
      <c r="E160" s="134">
        <v>796</v>
      </c>
      <c r="F160" s="83">
        <f t="shared" si="237"/>
        <v>0.43473511742217369</v>
      </c>
      <c r="G160" s="3">
        <v>1831</v>
      </c>
      <c r="H160" s="134">
        <v>34</v>
      </c>
      <c r="I160" s="83">
        <f t="shared" si="238"/>
        <v>0.75555555555555554</v>
      </c>
      <c r="J160" s="3">
        <v>45</v>
      </c>
      <c r="K160" s="140">
        <f t="shared" si="329"/>
        <v>18679</v>
      </c>
      <c r="L160" s="83">
        <f t="shared" si="327"/>
        <v>0.14906708377890923</v>
      </c>
      <c r="M160" s="18">
        <f t="shared" si="330"/>
        <v>125306</v>
      </c>
      <c r="N160" s="3">
        <v>198712</v>
      </c>
      <c r="O160" s="6">
        <f t="shared" si="244"/>
        <v>0.3290887260381733</v>
      </c>
      <c r="P160" s="130">
        <v>603825</v>
      </c>
      <c r="Q160" s="55">
        <v>5822</v>
      </c>
      <c r="R160" s="6">
        <f t="shared" si="245"/>
        <v>0.48151517657761972</v>
      </c>
      <c r="S160" s="33">
        <v>12091</v>
      </c>
      <c r="T160" s="55">
        <v>360</v>
      </c>
      <c r="U160" s="6">
        <f t="shared" si="246"/>
        <v>0.9</v>
      </c>
      <c r="V160" s="33">
        <v>400</v>
      </c>
      <c r="W160" s="52">
        <f t="shared" si="331"/>
        <v>204894</v>
      </c>
      <c r="X160" s="6">
        <f t="shared" si="343"/>
        <v>0.3324495875492442</v>
      </c>
      <c r="Y160" s="21">
        <f t="shared" si="332"/>
        <v>616316</v>
      </c>
      <c r="Z160" s="3">
        <v>53</v>
      </c>
      <c r="AA160" s="83">
        <f t="shared" si="241"/>
        <v>1.4211401297795892E-3</v>
      </c>
      <c r="AB160" s="33">
        <v>37294</v>
      </c>
      <c r="AC160" s="3">
        <v>52</v>
      </c>
      <c r="AD160" s="83">
        <f t="shared" si="242"/>
        <v>0.2810810810810811</v>
      </c>
      <c r="AE160" s="33">
        <v>185</v>
      </c>
      <c r="AF160" s="3">
        <v>9</v>
      </c>
      <c r="AG160" s="6">
        <f t="shared" si="243"/>
        <v>0.75</v>
      </c>
      <c r="AH160" s="3">
        <v>12</v>
      </c>
      <c r="AI160" s="34">
        <f t="shared" si="333"/>
        <v>114</v>
      </c>
      <c r="AJ160" s="6">
        <f t="shared" si="328"/>
        <v>3.0407297751460349E-3</v>
      </c>
      <c r="AK160" s="37">
        <f t="shared" si="334"/>
        <v>37491</v>
      </c>
      <c r="AL160" s="84">
        <f t="shared" si="335"/>
        <v>0.28332258625673434</v>
      </c>
      <c r="AM160" s="83">
        <f t="shared" si="336"/>
        <v>0.4728149145814135</v>
      </c>
      <c r="AN160" s="6">
        <f t="shared" si="337"/>
        <v>0.88183807439824946</v>
      </c>
      <c r="AO160" s="127">
        <f t="shared" si="338"/>
        <v>0.28710469469768829</v>
      </c>
      <c r="AP160" s="52">
        <f t="shared" si="339"/>
        <v>223687</v>
      </c>
      <c r="AQ160" s="3">
        <f t="shared" si="190"/>
        <v>779113</v>
      </c>
      <c r="AR160" s="12">
        <f t="shared" si="340"/>
        <v>764549</v>
      </c>
      <c r="AS160" s="3">
        <f t="shared" si="341"/>
        <v>14107</v>
      </c>
      <c r="AT160" s="21">
        <f t="shared" si="342"/>
        <v>457</v>
      </c>
    </row>
    <row r="161" spans="1:46" x14ac:dyDescent="0.2">
      <c r="A161" s="109">
        <v>41426</v>
      </c>
      <c r="B161" s="3">
        <v>17942</v>
      </c>
      <c r="C161" s="83">
        <f t="shared" si="236"/>
        <v>0.14547253032366866</v>
      </c>
      <c r="D161" s="3">
        <v>123336</v>
      </c>
      <c r="E161" s="134">
        <v>697</v>
      </c>
      <c r="F161" s="83">
        <f t="shared" si="237"/>
        <v>0.40289017341040462</v>
      </c>
      <c r="G161" s="3">
        <v>1730</v>
      </c>
      <c r="H161" s="134">
        <v>34</v>
      </c>
      <c r="I161" s="83">
        <f t="shared" si="238"/>
        <v>0.75555555555555554</v>
      </c>
      <c r="J161" s="3">
        <v>45</v>
      </c>
      <c r="K161" s="140">
        <f t="shared" si="329"/>
        <v>18673</v>
      </c>
      <c r="L161" s="83">
        <f t="shared" si="327"/>
        <v>0.14925146469934697</v>
      </c>
      <c r="M161" s="18">
        <f t="shared" si="330"/>
        <v>125111</v>
      </c>
      <c r="N161" s="3">
        <v>203032</v>
      </c>
      <c r="O161" s="6">
        <f t="shared" si="244"/>
        <v>0.33703963160568262</v>
      </c>
      <c r="P161" s="130">
        <v>602398</v>
      </c>
      <c r="Q161" s="55">
        <v>5774</v>
      </c>
      <c r="R161" s="6">
        <f t="shared" si="245"/>
        <v>0.48124687447907982</v>
      </c>
      <c r="S161" s="33">
        <v>11998</v>
      </c>
      <c r="T161" s="55">
        <v>362</v>
      </c>
      <c r="U161" s="6">
        <f t="shared" si="246"/>
        <v>0.90954773869346739</v>
      </c>
      <c r="V161" s="33">
        <v>398</v>
      </c>
      <c r="W161" s="52">
        <f t="shared" si="331"/>
        <v>209168</v>
      </c>
      <c r="X161" s="6">
        <f t="shared" si="343"/>
        <v>0.34022453049314078</v>
      </c>
      <c r="Y161" s="21">
        <f t="shared" si="332"/>
        <v>614794</v>
      </c>
      <c r="Z161" s="3">
        <v>54</v>
      </c>
      <c r="AA161" s="83">
        <f t="shared" si="241"/>
        <v>1.4500926448078628E-3</v>
      </c>
      <c r="AB161" s="33">
        <v>37239</v>
      </c>
      <c r="AC161" s="3">
        <v>52</v>
      </c>
      <c r="AD161" s="83">
        <f t="shared" si="242"/>
        <v>0.29378531073446329</v>
      </c>
      <c r="AE161" s="33">
        <v>177</v>
      </c>
      <c r="AF161" s="3">
        <v>9</v>
      </c>
      <c r="AG161" s="6">
        <f t="shared" si="243"/>
        <v>0.69230769230769229</v>
      </c>
      <c r="AH161" s="3">
        <v>13</v>
      </c>
      <c r="AI161" s="34">
        <f t="shared" si="333"/>
        <v>115</v>
      </c>
      <c r="AJ161" s="6">
        <f t="shared" ref="AJ161:AJ167" si="344">AI161/AK161</f>
        <v>3.0724839028560742E-3</v>
      </c>
      <c r="AK161" s="37">
        <f t="shared" si="334"/>
        <v>37429</v>
      </c>
      <c r="AL161" s="84">
        <f t="shared" si="335"/>
        <v>0.28969308219294787</v>
      </c>
      <c r="AM161" s="83">
        <f t="shared" si="336"/>
        <v>0.46911183027687881</v>
      </c>
      <c r="AN161" s="6">
        <f t="shared" si="337"/>
        <v>0.88815789473684215</v>
      </c>
      <c r="AO161" s="127">
        <f t="shared" si="338"/>
        <v>0.29325360784424714</v>
      </c>
      <c r="AP161" s="52">
        <f t="shared" si="339"/>
        <v>227956</v>
      </c>
      <c r="AQ161" s="3">
        <f t="shared" si="190"/>
        <v>777334</v>
      </c>
      <c r="AR161" s="12">
        <f t="shared" si="340"/>
        <v>762973</v>
      </c>
      <c r="AS161" s="3">
        <f t="shared" si="341"/>
        <v>13905</v>
      </c>
      <c r="AT161" s="21">
        <f t="shared" si="342"/>
        <v>456</v>
      </c>
    </row>
    <row r="162" spans="1:46" x14ac:dyDescent="0.2">
      <c r="A162" s="109">
        <v>41395</v>
      </c>
      <c r="B162" s="3">
        <v>17835</v>
      </c>
      <c r="C162" s="83">
        <f t="shared" si="236"/>
        <v>0.14502593959895266</v>
      </c>
      <c r="D162" s="3">
        <v>122978</v>
      </c>
      <c r="E162" s="134">
        <v>788</v>
      </c>
      <c r="F162" s="83">
        <f t="shared" si="237"/>
        <v>0.4298963447899618</v>
      </c>
      <c r="G162" s="3">
        <v>1833</v>
      </c>
      <c r="H162" s="134">
        <v>34</v>
      </c>
      <c r="I162" s="83">
        <f t="shared" si="238"/>
        <v>0.75555555555555554</v>
      </c>
      <c r="J162" s="3">
        <v>45</v>
      </c>
      <c r="K162" s="140">
        <f t="shared" si="329"/>
        <v>18657</v>
      </c>
      <c r="L162" s="83">
        <f t="shared" ref="L162:L168" si="345">K162/M162</f>
        <v>0.14942814121868392</v>
      </c>
      <c r="M162" s="18">
        <f t="shared" si="330"/>
        <v>124856</v>
      </c>
      <c r="N162" s="3">
        <v>202542</v>
      </c>
      <c r="O162" s="6">
        <f t="shared" si="244"/>
        <v>0.33622733218680073</v>
      </c>
      <c r="P162" s="130">
        <v>602396</v>
      </c>
      <c r="Q162" s="55">
        <v>5718</v>
      </c>
      <c r="R162" s="6">
        <f t="shared" si="245"/>
        <v>0.47773414654524188</v>
      </c>
      <c r="S162" s="33">
        <v>11969</v>
      </c>
      <c r="T162" s="55">
        <v>363</v>
      </c>
      <c r="U162" s="6">
        <f t="shared" si="246"/>
        <v>0.90749999999999997</v>
      </c>
      <c r="V162" s="33">
        <v>400</v>
      </c>
      <c r="W162" s="52">
        <f t="shared" si="331"/>
        <v>208623</v>
      </c>
      <c r="X162" s="6">
        <f t="shared" si="343"/>
        <v>0.33935406212129837</v>
      </c>
      <c r="Y162" s="21">
        <f t="shared" si="332"/>
        <v>614765</v>
      </c>
      <c r="Z162" s="3">
        <v>53</v>
      </c>
      <c r="AA162" s="83">
        <f t="shared" si="241"/>
        <v>1.4226660224405433E-3</v>
      </c>
      <c r="AB162" s="33">
        <v>37254</v>
      </c>
      <c r="AC162" s="3">
        <v>52</v>
      </c>
      <c r="AD162" s="83">
        <f t="shared" si="242"/>
        <v>0.28415300546448086</v>
      </c>
      <c r="AE162" s="33">
        <v>183</v>
      </c>
      <c r="AF162" s="3">
        <v>10</v>
      </c>
      <c r="AG162" s="6">
        <f t="shared" si="243"/>
        <v>0.7142857142857143</v>
      </c>
      <c r="AH162" s="3">
        <v>14</v>
      </c>
      <c r="AI162" s="34">
        <f t="shared" si="333"/>
        <v>115</v>
      </c>
      <c r="AJ162" s="6">
        <f t="shared" si="344"/>
        <v>3.0706790205869E-3</v>
      </c>
      <c r="AK162" s="37">
        <f t="shared" si="334"/>
        <v>37451</v>
      </c>
      <c r="AL162" s="84">
        <f t="shared" si="335"/>
        <v>0.28904000377641526</v>
      </c>
      <c r="AM162" s="83">
        <f t="shared" si="336"/>
        <v>0.46893099749731854</v>
      </c>
      <c r="AN162" s="6">
        <f t="shared" si="337"/>
        <v>0.88671023965141615</v>
      </c>
      <c r="AO162" s="127">
        <f t="shared" si="338"/>
        <v>0.29263054131406097</v>
      </c>
      <c r="AP162" s="52">
        <f t="shared" si="339"/>
        <v>227395</v>
      </c>
      <c r="AQ162" s="3">
        <f t="shared" si="190"/>
        <v>777072</v>
      </c>
      <c r="AR162" s="12">
        <f t="shared" si="340"/>
        <v>762628</v>
      </c>
      <c r="AS162" s="3">
        <f t="shared" si="341"/>
        <v>13985</v>
      </c>
      <c r="AT162" s="21">
        <f t="shared" si="342"/>
        <v>459</v>
      </c>
    </row>
    <row r="163" spans="1:46" x14ac:dyDescent="0.2">
      <c r="A163" s="109">
        <v>41365</v>
      </c>
      <c r="B163" s="3">
        <v>17445</v>
      </c>
      <c r="C163" s="83">
        <f t="shared" si="236"/>
        <v>0.14284193632909734</v>
      </c>
      <c r="D163" s="3">
        <v>122128</v>
      </c>
      <c r="E163" s="134">
        <v>803</v>
      </c>
      <c r="F163" s="83">
        <f t="shared" si="237"/>
        <v>0.44218061674008813</v>
      </c>
      <c r="G163" s="3">
        <v>1816</v>
      </c>
      <c r="H163" s="134">
        <v>34</v>
      </c>
      <c r="I163" s="83">
        <f t="shared" si="238"/>
        <v>0.75555555555555554</v>
      </c>
      <c r="J163" s="3">
        <v>45</v>
      </c>
      <c r="K163" s="140">
        <f t="shared" si="329"/>
        <v>18282</v>
      </c>
      <c r="L163" s="83">
        <f t="shared" si="345"/>
        <v>0.14744856398551484</v>
      </c>
      <c r="M163" s="18">
        <f t="shared" si="330"/>
        <v>123989</v>
      </c>
      <c r="N163" s="3">
        <v>199996</v>
      </c>
      <c r="O163" s="6">
        <f t="shared" si="244"/>
        <v>0.33174479689347958</v>
      </c>
      <c r="P163" s="130">
        <v>602861</v>
      </c>
      <c r="Q163" s="55">
        <v>5802</v>
      </c>
      <c r="R163" s="6">
        <f t="shared" si="245"/>
        <v>0.4833388870376541</v>
      </c>
      <c r="S163" s="33">
        <v>12004</v>
      </c>
      <c r="T163" s="55">
        <v>364</v>
      </c>
      <c r="U163" s="6">
        <f t="shared" si="246"/>
        <v>0.90322580645161288</v>
      </c>
      <c r="V163" s="33">
        <v>403</v>
      </c>
      <c r="W163" s="52">
        <f t="shared" si="331"/>
        <v>206162</v>
      </c>
      <c r="X163" s="6">
        <f t="shared" si="343"/>
        <v>0.33507674704356477</v>
      </c>
      <c r="Y163" s="21">
        <f t="shared" si="332"/>
        <v>615268</v>
      </c>
      <c r="Z163" s="3">
        <v>53</v>
      </c>
      <c r="AA163" s="83">
        <f t="shared" si="241"/>
        <v>1.425535920815514E-3</v>
      </c>
      <c r="AB163" s="33">
        <v>37179</v>
      </c>
      <c r="AC163" s="3">
        <v>52</v>
      </c>
      <c r="AD163" s="83">
        <f t="shared" si="242"/>
        <v>0.28415300546448086</v>
      </c>
      <c r="AE163" s="33">
        <v>183</v>
      </c>
      <c r="AF163" s="3">
        <v>10</v>
      </c>
      <c r="AG163" s="6">
        <f t="shared" si="243"/>
        <v>0.7142857142857143</v>
      </c>
      <c r="AH163" s="3">
        <v>14</v>
      </c>
      <c r="AI163" s="34">
        <f t="shared" si="333"/>
        <v>115</v>
      </c>
      <c r="AJ163" s="6">
        <f t="shared" si="344"/>
        <v>3.0768407534246577E-3</v>
      </c>
      <c r="AK163" s="37">
        <f t="shared" si="334"/>
        <v>37376</v>
      </c>
      <c r="AL163" s="84">
        <f t="shared" si="335"/>
        <v>0.2853622823314545</v>
      </c>
      <c r="AM163" s="83">
        <f t="shared" si="336"/>
        <v>0.47539812897236305</v>
      </c>
      <c r="AN163" s="6">
        <f t="shared" si="337"/>
        <v>0.88311688311688308</v>
      </c>
      <c r="AO163" s="127">
        <f t="shared" si="338"/>
        <v>0.28914429337924091</v>
      </c>
      <c r="AP163" s="52">
        <f t="shared" si="339"/>
        <v>224559</v>
      </c>
      <c r="AQ163" s="3">
        <f t="shared" si="190"/>
        <v>776633</v>
      </c>
      <c r="AR163" s="12">
        <f t="shared" si="340"/>
        <v>762168</v>
      </c>
      <c r="AS163" s="3">
        <f t="shared" si="341"/>
        <v>14003</v>
      </c>
      <c r="AT163" s="21">
        <f t="shared" si="342"/>
        <v>462</v>
      </c>
    </row>
    <row r="164" spans="1:46" x14ac:dyDescent="0.2">
      <c r="A164" s="109">
        <v>41334</v>
      </c>
      <c r="B164" s="3">
        <v>17106</v>
      </c>
      <c r="C164" s="83">
        <f t="shared" si="236"/>
        <v>0.14072410474098571</v>
      </c>
      <c r="D164" s="3">
        <v>121557</v>
      </c>
      <c r="E164" s="134">
        <v>821</v>
      </c>
      <c r="F164" s="83">
        <f t="shared" si="237"/>
        <v>0.46175478065241843</v>
      </c>
      <c r="G164" s="3">
        <v>1778</v>
      </c>
      <c r="H164" s="134">
        <v>34</v>
      </c>
      <c r="I164" s="83">
        <f t="shared" si="238"/>
        <v>0.75555555555555554</v>
      </c>
      <c r="J164" s="3">
        <v>45</v>
      </c>
      <c r="K164" s="140">
        <f t="shared" ref="K164:K169" si="346">+H164+E164+B164</f>
        <v>17961</v>
      </c>
      <c r="L164" s="83">
        <f t="shared" si="345"/>
        <v>0.14557464743070189</v>
      </c>
      <c r="M164" s="18">
        <f t="shared" ref="M164:M169" si="347">+J164+G164+D164</f>
        <v>123380</v>
      </c>
      <c r="N164" s="3">
        <v>186230</v>
      </c>
      <c r="O164" s="6">
        <f t="shared" si="244"/>
        <v>0.30877564149329162</v>
      </c>
      <c r="P164" s="130">
        <v>603124</v>
      </c>
      <c r="Q164" s="55">
        <v>5800</v>
      </c>
      <c r="R164" s="6">
        <f t="shared" si="245"/>
        <v>0.48458517837747517</v>
      </c>
      <c r="S164" s="33">
        <v>11969</v>
      </c>
      <c r="T164" s="55">
        <v>364</v>
      </c>
      <c r="U164" s="6">
        <f t="shared" si="246"/>
        <v>0.90547263681592038</v>
      </c>
      <c r="V164" s="33">
        <v>402</v>
      </c>
      <c r="W164" s="52">
        <f t="shared" ref="W164:W169" si="348">+T164+Q164+N164</f>
        <v>192394</v>
      </c>
      <c r="X164" s="6">
        <f t="shared" si="343"/>
        <v>0.31258418021267437</v>
      </c>
      <c r="Y164" s="21">
        <f t="shared" ref="Y164:Y169" si="349">+V164+S164+P164</f>
        <v>615495</v>
      </c>
      <c r="Z164" s="3">
        <v>53</v>
      </c>
      <c r="AA164" s="83">
        <f t="shared" si="241"/>
        <v>1.4257276591165869E-3</v>
      </c>
      <c r="AB164" s="33">
        <v>37174</v>
      </c>
      <c r="AC164" s="3">
        <v>52</v>
      </c>
      <c r="AD164" s="83">
        <f t="shared" si="242"/>
        <v>0.28415300546448086</v>
      </c>
      <c r="AE164" s="33">
        <v>183</v>
      </c>
      <c r="AF164" s="3">
        <v>10</v>
      </c>
      <c r="AG164" s="6">
        <f t="shared" si="243"/>
        <v>0.66666666666666663</v>
      </c>
      <c r="AH164" s="3">
        <v>15</v>
      </c>
      <c r="AI164" s="34">
        <f t="shared" ref="AI164:AI169" si="350">+AF164+AC164+Z164</f>
        <v>115</v>
      </c>
      <c r="AJ164" s="6">
        <f t="shared" si="344"/>
        <v>3.0771700738520817E-3</v>
      </c>
      <c r="AK164" s="37">
        <f t="shared" ref="AK164:AK169" si="351">+AH164+AE164+AB164</f>
        <v>37372</v>
      </c>
      <c r="AL164" s="84">
        <f t="shared" ref="AL164:AL169" si="352">(B164+N164+Z164)/AR164</f>
        <v>0.26696549868413283</v>
      </c>
      <c r="AM164" s="83">
        <f t="shared" ref="AM164:AM169" si="353">(E164+Q164+AC164)/AS164</f>
        <v>0.47903804737975592</v>
      </c>
      <c r="AN164" s="6">
        <f t="shared" ref="AN164:AN169" si="354">(H164+T164+AF164)/AT164</f>
        <v>0.88311688311688308</v>
      </c>
      <c r="AO164" s="127">
        <f t="shared" ref="AO164:AO169" si="355">AP164/AQ164</f>
        <v>0.27113792388247554</v>
      </c>
      <c r="AP164" s="52">
        <f t="shared" ref="AP164:AP169" si="356">AF164+AC164+Z164+T164+Q164+N164+H164+E164+B164</f>
        <v>210470</v>
      </c>
      <c r="AQ164" s="3">
        <f t="shared" si="190"/>
        <v>776247</v>
      </c>
      <c r="AR164" s="12">
        <f t="shared" ref="AR164:AR169" si="357">+D164+P164+AB164</f>
        <v>761855</v>
      </c>
      <c r="AS164" s="3">
        <f t="shared" ref="AS164:AS169" si="358">G164+S164+AE164</f>
        <v>13930</v>
      </c>
      <c r="AT164" s="21">
        <f t="shared" ref="AT164:AT169" si="359">J164+V164+AH164</f>
        <v>462</v>
      </c>
    </row>
    <row r="165" spans="1:46" x14ac:dyDescent="0.2">
      <c r="A165" s="109">
        <v>41306</v>
      </c>
      <c r="B165" s="3">
        <v>15447</v>
      </c>
      <c r="C165" s="83">
        <f t="shared" si="236"/>
        <v>0.12715882711272822</v>
      </c>
      <c r="D165" s="3">
        <v>121478</v>
      </c>
      <c r="E165" s="134">
        <v>825</v>
      </c>
      <c r="F165" s="83">
        <f t="shared" si="237"/>
        <v>0.46875</v>
      </c>
      <c r="G165" s="3">
        <v>1760</v>
      </c>
      <c r="H165" s="134">
        <v>34</v>
      </c>
      <c r="I165" s="83">
        <f t="shared" si="238"/>
        <v>0.75555555555555554</v>
      </c>
      <c r="J165" s="3">
        <v>45</v>
      </c>
      <c r="K165" s="140">
        <f t="shared" si="346"/>
        <v>16306</v>
      </c>
      <c r="L165" s="83">
        <f t="shared" si="345"/>
        <v>0.13226478914367756</v>
      </c>
      <c r="M165" s="18">
        <f t="shared" si="347"/>
        <v>123283</v>
      </c>
      <c r="N165" s="3">
        <v>181371</v>
      </c>
      <c r="O165" s="6">
        <f t="shared" si="244"/>
        <v>0.30077810171043073</v>
      </c>
      <c r="P165" s="130">
        <v>603006</v>
      </c>
      <c r="Q165" s="55">
        <v>5836</v>
      </c>
      <c r="R165" s="6">
        <f t="shared" si="245"/>
        <v>0.48625229128478586</v>
      </c>
      <c r="S165" s="33">
        <v>12002</v>
      </c>
      <c r="T165" s="55">
        <v>363</v>
      </c>
      <c r="U165" s="6">
        <f t="shared" si="246"/>
        <v>0.89851485148514854</v>
      </c>
      <c r="V165" s="33">
        <v>404</v>
      </c>
      <c r="W165" s="52">
        <f t="shared" si="348"/>
        <v>187570</v>
      </c>
      <c r="X165" s="6">
        <f t="shared" si="343"/>
        <v>0.30478768694793079</v>
      </c>
      <c r="Y165" s="21">
        <f t="shared" si="349"/>
        <v>615412</v>
      </c>
      <c r="Z165" s="3">
        <v>53</v>
      </c>
      <c r="AA165" s="83">
        <f t="shared" si="241"/>
        <v>1.4252675738181035E-3</v>
      </c>
      <c r="AB165" s="33">
        <v>37186</v>
      </c>
      <c r="AC165" s="3">
        <v>52</v>
      </c>
      <c r="AD165" s="83">
        <f t="shared" si="242"/>
        <v>0.28415300546448086</v>
      </c>
      <c r="AE165" s="33">
        <v>183</v>
      </c>
      <c r="AF165" s="3">
        <v>10</v>
      </c>
      <c r="AG165" s="6">
        <f t="shared" si="243"/>
        <v>0.7142857142857143</v>
      </c>
      <c r="AH165" s="3">
        <v>14</v>
      </c>
      <c r="AI165" s="34">
        <f t="shared" si="350"/>
        <v>115</v>
      </c>
      <c r="AJ165" s="6">
        <f t="shared" si="344"/>
        <v>3.0762646122569084E-3</v>
      </c>
      <c r="AK165" s="37">
        <f t="shared" si="351"/>
        <v>37383</v>
      </c>
      <c r="AL165" s="84">
        <f t="shared" si="352"/>
        <v>0.25847282944057137</v>
      </c>
      <c r="AM165" s="83">
        <f t="shared" si="353"/>
        <v>0.48139117963427752</v>
      </c>
      <c r="AN165" s="6">
        <f t="shared" si="354"/>
        <v>0.87904967602591788</v>
      </c>
      <c r="AO165" s="127">
        <f t="shared" si="355"/>
        <v>0.26284857965307612</v>
      </c>
      <c r="AP165" s="52">
        <f t="shared" si="356"/>
        <v>203991</v>
      </c>
      <c r="AQ165" s="3">
        <f t="shared" si="190"/>
        <v>776078</v>
      </c>
      <c r="AR165" s="12">
        <f t="shared" si="357"/>
        <v>761670</v>
      </c>
      <c r="AS165" s="3">
        <f t="shared" si="358"/>
        <v>13945</v>
      </c>
      <c r="AT165" s="21">
        <f t="shared" si="359"/>
        <v>463</v>
      </c>
    </row>
    <row r="166" spans="1:46" x14ac:dyDescent="0.2">
      <c r="A166" s="109">
        <v>41275</v>
      </c>
      <c r="B166" s="3">
        <v>14429</v>
      </c>
      <c r="C166" s="83">
        <f t="shared" si="236"/>
        <v>0.11874938275669092</v>
      </c>
      <c r="D166" s="3">
        <v>121508</v>
      </c>
      <c r="E166" s="134">
        <v>837</v>
      </c>
      <c r="F166" s="83">
        <f t="shared" si="237"/>
        <v>0.48048220436280137</v>
      </c>
      <c r="G166" s="3">
        <v>1742</v>
      </c>
      <c r="H166" s="134">
        <v>34</v>
      </c>
      <c r="I166" s="83">
        <f t="shared" si="238"/>
        <v>0.75555555555555554</v>
      </c>
      <c r="J166" s="3">
        <v>45</v>
      </c>
      <c r="K166" s="140">
        <f t="shared" si="346"/>
        <v>15300</v>
      </c>
      <c r="L166" s="83">
        <f t="shared" si="345"/>
        <v>0.12409262338294334</v>
      </c>
      <c r="M166" s="18">
        <f t="shared" si="347"/>
        <v>123295</v>
      </c>
      <c r="N166" s="3">
        <v>181750</v>
      </c>
      <c r="O166" s="6">
        <f t="shared" si="244"/>
        <v>0.30141411729196621</v>
      </c>
      <c r="P166" s="130">
        <v>602991</v>
      </c>
      <c r="Q166" s="55">
        <v>5868</v>
      </c>
      <c r="R166" s="6">
        <f t="shared" si="245"/>
        <v>0.48564098319953652</v>
      </c>
      <c r="S166" s="33">
        <v>12083</v>
      </c>
      <c r="T166" s="55">
        <v>358</v>
      </c>
      <c r="U166" s="6">
        <f t="shared" si="246"/>
        <v>0.89949748743718594</v>
      </c>
      <c r="V166" s="33">
        <v>398</v>
      </c>
      <c r="W166" s="52">
        <f t="shared" si="348"/>
        <v>187976</v>
      </c>
      <c r="X166" s="6">
        <f t="shared" ref="X166:X172" si="360">W166/Y166</f>
        <v>0.30541763069644112</v>
      </c>
      <c r="Y166" s="21">
        <f t="shared" si="349"/>
        <v>615472</v>
      </c>
      <c r="Z166" s="3">
        <v>49</v>
      </c>
      <c r="AA166" s="83">
        <f t="shared" si="241"/>
        <v>1.3164965072541644E-3</v>
      </c>
      <c r="AB166" s="33">
        <v>37220</v>
      </c>
      <c r="AC166" s="3">
        <v>51</v>
      </c>
      <c r="AD166" s="83">
        <f t="shared" si="242"/>
        <v>0.27868852459016391</v>
      </c>
      <c r="AE166" s="33">
        <v>183</v>
      </c>
      <c r="AF166" s="3">
        <v>10</v>
      </c>
      <c r="AG166" s="6">
        <f t="shared" si="243"/>
        <v>0.7142857142857143</v>
      </c>
      <c r="AH166" s="3">
        <v>14</v>
      </c>
      <c r="AI166" s="34">
        <f t="shared" si="350"/>
        <v>110</v>
      </c>
      <c r="AJ166" s="6">
        <f t="shared" si="344"/>
        <v>2.9398401795975092E-3</v>
      </c>
      <c r="AK166" s="37">
        <f t="shared" si="351"/>
        <v>37417</v>
      </c>
      <c r="AL166" s="84">
        <f t="shared" si="352"/>
        <v>0.25761205904014473</v>
      </c>
      <c r="AM166" s="83">
        <f t="shared" si="353"/>
        <v>0.48229583095374073</v>
      </c>
      <c r="AN166" s="6">
        <f t="shared" si="354"/>
        <v>0.87964989059080967</v>
      </c>
      <c r="AO166" s="127">
        <f t="shared" si="355"/>
        <v>0.26203322923430528</v>
      </c>
      <c r="AP166" s="52">
        <f t="shared" si="356"/>
        <v>203386</v>
      </c>
      <c r="AQ166" s="3">
        <f t="shared" si="190"/>
        <v>776184</v>
      </c>
      <c r="AR166" s="12">
        <f t="shared" si="357"/>
        <v>761719</v>
      </c>
      <c r="AS166" s="3">
        <f t="shared" si="358"/>
        <v>14008</v>
      </c>
      <c r="AT166" s="21">
        <f t="shared" si="359"/>
        <v>457</v>
      </c>
    </row>
    <row r="167" spans="1:46" x14ac:dyDescent="0.2">
      <c r="A167" s="109">
        <v>41244</v>
      </c>
      <c r="B167" s="3">
        <v>13303</v>
      </c>
      <c r="C167" s="83">
        <f t="shared" si="236"/>
        <v>0.10938258002450275</v>
      </c>
      <c r="D167" s="3">
        <v>121619</v>
      </c>
      <c r="E167" s="134">
        <v>844</v>
      </c>
      <c r="F167" s="83">
        <f t="shared" si="237"/>
        <v>0.48673587081891578</v>
      </c>
      <c r="G167" s="3">
        <v>1734</v>
      </c>
      <c r="H167" s="134">
        <v>34</v>
      </c>
      <c r="I167" s="83">
        <f t="shared" si="238"/>
        <v>0.75555555555555554</v>
      </c>
      <c r="J167" s="3">
        <v>45</v>
      </c>
      <c r="K167" s="140">
        <f t="shared" si="346"/>
        <v>14181</v>
      </c>
      <c r="L167" s="83">
        <f t="shared" si="345"/>
        <v>0.11492082529700644</v>
      </c>
      <c r="M167" s="18">
        <f t="shared" si="347"/>
        <v>123398</v>
      </c>
      <c r="N167" s="3">
        <v>176851</v>
      </c>
      <c r="O167" s="6">
        <f t="shared" si="244"/>
        <v>0.29349063523726387</v>
      </c>
      <c r="P167" s="130">
        <v>602578</v>
      </c>
      <c r="Q167" s="55">
        <v>5924</v>
      </c>
      <c r="R167" s="6">
        <f t="shared" si="245"/>
        <v>0.49149589313863767</v>
      </c>
      <c r="S167" s="33">
        <v>12053</v>
      </c>
      <c r="T167" s="55">
        <v>359</v>
      </c>
      <c r="U167" s="6">
        <f t="shared" si="246"/>
        <v>0.89974937343358397</v>
      </c>
      <c r="V167" s="33">
        <v>399</v>
      </c>
      <c r="W167" s="52">
        <f t="shared" si="348"/>
        <v>183134</v>
      </c>
      <c r="X167" s="6">
        <f t="shared" si="360"/>
        <v>0.2977643366990228</v>
      </c>
      <c r="Y167" s="21">
        <f t="shared" si="349"/>
        <v>615030</v>
      </c>
      <c r="Z167" s="3">
        <v>36</v>
      </c>
      <c r="AA167" s="83">
        <f t="shared" si="241"/>
        <v>9.6626137370158633E-4</v>
      </c>
      <c r="AB167" s="33">
        <v>37257</v>
      </c>
      <c r="AC167" s="3">
        <v>50</v>
      </c>
      <c r="AD167" s="83">
        <f t="shared" si="242"/>
        <v>0.27472527472527475</v>
      </c>
      <c r="AE167" s="33">
        <v>182</v>
      </c>
      <c r="AF167" s="3">
        <v>10</v>
      </c>
      <c r="AG167" s="6">
        <f t="shared" si="243"/>
        <v>0.7142857142857143</v>
      </c>
      <c r="AH167" s="3">
        <v>14</v>
      </c>
      <c r="AI167" s="34">
        <f t="shared" si="350"/>
        <v>96</v>
      </c>
      <c r="AJ167" s="6">
        <f t="shared" si="344"/>
        <v>2.5632125597415427E-3</v>
      </c>
      <c r="AK167" s="37">
        <f t="shared" si="351"/>
        <v>37453</v>
      </c>
      <c r="AL167" s="84">
        <f t="shared" si="352"/>
        <v>0.24977214644614121</v>
      </c>
      <c r="AM167" s="83">
        <f t="shared" si="353"/>
        <v>0.48808075023265801</v>
      </c>
      <c r="AN167" s="6">
        <f t="shared" si="354"/>
        <v>0.87991266375545851</v>
      </c>
      <c r="AO167" s="127">
        <f t="shared" si="355"/>
        <v>0.25443463623932022</v>
      </c>
      <c r="AP167" s="52">
        <f t="shared" si="356"/>
        <v>197411</v>
      </c>
      <c r="AQ167" s="3">
        <f t="shared" si="190"/>
        <v>775881</v>
      </c>
      <c r="AR167" s="12">
        <f t="shared" si="357"/>
        <v>761454</v>
      </c>
      <c r="AS167" s="3">
        <f t="shared" si="358"/>
        <v>13969</v>
      </c>
      <c r="AT167" s="21">
        <f t="shared" si="359"/>
        <v>458</v>
      </c>
    </row>
    <row r="168" spans="1:46" x14ac:dyDescent="0.2">
      <c r="A168" s="109">
        <v>41214</v>
      </c>
      <c r="B168" s="3">
        <v>11422</v>
      </c>
      <c r="C168" s="83">
        <f t="shared" si="236"/>
        <v>9.3825213369805399E-2</v>
      </c>
      <c r="D168" s="3">
        <v>121737</v>
      </c>
      <c r="E168" s="134">
        <v>856</v>
      </c>
      <c r="F168" s="83">
        <f t="shared" si="237"/>
        <v>0.48498583569405102</v>
      </c>
      <c r="G168" s="3">
        <v>1765</v>
      </c>
      <c r="H168" s="134">
        <v>33</v>
      </c>
      <c r="I168" s="83">
        <f t="shared" si="238"/>
        <v>0.73333333333333328</v>
      </c>
      <c r="J168" s="3">
        <v>45</v>
      </c>
      <c r="K168" s="140">
        <f t="shared" si="346"/>
        <v>12311</v>
      </c>
      <c r="L168" s="83">
        <f t="shared" si="345"/>
        <v>9.9646288457024446E-2</v>
      </c>
      <c r="M168" s="18">
        <f t="shared" si="347"/>
        <v>123547</v>
      </c>
      <c r="N168" s="3">
        <v>167837</v>
      </c>
      <c r="O168" s="6">
        <f t="shared" si="244"/>
        <v>0.2788096555184002</v>
      </c>
      <c r="P168" s="130">
        <v>601977</v>
      </c>
      <c r="Q168" s="55">
        <v>6079</v>
      </c>
      <c r="R168" s="6">
        <f t="shared" si="245"/>
        <v>0.48854777786707387</v>
      </c>
      <c r="S168" s="33">
        <v>12443</v>
      </c>
      <c r="T168" s="55">
        <v>362</v>
      </c>
      <c r="U168" s="6">
        <f t="shared" si="246"/>
        <v>0.90726817042606511</v>
      </c>
      <c r="V168" s="33">
        <v>399</v>
      </c>
      <c r="W168" s="52">
        <f t="shared" si="348"/>
        <v>174278</v>
      </c>
      <c r="X168" s="6">
        <f t="shared" si="360"/>
        <v>0.28346228727479145</v>
      </c>
      <c r="Y168" s="21">
        <f t="shared" si="349"/>
        <v>614819</v>
      </c>
      <c r="Z168" s="3">
        <v>30</v>
      </c>
      <c r="AA168" s="83">
        <f t="shared" si="241"/>
        <v>8.053691275167785E-4</v>
      </c>
      <c r="AB168" s="33">
        <v>37250</v>
      </c>
      <c r="AC168" s="3">
        <v>39</v>
      </c>
      <c r="AD168" s="83">
        <f t="shared" si="242"/>
        <v>0.25657894736842107</v>
      </c>
      <c r="AE168" s="33">
        <v>152</v>
      </c>
      <c r="AF168" s="3">
        <v>11</v>
      </c>
      <c r="AG168" s="6">
        <f t="shared" si="243"/>
        <v>0.73333333333333328</v>
      </c>
      <c r="AH168" s="3">
        <v>15</v>
      </c>
      <c r="AI168" s="34">
        <f t="shared" si="350"/>
        <v>80</v>
      </c>
      <c r="AJ168" s="6">
        <f t="shared" ref="AJ168:AJ174" si="361">AI168/AK168</f>
        <v>2.138065585161825E-3</v>
      </c>
      <c r="AK168" s="37">
        <f t="shared" si="351"/>
        <v>37417</v>
      </c>
      <c r="AL168" s="84">
        <f t="shared" si="352"/>
        <v>0.23560772914356001</v>
      </c>
      <c r="AM168" s="83">
        <f t="shared" si="353"/>
        <v>0.48565459610027856</v>
      </c>
      <c r="AN168" s="6">
        <f t="shared" si="354"/>
        <v>0.88453159041394336</v>
      </c>
      <c r="AO168" s="127">
        <f t="shared" si="355"/>
        <v>0.24062012186397486</v>
      </c>
      <c r="AP168" s="52">
        <f t="shared" si="356"/>
        <v>186669</v>
      </c>
      <c r="AQ168" s="3">
        <f t="shared" si="190"/>
        <v>775783</v>
      </c>
      <c r="AR168" s="12">
        <f t="shared" si="357"/>
        <v>760964</v>
      </c>
      <c r="AS168" s="3">
        <f t="shared" si="358"/>
        <v>14360</v>
      </c>
      <c r="AT168" s="21">
        <f t="shared" si="359"/>
        <v>459</v>
      </c>
    </row>
    <row r="169" spans="1:46" x14ac:dyDescent="0.2">
      <c r="A169" s="109">
        <v>41183</v>
      </c>
      <c r="B169" s="3">
        <v>9479</v>
      </c>
      <c r="C169" s="83">
        <f t="shared" si="236"/>
        <v>7.7492826252237967E-2</v>
      </c>
      <c r="D169" s="3">
        <v>122321</v>
      </c>
      <c r="E169" s="134">
        <v>853</v>
      </c>
      <c r="F169" s="83">
        <f t="shared" si="237"/>
        <v>0.4746800222593211</v>
      </c>
      <c r="G169" s="3">
        <v>1797</v>
      </c>
      <c r="H169" s="134">
        <v>33</v>
      </c>
      <c r="I169" s="83">
        <f t="shared" si="238"/>
        <v>0.73333333333333328</v>
      </c>
      <c r="J169" s="3">
        <v>45</v>
      </c>
      <c r="K169" s="140">
        <f t="shared" si="346"/>
        <v>10365</v>
      </c>
      <c r="L169" s="83">
        <f t="shared" ref="L169:L175" si="362">K169/M169</f>
        <v>8.3478975218060136E-2</v>
      </c>
      <c r="M169" s="18">
        <f t="shared" si="347"/>
        <v>124163</v>
      </c>
      <c r="N169" s="3">
        <v>173237</v>
      </c>
      <c r="O169" s="6">
        <f t="shared" si="244"/>
        <v>0.28794799426886469</v>
      </c>
      <c r="P169" s="130">
        <v>601626</v>
      </c>
      <c r="Q169" s="55">
        <v>5860</v>
      </c>
      <c r="R169" s="6">
        <f t="shared" si="245"/>
        <v>0.48622635247261864</v>
      </c>
      <c r="S169" s="33">
        <v>12052</v>
      </c>
      <c r="T169" s="55">
        <v>364</v>
      </c>
      <c r="U169" s="6">
        <f t="shared" si="246"/>
        <v>0.90322580645161288</v>
      </c>
      <c r="V169" s="33">
        <v>403</v>
      </c>
      <c r="W169" s="52">
        <f t="shared" si="348"/>
        <v>179461</v>
      </c>
      <c r="X169" s="6">
        <f t="shared" si="360"/>
        <v>0.29224320570087658</v>
      </c>
      <c r="Y169" s="21">
        <f t="shared" si="349"/>
        <v>614081</v>
      </c>
      <c r="Z169" s="3">
        <v>31</v>
      </c>
      <c r="AA169" s="83">
        <f t="shared" si="241"/>
        <v>8.3005328406565455E-4</v>
      </c>
      <c r="AB169" s="33">
        <v>37347</v>
      </c>
      <c r="AC169" s="3">
        <v>50</v>
      </c>
      <c r="AD169" s="83">
        <f t="shared" si="242"/>
        <v>0.27472527472527475</v>
      </c>
      <c r="AE169" s="33">
        <v>182</v>
      </c>
      <c r="AF169" s="3">
        <v>11</v>
      </c>
      <c r="AG169" s="6">
        <f t="shared" si="243"/>
        <v>0.7857142857142857</v>
      </c>
      <c r="AH169" s="3">
        <v>14</v>
      </c>
      <c r="AI169" s="34">
        <f t="shared" si="350"/>
        <v>92</v>
      </c>
      <c r="AJ169" s="6">
        <f t="shared" si="361"/>
        <v>2.4505233998348562E-3</v>
      </c>
      <c r="AK169" s="37">
        <f t="shared" si="351"/>
        <v>37543</v>
      </c>
      <c r="AL169" s="84">
        <f t="shared" si="352"/>
        <v>0.24004786587047841</v>
      </c>
      <c r="AM169" s="83">
        <f t="shared" si="353"/>
        <v>0.4820041337039413</v>
      </c>
      <c r="AN169" s="6">
        <f t="shared" si="354"/>
        <v>0.88311688311688308</v>
      </c>
      <c r="AO169" s="127">
        <f t="shared" si="355"/>
        <v>0.2448068864263</v>
      </c>
      <c r="AP169" s="52">
        <f t="shared" si="356"/>
        <v>189918</v>
      </c>
      <c r="AQ169" s="3">
        <f t="shared" si="190"/>
        <v>775787</v>
      </c>
      <c r="AR169" s="12">
        <f t="shared" si="357"/>
        <v>761294</v>
      </c>
      <c r="AS169" s="3">
        <f t="shared" si="358"/>
        <v>14031</v>
      </c>
      <c r="AT169" s="21">
        <f t="shared" si="359"/>
        <v>462</v>
      </c>
    </row>
    <row r="170" spans="1:46" x14ac:dyDescent="0.2">
      <c r="A170" s="109">
        <v>41153</v>
      </c>
      <c r="B170" s="3">
        <v>8730</v>
      </c>
      <c r="C170" s="83">
        <f t="shared" si="236"/>
        <v>7.0912192348306397E-2</v>
      </c>
      <c r="D170" s="3">
        <v>123110</v>
      </c>
      <c r="E170" s="134">
        <v>854</v>
      </c>
      <c r="F170" s="83">
        <f t="shared" si="237"/>
        <v>0.47104247104247104</v>
      </c>
      <c r="G170" s="3">
        <v>1813</v>
      </c>
      <c r="H170" s="134">
        <v>33</v>
      </c>
      <c r="I170" s="83">
        <f t="shared" si="238"/>
        <v>0.75</v>
      </c>
      <c r="J170" s="3">
        <v>44</v>
      </c>
      <c r="K170" s="140">
        <f t="shared" ref="K170:K175" si="363">+H170+E170+B170</f>
        <v>9617</v>
      </c>
      <c r="L170" s="83">
        <f t="shared" si="362"/>
        <v>7.6956316467547428E-2</v>
      </c>
      <c r="M170" s="18">
        <f t="shared" ref="M170:M175" si="364">+J170+G170+D170</f>
        <v>124967</v>
      </c>
      <c r="N170" s="3">
        <v>163762</v>
      </c>
      <c r="O170" s="6">
        <f t="shared" si="244"/>
        <v>0.27228590335764191</v>
      </c>
      <c r="P170" s="130">
        <v>601434</v>
      </c>
      <c r="Q170" s="55">
        <v>5878</v>
      </c>
      <c r="R170" s="6">
        <f t="shared" si="245"/>
        <v>0.48530383091149276</v>
      </c>
      <c r="S170" s="33">
        <v>12112</v>
      </c>
      <c r="T170" s="55">
        <v>368</v>
      </c>
      <c r="U170" s="6">
        <f t="shared" si="246"/>
        <v>0.90417690417690422</v>
      </c>
      <c r="V170" s="33">
        <v>407</v>
      </c>
      <c r="W170" s="52">
        <f t="shared" ref="W170:W175" si="365">+T170+Q170+N170</f>
        <v>170008</v>
      </c>
      <c r="X170" s="6">
        <f t="shared" si="360"/>
        <v>0.27690718996405261</v>
      </c>
      <c r="Y170" s="21">
        <f t="shared" ref="Y170:Y175" si="366">+V170+S170+P170</f>
        <v>613953</v>
      </c>
      <c r="Z170" s="3">
        <v>31</v>
      </c>
      <c r="AA170" s="83">
        <f t="shared" si="241"/>
        <v>8.3009773731423215E-4</v>
      </c>
      <c r="AB170" s="33">
        <v>37345</v>
      </c>
      <c r="AC170" s="3">
        <v>50</v>
      </c>
      <c r="AD170" s="83">
        <f t="shared" si="242"/>
        <v>0.27322404371584702</v>
      </c>
      <c r="AE170" s="33">
        <v>183</v>
      </c>
      <c r="AF170" s="3">
        <v>11</v>
      </c>
      <c r="AG170" s="6">
        <f t="shared" si="243"/>
        <v>0.7857142857142857</v>
      </c>
      <c r="AH170" s="3">
        <v>14</v>
      </c>
      <c r="AI170" s="34">
        <f t="shared" ref="AI170:AI175" si="367">+AF170+AC170+Z170</f>
        <v>92</v>
      </c>
      <c r="AJ170" s="6">
        <f t="shared" si="361"/>
        <v>2.4505886740184327E-3</v>
      </c>
      <c r="AK170" s="37">
        <f t="shared" ref="AK170:AK175" si="368">+AH170+AE170+AB170</f>
        <v>37542</v>
      </c>
      <c r="AL170" s="84">
        <f t="shared" ref="AL170:AL175" si="369">(B170+N170+Z170)/AR170</f>
        <v>0.2264411220007114</v>
      </c>
      <c r="AM170" s="83">
        <f t="shared" ref="AM170:AM175" si="370">(E170+Q170+AC170)/AS170</f>
        <v>0.48072015877516305</v>
      </c>
      <c r="AN170" s="6">
        <f t="shared" ref="AN170:AN175" si="371">(H170+T170+AF170)/AT170</f>
        <v>0.88602150537634405</v>
      </c>
      <c r="AO170" s="127">
        <f t="shared" ref="AO170:AO175" si="372">AP170/AQ170</f>
        <v>0.23145627216785883</v>
      </c>
      <c r="AP170" s="52">
        <f t="shared" ref="AP170:AP175" si="373">AF170+AC170+Z170+T170+Q170+N170+H170+E170+B170</f>
        <v>179717</v>
      </c>
      <c r="AQ170" s="3">
        <f t="shared" si="190"/>
        <v>776462</v>
      </c>
      <c r="AR170" s="12">
        <f t="shared" ref="AR170:AR175" si="374">+D170+P170+AB170</f>
        <v>761889</v>
      </c>
      <c r="AS170" s="3">
        <f t="shared" ref="AS170:AS175" si="375">G170+S170+AE170</f>
        <v>14108</v>
      </c>
      <c r="AT170" s="21">
        <f t="shared" ref="AT170:AT175" si="376">J170+V170+AH170</f>
        <v>465</v>
      </c>
    </row>
    <row r="171" spans="1:46" x14ac:dyDescent="0.2">
      <c r="A171" s="109">
        <v>41122</v>
      </c>
      <c r="B171" s="3">
        <v>8300</v>
      </c>
      <c r="C171" s="83">
        <f t="shared" si="236"/>
        <v>6.7364661959256555E-2</v>
      </c>
      <c r="D171" s="3">
        <v>123210</v>
      </c>
      <c r="E171" s="134">
        <v>855</v>
      </c>
      <c r="F171" s="83">
        <f t="shared" si="237"/>
        <v>0.46900713110257819</v>
      </c>
      <c r="G171" s="3">
        <v>1823</v>
      </c>
      <c r="H171" s="134">
        <v>33</v>
      </c>
      <c r="I171" s="83">
        <f t="shared" si="238"/>
        <v>0.75</v>
      </c>
      <c r="J171" s="3">
        <v>44</v>
      </c>
      <c r="K171" s="140">
        <f t="shared" si="363"/>
        <v>9188</v>
      </c>
      <c r="L171" s="83">
        <f t="shared" si="362"/>
        <v>7.3458749410363219E-2</v>
      </c>
      <c r="M171" s="18">
        <f t="shared" si="364"/>
        <v>125077</v>
      </c>
      <c r="N171" s="3">
        <v>156427</v>
      </c>
      <c r="O171" s="6">
        <f t="shared" si="244"/>
        <v>0.26030862215003769</v>
      </c>
      <c r="P171" s="130">
        <v>600929</v>
      </c>
      <c r="Q171" s="55">
        <v>5840</v>
      </c>
      <c r="R171" s="6">
        <f t="shared" si="245"/>
        <v>0.48513042033560394</v>
      </c>
      <c r="S171" s="33">
        <v>12038</v>
      </c>
      <c r="T171" s="55">
        <v>364</v>
      </c>
      <c r="U171" s="6">
        <f t="shared" si="246"/>
        <v>0.88997555012224938</v>
      </c>
      <c r="V171" s="33">
        <v>409</v>
      </c>
      <c r="W171" s="52">
        <f t="shared" si="365"/>
        <v>162631</v>
      </c>
      <c r="X171" s="6">
        <f t="shared" si="360"/>
        <v>0.26514079455342238</v>
      </c>
      <c r="Y171" s="21">
        <f t="shared" si="366"/>
        <v>613376</v>
      </c>
      <c r="Z171" s="3">
        <v>32</v>
      </c>
      <c r="AA171" s="83">
        <f t="shared" si="241"/>
        <v>8.5678331414495708E-4</v>
      </c>
      <c r="AB171" s="33">
        <v>37349</v>
      </c>
      <c r="AC171" s="3">
        <v>50</v>
      </c>
      <c r="AD171" s="83">
        <f t="shared" si="242"/>
        <v>0.27322404371584702</v>
      </c>
      <c r="AE171" s="33">
        <v>183</v>
      </c>
      <c r="AF171" s="3">
        <v>11</v>
      </c>
      <c r="AG171" s="6">
        <f t="shared" si="243"/>
        <v>0.7857142857142857</v>
      </c>
      <c r="AH171" s="3">
        <v>14</v>
      </c>
      <c r="AI171" s="34">
        <f t="shared" si="367"/>
        <v>93</v>
      </c>
      <c r="AJ171" s="6">
        <f t="shared" si="361"/>
        <v>2.4769615937782984E-3</v>
      </c>
      <c r="AK171" s="37">
        <f t="shared" si="368"/>
        <v>37546</v>
      </c>
      <c r="AL171" s="84">
        <f t="shared" si="369"/>
        <v>0.21636453890277982</v>
      </c>
      <c r="AM171" s="83">
        <f t="shared" si="370"/>
        <v>0.48027627456565081</v>
      </c>
      <c r="AN171" s="6">
        <f t="shared" si="371"/>
        <v>0.87366167023554608</v>
      </c>
      <c r="AO171" s="127">
        <f t="shared" si="372"/>
        <v>0.22153636795923706</v>
      </c>
      <c r="AP171" s="52">
        <f t="shared" si="373"/>
        <v>171912</v>
      </c>
      <c r="AQ171" s="3">
        <f t="shared" ref="AQ171:AQ234" si="377">SUM(AR171:AT171)</f>
        <v>775999</v>
      </c>
      <c r="AR171" s="12">
        <f t="shared" si="374"/>
        <v>761488</v>
      </c>
      <c r="AS171" s="3">
        <f t="shared" si="375"/>
        <v>14044</v>
      </c>
      <c r="AT171" s="21">
        <f t="shared" si="376"/>
        <v>467</v>
      </c>
    </row>
    <row r="172" spans="1:46" x14ac:dyDescent="0.2">
      <c r="A172" s="109">
        <v>41091</v>
      </c>
      <c r="B172" s="3">
        <v>7887</v>
      </c>
      <c r="C172" s="83">
        <f t="shared" si="236"/>
        <v>6.4115696029655639E-2</v>
      </c>
      <c r="D172" s="3">
        <v>123012</v>
      </c>
      <c r="E172" s="134">
        <v>854</v>
      </c>
      <c r="F172" s="83">
        <f t="shared" si="237"/>
        <v>0.46948873007146785</v>
      </c>
      <c r="G172" s="3">
        <v>1819</v>
      </c>
      <c r="H172" s="134">
        <v>33</v>
      </c>
      <c r="I172" s="83">
        <f t="shared" si="238"/>
        <v>0.80487804878048785</v>
      </c>
      <c r="J172" s="3">
        <v>41</v>
      </c>
      <c r="K172" s="140">
        <f t="shared" si="363"/>
        <v>8774</v>
      </c>
      <c r="L172" s="83">
        <f t="shared" si="362"/>
        <v>7.0263950285091928E-2</v>
      </c>
      <c r="M172" s="18">
        <f t="shared" si="364"/>
        <v>124872</v>
      </c>
      <c r="N172" s="3">
        <v>149218</v>
      </c>
      <c r="O172" s="6">
        <f t="shared" si="244"/>
        <v>0.24827129518092336</v>
      </c>
      <c r="P172" s="130">
        <v>601028</v>
      </c>
      <c r="Q172" s="55">
        <v>5764</v>
      </c>
      <c r="R172" s="6">
        <f t="shared" si="245"/>
        <v>0.47889664340312393</v>
      </c>
      <c r="S172" s="33">
        <v>12036</v>
      </c>
      <c r="T172" s="55">
        <v>366</v>
      </c>
      <c r="U172" s="6">
        <f t="shared" si="246"/>
        <v>0.89051094890510951</v>
      </c>
      <c r="V172" s="33">
        <v>411</v>
      </c>
      <c r="W172" s="52">
        <f t="shared" si="365"/>
        <v>155348</v>
      </c>
      <c r="X172" s="6">
        <f t="shared" si="360"/>
        <v>0.253226292839969</v>
      </c>
      <c r="Y172" s="21">
        <f t="shared" si="366"/>
        <v>613475</v>
      </c>
      <c r="Z172" s="3">
        <v>32</v>
      </c>
      <c r="AA172" s="83">
        <f t="shared" si="241"/>
        <v>8.57426113984084E-4</v>
      </c>
      <c r="AB172" s="33">
        <v>37321</v>
      </c>
      <c r="AC172" s="3">
        <v>50</v>
      </c>
      <c r="AD172" s="83">
        <f t="shared" si="242"/>
        <v>0.27322404371584702</v>
      </c>
      <c r="AE172" s="33">
        <v>183</v>
      </c>
      <c r="AF172" s="3">
        <v>11</v>
      </c>
      <c r="AG172" s="6">
        <f t="shared" si="243"/>
        <v>0.7857142857142857</v>
      </c>
      <c r="AH172" s="3">
        <v>14</v>
      </c>
      <c r="AI172" s="34">
        <f t="shared" si="367"/>
        <v>93</v>
      </c>
      <c r="AJ172" s="6">
        <f t="shared" si="361"/>
        <v>2.4788101711178635E-3</v>
      </c>
      <c r="AK172" s="37">
        <f t="shared" si="368"/>
        <v>37518</v>
      </c>
      <c r="AL172" s="84">
        <f t="shared" si="369"/>
        <v>0.20638961018491886</v>
      </c>
      <c r="AM172" s="83">
        <f t="shared" si="370"/>
        <v>0.4749964382390654</v>
      </c>
      <c r="AN172" s="6">
        <f t="shared" si="371"/>
        <v>0.87982832618025753</v>
      </c>
      <c r="AO172" s="127">
        <f t="shared" si="372"/>
        <v>0.21165408930677374</v>
      </c>
      <c r="AP172" s="52">
        <f t="shared" si="373"/>
        <v>164215</v>
      </c>
      <c r="AQ172" s="3">
        <f t="shared" si="377"/>
        <v>775865</v>
      </c>
      <c r="AR172" s="12">
        <f t="shared" si="374"/>
        <v>761361</v>
      </c>
      <c r="AS172" s="3">
        <f t="shared" si="375"/>
        <v>14038</v>
      </c>
      <c r="AT172" s="21">
        <f t="shared" si="376"/>
        <v>466</v>
      </c>
    </row>
    <row r="173" spans="1:46" x14ac:dyDescent="0.2">
      <c r="A173" s="109">
        <v>41061</v>
      </c>
      <c r="B173" s="3">
        <v>7161</v>
      </c>
      <c r="C173" s="83">
        <f t="shared" si="236"/>
        <v>5.8310058709052266E-2</v>
      </c>
      <c r="D173" s="3">
        <v>122809</v>
      </c>
      <c r="E173" s="134">
        <v>840</v>
      </c>
      <c r="F173" s="83">
        <f t="shared" si="237"/>
        <v>0.46306504961411243</v>
      </c>
      <c r="G173" s="3">
        <v>1814</v>
      </c>
      <c r="H173" s="134">
        <v>31</v>
      </c>
      <c r="I173" s="83">
        <f t="shared" si="238"/>
        <v>0.77500000000000002</v>
      </c>
      <c r="J173" s="3">
        <v>40</v>
      </c>
      <c r="K173" s="140">
        <f t="shared" si="363"/>
        <v>8032</v>
      </c>
      <c r="L173" s="83">
        <f t="shared" si="362"/>
        <v>6.4429702477880366E-2</v>
      </c>
      <c r="M173" s="18">
        <f t="shared" si="364"/>
        <v>124663</v>
      </c>
      <c r="N173" s="3">
        <v>141234</v>
      </c>
      <c r="O173" s="6">
        <f t="shared" si="244"/>
        <v>0.23504644045287137</v>
      </c>
      <c r="P173" s="130">
        <v>600877</v>
      </c>
      <c r="Q173" s="55">
        <v>5667</v>
      </c>
      <c r="R173" s="6">
        <f t="shared" si="245"/>
        <v>0.46986153718597129</v>
      </c>
      <c r="S173" s="33">
        <v>12061</v>
      </c>
      <c r="T173" s="55">
        <v>372</v>
      </c>
      <c r="U173" s="6">
        <f t="shared" si="246"/>
        <v>0.88782816229116945</v>
      </c>
      <c r="V173" s="33">
        <v>419</v>
      </c>
      <c r="W173" s="52">
        <f t="shared" si="365"/>
        <v>147273</v>
      </c>
      <c r="X173" s="6">
        <f t="shared" ref="X173:X179" si="378">W173/Y173</f>
        <v>0.24010975663439074</v>
      </c>
      <c r="Y173" s="21">
        <f t="shared" si="366"/>
        <v>613357</v>
      </c>
      <c r="Z173" s="3">
        <v>32</v>
      </c>
      <c r="AA173" s="83">
        <f t="shared" si="241"/>
        <v>8.5751802127716594E-4</v>
      </c>
      <c r="AB173" s="33">
        <v>37317</v>
      </c>
      <c r="AC173" s="3">
        <v>50</v>
      </c>
      <c r="AD173" s="83">
        <f t="shared" si="242"/>
        <v>0.27322404371584702</v>
      </c>
      <c r="AE173" s="33">
        <v>183</v>
      </c>
      <c r="AF173" s="3">
        <v>11</v>
      </c>
      <c r="AG173" s="6">
        <f t="shared" si="243"/>
        <v>0.7857142857142857</v>
      </c>
      <c r="AH173" s="3">
        <v>14</v>
      </c>
      <c r="AI173" s="34">
        <f t="shared" si="367"/>
        <v>93</v>
      </c>
      <c r="AJ173" s="6">
        <f t="shared" si="361"/>
        <v>2.4790744788612249E-3</v>
      </c>
      <c r="AK173" s="37">
        <f t="shared" si="368"/>
        <v>37514</v>
      </c>
      <c r="AL173" s="84">
        <f t="shared" si="369"/>
        <v>0.19504128104619825</v>
      </c>
      <c r="AM173" s="83">
        <f t="shared" si="370"/>
        <v>0.46642481149523402</v>
      </c>
      <c r="AN173" s="6">
        <f t="shared" si="371"/>
        <v>0.87526427061310785</v>
      </c>
      <c r="AO173" s="127">
        <f t="shared" si="372"/>
        <v>0.20037548321543608</v>
      </c>
      <c r="AP173" s="52">
        <f t="shared" si="373"/>
        <v>155398</v>
      </c>
      <c r="AQ173" s="3">
        <f t="shared" si="377"/>
        <v>775534</v>
      </c>
      <c r="AR173" s="12">
        <f t="shared" si="374"/>
        <v>761003</v>
      </c>
      <c r="AS173" s="3">
        <f t="shared" si="375"/>
        <v>14058</v>
      </c>
      <c r="AT173" s="21">
        <f t="shared" si="376"/>
        <v>473</v>
      </c>
    </row>
    <row r="174" spans="1:46" x14ac:dyDescent="0.2">
      <c r="A174" s="109">
        <v>41030</v>
      </c>
      <c r="B174" s="3">
        <v>6574</v>
      </c>
      <c r="C174" s="83">
        <f t="shared" si="236"/>
        <v>5.373022100170001E-2</v>
      </c>
      <c r="D174" s="3">
        <v>122352</v>
      </c>
      <c r="E174" s="134">
        <v>812</v>
      </c>
      <c r="F174" s="83">
        <f t="shared" si="237"/>
        <v>0.44886677722498619</v>
      </c>
      <c r="G174" s="3">
        <v>1809</v>
      </c>
      <c r="H174" s="134">
        <v>31</v>
      </c>
      <c r="I174" s="83">
        <f t="shared" si="238"/>
        <v>0.77500000000000002</v>
      </c>
      <c r="J174" s="3">
        <v>40</v>
      </c>
      <c r="K174" s="140">
        <f t="shared" si="363"/>
        <v>7417</v>
      </c>
      <c r="L174" s="83">
        <f t="shared" si="362"/>
        <v>5.9717715638360397E-2</v>
      </c>
      <c r="M174" s="18">
        <f t="shared" si="364"/>
        <v>124201</v>
      </c>
      <c r="N174" s="3">
        <v>132404</v>
      </c>
      <c r="O174" s="6">
        <f t="shared" si="244"/>
        <v>0.22059024434129812</v>
      </c>
      <c r="P174" s="130">
        <v>600226</v>
      </c>
      <c r="Q174" s="55">
        <v>5540</v>
      </c>
      <c r="R174" s="6">
        <f t="shared" si="245"/>
        <v>0.45978919412399372</v>
      </c>
      <c r="S174" s="33">
        <v>12049</v>
      </c>
      <c r="T174" s="55">
        <v>376</v>
      </c>
      <c r="U174" s="6">
        <f t="shared" si="246"/>
        <v>0.88056206088992972</v>
      </c>
      <c r="V174" s="33">
        <v>427</v>
      </c>
      <c r="W174" s="52">
        <f t="shared" si="365"/>
        <v>138320</v>
      </c>
      <c r="X174" s="6">
        <f t="shared" si="378"/>
        <v>0.22575411864168879</v>
      </c>
      <c r="Y174" s="21">
        <f t="shared" si="366"/>
        <v>612702</v>
      </c>
      <c r="Z174" s="3">
        <v>30</v>
      </c>
      <c r="AA174" s="83">
        <f t="shared" si="241"/>
        <v>8.0353555644837281E-4</v>
      </c>
      <c r="AB174" s="33">
        <v>37335</v>
      </c>
      <c r="AC174" s="3">
        <v>45</v>
      </c>
      <c r="AD174" s="83">
        <f t="shared" si="242"/>
        <v>0.28301886792452829</v>
      </c>
      <c r="AE174" s="33">
        <v>159</v>
      </c>
      <c r="AF174" s="3">
        <v>11</v>
      </c>
      <c r="AG174" s="6">
        <f t="shared" si="243"/>
        <v>0.7857142857142857</v>
      </c>
      <c r="AH174" s="3">
        <v>14</v>
      </c>
      <c r="AI174" s="34">
        <f t="shared" si="367"/>
        <v>86</v>
      </c>
      <c r="AJ174" s="6">
        <f t="shared" si="361"/>
        <v>2.2928441932387757E-3</v>
      </c>
      <c r="AK174" s="37">
        <f t="shared" si="368"/>
        <v>37508</v>
      </c>
      <c r="AL174" s="84">
        <f t="shared" si="369"/>
        <v>0.18292620339433593</v>
      </c>
      <c r="AM174" s="83">
        <f t="shared" si="370"/>
        <v>0.45637440251123634</v>
      </c>
      <c r="AN174" s="6">
        <f t="shared" si="371"/>
        <v>0.86902286902286907</v>
      </c>
      <c r="AO174" s="127">
        <f t="shared" si="372"/>
        <v>0.1883018190599049</v>
      </c>
      <c r="AP174" s="52">
        <f t="shared" si="373"/>
        <v>145823</v>
      </c>
      <c r="AQ174" s="3">
        <f t="shared" si="377"/>
        <v>774411</v>
      </c>
      <c r="AR174" s="12">
        <f t="shared" si="374"/>
        <v>759913</v>
      </c>
      <c r="AS174" s="3">
        <f t="shared" si="375"/>
        <v>14017</v>
      </c>
      <c r="AT174" s="21">
        <f t="shared" si="376"/>
        <v>481</v>
      </c>
    </row>
    <row r="175" spans="1:46" x14ac:dyDescent="0.2">
      <c r="A175" s="109">
        <v>41000</v>
      </c>
      <c r="B175" s="3">
        <v>5871</v>
      </c>
      <c r="C175" s="83">
        <f t="shared" si="236"/>
        <v>4.8259818830453584E-2</v>
      </c>
      <c r="D175" s="3">
        <v>121654</v>
      </c>
      <c r="E175" s="134">
        <v>798</v>
      </c>
      <c r="F175" s="83">
        <f t="shared" si="237"/>
        <v>0.44407345575959933</v>
      </c>
      <c r="G175" s="3">
        <v>1797</v>
      </c>
      <c r="H175" s="134">
        <v>31</v>
      </c>
      <c r="I175" s="83">
        <f t="shared" si="238"/>
        <v>0.77500000000000002</v>
      </c>
      <c r="J175" s="3">
        <v>40</v>
      </c>
      <c r="K175" s="140">
        <f t="shared" si="363"/>
        <v>6700</v>
      </c>
      <c r="L175" s="83">
        <f t="shared" si="362"/>
        <v>5.425496594893555E-2</v>
      </c>
      <c r="M175" s="18">
        <f t="shared" si="364"/>
        <v>123491</v>
      </c>
      <c r="N175" s="3">
        <v>100713</v>
      </c>
      <c r="O175" s="6">
        <f t="shared" si="244"/>
        <v>0.16752971314031923</v>
      </c>
      <c r="P175" s="130">
        <v>601165</v>
      </c>
      <c r="Q175" s="55">
        <v>5339</v>
      </c>
      <c r="R175" s="6">
        <f t="shared" si="245"/>
        <v>0.44432423435419438</v>
      </c>
      <c r="S175" s="33">
        <v>12016</v>
      </c>
      <c r="T175" s="55">
        <v>376</v>
      </c>
      <c r="U175" s="6">
        <f t="shared" si="246"/>
        <v>0.88056206088992972</v>
      </c>
      <c r="V175" s="33">
        <v>427</v>
      </c>
      <c r="W175" s="52">
        <f t="shared" si="365"/>
        <v>106428</v>
      </c>
      <c r="X175" s="6">
        <f t="shared" si="378"/>
        <v>0.17344623929283842</v>
      </c>
      <c r="Y175" s="21">
        <f t="shared" si="366"/>
        <v>613608</v>
      </c>
      <c r="Z175" s="3">
        <v>30</v>
      </c>
      <c r="AA175" s="83">
        <f t="shared" si="241"/>
        <v>8.0418174507438679E-4</v>
      </c>
      <c r="AB175" s="33">
        <v>37305</v>
      </c>
      <c r="AC175" s="3">
        <v>48</v>
      </c>
      <c r="AD175" s="83">
        <f t="shared" si="242"/>
        <v>0.26373626373626374</v>
      </c>
      <c r="AE175" s="33">
        <v>182</v>
      </c>
      <c r="AF175" s="3">
        <v>11</v>
      </c>
      <c r="AG175" s="6">
        <f t="shared" si="243"/>
        <v>0.7857142857142857</v>
      </c>
      <c r="AH175" s="3">
        <v>14</v>
      </c>
      <c r="AI175" s="34">
        <f t="shared" si="367"/>
        <v>89</v>
      </c>
      <c r="AJ175" s="6">
        <f t="shared" ref="AJ175:AJ181" si="379">AI175/AK175</f>
        <v>2.3732700461321032E-3</v>
      </c>
      <c r="AK175" s="37">
        <f t="shared" si="368"/>
        <v>37501</v>
      </c>
      <c r="AL175" s="84">
        <f t="shared" si="369"/>
        <v>0.1402586946340334</v>
      </c>
      <c r="AM175" s="83">
        <f t="shared" si="370"/>
        <v>0.44194355126831009</v>
      </c>
      <c r="AN175" s="6">
        <f t="shared" si="371"/>
        <v>0.86902286902286907</v>
      </c>
      <c r="AO175" s="127">
        <f t="shared" si="372"/>
        <v>0.14616189000774593</v>
      </c>
      <c r="AP175" s="52">
        <f t="shared" si="373"/>
        <v>113217</v>
      </c>
      <c r="AQ175" s="3">
        <f t="shared" si="377"/>
        <v>774600</v>
      </c>
      <c r="AR175" s="12">
        <f t="shared" si="374"/>
        <v>760124</v>
      </c>
      <c r="AS175" s="3">
        <f t="shared" si="375"/>
        <v>13995</v>
      </c>
      <c r="AT175" s="21">
        <f t="shared" si="376"/>
        <v>481</v>
      </c>
    </row>
    <row r="176" spans="1:46" x14ac:dyDescent="0.2">
      <c r="A176" s="109">
        <v>40969</v>
      </c>
      <c r="B176" s="3">
        <v>4975</v>
      </c>
      <c r="C176" s="83">
        <f t="shared" si="236"/>
        <v>4.1065473635553205E-2</v>
      </c>
      <c r="D176" s="3">
        <v>121148</v>
      </c>
      <c r="E176" s="134">
        <v>766</v>
      </c>
      <c r="F176" s="83">
        <f t="shared" si="237"/>
        <v>0.43796455117209832</v>
      </c>
      <c r="G176" s="3">
        <v>1749</v>
      </c>
      <c r="H176" s="134">
        <v>31</v>
      </c>
      <c r="I176" s="83">
        <f t="shared" si="238"/>
        <v>0.77500000000000002</v>
      </c>
      <c r="J176" s="3">
        <v>40</v>
      </c>
      <c r="K176" s="140">
        <f t="shared" ref="K176:K181" si="380">+H176+E176+B176</f>
        <v>5772</v>
      </c>
      <c r="L176" s="83">
        <f t="shared" ref="L176:L181" si="381">K176/M176</f>
        <v>4.6950877278606112E-2</v>
      </c>
      <c r="M176" s="18">
        <f t="shared" ref="M176:M181" si="382">+J176+G176+D176</f>
        <v>122937</v>
      </c>
      <c r="N176" s="136">
        <v>76130</v>
      </c>
      <c r="O176" s="6">
        <f t="shared" si="244"/>
        <v>0.12657175586098887</v>
      </c>
      <c r="P176" s="130">
        <v>601477</v>
      </c>
      <c r="Q176" s="55">
        <v>5129</v>
      </c>
      <c r="R176" s="6">
        <f t="shared" si="245"/>
        <v>0.42938467978233569</v>
      </c>
      <c r="S176" s="33">
        <v>11945</v>
      </c>
      <c r="T176" s="55">
        <v>376</v>
      </c>
      <c r="U176" s="6">
        <f t="shared" si="246"/>
        <v>0.88056206088992972</v>
      </c>
      <c r="V176" s="33">
        <v>427</v>
      </c>
      <c r="W176" s="52">
        <f t="shared" ref="W176:W181" si="383">+T176+Q176+N176</f>
        <v>81635</v>
      </c>
      <c r="X176" s="6">
        <f t="shared" si="378"/>
        <v>0.13298873175650688</v>
      </c>
      <c r="Y176" s="21">
        <f t="shared" ref="Y176:Y181" si="384">+V176+S176+P176</f>
        <v>613849</v>
      </c>
      <c r="Z176" s="3">
        <v>29</v>
      </c>
      <c r="AA176" s="83">
        <f t="shared" si="241"/>
        <v>7.7733401238373496E-4</v>
      </c>
      <c r="AB176" s="33">
        <v>37307</v>
      </c>
      <c r="AC176" s="3">
        <v>46</v>
      </c>
      <c r="AD176" s="83">
        <f t="shared" si="242"/>
        <v>0.25136612021857924</v>
      </c>
      <c r="AE176" s="33">
        <v>183</v>
      </c>
      <c r="AF176" s="3">
        <v>11</v>
      </c>
      <c r="AG176" s="6">
        <f t="shared" si="243"/>
        <v>0.7857142857142857</v>
      </c>
      <c r="AH176" s="3">
        <v>14</v>
      </c>
      <c r="AI176" s="34">
        <f t="shared" ref="AI176:AI181" si="385">+AF176+AC176+Z176</f>
        <v>86</v>
      </c>
      <c r="AJ176" s="6">
        <f t="shared" si="379"/>
        <v>2.293088737201365E-3</v>
      </c>
      <c r="AK176" s="37">
        <f t="shared" ref="AK176:AK181" si="386">+AH176+AE176+AB176</f>
        <v>37504</v>
      </c>
      <c r="AL176" s="84">
        <f t="shared" ref="AL176:AL181" si="387">(B176+N176+Z176)/AR176</f>
        <v>0.10676481579930835</v>
      </c>
      <c r="AM176" s="83">
        <f t="shared" ref="AM176:AM181" si="388">(E176+Q176+AC176)/AS176</f>
        <v>0.42811846940981479</v>
      </c>
      <c r="AN176" s="6">
        <f t="shared" ref="AN176:AN181" si="389">(H176+T176+AF176)/AT176</f>
        <v>0.86902286902286907</v>
      </c>
      <c r="AO176" s="127">
        <f t="shared" ref="AO176:AO181" si="390">AP176/AQ176</f>
        <v>0.11299771403479317</v>
      </c>
      <c r="AP176" s="52">
        <f t="shared" ref="AP176:AP181" si="391">AF176+AC176+Z176+T176+Q176+N176+H176+E176+B176</f>
        <v>87493</v>
      </c>
      <c r="AQ176" s="3">
        <f t="shared" si="377"/>
        <v>774290</v>
      </c>
      <c r="AR176" s="12">
        <f t="shared" ref="AR176:AR181" si="392">+D176+P176+AB176</f>
        <v>759932</v>
      </c>
      <c r="AS176" s="3">
        <f t="shared" ref="AS176:AS181" si="393">G176+S176+AE176</f>
        <v>13877</v>
      </c>
      <c r="AT176" s="21">
        <f t="shared" ref="AT176:AT181" si="394">J176+V176+AH176</f>
        <v>481</v>
      </c>
    </row>
    <row r="177" spans="1:46" x14ac:dyDescent="0.2">
      <c r="A177" s="109">
        <v>40940</v>
      </c>
      <c r="B177" s="3">
        <v>4552</v>
      </c>
      <c r="C177" s="83">
        <f t="shared" si="236"/>
        <v>3.7625431882428791E-2</v>
      </c>
      <c r="D177" s="3">
        <v>120982</v>
      </c>
      <c r="E177" s="134">
        <v>768</v>
      </c>
      <c r="F177" s="83">
        <f t="shared" si="237"/>
        <v>0.44599303135888502</v>
      </c>
      <c r="G177" s="3">
        <v>1722</v>
      </c>
      <c r="H177" s="134">
        <v>30</v>
      </c>
      <c r="I177" s="83">
        <f t="shared" si="238"/>
        <v>0.75</v>
      </c>
      <c r="J177" s="3">
        <v>40</v>
      </c>
      <c r="K177" s="140">
        <f t="shared" si="380"/>
        <v>5350</v>
      </c>
      <c r="L177" s="83">
        <f t="shared" si="381"/>
        <v>4.3586651893371568E-2</v>
      </c>
      <c r="M177" s="18">
        <f t="shared" si="382"/>
        <v>122744</v>
      </c>
      <c r="N177" s="136">
        <v>36227</v>
      </c>
      <c r="O177" s="6">
        <f t="shared" si="244"/>
        <v>6.025511163004988E-2</v>
      </c>
      <c r="P177" s="130">
        <v>601227</v>
      </c>
      <c r="Q177" s="55">
        <v>4839</v>
      </c>
      <c r="R177" s="6">
        <f t="shared" si="245"/>
        <v>0.4057181185545401</v>
      </c>
      <c r="S177" s="33">
        <v>11927</v>
      </c>
      <c r="T177" s="55">
        <v>376</v>
      </c>
      <c r="U177" s="6">
        <f t="shared" si="246"/>
        <v>0.87441860465116283</v>
      </c>
      <c r="V177" s="33">
        <v>430</v>
      </c>
      <c r="W177" s="52">
        <f t="shared" si="383"/>
        <v>41442</v>
      </c>
      <c r="X177" s="6">
        <f t="shared" si="378"/>
        <v>6.75408745990769E-2</v>
      </c>
      <c r="Y177" s="21">
        <f t="shared" si="384"/>
        <v>613584</v>
      </c>
      <c r="Z177" s="3">
        <v>30</v>
      </c>
      <c r="AA177" s="83">
        <f t="shared" si="241"/>
        <v>8.0435423760624183E-4</v>
      </c>
      <c r="AB177" s="33">
        <v>37297</v>
      </c>
      <c r="AC177" s="3">
        <v>46</v>
      </c>
      <c r="AD177" s="83">
        <f t="shared" si="242"/>
        <v>0.25</v>
      </c>
      <c r="AE177" s="33">
        <v>184</v>
      </c>
      <c r="AF177" s="3">
        <v>12</v>
      </c>
      <c r="AG177" s="6">
        <f t="shared" si="243"/>
        <v>0.75</v>
      </c>
      <c r="AH177" s="3">
        <v>16</v>
      </c>
      <c r="AI177" s="34">
        <f t="shared" si="385"/>
        <v>88</v>
      </c>
      <c r="AJ177" s="6">
        <f t="shared" si="379"/>
        <v>2.3468544150198681E-3</v>
      </c>
      <c r="AK177" s="37">
        <f t="shared" si="386"/>
        <v>37497</v>
      </c>
      <c r="AL177" s="84">
        <f t="shared" si="387"/>
        <v>5.3730977767127583E-2</v>
      </c>
      <c r="AM177" s="83">
        <f t="shared" si="388"/>
        <v>0.40866044964938913</v>
      </c>
      <c r="AN177" s="6">
        <f t="shared" si="389"/>
        <v>0.86008230452674894</v>
      </c>
      <c r="AO177" s="127">
        <f t="shared" si="390"/>
        <v>6.0582172971925176E-2</v>
      </c>
      <c r="AP177" s="52">
        <f t="shared" si="391"/>
        <v>46880</v>
      </c>
      <c r="AQ177" s="3">
        <f t="shared" si="377"/>
        <v>773825</v>
      </c>
      <c r="AR177" s="12">
        <f t="shared" si="392"/>
        <v>759506</v>
      </c>
      <c r="AS177" s="3">
        <f t="shared" si="393"/>
        <v>13833</v>
      </c>
      <c r="AT177" s="21">
        <f t="shared" si="394"/>
        <v>486</v>
      </c>
    </row>
    <row r="178" spans="1:46" x14ac:dyDescent="0.2">
      <c r="A178" s="109">
        <v>40909</v>
      </c>
      <c r="B178" s="3">
        <v>1476</v>
      </c>
      <c r="C178" s="83">
        <f t="shared" si="236"/>
        <v>1.2475277650996501E-2</v>
      </c>
      <c r="D178" s="3">
        <v>118314</v>
      </c>
      <c r="E178" s="134">
        <v>744</v>
      </c>
      <c r="F178" s="83">
        <f t="shared" si="237"/>
        <v>0.44312090530077425</v>
      </c>
      <c r="G178" s="3">
        <v>1679</v>
      </c>
      <c r="H178" s="134">
        <v>31</v>
      </c>
      <c r="I178" s="83">
        <f t="shared" si="238"/>
        <v>0.73809523809523814</v>
      </c>
      <c r="J178" s="3">
        <v>42</v>
      </c>
      <c r="K178" s="140">
        <f t="shared" si="380"/>
        <v>2251</v>
      </c>
      <c r="L178" s="83">
        <f t="shared" si="381"/>
        <v>1.875286374807348E-2</v>
      </c>
      <c r="M178" s="18">
        <f t="shared" si="382"/>
        <v>120035</v>
      </c>
      <c r="N178" s="136">
        <v>28236</v>
      </c>
      <c r="O178" s="6">
        <f t="shared" si="244"/>
        <v>4.6973256053820613E-2</v>
      </c>
      <c r="P178" s="130">
        <v>601108</v>
      </c>
      <c r="Q178" s="55">
        <v>4694</v>
      </c>
      <c r="R178" s="6">
        <f t="shared" si="245"/>
        <v>0.39336294309896924</v>
      </c>
      <c r="S178" s="33">
        <v>11933</v>
      </c>
      <c r="T178" s="55">
        <v>371</v>
      </c>
      <c r="U178" s="6">
        <f t="shared" si="246"/>
        <v>0.86682242990654201</v>
      </c>
      <c r="V178" s="33">
        <v>428</v>
      </c>
      <c r="W178" s="52">
        <f t="shared" si="383"/>
        <v>33301</v>
      </c>
      <c r="X178" s="6">
        <f t="shared" si="378"/>
        <v>5.4283101509611735E-2</v>
      </c>
      <c r="Y178" s="21">
        <f t="shared" si="384"/>
        <v>613469</v>
      </c>
      <c r="Z178" s="3">
        <v>31</v>
      </c>
      <c r="AA178" s="83">
        <f t="shared" si="241"/>
        <v>8.3087644063253819E-4</v>
      </c>
      <c r="AB178" s="33">
        <v>37310</v>
      </c>
      <c r="AC178" s="3">
        <v>46</v>
      </c>
      <c r="AD178" s="83">
        <f t="shared" si="242"/>
        <v>0.25</v>
      </c>
      <c r="AE178" s="33">
        <v>184</v>
      </c>
      <c r="AF178" s="3">
        <v>10</v>
      </c>
      <c r="AG178" s="6">
        <f t="shared" si="243"/>
        <v>0.7142857142857143</v>
      </c>
      <c r="AH178" s="3">
        <v>14</v>
      </c>
      <c r="AI178" s="34">
        <f t="shared" si="385"/>
        <v>87</v>
      </c>
      <c r="AJ178" s="6">
        <f t="shared" si="379"/>
        <v>2.3195051722299243E-3</v>
      </c>
      <c r="AK178" s="37">
        <f t="shared" si="386"/>
        <v>37508</v>
      </c>
      <c r="AL178" s="84">
        <f t="shared" si="387"/>
        <v>3.9304535819814676E-2</v>
      </c>
      <c r="AM178" s="83">
        <f t="shared" si="388"/>
        <v>0.39750652363003769</v>
      </c>
      <c r="AN178" s="6">
        <f t="shared" si="389"/>
        <v>0.85123966942148765</v>
      </c>
      <c r="AO178" s="127">
        <f t="shared" si="390"/>
        <v>4.6223664482524268E-2</v>
      </c>
      <c r="AP178" s="52">
        <f t="shared" si="391"/>
        <v>35639</v>
      </c>
      <c r="AQ178" s="3">
        <f t="shared" si="377"/>
        <v>771012</v>
      </c>
      <c r="AR178" s="12">
        <f t="shared" si="392"/>
        <v>756732</v>
      </c>
      <c r="AS178" s="3">
        <f t="shared" si="393"/>
        <v>13796</v>
      </c>
      <c r="AT178" s="21">
        <f t="shared" si="394"/>
        <v>484</v>
      </c>
    </row>
    <row r="179" spans="1:46" x14ac:dyDescent="0.2">
      <c r="A179" s="109">
        <v>40878</v>
      </c>
      <c r="B179" s="3">
        <v>3971</v>
      </c>
      <c r="C179" s="83">
        <f t="shared" si="236"/>
        <v>3.2780524851616741E-2</v>
      </c>
      <c r="D179" s="3">
        <v>121139</v>
      </c>
      <c r="E179" s="134">
        <v>723</v>
      </c>
      <c r="F179" s="83">
        <f t="shared" si="237"/>
        <v>0.42654867256637169</v>
      </c>
      <c r="G179" s="3">
        <v>1695</v>
      </c>
      <c r="H179" s="134">
        <v>31</v>
      </c>
      <c r="I179" s="83">
        <f t="shared" si="238"/>
        <v>0.73809523809523814</v>
      </c>
      <c r="J179" s="3">
        <v>42</v>
      </c>
      <c r="K179" s="140">
        <f t="shared" si="380"/>
        <v>4725</v>
      </c>
      <c r="L179" s="83">
        <f t="shared" si="381"/>
        <v>3.8453400175786974E-2</v>
      </c>
      <c r="M179" s="18">
        <f t="shared" si="382"/>
        <v>122876</v>
      </c>
      <c r="N179" s="136">
        <v>28427</v>
      </c>
      <c r="O179" s="6">
        <f t="shared" si="244"/>
        <v>4.8284635950117033E-2</v>
      </c>
      <c r="P179" s="130">
        <v>588738</v>
      </c>
      <c r="Q179" s="55">
        <v>4551</v>
      </c>
      <c r="R179" s="6">
        <f t="shared" si="245"/>
        <v>0.3888414217361586</v>
      </c>
      <c r="S179" s="33">
        <v>11704</v>
      </c>
      <c r="T179" s="55">
        <v>341</v>
      </c>
      <c r="U179" s="6">
        <f t="shared" si="246"/>
        <v>0.8589420654911839</v>
      </c>
      <c r="V179" s="33">
        <v>397</v>
      </c>
      <c r="W179" s="52">
        <f t="shared" si="383"/>
        <v>33319</v>
      </c>
      <c r="X179" s="6">
        <f t="shared" si="378"/>
        <v>5.5454123317560944E-2</v>
      </c>
      <c r="Y179" s="21">
        <f t="shared" si="384"/>
        <v>600839</v>
      </c>
      <c r="Z179" s="3">
        <v>31</v>
      </c>
      <c r="AA179" s="83">
        <f t="shared" si="241"/>
        <v>8.3087644063253819E-4</v>
      </c>
      <c r="AB179" s="33">
        <v>37310</v>
      </c>
      <c r="AC179" s="3">
        <v>46</v>
      </c>
      <c r="AD179" s="83">
        <f t="shared" si="242"/>
        <v>0.25136612021857924</v>
      </c>
      <c r="AE179" s="33">
        <v>183</v>
      </c>
      <c r="AF179" s="3">
        <v>10</v>
      </c>
      <c r="AG179" s="6">
        <f t="shared" si="243"/>
        <v>0.7142857142857143</v>
      </c>
      <c r="AH179" s="3">
        <v>14</v>
      </c>
      <c r="AI179" s="34">
        <f t="shared" si="385"/>
        <v>87</v>
      </c>
      <c r="AJ179" s="6">
        <f t="shared" si="379"/>
        <v>2.3195670141573574E-3</v>
      </c>
      <c r="AK179" s="37">
        <f t="shared" si="386"/>
        <v>37507</v>
      </c>
      <c r="AL179" s="84">
        <f t="shared" si="387"/>
        <v>4.340145104237627E-2</v>
      </c>
      <c r="AM179" s="83">
        <f t="shared" si="388"/>
        <v>0.39169489029597998</v>
      </c>
      <c r="AN179" s="6">
        <f t="shared" si="389"/>
        <v>0.8432671081677704</v>
      </c>
      <c r="AO179" s="127">
        <f t="shared" si="390"/>
        <v>5.009182603760795E-2</v>
      </c>
      <c r="AP179" s="52">
        <f t="shared" si="391"/>
        <v>38131</v>
      </c>
      <c r="AQ179" s="3">
        <f t="shared" si="377"/>
        <v>761222</v>
      </c>
      <c r="AR179" s="12">
        <f t="shared" si="392"/>
        <v>747187</v>
      </c>
      <c r="AS179" s="3">
        <f t="shared" si="393"/>
        <v>13582</v>
      </c>
      <c r="AT179" s="21">
        <f t="shared" si="394"/>
        <v>453</v>
      </c>
    </row>
    <row r="180" spans="1:46" x14ac:dyDescent="0.2">
      <c r="A180" s="109">
        <v>40848</v>
      </c>
      <c r="B180" s="3">
        <v>3679</v>
      </c>
      <c r="C180" s="83">
        <f t="shared" ref="C180:C198" si="395">B180/D180</f>
        <v>3.0320762181050967E-2</v>
      </c>
      <c r="D180" s="3">
        <v>121336</v>
      </c>
      <c r="E180" s="134">
        <v>716</v>
      </c>
      <c r="F180" s="83">
        <f t="shared" ref="F180:F192" si="396">E180/G180</f>
        <v>0.4177362893815636</v>
      </c>
      <c r="G180" s="3">
        <v>1714</v>
      </c>
      <c r="H180" s="134">
        <v>31</v>
      </c>
      <c r="I180" s="83">
        <f t="shared" ref="I180:I191" si="397">H180/J180</f>
        <v>0.73809523809523814</v>
      </c>
      <c r="J180" s="3">
        <v>42</v>
      </c>
      <c r="K180" s="140">
        <f t="shared" si="380"/>
        <v>4426</v>
      </c>
      <c r="L180" s="83">
        <f t="shared" si="381"/>
        <v>3.5956845286452412E-2</v>
      </c>
      <c r="M180" s="18">
        <f t="shared" si="382"/>
        <v>123092</v>
      </c>
      <c r="N180" s="136">
        <v>18390</v>
      </c>
      <c r="O180" s="6">
        <f t="shared" ref="O180:O186" si="398">N180/P180</f>
        <v>3.1275403825157054E-2</v>
      </c>
      <c r="P180" s="130">
        <v>588002</v>
      </c>
      <c r="Q180" s="55">
        <v>4400</v>
      </c>
      <c r="R180" s="6">
        <f t="shared" ref="R180:R186" si="399">Q180/S180</f>
        <v>0.37571513961233027</v>
      </c>
      <c r="S180" s="33">
        <v>11711</v>
      </c>
      <c r="T180" s="55">
        <v>335</v>
      </c>
      <c r="U180" s="6">
        <f t="shared" ref="U180:U186" si="400">T180/V180</f>
        <v>0.85025380710659904</v>
      </c>
      <c r="V180" s="33">
        <v>394</v>
      </c>
      <c r="W180" s="52">
        <f t="shared" si="383"/>
        <v>23125</v>
      </c>
      <c r="X180" s="6">
        <f t="shared" ref="X180:X187" si="401">W180/Y180</f>
        <v>3.8534794628291291E-2</v>
      </c>
      <c r="Y180" s="21">
        <f t="shared" si="384"/>
        <v>600107</v>
      </c>
      <c r="Z180" s="3">
        <v>32</v>
      </c>
      <c r="AA180" s="83">
        <f t="shared" ref="AA180:AA190" si="402">Z180/AB180</f>
        <v>8.5740314023900115E-4</v>
      </c>
      <c r="AB180" s="33">
        <v>37322</v>
      </c>
      <c r="AC180" s="3">
        <v>46</v>
      </c>
      <c r="AD180" s="83">
        <f t="shared" ref="AD180:AD190" si="403">AC180/AE180</f>
        <v>0.25</v>
      </c>
      <c r="AE180" s="33">
        <v>184</v>
      </c>
      <c r="AF180" s="3">
        <v>10</v>
      </c>
      <c r="AG180" s="6">
        <f t="shared" ref="AG180:AG190" si="404">AF180/AH180</f>
        <v>0.7142857142857143</v>
      </c>
      <c r="AH180" s="3">
        <v>14</v>
      </c>
      <c r="AI180" s="34">
        <f t="shared" si="385"/>
        <v>88</v>
      </c>
      <c r="AJ180" s="6">
        <f t="shared" si="379"/>
        <v>2.345415778251599E-3</v>
      </c>
      <c r="AK180" s="37">
        <f t="shared" si="386"/>
        <v>37520</v>
      </c>
      <c r="AL180" s="84">
        <f t="shared" si="387"/>
        <v>2.9599817855516568E-2</v>
      </c>
      <c r="AM180" s="83">
        <f t="shared" si="388"/>
        <v>0.37930781100742156</v>
      </c>
      <c r="AN180" s="6">
        <f t="shared" si="389"/>
        <v>0.83555555555555561</v>
      </c>
      <c r="AO180" s="127">
        <f t="shared" si="390"/>
        <v>3.6332732585882564E-2</v>
      </c>
      <c r="AP180" s="52">
        <f t="shared" si="391"/>
        <v>27639</v>
      </c>
      <c r="AQ180" s="3">
        <f t="shared" si="377"/>
        <v>760719</v>
      </c>
      <c r="AR180" s="12">
        <f t="shared" si="392"/>
        <v>746660</v>
      </c>
      <c r="AS180" s="3">
        <f t="shared" si="393"/>
        <v>13609</v>
      </c>
      <c r="AT180" s="21">
        <f t="shared" si="394"/>
        <v>450</v>
      </c>
    </row>
    <row r="181" spans="1:46" ht="13.5" customHeight="1" x14ac:dyDescent="0.2">
      <c r="A181" s="109">
        <v>40826</v>
      </c>
      <c r="B181" s="3">
        <v>3564</v>
      </c>
      <c r="C181" s="83">
        <f t="shared" si="395"/>
        <v>2.9258441355870982E-2</v>
      </c>
      <c r="D181" s="3">
        <v>121811</v>
      </c>
      <c r="E181" s="134">
        <v>720</v>
      </c>
      <c r="F181" s="83">
        <f t="shared" si="396"/>
        <v>0.41308089500860584</v>
      </c>
      <c r="G181" s="33">
        <v>1743</v>
      </c>
      <c r="H181" s="41">
        <v>31</v>
      </c>
      <c r="I181" s="83">
        <f t="shared" si="397"/>
        <v>0.73809523809523814</v>
      </c>
      <c r="J181" s="3">
        <v>42</v>
      </c>
      <c r="K181" s="140">
        <f t="shared" si="380"/>
        <v>4315</v>
      </c>
      <c r="L181" s="83">
        <f t="shared" si="381"/>
        <v>3.4912133078740415E-2</v>
      </c>
      <c r="M181" s="18">
        <f t="shared" si="382"/>
        <v>123596</v>
      </c>
      <c r="N181" s="136">
        <v>15681</v>
      </c>
      <c r="O181" s="6">
        <f t="shared" si="398"/>
        <v>2.6677078229625999E-2</v>
      </c>
      <c r="P181" s="3">
        <v>587808</v>
      </c>
      <c r="Q181" s="55">
        <v>4376</v>
      </c>
      <c r="R181" s="6">
        <f t="shared" si="399"/>
        <v>0.37507499785720411</v>
      </c>
      <c r="S181" s="33">
        <v>11667</v>
      </c>
      <c r="T181" s="3">
        <v>335</v>
      </c>
      <c r="U181" s="6">
        <f t="shared" si="400"/>
        <v>0.84810126582278478</v>
      </c>
      <c r="V181" s="3">
        <v>395</v>
      </c>
      <c r="W181" s="52">
        <f t="shared" si="383"/>
        <v>20392</v>
      </c>
      <c r="X181" s="6">
        <f t="shared" si="401"/>
        <v>3.3994032040275395E-2</v>
      </c>
      <c r="Y181" s="21">
        <f t="shared" si="384"/>
        <v>599870</v>
      </c>
      <c r="Z181" s="3">
        <v>32</v>
      </c>
      <c r="AA181" s="83">
        <f t="shared" si="402"/>
        <v>8.5657690454521115E-4</v>
      </c>
      <c r="AB181" s="33">
        <v>37358</v>
      </c>
      <c r="AC181" s="3">
        <v>45</v>
      </c>
      <c r="AD181" s="83">
        <f t="shared" si="403"/>
        <v>0.25423728813559321</v>
      </c>
      <c r="AE181" s="33">
        <v>177</v>
      </c>
      <c r="AF181" s="3">
        <v>10</v>
      </c>
      <c r="AG181" s="6">
        <f t="shared" si="404"/>
        <v>0.7142857142857143</v>
      </c>
      <c r="AH181" s="3">
        <v>14</v>
      </c>
      <c r="AI181" s="34">
        <f t="shared" si="385"/>
        <v>87</v>
      </c>
      <c r="AJ181" s="6">
        <f t="shared" si="379"/>
        <v>2.3169724892806733E-3</v>
      </c>
      <c r="AK181" s="37">
        <f t="shared" si="386"/>
        <v>37549</v>
      </c>
      <c r="AL181" s="84">
        <f t="shared" si="387"/>
        <v>2.5806684810911178E-2</v>
      </c>
      <c r="AM181" s="83">
        <f t="shared" si="388"/>
        <v>0.37837638919555455</v>
      </c>
      <c r="AN181" s="6">
        <f t="shared" si="389"/>
        <v>0.83370288248337032</v>
      </c>
      <c r="AO181" s="127">
        <f t="shared" si="390"/>
        <v>3.2580172532735888E-2</v>
      </c>
      <c r="AP181" s="52">
        <f t="shared" si="391"/>
        <v>24794</v>
      </c>
      <c r="AQ181" s="3">
        <f t="shared" si="377"/>
        <v>761015</v>
      </c>
      <c r="AR181" s="12">
        <f t="shared" si="392"/>
        <v>746977</v>
      </c>
      <c r="AS181" s="3">
        <f t="shared" si="393"/>
        <v>13587</v>
      </c>
      <c r="AT181" s="21">
        <f t="shared" si="394"/>
        <v>451</v>
      </c>
    </row>
    <row r="182" spans="1:46" x14ac:dyDescent="0.2">
      <c r="A182" s="109">
        <v>40797</v>
      </c>
      <c r="B182" s="3">
        <v>3415</v>
      </c>
      <c r="C182" s="83">
        <f t="shared" si="395"/>
        <v>2.787368283585135E-2</v>
      </c>
      <c r="D182" s="3">
        <v>122517</v>
      </c>
      <c r="E182" s="134">
        <v>725</v>
      </c>
      <c r="F182" s="83">
        <f t="shared" si="396"/>
        <v>0.41076487252124644</v>
      </c>
      <c r="G182" s="3">
        <v>1765</v>
      </c>
      <c r="H182" s="134">
        <v>31</v>
      </c>
      <c r="I182" s="83">
        <f t="shared" si="397"/>
        <v>0.73809523809523814</v>
      </c>
      <c r="J182" s="3">
        <v>42</v>
      </c>
      <c r="K182" s="140">
        <f t="shared" ref="K182:K190" si="405">+H182+E182+B182</f>
        <v>4171</v>
      </c>
      <c r="L182" s="83">
        <f t="shared" ref="L182:L190" si="406">K182/M182</f>
        <v>3.3549435346353081E-2</v>
      </c>
      <c r="M182" s="18">
        <f t="shared" ref="M182:M190" si="407">+J182+G182+D182</f>
        <v>124324</v>
      </c>
      <c r="N182" s="136">
        <v>14807</v>
      </c>
      <c r="O182" s="6">
        <f t="shared" si="398"/>
        <v>2.5181159112205559E-2</v>
      </c>
      <c r="P182" s="130">
        <v>588019</v>
      </c>
      <c r="Q182" s="55">
        <v>4381</v>
      </c>
      <c r="R182" s="6">
        <f t="shared" si="399"/>
        <v>0.37605150214592276</v>
      </c>
      <c r="S182" s="33">
        <v>11650</v>
      </c>
      <c r="T182" s="55">
        <v>333</v>
      </c>
      <c r="U182" s="6">
        <f t="shared" si="400"/>
        <v>0.84303797468354436</v>
      </c>
      <c r="V182" s="33">
        <v>395</v>
      </c>
      <c r="W182" s="52">
        <f t="shared" ref="W182:W188" si="408">+T182+Q182+N182</f>
        <v>19521</v>
      </c>
      <c r="X182" s="6">
        <f t="shared" si="401"/>
        <v>3.2531529970136516E-2</v>
      </c>
      <c r="Y182" s="21">
        <f t="shared" ref="Y182:Y188" si="409">+V182+S182+P182</f>
        <v>600064</v>
      </c>
      <c r="Z182" s="3">
        <v>32</v>
      </c>
      <c r="AA182" s="83">
        <f t="shared" si="402"/>
        <v>8.5577514508063004E-4</v>
      </c>
      <c r="AB182" s="33">
        <v>37393</v>
      </c>
      <c r="AC182" s="3">
        <v>46</v>
      </c>
      <c r="AD182" s="83">
        <f t="shared" si="403"/>
        <v>0.24598930481283424</v>
      </c>
      <c r="AE182" s="33">
        <v>187</v>
      </c>
      <c r="AF182" s="3">
        <v>8</v>
      </c>
      <c r="AG182" s="6">
        <f t="shared" si="404"/>
        <v>0.5714285714285714</v>
      </c>
      <c r="AH182" s="3">
        <v>14</v>
      </c>
      <c r="AI182" s="34">
        <f t="shared" ref="AI182:AI188" si="410">+AF182+AC182+Z182</f>
        <v>86</v>
      </c>
      <c r="AJ182" s="6">
        <f t="shared" ref="AJ182:AJ188" si="411">AI182/AK182</f>
        <v>2.287599084960366E-3</v>
      </c>
      <c r="AK182" s="37">
        <f t="shared" ref="AK182:AK188" si="412">+AH182+AE182+AB182</f>
        <v>37594</v>
      </c>
      <c r="AL182" s="84">
        <f t="shared" ref="AL182:AL188" si="413">(B182+N182+Z182)/AR182</f>
        <v>2.4406059933496361E-2</v>
      </c>
      <c r="AM182" s="83">
        <f t="shared" ref="AM182:AM188" si="414">(E182+Q182+AC182)/AS182</f>
        <v>0.37876782826054994</v>
      </c>
      <c r="AN182" s="6">
        <f t="shared" ref="AN182:AN188" si="415">(H182+T182+AF182)/AT182</f>
        <v>0.82483370288248337</v>
      </c>
      <c r="AO182" s="127">
        <f t="shared" ref="AO182:AO188" si="416">AP182/AQ182</f>
        <v>3.1205461546335741E-2</v>
      </c>
      <c r="AP182" s="52">
        <f t="shared" ref="AP182:AP188" si="417">AF182+AC182+Z182+T182+Q182+N182+H182+E182+B182</f>
        <v>23778</v>
      </c>
      <c r="AQ182" s="3">
        <f t="shared" si="377"/>
        <v>761982</v>
      </c>
      <c r="AR182" s="12">
        <f t="shared" ref="AR182:AR188" si="418">+D182+P182+AB182</f>
        <v>747929</v>
      </c>
      <c r="AS182" s="3">
        <f t="shared" ref="AS182:AS188" si="419">G182+S182+AE182</f>
        <v>13602</v>
      </c>
      <c r="AT182" s="21">
        <f t="shared" ref="AT182:AT188" si="420">J182+V182+AH182</f>
        <v>451</v>
      </c>
    </row>
    <row r="183" spans="1:46" x14ac:dyDescent="0.2">
      <c r="A183" s="109">
        <v>40756</v>
      </c>
      <c r="B183" s="3">
        <v>3437</v>
      </c>
      <c r="C183" s="83">
        <f t="shared" si="395"/>
        <v>2.7956726858630227E-2</v>
      </c>
      <c r="D183" s="3">
        <v>122940</v>
      </c>
      <c r="E183" s="134">
        <v>728</v>
      </c>
      <c r="F183" s="83">
        <f t="shared" si="396"/>
        <v>0.41223103057757643</v>
      </c>
      <c r="G183" s="3">
        <v>1766</v>
      </c>
      <c r="H183" s="134">
        <v>32</v>
      </c>
      <c r="I183" s="83">
        <f t="shared" si="397"/>
        <v>0.7441860465116279</v>
      </c>
      <c r="J183" s="3">
        <v>43</v>
      </c>
      <c r="K183" s="140">
        <f t="shared" si="405"/>
        <v>4197</v>
      </c>
      <c r="L183" s="83">
        <f t="shared" si="406"/>
        <v>3.3643556260972034E-2</v>
      </c>
      <c r="M183" s="18">
        <f t="shared" si="407"/>
        <v>124749</v>
      </c>
      <c r="N183" s="136">
        <v>14039</v>
      </c>
      <c r="O183" s="6">
        <f t="shared" si="398"/>
        <v>2.3876459433488949E-2</v>
      </c>
      <c r="P183" s="130">
        <v>587985</v>
      </c>
      <c r="Q183" s="55">
        <v>4379</v>
      </c>
      <c r="R183" s="6">
        <f t="shared" si="399"/>
        <v>0.37558967321382625</v>
      </c>
      <c r="S183" s="33">
        <v>11659</v>
      </c>
      <c r="T183" s="55">
        <v>334</v>
      </c>
      <c r="U183" s="6">
        <f t="shared" si="400"/>
        <v>0.84556962025316451</v>
      </c>
      <c r="V183" s="33">
        <v>395</v>
      </c>
      <c r="W183" s="52">
        <f t="shared" si="408"/>
        <v>18752</v>
      </c>
      <c r="X183" s="6">
        <f t="shared" si="401"/>
        <v>3.1251301998703421E-2</v>
      </c>
      <c r="Y183" s="21">
        <f t="shared" si="409"/>
        <v>600039</v>
      </c>
      <c r="Z183" s="3">
        <v>32</v>
      </c>
      <c r="AA183" s="83">
        <f t="shared" si="402"/>
        <v>8.5696687287432048E-4</v>
      </c>
      <c r="AB183" s="33">
        <v>37341</v>
      </c>
      <c r="AC183" s="3">
        <v>46</v>
      </c>
      <c r="AD183" s="83">
        <f t="shared" si="403"/>
        <v>0.24468085106382978</v>
      </c>
      <c r="AE183" s="33">
        <v>188</v>
      </c>
      <c r="AF183" s="3">
        <v>8</v>
      </c>
      <c r="AG183" s="6">
        <f t="shared" si="404"/>
        <v>0.5714285714285714</v>
      </c>
      <c r="AH183" s="3">
        <v>14</v>
      </c>
      <c r="AI183" s="34">
        <f t="shared" si="410"/>
        <v>86</v>
      </c>
      <c r="AJ183" s="6">
        <f t="shared" si="411"/>
        <v>2.2907066563673654E-3</v>
      </c>
      <c r="AK183" s="37">
        <f t="shared" si="412"/>
        <v>37543</v>
      </c>
      <c r="AL183" s="84">
        <f t="shared" si="413"/>
        <v>2.3398096398874198E-2</v>
      </c>
      <c r="AM183" s="83">
        <f t="shared" si="414"/>
        <v>0.37853522368324394</v>
      </c>
      <c r="AN183" s="6">
        <f t="shared" si="415"/>
        <v>0.82743362831858402</v>
      </c>
      <c r="AO183" s="127">
        <f t="shared" si="416"/>
        <v>3.0216533238186561E-2</v>
      </c>
      <c r="AP183" s="52">
        <f t="shared" si="417"/>
        <v>23035</v>
      </c>
      <c r="AQ183" s="3">
        <f t="shared" si="377"/>
        <v>762331</v>
      </c>
      <c r="AR183" s="12">
        <f t="shared" si="418"/>
        <v>748266</v>
      </c>
      <c r="AS183" s="3">
        <f t="shared" si="419"/>
        <v>13613</v>
      </c>
      <c r="AT183" s="21">
        <f t="shared" si="420"/>
        <v>452</v>
      </c>
    </row>
    <row r="184" spans="1:46" x14ac:dyDescent="0.2">
      <c r="A184" s="109">
        <v>40725</v>
      </c>
      <c r="B184" s="3">
        <v>3350</v>
      </c>
      <c r="C184" s="83">
        <f t="shared" si="395"/>
        <v>2.7295467322844269E-2</v>
      </c>
      <c r="D184" s="3">
        <v>122731</v>
      </c>
      <c r="E184" s="134">
        <v>723</v>
      </c>
      <c r="F184" s="83">
        <f t="shared" si="396"/>
        <v>0.41480206540447506</v>
      </c>
      <c r="G184" s="3">
        <v>1743</v>
      </c>
      <c r="H184" s="134">
        <v>32</v>
      </c>
      <c r="I184" s="83">
        <f t="shared" si="397"/>
        <v>0.7441860465116279</v>
      </c>
      <c r="J184" s="3">
        <v>43</v>
      </c>
      <c r="K184" s="140">
        <f t="shared" si="405"/>
        <v>4105</v>
      </c>
      <c r="L184" s="83">
        <f t="shared" si="406"/>
        <v>3.2967385979424495E-2</v>
      </c>
      <c r="M184" s="18">
        <f t="shared" si="407"/>
        <v>124517</v>
      </c>
      <c r="N184" s="136">
        <v>13884</v>
      </c>
      <c r="O184" s="6">
        <f t="shared" si="398"/>
        <v>2.361851103353951E-2</v>
      </c>
      <c r="P184" s="130">
        <v>587844</v>
      </c>
      <c r="Q184" s="55">
        <v>4400</v>
      </c>
      <c r="R184" s="6">
        <f t="shared" si="399"/>
        <v>0.37697052775873885</v>
      </c>
      <c r="S184" s="33">
        <v>11672</v>
      </c>
      <c r="T184" s="55">
        <v>333</v>
      </c>
      <c r="U184" s="6">
        <f t="shared" si="400"/>
        <v>0.84090909090909094</v>
      </c>
      <c r="V184" s="33">
        <v>396</v>
      </c>
      <c r="W184" s="52">
        <f t="shared" si="408"/>
        <v>18617</v>
      </c>
      <c r="X184" s="6">
        <f t="shared" si="401"/>
        <v>3.1032884823107388E-2</v>
      </c>
      <c r="Y184" s="21">
        <f t="shared" si="409"/>
        <v>599912</v>
      </c>
      <c r="Z184" s="3">
        <v>31</v>
      </c>
      <c r="AA184" s="83">
        <f t="shared" si="402"/>
        <v>8.3007551009478932E-4</v>
      </c>
      <c r="AB184" s="33">
        <v>37346</v>
      </c>
      <c r="AC184" s="3">
        <v>45</v>
      </c>
      <c r="AD184" s="83">
        <f t="shared" si="403"/>
        <v>0.23684210526315788</v>
      </c>
      <c r="AE184" s="33">
        <v>190</v>
      </c>
      <c r="AF184" s="3">
        <v>9</v>
      </c>
      <c r="AG184" s="6">
        <f t="shared" si="404"/>
        <v>0.6</v>
      </c>
      <c r="AH184" s="3">
        <v>15</v>
      </c>
      <c r="AI184" s="34">
        <f t="shared" si="410"/>
        <v>85</v>
      </c>
      <c r="AJ184" s="6">
        <f t="shared" si="411"/>
        <v>2.26358818673271E-3</v>
      </c>
      <c r="AK184" s="37">
        <f t="shared" si="412"/>
        <v>37551</v>
      </c>
      <c r="AL184" s="84">
        <f t="shared" si="413"/>
        <v>2.3083988817000727E-2</v>
      </c>
      <c r="AM184" s="83">
        <f t="shared" si="414"/>
        <v>0.37986034546122749</v>
      </c>
      <c r="AN184" s="6">
        <f t="shared" si="415"/>
        <v>0.82378854625550657</v>
      </c>
      <c r="AO184" s="127">
        <f t="shared" si="416"/>
        <v>2.9931231790860654E-2</v>
      </c>
      <c r="AP184" s="52">
        <f t="shared" si="417"/>
        <v>22807</v>
      </c>
      <c r="AQ184" s="3">
        <f t="shared" si="377"/>
        <v>761980</v>
      </c>
      <c r="AR184" s="12">
        <f t="shared" si="418"/>
        <v>747921</v>
      </c>
      <c r="AS184" s="3">
        <f t="shared" si="419"/>
        <v>13605</v>
      </c>
      <c r="AT184" s="21">
        <f t="shared" si="420"/>
        <v>454</v>
      </c>
    </row>
    <row r="185" spans="1:46" x14ac:dyDescent="0.2">
      <c r="A185" s="109">
        <v>40695</v>
      </c>
      <c r="B185" s="3">
        <v>3393</v>
      </c>
      <c r="C185" s="83">
        <f t="shared" si="395"/>
        <v>2.7662280487208337E-2</v>
      </c>
      <c r="D185" s="3">
        <v>122658</v>
      </c>
      <c r="E185" s="134">
        <v>726</v>
      </c>
      <c r="F185" s="83">
        <f t="shared" si="396"/>
        <v>0.41868512110726641</v>
      </c>
      <c r="G185" s="3">
        <v>1734</v>
      </c>
      <c r="H185" s="134">
        <v>33</v>
      </c>
      <c r="I185" s="83">
        <f t="shared" si="397"/>
        <v>0.75</v>
      </c>
      <c r="J185" s="3">
        <v>44</v>
      </c>
      <c r="K185" s="140">
        <f t="shared" si="405"/>
        <v>4152</v>
      </c>
      <c r="L185" s="83">
        <f t="shared" si="406"/>
        <v>3.3366549873027097E-2</v>
      </c>
      <c r="M185" s="18">
        <f t="shared" si="407"/>
        <v>124436</v>
      </c>
      <c r="N185" s="136">
        <v>13990</v>
      </c>
      <c r="O185" s="6">
        <f t="shared" si="398"/>
        <v>2.3807457400988035E-2</v>
      </c>
      <c r="P185" s="130">
        <v>587631</v>
      </c>
      <c r="Q185" s="55">
        <v>4390</v>
      </c>
      <c r="R185" s="6">
        <f t="shared" si="399"/>
        <v>0.37646857044850357</v>
      </c>
      <c r="S185" s="33">
        <v>11661</v>
      </c>
      <c r="T185" s="3">
        <v>333</v>
      </c>
      <c r="U185" s="6">
        <f t="shared" si="400"/>
        <v>0.84090909090909094</v>
      </c>
      <c r="V185" s="3">
        <v>396</v>
      </c>
      <c r="W185" s="52">
        <f t="shared" si="408"/>
        <v>18713</v>
      </c>
      <c r="X185" s="6">
        <f t="shared" si="401"/>
        <v>3.120455970437961E-2</v>
      </c>
      <c r="Y185" s="21">
        <f t="shared" si="409"/>
        <v>599688</v>
      </c>
      <c r="Z185" s="3">
        <v>31</v>
      </c>
      <c r="AA185" s="83">
        <f t="shared" si="402"/>
        <v>8.3067606313138079E-4</v>
      </c>
      <c r="AB185" s="33">
        <v>37319</v>
      </c>
      <c r="AC185" s="3">
        <v>45</v>
      </c>
      <c r="AD185" s="83">
        <f t="shared" si="403"/>
        <v>0.23936170212765959</v>
      </c>
      <c r="AE185" s="33">
        <v>188</v>
      </c>
      <c r="AF185" s="3">
        <v>9</v>
      </c>
      <c r="AG185" s="6">
        <f t="shared" si="404"/>
        <v>0.6</v>
      </c>
      <c r="AH185" s="3">
        <v>15</v>
      </c>
      <c r="AI185" s="34">
        <f t="shared" si="410"/>
        <v>85</v>
      </c>
      <c r="AJ185" s="6">
        <f t="shared" si="411"/>
        <v>2.2653376685677737E-3</v>
      </c>
      <c r="AK185" s="37">
        <f t="shared" si="412"/>
        <v>37522</v>
      </c>
      <c r="AL185" s="84">
        <f t="shared" si="413"/>
        <v>2.3292955666606028E-2</v>
      </c>
      <c r="AM185" s="83">
        <f t="shared" si="414"/>
        <v>0.37996024442317605</v>
      </c>
      <c r="AN185" s="6">
        <f t="shared" si="415"/>
        <v>0.82417582417582413</v>
      </c>
      <c r="AO185" s="127">
        <f t="shared" si="416"/>
        <v>3.0132108617389179E-2</v>
      </c>
      <c r="AP185" s="52">
        <f t="shared" si="417"/>
        <v>22950</v>
      </c>
      <c r="AQ185" s="3">
        <f t="shared" si="377"/>
        <v>761646</v>
      </c>
      <c r="AR185" s="12">
        <f t="shared" si="418"/>
        <v>747608</v>
      </c>
      <c r="AS185" s="3">
        <f t="shared" si="419"/>
        <v>13583</v>
      </c>
      <c r="AT185" s="21">
        <f t="shared" si="420"/>
        <v>455</v>
      </c>
    </row>
    <row r="186" spans="1:46" x14ac:dyDescent="0.2">
      <c r="A186" s="109">
        <v>40664</v>
      </c>
      <c r="B186" s="3">
        <v>3374</v>
      </c>
      <c r="C186" s="83">
        <f t="shared" si="395"/>
        <v>2.7597601773313593E-2</v>
      </c>
      <c r="D186" s="76">
        <v>122257</v>
      </c>
      <c r="E186" s="35">
        <v>729</v>
      </c>
      <c r="F186" s="83">
        <f t="shared" si="396"/>
        <v>0.4223638470451912</v>
      </c>
      <c r="G186" s="33">
        <v>1726</v>
      </c>
      <c r="H186" s="4">
        <v>33</v>
      </c>
      <c r="I186" s="83">
        <f t="shared" si="397"/>
        <v>0.75</v>
      </c>
      <c r="J186" s="4">
        <v>44</v>
      </c>
      <c r="K186" s="140">
        <f t="shared" si="405"/>
        <v>4136</v>
      </c>
      <c r="L186" s="83">
        <f t="shared" si="406"/>
        <v>3.3347577543599377E-2</v>
      </c>
      <c r="M186" s="18">
        <f t="shared" si="407"/>
        <v>124027</v>
      </c>
      <c r="N186" s="136">
        <v>14193</v>
      </c>
      <c r="O186" s="6">
        <f t="shared" si="398"/>
        <v>2.4143421415230105E-2</v>
      </c>
      <c r="P186" s="130">
        <v>587862</v>
      </c>
      <c r="Q186" s="55">
        <v>4379</v>
      </c>
      <c r="R186" s="6">
        <f t="shared" si="399"/>
        <v>0.37802140883977903</v>
      </c>
      <c r="S186" s="33">
        <v>11584</v>
      </c>
      <c r="T186" s="55">
        <v>333</v>
      </c>
      <c r="U186" s="6">
        <f t="shared" si="400"/>
        <v>0.84517766497461932</v>
      </c>
      <c r="V186" s="33">
        <v>394</v>
      </c>
      <c r="W186" s="52">
        <f t="shared" si="408"/>
        <v>18905</v>
      </c>
      <c r="X186" s="6">
        <f t="shared" si="401"/>
        <v>3.1516737796745797E-2</v>
      </c>
      <c r="Y186" s="21">
        <f t="shared" si="409"/>
        <v>599840</v>
      </c>
      <c r="Z186" s="34">
        <v>31</v>
      </c>
      <c r="AA186" s="83">
        <f t="shared" si="402"/>
        <v>8.3076510786546961E-4</v>
      </c>
      <c r="AB186" s="3">
        <v>37315</v>
      </c>
      <c r="AC186" s="35">
        <v>46</v>
      </c>
      <c r="AD186" s="83">
        <f t="shared" si="403"/>
        <v>0.24864864864864866</v>
      </c>
      <c r="AE186" s="36">
        <v>185</v>
      </c>
      <c r="AF186" s="4">
        <v>9</v>
      </c>
      <c r="AG186" s="6">
        <f t="shared" si="404"/>
        <v>0.6</v>
      </c>
      <c r="AH186" s="37">
        <v>15</v>
      </c>
      <c r="AI186" s="34">
        <f t="shared" si="410"/>
        <v>86</v>
      </c>
      <c r="AJ186" s="6">
        <f t="shared" si="411"/>
        <v>2.2924163667866187E-3</v>
      </c>
      <c r="AK186" s="37">
        <f t="shared" si="412"/>
        <v>37515</v>
      </c>
      <c r="AL186" s="84">
        <f t="shared" si="413"/>
        <v>2.3544553766620197E-2</v>
      </c>
      <c r="AM186" s="83">
        <f t="shared" si="414"/>
        <v>0.38191922934420158</v>
      </c>
      <c r="AN186" s="6">
        <f t="shared" si="415"/>
        <v>0.82781456953642385</v>
      </c>
      <c r="AO186" s="127">
        <f t="shared" si="416"/>
        <v>3.0375028566475174E-2</v>
      </c>
      <c r="AP186" s="52">
        <f t="shared" si="417"/>
        <v>23127</v>
      </c>
      <c r="AQ186" s="3">
        <f t="shared" si="377"/>
        <v>761382</v>
      </c>
      <c r="AR186" s="12">
        <f t="shared" si="418"/>
        <v>747434</v>
      </c>
      <c r="AS186" s="3">
        <f t="shared" si="419"/>
        <v>13495</v>
      </c>
      <c r="AT186" s="21">
        <f t="shared" si="420"/>
        <v>453</v>
      </c>
    </row>
    <row r="187" spans="1:46" x14ac:dyDescent="0.2">
      <c r="A187" s="109">
        <v>40634</v>
      </c>
      <c r="B187" s="3">
        <v>3382</v>
      </c>
      <c r="C187" s="83">
        <f t="shared" si="395"/>
        <v>2.7863828104402848E-2</v>
      </c>
      <c r="D187" s="76">
        <v>121376</v>
      </c>
      <c r="E187" s="35">
        <v>712</v>
      </c>
      <c r="F187" s="83">
        <f t="shared" si="396"/>
        <v>0.41710603397773871</v>
      </c>
      <c r="G187" s="33">
        <v>1707</v>
      </c>
      <c r="H187" s="4">
        <v>33</v>
      </c>
      <c r="I187" s="83">
        <f t="shared" si="397"/>
        <v>0.75</v>
      </c>
      <c r="J187" s="4">
        <v>44</v>
      </c>
      <c r="K187" s="140">
        <f t="shared" si="405"/>
        <v>4127</v>
      </c>
      <c r="L187" s="83">
        <f t="shared" si="406"/>
        <v>3.3518237267211905E-2</v>
      </c>
      <c r="M187" s="18">
        <f t="shared" si="407"/>
        <v>123127</v>
      </c>
      <c r="N187" s="53">
        <v>14443</v>
      </c>
      <c r="O187" s="6">
        <f t="shared" ref="O187:O193" si="421">N187/P187</f>
        <v>2.4534260141637235E-2</v>
      </c>
      <c r="P187" s="3">
        <v>588687</v>
      </c>
      <c r="Q187" s="55">
        <v>4380</v>
      </c>
      <c r="R187" s="6">
        <f t="shared" ref="R187:R193" si="422">Q187/S187</f>
        <v>0.37846712174889829</v>
      </c>
      <c r="S187" s="33">
        <v>11573</v>
      </c>
      <c r="T187" s="4">
        <v>328</v>
      </c>
      <c r="U187" s="6">
        <f t="shared" ref="U187:U193" si="423">T187/V187</f>
        <v>0.84536082474226804</v>
      </c>
      <c r="V187" s="21">
        <v>388</v>
      </c>
      <c r="W187" s="52">
        <f t="shared" si="408"/>
        <v>19151</v>
      </c>
      <c r="X187" s="6">
        <f t="shared" si="401"/>
        <v>3.18838987227128E-2</v>
      </c>
      <c r="Y187" s="21">
        <f t="shared" si="409"/>
        <v>600648</v>
      </c>
      <c r="Z187" s="34">
        <v>31</v>
      </c>
      <c r="AA187" s="83">
        <f t="shared" si="402"/>
        <v>8.3192442905831519E-4</v>
      </c>
      <c r="AB187" s="3">
        <v>37263</v>
      </c>
      <c r="AC187" s="35">
        <v>46</v>
      </c>
      <c r="AD187" s="83">
        <f t="shared" si="403"/>
        <v>0.24864864864864866</v>
      </c>
      <c r="AE187" s="36">
        <v>185</v>
      </c>
      <c r="AF187" s="4">
        <v>9</v>
      </c>
      <c r="AG187" s="6">
        <f t="shared" si="404"/>
        <v>0.6</v>
      </c>
      <c r="AH187" s="37">
        <v>15</v>
      </c>
      <c r="AI187" s="34">
        <f t="shared" si="410"/>
        <v>86</v>
      </c>
      <c r="AJ187" s="6">
        <f t="shared" si="411"/>
        <v>2.2955983236793635E-3</v>
      </c>
      <c r="AK187" s="37">
        <f t="shared" si="412"/>
        <v>37463</v>
      </c>
      <c r="AL187" s="84">
        <f t="shared" si="413"/>
        <v>2.3893187176680594E-2</v>
      </c>
      <c r="AM187" s="83">
        <f t="shared" si="414"/>
        <v>0.38158187894541401</v>
      </c>
      <c r="AN187" s="6">
        <f t="shared" si="415"/>
        <v>0.82774049217002232</v>
      </c>
      <c r="AO187" s="127">
        <f t="shared" si="416"/>
        <v>3.0692109432266912E-2</v>
      </c>
      <c r="AP187" s="52">
        <f t="shared" si="417"/>
        <v>23364</v>
      </c>
      <c r="AQ187" s="3">
        <f t="shared" si="377"/>
        <v>761238</v>
      </c>
      <c r="AR187" s="12">
        <f t="shared" si="418"/>
        <v>747326</v>
      </c>
      <c r="AS187" s="3">
        <f t="shared" si="419"/>
        <v>13465</v>
      </c>
      <c r="AT187" s="21">
        <f t="shared" si="420"/>
        <v>447</v>
      </c>
    </row>
    <row r="188" spans="1:46" x14ac:dyDescent="0.2">
      <c r="A188" s="109">
        <v>40603</v>
      </c>
      <c r="B188" s="3">
        <v>3414</v>
      </c>
      <c r="C188" s="83">
        <f t="shared" si="395"/>
        <v>2.8233542838240158E-2</v>
      </c>
      <c r="D188" s="76">
        <v>120920</v>
      </c>
      <c r="E188" s="35">
        <v>719</v>
      </c>
      <c r="F188" s="83">
        <f t="shared" si="396"/>
        <v>0.42951015531660691</v>
      </c>
      <c r="G188" s="33">
        <v>1674</v>
      </c>
      <c r="H188" s="4">
        <v>33</v>
      </c>
      <c r="I188" s="83">
        <f t="shared" si="397"/>
        <v>0.76744186046511631</v>
      </c>
      <c r="J188" s="4">
        <v>43</v>
      </c>
      <c r="K188" s="140">
        <f t="shared" si="405"/>
        <v>4166</v>
      </c>
      <c r="L188" s="83">
        <f t="shared" si="406"/>
        <v>3.3970172134021544E-2</v>
      </c>
      <c r="M188" s="18">
        <f t="shared" si="407"/>
        <v>122637</v>
      </c>
      <c r="N188" s="53">
        <v>14552</v>
      </c>
      <c r="O188" s="6">
        <f t="shared" si="421"/>
        <v>2.472302969244021E-2</v>
      </c>
      <c r="P188" s="3">
        <v>588601</v>
      </c>
      <c r="Q188" s="55">
        <v>4362</v>
      </c>
      <c r="R188" s="6">
        <f t="shared" si="422"/>
        <v>0.37658637658637656</v>
      </c>
      <c r="S188" s="33">
        <v>11583</v>
      </c>
      <c r="T188" s="4">
        <v>326</v>
      </c>
      <c r="U188" s="6">
        <f t="shared" si="423"/>
        <v>0.84455958549222798</v>
      </c>
      <c r="V188" s="21">
        <v>386</v>
      </c>
      <c r="W188" s="52">
        <f t="shared" si="408"/>
        <v>19240</v>
      </c>
      <c r="X188" s="6">
        <f t="shared" ref="X188:X193" si="424">W188/Y188</f>
        <v>3.2036232246032935E-2</v>
      </c>
      <c r="Y188" s="21">
        <f t="shared" si="409"/>
        <v>600570</v>
      </c>
      <c r="Z188" s="34">
        <v>31</v>
      </c>
      <c r="AA188" s="83">
        <f t="shared" si="402"/>
        <v>8.3187977995438081E-4</v>
      </c>
      <c r="AB188" s="3">
        <v>37265</v>
      </c>
      <c r="AC188" s="35">
        <v>46</v>
      </c>
      <c r="AD188" s="83">
        <f t="shared" si="403"/>
        <v>0.25274725274725274</v>
      </c>
      <c r="AE188" s="36">
        <v>182</v>
      </c>
      <c r="AF188" s="4">
        <v>10</v>
      </c>
      <c r="AG188" s="6">
        <f t="shared" si="404"/>
        <v>0.58823529411764708</v>
      </c>
      <c r="AH188" s="37">
        <v>17</v>
      </c>
      <c r="AI188" s="34">
        <f t="shared" si="410"/>
        <v>87</v>
      </c>
      <c r="AJ188" s="6">
        <f t="shared" si="411"/>
        <v>2.3222293401665597E-3</v>
      </c>
      <c r="AK188" s="37">
        <f t="shared" si="412"/>
        <v>37464</v>
      </c>
      <c r="AL188" s="84">
        <f t="shared" si="413"/>
        <v>2.409927341969453E-2</v>
      </c>
      <c r="AM188" s="83">
        <f t="shared" si="414"/>
        <v>0.38150159982141529</v>
      </c>
      <c r="AN188" s="6">
        <f t="shared" si="415"/>
        <v>0.82735426008968604</v>
      </c>
      <c r="AO188" s="127">
        <f t="shared" si="416"/>
        <v>3.0884574277184221E-2</v>
      </c>
      <c r="AP188" s="52">
        <f t="shared" si="417"/>
        <v>23493</v>
      </c>
      <c r="AQ188" s="3">
        <f t="shared" si="377"/>
        <v>760671</v>
      </c>
      <c r="AR188" s="12">
        <f t="shared" si="418"/>
        <v>746786</v>
      </c>
      <c r="AS188" s="3">
        <f t="shared" si="419"/>
        <v>13439</v>
      </c>
      <c r="AT188" s="21">
        <f t="shared" si="420"/>
        <v>446</v>
      </c>
    </row>
    <row r="189" spans="1:46" x14ac:dyDescent="0.2">
      <c r="A189" s="109">
        <v>40575</v>
      </c>
      <c r="B189" s="3">
        <v>3395</v>
      </c>
      <c r="C189" s="83">
        <f t="shared" si="395"/>
        <v>2.810104789180062E-2</v>
      </c>
      <c r="D189" s="76">
        <v>120814</v>
      </c>
      <c r="E189" s="35">
        <v>719</v>
      </c>
      <c r="F189" s="83">
        <f t="shared" si="396"/>
        <v>0.43523002421307505</v>
      </c>
      <c r="G189" s="33">
        <v>1652</v>
      </c>
      <c r="H189" s="4">
        <v>33</v>
      </c>
      <c r="I189" s="83">
        <f t="shared" si="397"/>
        <v>0.7857142857142857</v>
      </c>
      <c r="J189" s="4">
        <v>42</v>
      </c>
      <c r="K189" s="140">
        <f t="shared" si="405"/>
        <v>4147</v>
      </c>
      <c r="L189" s="83">
        <f t="shared" si="406"/>
        <v>3.3850850556698335E-2</v>
      </c>
      <c r="M189" s="18">
        <f t="shared" si="407"/>
        <v>122508</v>
      </c>
      <c r="N189" s="53">
        <v>14509</v>
      </c>
      <c r="O189" s="6">
        <f t="shared" si="421"/>
        <v>2.4653912357881894E-2</v>
      </c>
      <c r="P189" s="3">
        <v>588507</v>
      </c>
      <c r="Q189" s="55">
        <v>4379</v>
      </c>
      <c r="R189" s="6">
        <f t="shared" si="422"/>
        <v>0.37890456000692219</v>
      </c>
      <c r="S189" s="33">
        <v>11557</v>
      </c>
      <c r="T189" s="4">
        <v>322</v>
      </c>
      <c r="U189" s="6">
        <f t="shared" si="423"/>
        <v>0.83854166666666663</v>
      </c>
      <c r="V189" s="21">
        <v>384</v>
      </c>
      <c r="W189" s="52">
        <f t="shared" ref="W189:W194" si="425">+T189+Q189+N189</f>
        <v>19210</v>
      </c>
      <c r="X189" s="6">
        <f t="shared" si="424"/>
        <v>3.1992778725218503E-2</v>
      </c>
      <c r="Y189" s="21">
        <f t="shared" ref="Y189:Y194" si="426">+V189+S189+P189</f>
        <v>600448</v>
      </c>
      <c r="Z189" s="34">
        <v>32</v>
      </c>
      <c r="AA189" s="83">
        <f t="shared" si="402"/>
        <v>8.5887594610553435E-4</v>
      </c>
      <c r="AB189" s="3">
        <v>37258</v>
      </c>
      <c r="AC189" s="35">
        <v>57</v>
      </c>
      <c r="AD189" s="83">
        <f t="shared" si="403"/>
        <v>0.30810810810810813</v>
      </c>
      <c r="AE189" s="36">
        <v>185</v>
      </c>
      <c r="AF189" s="4">
        <v>10</v>
      </c>
      <c r="AG189" s="6">
        <f t="shared" si="404"/>
        <v>0.58823529411764708</v>
      </c>
      <c r="AH189" s="37">
        <v>17</v>
      </c>
      <c r="AI189" s="34">
        <f t="shared" ref="AI189:AI194" si="427">+AF189+AC189+Z189</f>
        <v>99</v>
      </c>
      <c r="AJ189" s="6">
        <f>AI189/AK189</f>
        <v>2.6428190069407369E-3</v>
      </c>
      <c r="AK189" s="37">
        <f t="shared" ref="AK189:AK194" si="428">+AH189+AE189+AB189</f>
        <v>37460</v>
      </c>
      <c r="AL189" s="84">
        <f t="shared" ref="AL189:AL194" si="429">(B189+N189+Z189)/AR189</f>
        <v>2.402424927569621E-2</v>
      </c>
      <c r="AM189" s="83">
        <f t="shared" ref="AM189:AM194" si="430">(E189+Q189+AC189)/AS189</f>
        <v>0.38487382410034343</v>
      </c>
      <c r="AN189" s="6">
        <f t="shared" ref="AN189:AN194" si="431">(H189+T189+AF189)/AT189</f>
        <v>0.82392776523702027</v>
      </c>
      <c r="AO189" s="127">
        <f t="shared" ref="AO189:AO194" si="432">AP189/AQ189</f>
        <v>3.0846273618650843E-2</v>
      </c>
      <c r="AP189" s="52">
        <f t="shared" ref="AP189:AP194" si="433">AF189+AC189+Z189+T189+Q189+N189+H189+E189+B189</f>
        <v>23456</v>
      </c>
      <c r="AQ189" s="3">
        <f t="shared" si="377"/>
        <v>760416</v>
      </c>
      <c r="AR189" s="12">
        <f t="shared" ref="AR189:AR194" si="434">+D189+P189+AB189</f>
        <v>746579</v>
      </c>
      <c r="AS189" s="3">
        <f t="shared" ref="AS189:AS194" si="435">G189+S189+AE189</f>
        <v>13394</v>
      </c>
      <c r="AT189" s="21">
        <f t="shared" ref="AT189:AT194" si="436">J189+V189+AH189</f>
        <v>443</v>
      </c>
    </row>
    <row r="190" spans="1:46" x14ac:dyDescent="0.2">
      <c r="A190" s="109">
        <v>40544</v>
      </c>
      <c r="B190" s="3">
        <v>3364</v>
      </c>
      <c r="C190" s="83">
        <f t="shared" si="395"/>
        <v>2.7847912648283513E-2</v>
      </c>
      <c r="D190" s="76">
        <v>120799</v>
      </c>
      <c r="E190" s="35">
        <v>713</v>
      </c>
      <c r="F190" s="83">
        <f t="shared" si="396"/>
        <v>0.43238326258338389</v>
      </c>
      <c r="G190" s="33">
        <v>1649</v>
      </c>
      <c r="H190" s="4">
        <v>33</v>
      </c>
      <c r="I190" s="83">
        <f t="shared" si="397"/>
        <v>0.7857142857142857</v>
      </c>
      <c r="J190" s="4">
        <v>42</v>
      </c>
      <c r="K190" s="140">
        <f t="shared" si="405"/>
        <v>4110</v>
      </c>
      <c r="L190" s="83">
        <f t="shared" si="406"/>
        <v>3.3553759490570656E-2</v>
      </c>
      <c r="M190" s="18">
        <f t="shared" si="407"/>
        <v>122490</v>
      </c>
      <c r="N190" s="53">
        <v>14509</v>
      </c>
      <c r="O190" s="6">
        <f t="shared" si="421"/>
        <v>2.4658940459255558E-2</v>
      </c>
      <c r="P190" s="3">
        <v>588387</v>
      </c>
      <c r="Q190" s="55">
        <v>4349</v>
      </c>
      <c r="R190" s="6">
        <f t="shared" si="422"/>
        <v>0.37614599550250821</v>
      </c>
      <c r="S190" s="33">
        <v>11562</v>
      </c>
      <c r="T190" s="4">
        <v>324</v>
      </c>
      <c r="U190" s="6">
        <f t="shared" si="423"/>
        <v>0.84595300261096606</v>
      </c>
      <c r="V190" s="21">
        <v>383</v>
      </c>
      <c r="W190" s="52">
        <f t="shared" si="425"/>
        <v>19182</v>
      </c>
      <c r="X190" s="6">
        <f t="shared" si="424"/>
        <v>3.195231971642358E-2</v>
      </c>
      <c r="Y190" s="21">
        <f t="shared" si="426"/>
        <v>600332</v>
      </c>
      <c r="Z190" s="34">
        <v>34</v>
      </c>
      <c r="AA190" s="83">
        <f t="shared" si="402"/>
        <v>9.1277618191092373E-4</v>
      </c>
      <c r="AB190" s="3">
        <v>37249</v>
      </c>
      <c r="AC190" s="35">
        <v>49</v>
      </c>
      <c r="AD190" s="83">
        <f t="shared" si="403"/>
        <v>0.28823529411764703</v>
      </c>
      <c r="AE190" s="36">
        <v>170</v>
      </c>
      <c r="AF190" s="4">
        <v>10</v>
      </c>
      <c r="AG190" s="6">
        <f t="shared" si="404"/>
        <v>0.58823529411764708</v>
      </c>
      <c r="AH190" s="37">
        <v>17</v>
      </c>
      <c r="AI190" s="34">
        <f t="shared" si="427"/>
        <v>93</v>
      </c>
      <c r="AJ190" s="6">
        <f>AI190/AK190</f>
        <v>2.4842397692061116E-3</v>
      </c>
      <c r="AK190" s="37">
        <f t="shared" si="428"/>
        <v>37436</v>
      </c>
      <c r="AL190" s="84">
        <f t="shared" si="429"/>
        <v>2.3990032621728618E-2</v>
      </c>
      <c r="AM190" s="83">
        <f t="shared" si="430"/>
        <v>0.38195949480606828</v>
      </c>
      <c r="AN190" s="6">
        <f t="shared" si="431"/>
        <v>0.83031674208144801</v>
      </c>
      <c r="AO190" s="127">
        <f t="shared" si="432"/>
        <v>3.0759294870951703E-2</v>
      </c>
      <c r="AP190" s="52">
        <f t="shared" si="433"/>
        <v>23385</v>
      </c>
      <c r="AQ190" s="3">
        <f t="shared" si="377"/>
        <v>760258</v>
      </c>
      <c r="AR190" s="12">
        <f t="shared" si="434"/>
        <v>746435</v>
      </c>
      <c r="AS190" s="3">
        <f t="shared" si="435"/>
        <v>13381</v>
      </c>
      <c r="AT190" s="21">
        <f t="shared" si="436"/>
        <v>442</v>
      </c>
    </row>
    <row r="191" spans="1:46" x14ac:dyDescent="0.2">
      <c r="A191" s="109">
        <v>40513</v>
      </c>
      <c r="B191" s="3">
        <v>3311</v>
      </c>
      <c r="C191" s="83">
        <f t="shared" si="395"/>
        <v>2.7381287110699461E-2</v>
      </c>
      <c r="D191" s="76">
        <v>120922</v>
      </c>
      <c r="E191" s="35">
        <v>699</v>
      </c>
      <c r="F191" s="83">
        <f t="shared" si="396"/>
        <v>0.42595978062157219</v>
      </c>
      <c r="G191" s="33">
        <v>1641</v>
      </c>
      <c r="H191" s="4">
        <v>33</v>
      </c>
      <c r="I191" s="83">
        <f t="shared" si="397"/>
        <v>0.7857142857142857</v>
      </c>
      <c r="J191" s="4">
        <v>42</v>
      </c>
      <c r="K191" s="140">
        <f>+H191+E191+B191</f>
        <v>4043</v>
      </c>
      <c r="L191" s="83">
        <f>K191/M191</f>
        <v>3.2975816646955668E-2</v>
      </c>
      <c r="M191" s="18">
        <f>+J191+G191+D191</f>
        <v>122605</v>
      </c>
      <c r="N191" s="53">
        <v>14108</v>
      </c>
      <c r="O191" s="6">
        <f t="shared" si="421"/>
        <v>2.4010510980707177E-2</v>
      </c>
      <c r="P191" s="3">
        <v>587576</v>
      </c>
      <c r="Q191" s="55">
        <v>4264</v>
      </c>
      <c r="R191" s="6">
        <f t="shared" si="422"/>
        <v>0.37046046915725456</v>
      </c>
      <c r="S191" s="33">
        <v>11510</v>
      </c>
      <c r="T191" s="4">
        <v>302</v>
      </c>
      <c r="U191" s="6">
        <f t="shared" si="423"/>
        <v>0.83656509695290859</v>
      </c>
      <c r="V191" s="21">
        <v>361</v>
      </c>
      <c r="W191" s="52">
        <f t="shared" si="425"/>
        <v>18674</v>
      </c>
      <c r="X191" s="6">
        <f t="shared" si="424"/>
        <v>3.1152045134932697E-2</v>
      </c>
      <c r="Y191" s="21">
        <f t="shared" si="426"/>
        <v>599447</v>
      </c>
      <c r="Z191" s="34">
        <v>34</v>
      </c>
      <c r="AA191" s="83">
        <f>Z191/AB191</f>
        <v>9.1255569273713025E-4</v>
      </c>
      <c r="AB191" s="3">
        <v>37258</v>
      </c>
      <c r="AC191" s="35">
        <v>56</v>
      </c>
      <c r="AD191" s="83">
        <f>AC191/AE191</f>
        <v>0.30939226519337015</v>
      </c>
      <c r="AE191" s="36">
        <v>181</v>
      </c>
      <c r="AF191" s="4">
        <v>10</v>
      </c>
      <c r="AG191" s="6">
        <f>AF191/AH191</f>
        <v>0.58823529411764708</v>
      </c>
      <c r="AH191" s="37">
        <v>17</v>
      </c>
      <c r="AI191" s="34">
        <f t="shared" si="427"/>
        <v>100</v>
      </c>
      <c r="AJ191" s="6">
        <f>AI191/AK191</f>
        <v>2.6697992310978215E-3</v>
      </c>
      <c r="AK191" s="37">
        <f t="shared" si="428"/>
        <v>37456</v>
      </c>
      <c r="AL191" s="84">
        <f t="shared" si="429"/>
        <v>2.3403096991509286E-2</v>
      </c>
      <c r="AM191" s="83">
        <f t="shared" si="430"/>
        <v>0.37646264626462644</v>
      </c>
      <c r="AN191" s="6">
        <f t="shared" si="431"/>
        <v>0.8214285714285714</v>
      </c>
      <c r="AO191" s="127">
        <f t="shared" si="432"/>
        <v>3.0041816544394528E-2</v>
      </c>
      <c r="AP191" s="52">
        <f t="shared" si="433"/>
        <v>22817</v>
      </c>
      <c r="AQ191" s="3">
        <f t="shared" si="377"/>
        <v>759508</v>
      </c>
      <c r="AR191" s="12">
        <f t="shared" si="434"/>
        <v>745756</v>
      </c>
      <c r="AS191" s="3">
        <f t="shared" si="435"/>
        <v>13332</v>
      </c>
      <c r="AT191" s="21">
        <f t="shared" si="436"/>
        <v>420</v>
      </c>
    </row>
    <row r="192" spans="1:46" x14ac:dyDescent="0.2">
      <c r="A192" s="109">
        <v>40483</v>
      </c>
      <c r="B192" s="3">
        <v>3974</v>
      </c>
      <c r="C192" s="83">
        <f t="shared" si="395"/>
        <v>3.2636368115894418E-2</v>
      </c>
      <c r="D192" s="76">
        <v>121766</v>
      </c>
      <c r="E192" s="35">
        <v>692</v>
      </c>
      <c r="F192" s="83">
        <f t="shared" si="396"/>
        <v>0.41586538461538464</v>
      </c>
      <c r="G192" s="33">
        <v>1664</v>
      </c>
      <c r="H192" s="4">
        <v>33</v>
      </c>
      <c r="I192" s="83">
        <f>H192/J192</f>
        <v>0.76744186046511631</v>
      </c>
      <c r="J192" s="4">
        <v>43</v>
      </c>
      <c r="K192" s="140">
        <f>+H192+E192+B192</f>
        <v>4699</v>
      </c>
      <c r="L192" s="83">
        <f>K192/M192</f>
        <v>3.8056903128619216E-2</v>
      </c>
      <c r="M192" s="18">
        <f>+J192+G192+D192</f>
        <v>123473</v>
      </c>
      <c r="N192" s="53">
        <v>14108</v>
      </c>
      <c r="O192" s="6">
        <f t="shared" si="421"/>
        <v>2.4010510980707177E-2</v>
      </c>
      <c r="P192" s="3">
        <v>587576</v>
      </c>
      <c r="Q192" s="55">
        <v>4264</v>
      </c>
      <c r="R192" s="6">
        <f t="shared" si="422"/>
        <v>0.37046046915725456</v>
      </c>
      <c r="S192" s="33">
        <v>11510</v>
      </c>
      <c r="T192" s="4">
        <v>302</v>
      </c>
      <c r="U192" s="6">
        <f t="shared" si="423"/>
        <v>0.83656509695290859</v>
      </c>
      <c r="V192" s="21">
        <v>361</v>
      </c>
      <c r="W192" s="52">
        <f t="shared" si="425"/>
        <v>18674</v>
      </c>
      <c r="X192" s="6">
        <f t="shared" si="424"/>
        <v>3.1152045134932697E-2</v>
      </c>
      <c r="Y192" s="21">
        <f t="shared" si="426"/>
        <v>599447</v>
      </c>
      <c r="Z192" s="34">
        <v>34</v>
      </c>
      <c r="AA192" s="83">
        <f>Z192/AB192</f>
        <v>9.1231082966620157E-4</v>
      </c>
      <c r="AB192" s="3">
        <v>37268</v>
      </c>
      <c r="AC192" s="35">
        <v>56</v>
      </c>
      <c r="AD192" s="83">
        <f>AC192/AE192</f>
        <v>0.30107526881720431</v>
      </c>
      <c r="AE192" s="36">
        <v>186</v>
      </c>
      <c r="AF192" s="4">
        <v>10</v>
      </c>
      <c r="AG192" s="6">
        <f>AF192/AH192</f>
        <v>0.58823529411764708</v>
      </c>
      <c r="AH192" s="37">
        <v>17</v>
      </c>
      <c r="AI192" s="34">
        <f t="shared" si="427"/>
        <v>100</v>
      </c>
      <c r="AJ192" s="6">
        <f>AI192/AK192</f>
        <v>2.668730484908329E-3</v>
      </c>
      <c r="AK192" s="37">
        <f t="shared" si="428"/>
        <v>37471</v>
      </c>
      <c r="AL192" s="84">
        <f t="shared" si="429"/>
        <v>2.426434149020238E-2</v>
      </c>
      <c r="AM192" s="83">
        <f t="shared" si="430"/>
        <v>0.37514970059880237</v>
      </c>
      <c r="AN192" s="6">
        <f t="shared" si="431"/>
        <v>0.81947743467933487</v>
      </c>
      <c r="AO192" s="127">
        <f t="shared" si="432"/>
        <v>3.0869644695952478E-2</v>
      </c>
      <c r="AP192" s="52">
        <f t="shared" si="433"/>
        <v>23473</v>
      </c>
      <c r="AQ192" s="3">
        <f t="shared" si="377"/>
        <v>760391</v>
      </c>
      <c r="AR192" s="12">
        <f t="shared" si="434"/>
        <v>746610</v>
      </c>
      <c r="AS192" s="3">
        <f t="shared" si="435"/>
        <v>13360</v>
      </c>
      <c r="AT192" s="21">
        <f t="shared" si="436"/>
        <v>421</v>
      </c>
    </row>
    <row r="193" spans="1:46" x14ac:dyDescent="0.2">
      <c r="A193" s="109">
        <v>40452</v>
      </c>
      <c r="B193" s="3">
        <v>3294</v>
      </c>
      <c r="C193" s="83">
        <f t="shared" si="395"/>
        <v>2.7066779513389594E-2</v>
      </c>
      <c r="D193" s="76">
        <v>121699</v>
      </c>
      <c r="E193" s="35">
        <v>704</v>
      </c>
      <c r="F193" s="83">
        <f>E193/G193</f>
        <v>0.41363102232667448</v>
      </c>
      <c r="G193" s="33">
        <v>1702</v>
      </c>
      <c r="H193" s="4">
        <v>32</v>
      </c>
      <c r="I193" s="83">
        <f>H193/J193</f>
        <v>0.78048780487804881</v>
      </c>
      <c r="J193" s="4">
        <v>41</v>
      </c>
      <c r="K193" s="140">
        <f>+H193+E193+B193</f>
        <v>4030</v>
      </c>
      <c r="L193" s="83">
        <f>K193/M193</f>
        <v>3.2646911099949771E-2</v>
      </c>
      <c r="M193" s="18">
        <f>+J193+G193+D193</f>
        <v>123442</v>
      </c>
      <c r="N193" s="53">
        <v>14144</v>
      </c>
      <c r="O193" s="6">
        <f t="shared" si="421"/>
        <v>2.4090434510092469E-2</v>
      </c>
      <c r="P193" s="3">
        <v>587121</v>
      </c>
      <c r="Q193" s="55">
        <v>4250</v>
      </c>
      <c r="R193" s="6">
        <f t="shared" si="422"/>
        <v>0.37117903930131002</v>
      </c>
      <c r="S193" s="33">
        <v>11450</v>
      </c>
      <c r="T193" s="4">
        <v>302</v>
      </c>
      <c r="U193" s="6">
        <f t="shared" si="423"/>
        <v>0.83425414364640882</v>
      </c>
      <c r="V193" s="21">
        <v>362</v>
      </c>
      <c r="W193" s="52">
        <f t="shared" si="425"/>
        <v>18696</v>
      </c>
      <c r="X193" s="6">
        <f t="shared" si="424"/>
        <v>3.1215511584768246E-2</v>
      </c>
      <c r="Y193" s="21">
        <f t="shared" si="426"/>
        <v>598933</v>
      </c>
      <c r="Z193" s="34">
        <v>31</v>
      </c>
      <c r="AA193" s="83">
        <f>Z193/AB193</f>
        <v>8.3127748578783656E-4</v>
      </c>
      <c r="AB193" s="3">
        <v>37292</v>
      </c>
      <c r="AC193" s="35">
        <v>56</v>
      </c>
      <c r="AD193" s="83">
        <f>AC193/AE193</f>
        <v>0.29319371727748689</v>
      </c>
      <c r="AE193" s="36">
        <v>191</v>
      </c>
      <c r="AF193" s="4">
        <v>10</v>
      </c>
      <c r="AG193" s="6">
        <f>AF193/AH193</f>
        <v>0.58823529411764708</v>
      </c>
      <c r="AH193" s="37">
        <v>17</v>
      </c>
      <c r="AI193" s="34">
        <f t="shared" si="427"/>
        <v>97</v>
      </c>
      <c r="AJ193" s="6">
        <f>AI193/AK193</f>
        <v>2.5866666666666668E-3</v>
      </c>
      <c r="AK193" s="37">
        <f t="shared" si="428"/>
        <v>37500</v>
      </c>
      <c r="AL193" s="84">
        <f t="shared" si="429"/>
        <v>2.3413374935666496E-2</v>
      </c>
      <c r="AM193" s="83">
        <f t="shared" si="430"/>
        <v>0.37547777861050741</v>
      </c>
      <c r="AN193" s="6">
        <f t="shared" si="431"/>
        <v>0.81904761904761902</v>
      </c>
      <c r="AO193" s="127">
        <f t="shared" si="432"/>
        <v>3.0035203158414212E-2</v>
      </c>
      <c r="AP193" s="52">
        <f t="shared" si="433"/>
        <v>22823</v>
      </c>
      <c r="AQ193" s="3">
        <f t="shared" si="377"/>
        <v>759875</v>
      </c>
      <c r="AR193" s="12">
        <f t="shared" si="434"/>
        <v>746112</v>
      </c>
      <c r="AS193" s="3">
        <f t="shared" si="435"/>
        <v>13343</v>
      </c>
      <c r="AT193" s="21">
        <f t="shared" si="436"/>
        <v>420</v>
      </c>
    </row>
    <row r="194" spans="1:46" x14ac:dyDescent="0.2">
      <c r="A194" s="109">
        <v>40422</v>
      </c>
      <c r="B194" s="3">
        <v>3260</v>
      </c>
      <c r="C194" s="83">
        <f t="shared" si="395"/>
        <v>2.6615286645004326E-2</v>
      </c>
      <c r="D194" s="76">
        <v>122486</v>
      </c>
      <c r="E194" s="35">
        <v>698</v>
      </c>
      <c r="F194" s="83">
        <f t="shared" ref="F194:F199" si="437">E194/G194</f>
        <v>0.40699708454810496</v>
      </c>
      <c r="G194" s="33">
        <v>1715</v>
      </c>
      <c r="H194" s="4">
        <v>32</v>
      </c>
      <c r="I194" s="83">
        <f t="shared" ref="I194:I199" si="438">H194/J194</f>
        <v>0.78048780487804881</v>
      </c>
      <c r="J194" s="4">
        <v>41</v>
      </c>
      <c r="K194" s="140">
        <f>+H194+E194+B194</f>
        <v>3990</v>
      </c>
      <c r="L194" s="83">
        <f t="shared" ref="L194:L199" si="439">K194/M194</f>
        <v>3.2114743806442268E-2</v>
      </c>
      <c r="M194" s="18">
        <f>+J194+G194+D194</f>
        <v>124242</v>
      </c>
      <c r="N194" s="53">
        <v>14145</v>
      </c>
      <c r="O194" s="6">
        <f t="shared" ref="O194:O199" si="440">N194/P194</f>
        <v>2.4104002508384001E-2</v>
      </c>
      <c r="P194" s="3">
        <v>586832</v>
      </c>
      <c r="Q194" s="55">
        <v>4220</v>
      </c>
      <c r="R194" s="6">
        <f t="shared" ref="R194:R199" si="441">Q194/S194</f>
        <v>0.37082601054481545</v>
      </c>
      <c r="S194" s="33">
        <v>11380</v>
      </c>
      <c r="T194" s="4">
        <v>298</v>
      </c>
      <c r="U194" s="6">
        <f t="shared" ref="U194:U199" si="442">T194/V194</f>
        <v>0.83240223463687146</v>
      </c>
      <c r="V194" s="21">
        <v>358</v>
      </c>
      <c r="W194" s="52">
        <f t="shared" si="425"/>
        <v>18663</v>
      </c>
      <c r="X194" s="6">
        <f t="shared" ref="X194:X199" si="443">W194/Y194</f>
        <v>3.1179310690478974E-2</v>
      </c>
      <c r="Y194" s="21">
        <f t="shared" si="426"/>
        <v>598570</v>
      </c>
      <c r="Z194" s="34">
        <v>30</v>
      </c>
      <c r="AA194" s="83">
        <f t="shared" ref="AA194:AA199" si="444">Z194/AB194</f>
        <v>8.0493694660584917E-4</v>
      </c>
      <c r="AB194" s="3">
        <v>37270</v>
      </c>
      <c r="AC194" s="35">
        <v>55</v>
      </c>
      <c r="AD194" s="83">
        <f t="shared" ref="AD194:AD199" si="445">AC194/AE194</f>
        <v>0.2879581151832461</v>
      </c>
      <c r="AE194" s="36">
        <v>191</v>
      </c>
      <c r="AF194" s="4">
        <v>9</v>
      </c>
      <c r="AG194" s="6">
        <f t="shared" ref="AG194:AG199" si="446">AF194/AH194</f>
        <v>0.52941176470588236</v>
      </c>
      <c r="AH194" s="37">
        <v>17</v>
      </c>
      <c r="AI194" s="34">
        <f t="shared" si="427"/>
        <v>94</v>
      </c>
      <c r="AJ194" s="6">
        <f t="shared" ref="AJ194:AJ199" si="447">AI194/AK194</f>
        <v>2.5081381076898449E-3</v>
      </c>
      <c r="AK194" s="37">
        <f t="shared" si="428"/>
        <v>37478</v>
      </c>
      <c r="AL194" s="84">
        <f t="shared" si="429"/>
        <v>2.3352906824111827E-2</v>
      </c>
      <c r="AM194" s="83">
        <f t="shared" si="430"/>
        <v>0.37430377841336743</v>
      </c>
      <c r="AN194" s="6">
        <f t="shared" si="431"/>
        <v>0.81490384615384615</v>
      </c>
      <c r="AO194" s="127">
        <f t="shared" si="432"/>
        <v>2.9918846755843165E-2</v>
      </c>
      <c r="AP194" s="52">
        <f t="shared" si="433"/>
        <v>22747</v>
      </c>
      <c r="AQ194" s="3">
        <f t="shared" si="377"/>
        <v>760290</v>
      </c>
      <c r="AR194" s="12">
        <f t="shared" si="434"/>
        <v>746588</v>
      </c>
      <c r="AS194" s="3">
        <f t="shared" si="435"/>
        <v>13286</v>
      </c>
      <c r="AT194" s="21">
        <f t="shared" si="436"/>
        <v>416</v>
      </c>
    </row>
    <row r="195" spans="1:46" x14ac:dyDescent="0.2">
      <c r="A195" s="109">
        <v>40391</v>
      </c>
      <c r="B195" s="3">
        <v>3189</v>
      </c>
      <c r="C195" s="83">
        <f t="shared" si="395"/>
        <v>2.5995516608926024E-2</v>
      </c>
      <c r="D195" s="76">
        <v>122675</v>
      </c>
      <c r="E195" s="35">
        <v>692</v>
      </c>
      <c r="F195" s="83">
        <f t="shared" si="437"/>
        <v>0.40326340326340326</v>
      </c>
      <c r="G195" s="33">
        <v>1716</v>
      </c>
      <c r="H195" s="4">
        <v>32</v>
      </c>
      <c r="I195" s="83">
        <f t="shared" si="438"/>
        <v>0.78048780487804881</v>
      </c>
      <c r="J195" s="4">
        <v>41</v>
      </c>
      <c r="K195" s="140">
        <f t="shared" ref="K195:K200" si="448">+H195+E195+B195</f>
        <v>3913</v>
      </c>
      <c r="L195" s="83">
        <f t="shared" si="439"/>
        <v>3.144689468946895E-2</v>
      </c>
      <c r="M195" s="18">
        <f t="shared" ref="M195:M200" si="449">+J195+G195+D195</f>
        <v>124432</v>
      </c>
      <c r="N195" s="53">
        <v>13660</v>
      </c>
      <c r="O195" s="6">
        <f t="shared" si="440"/>
        <v>2.3292494735316437E-2</v>
      </c>
      <c r="P195" s="3">
        <v>586455</v>
      </c>
      <c r="Q195" s="55">
        <v>4170</v>
      </c>
      <c r="R195" s="6">
        <f t="shared" si="441"/>
        <v>0.36694825765575501</v>
      </c>
      <c r="S195" s="33">
        <v>11364</v>
      </c>
      <c r="T195" s="4">
        <v>301</v>
      </c>
      <c r="U195" s="6">
        <f t="shared" si="442"/>
        <v>0.83149171270718236</v>
      </c>
      <c r="V195" s="21">
        <v>362</v>
      </c>
      <c r="W195" s="52">
        <f t="shared" ref="W195:W200" si="450">+T195+Q195+N195</f>
        <v>18131</v>
      </c>
      <c r="X195" s="6">
        <f t="shared" si="443"/>
        <v>3.0310223828573627E-2</v>
      </c>
      <c r="Y195" s="21">
        <f t="shared" ref="Y195:Y200" si="451">+V195+S195+P195</f>
        <v>598181</v>
      </c>
      <c r="Z195" s="34">
        <v>30</v>
      </c>
      <c r="AA195" s="83">
        <f t="shared" si="444"/>
        <v>8.0493694660584917E-4</v>
      </c>
      <c r="AB195" s="3">
        <v>37270</v>
      </c>
      <c r="AC195" s="35">
        <v>56</v>
      </c>
      <c r="AD195" s="83">
        <f t="shared" si="445"/>
        <v>0.29473684210526313</v>
      </c>
      <c r="AE195" s="36">
        <v>190</v>
      </c>
      <c r="AF195" s="4">
        <v>9</v>
      </c>
      <c r="AG195" s="6">
        <f t="shared" si="446"/>
        <v>0.52941176470588236</v>
      </c>
      <c r="AH195" s="37">
        <v>17</v>
      </c>
      <c r="AI195" s="34">
        <f t="shared" ref="AI195:AI200" si="452">+AF195+AC195+Z195</f>
        <v>95</v>
      </c>
      <c r="AJ195" s="6">
        <f t="shared" si="447"/>
        <v>2.5348880646796704E-3</v>
      </c>
      <c r="AK195" s="37">
        <f t="shared" ref="AK195:AK200" si="453">+AH195+AE195+AB195</f>
        <v>37477</v>
      </c>
      <c r="AL195" s="84">
        <f t="shared" ref="AL195:AL200" si="454">(B195+N195+Z195)/AR195</f>
        <v>2.2613879957127547E-2</v>
      </c>
      <c r="AM195" s="83">
        <f t="shared" ref="AM195:AM200" si="455">(E195+Q195+AC195)/AS195</f>
        <v>0.37061039939713641</v>
      </c>
      <c r="AN195" s="6">
        <f t="shared" ref="AN195:AN200" si="456">(H195+T195+AF195)/AT195</f>
        <v>0.81428571428571428</v>
      </c>
      <c r="AO195" s="127">
        <f t="shared" ref="AO195:AO200" si="457">AP195/AQ195</f>
        <v>2.912681392992935E-2</v>
      </c>
      <c r="AP195" s="52">
        <f t="shared" ref="AP195:AP200" si="458">AF195+AC195+Z195+T195+Q195+N195+H195+E195+B195</f>
        <v>22139</v>
      </c>
      <c r="AQ195" s="3">
        <f t="shared" si="377"/>
        <v>760090</v>
      </c>
      <c r="AR195" s="12">
        <f t="shared" ref="AR195:AR200" si="459">+D195+P195+AB195</f>
        <v>746400</v>
      </c>
      <c r="AS195" s="3">
        <f t="shared" ref="AS195:AS200" si="460">G195+S195+AE195</f>
        <v>13270</v>
      </c>
      <c r="AT195" s="21">
        <f t="shared" ref="AT195:AT200" si="461">J195+V195+AH195</f>
        <v>420</v>
      </c>
    </row>
    <row r="196" spans="1:46" x14ac:dyDescent="0.2">
      <c r="A196" s="109">
        <v>40360</v>
      </c>
      <c r="B196" s="3">
        <v>2898</v>
      </c>
      <c r="C196" s="83">
        <f t="shared" si="395"/>
        <v>2.3647683783629407E-2</v>
      </c>
      <c r="D196" s="76">
        <v>122549</v>
      </c>
      <c r="E196" s="35">
        <v>677</v>
      </c>
      <c r="F196" s="83">
        <f t="shared" si="437"/>
        <v>0.39452214452214451</v>
      </c>
      <c r="G196" s="33">
        <v>1716</v>
      </c>
      <c r="H196" s="4">
        <v>32</v>
      </c>
      <c r="I196" s="83">
        <f t="shared" si="438"/>
        <v>0.78048780487804881</v>
      </c>
      <c r="J196" s="4">
        <v>41</v>
      </c>
      <c r="K196" s="140">
        <f t="shared" si="448"/>
        <v>3607</v>
      </c>
      <c r="L196" s="83">
        <f t="shared" si="439"/>
        <v>2.9017102955609546E-2</v>
      </c>
      <c r="M196" s="18">
        <f t="shared" si="449"/>
        <v>124306</v>
      </c>
      <c r="N196" s="53">
        <v>12811</v>
      </c>
      <c r="O196" s="6">
        <f t="shared" si="440"/>
        <v>2.1847346547587174E-2</v>
      </c>
      <c r="P196" s="3">
        <v>586387</v>
      </c>
      <c r="Q196" s="55">
        <v>4112</v>
      </c>
      <c r="R196" s="6">
        <f t="shared" si="441"/>
        <v>0.36155807614525631</v>
      </c>
      <c r="S196" s="33">
        <v>11373</v>
      </c>
      <c r="T196" s="4">
        <v>301</v>
      </c>
      <c r="U196" s="6">
        <f t="shared" si="442"/>
        <v>0.83611111111111114</v>
      </c>
      <c r="V196" s="21">
        <v>360</v>
      </c>
      <c r="W196" s="52">
        <f t="shared" si="450"/>
        <v>17224</v>
      </c>
      <c r="X196" s="6">
        <f t="shared" si="443"/>
        <v>2.8796896943757106E-2</v>
      </c>
      <c r="Y196" s="21">
        <f t="shared" si="451"/>
        <v>598120</v>
      </c>
      <c r="Z196" s="34">
        <v>30</v>
      </c>
      <c r="AA196" s="83">
        <f t="shared" si="444"/>
        <v>8.0504494834294919E-4</v>
      </c>
      <c r="AB196" s="3">
        <v>37265</v>
      </c>
      <c r="AC196" s="35">
        <v>56</v>
      </c>
      <c r="AD196" s="83">
        <f t="shared" si="445"/>
        <v>0.29473684210526313</v>
      </c>
      <c r="AE196" s="36">
        <v>190</v>
      </c>
      <c r="AF196" s="4">
        <v>9</v>
      </c>
      <c r="AG196" s="6">
        <f t="shared" si="446"/>
        <v>0.52941176470588236</v>
      </c>
      <c r="AH196" s="37">
        <v>17</v>
      </c>
      <c r="AI196" s="34">
        <f t="shared" si="452"/>
        <v>95</v>
      </c>
      <c r="AJ196" s="6">
        <f t="shared" si="447"/>
        <v>2.5352263023057215E-3</v>
      </c>
      <c r="AK196" s="37">
        <f t="shared" si="453"/>
        <v>37472</v>
      </c>
      <c r="AL196" s="84">
        <f t="shared" si="454"/>
        <v>2.1092172216333131E-2</v>
      </c>
      <c r="AM196" s="83">
        <f t="shared" si="455"/>
        <v>0.36486181188342498</v>
      </c>
      <c r="AN196" s="6">
        <f t="shared" si="456"/>
        <v>0.81818181818181823</v>
      </c>
      <c r="AO196" s="127">
        <f t="shared" si="457"/>
        <v>2.7537906403227803E-2</v>
      </c>
      <c r="AP196" s="52">
        <f t="shared" si="458"/>
        <v>20926</v>
      </c>
      <c r="AQ196" s="3">
        <f t="shared" si="377"/>
        <v>759898</v>
      </c>
      <c r="AR196" s="12">
        <f t="shared" si="459"/>
        <v>746201</v>
      </c>
      <c r="AS196" s="3">
        <f t="shared" si="460"/>
        <v>13279</v>
      </c>
      <c r="AT196" s="21">
        <f t="shared" si="461"/>
        <v>418</v>
      </c>
    </row>
    <row r="197" spans="1:46" x14ac:dyDescent="0.2">
      <c r="A197" s="109">
        <v>40330</v>
      </c>
      <c r="B197" s="3">
        <v>2793</v>
      </c>
      <c r="C197" s="83">
        <f t="shared" si="395"/>
        <v>2.2827206303022377E-2</v>
      </c>
      <c r="D197" s="76">
        <v>122354</v>
      </c>
      <c r="E197" s="35">
        <v>653</v>
      </c>
      <c r="F197" s="83">
        <f t="shared" si="437"/>
        <v>0.38053613053613056</v>
      </c>
      <c r="G197" s="33">
        <v>1716</v>
      </c>
      <c r="H197" s="4">
        <v>32</v>
      </c>
      <c r="I197" s="83">
        <f t="shared" si="438"/>
        <v>0.78048780487804881</v>
      </c>
      <c r="J197" s="4">
        <v>41</v>
      </c>
      <c r="K197" s="140">
        <f t="shared" si="448"/>
        <v>3478</v>
      </c>
      <c r="L197" s="83">
        <f t="shared" si="439"/>
        <v>2.8023301721845768E-2</v>
      </c>
      <c r="M197" s="18">
        <f t="shared" si="449"/>
        <v>124111</v>
      </c>
      <c r="N197" s="53">
        <v>12015</v>
      </c>
      <c r="O197" s="6">
        <f t="shared" si="440"/>
        <v>2.0508592613834212E-2</v>
      </c>
      <c r="P197" s="3">
        <v>585852</v>
      </c>
      <c r="Q197" s="55">
        <v>4015</v>
      </c>
      <c r="R197" s="6">
        <f t="shared" si="441"/>
        <v>0.3543376577530668</v>
      </c>
      <c r="S197" s="33">
        <v>11331</v>
      </c>
      <c r="T197" s="4">
        <v>301</v>
      </c>
      <c r="U197" s="6">
        <f t="shared" si="442"/>
        <v>0.83844011142061281</v>
      </c>
      <c r="V197" s="21">
        <v>359</v>
      </c>
      <c r="W197" s="52">
        <f t="shared" si="450"/>
        <v>16331</v>
      </c>
      <c r="X197" s="6">
        <f t="shared" si="443"/>
        <v>2.7330296447781077E-2</v>
      </c>
      <c r="Y197" s="21">
        <f t="shared" si="451"/>
        <v>597542</v>
      </c>
      <c r="Z197" s="34">
        <v>30</v>
      </c>
      <c r="AA197" s="83">
        <f t="shared" si="444"/>
        <v>8.047642040882022E-4</v>
      </c>
      <c r="AB197" s="3">
        <v>37278</v>
      </c>
      <c r="AC197" s="35">
        <v>56</v>
      </c>
      <c r="AD197" s="83">
        <f t="shared" si="445"/>
        <v>0.29473684210526313</v>
      </c>
      <c r="AE197" s="36">
        <v>190</v>
      </c>
      <c r="AF197" s="4">
        <v>9</v>
      </c>
      <c r="AG197" s="6">
        <f t="shared" si="446"/>
        <v>0.52941176470588236</v>
      </c>
      <c r="AH197" s="37">
        <v>17</v>
      </c>
      <c r="AI197" s="34">
        <f t="shared" si="452"/>
        <v>95</v>
      </c>
      <c r="AJ197" s="6">
        <f t="shared" si="447"/>
        <v>2.5343470721621983E-3</v>
      </c>
      <c r="AK197" s="37">
        <f t="shared" si="453"/>
        <v>37485</v>
      </c>
      <c r="AL197" s="84">
        <f t="shared" si="454"/>
        <v>1.9903847701627401E-2</v>
      </c>
      <c r="AM197" s="83">
        <f t="shared" si="455"/>
        <v>0.35687844677797081</v>
      </c>
      <c r="AN197" s="6">
        <f t="shared" si="456"/>
        <v>0.82014388489208634</v>
      </c>
      <c r="AO197" s="127">
        <f t="shared" si="457"/>
        <v>2.6219211790214692E-2</v>
      </c>
      <c r="AP197" s="52">
        <f t="shared" si="458"/>
        <v>19904</v>
      </c>
      <c r="AQ197" s="3">
        <f t="shared" si="377"/>
        <v>759138</v>
      </c>
      <c r="AR197" s="12">
        <f t="shared" si="459"/>
        <v>745484</v>
      </c>
      <c r="AS197" s="3">
        <f t="shared" si="460"/>
        <v>13237</v>
      </c>
      <c r="AT197" s="21">
        <f t="shared" si="461"/>
        <v>417</v>
      </c>
    </row>
    <row r="198" spans="1:46" x14ac:dyDescent="0.2">
      <c r="A198" s="109">
        <v>40299</v>
      </c>
      <c r="B198" s="3">
        <v>2510</v>
      </c>
      <c r="C198" s="83">
        <f t="shared" si="395"/>
        <v>2.0568544058476943E-2</v>
      </c>
      <c r="D198" s="76">
        <v>122031</v>
      </c>
      <c r="E198" s="35">
        <v>640</v>
      </c>
      <c r="F198" s="83">
        <f t="shared" si="437"/>
        <v>0.37274315666860802</v>
      </c>
      <c r="G198" s="33">
        <v>1717</v>
      </c>
      <c r="H198" s="4">
        <v>32</v>
      </c>
      <c r="I198" s="83">
        <f t="shared" si="438"/>
        <v>0.78048780487804881</v>
      </c>
      <c r="J198" s="4">
        <v>41</v>
      </c>
      <c r="K198" s="140">
        <f t="shared" si="448"/>
        <v>3182</v>
      </c>
      <c r="L198" s="83">
        <f t="shared" si="439"/>
        <v>2.5705030333874578E-2</v>
      </c>
      <c r="M198" s="18">
        <f t="shared" si="449"/>
        <v>123789</v>
      </c>
      <c r="N198" s="53">
        <v>12015</v>
      </c>
      <c r="O198" s="6">
        <f t="shared" si="440"/>
        <v>2.0510833270739586E-2</v>
      </c>
      <c r="P198" s="3">
        <v>585788</v>
      </c>
      <c r="Q198" s="55">
        <v>4015</v>
      </c>
      <c r="R198" s="6">
        <f t="shared" si="441"/>
        <v>0.35368217054263568</v>
      </c>
      <c r="S198" s="33">
        <v>11352</v>
      </c>
      <c r="T198" s="4">
        <v>301</v>
      </c>
      <c r="U198" s="6">
        <f t="shared" si="442"/>
        <v>0.83379501385041555</v>
      </c>
      <c r="V198" s="21">
        <v>361</v>
      </c>
      <c r="W198" s="52">
        <f t="shared" si="450"/>
        <v>16331</v>
      </c>
      <c r="X198" s="6">
        <f t="shared" si="443"/>
        <v>2.7332171829001124E-2</v>
      </c>
      <c r="Y198" s="21">
        <f t="shared" si="451"/>
        <v>597501</v>
      </c>
      <c r="Z198" s="34">
        <v>30</v>
      </c>
      <c r="AA198" s="83">
        <f t="shared" si="444"/>
        <v>8.0523942452222458E-4</v>
      </c>
      <c r="AB198" s="3">
        <v>37256</v>
      </c>
      <c r="AC198" s="35">
        <v>53</v>
      </c>
      <c r="AD198" s="83">
        <f t="shared" si="445"/>
        <v>0.28191489361702127</v>
      </c>
      <c r="AE198" s="36">
        <v>188</v>
      </c>
      <c r="AF198" s="4">
        <v>9</v>
      </c>
      <c r="AG198" s="6">
        <f t="shared" si="446"/>
        <v>0.52941176470588236</v>
      </c>
      <c r="AH198" s="37">
        <v>17</v>
      </c>
      <c r="AI198" s="34">
        <f t="shared" si="452"/>
        <v>92</v>
      </c>
      <c r="AJ198" s="6">
        <f t="shared" si="447"/>
        <v>2.4558874562878729E-3</v>
      </c>
      <c r="AK198" s="37">
        <f t="shared" si="453"/>
        <v>37461</v>
      </c>
      <c r="AL198" s="84">
        <f t="shared" si="454"/>
        <v>1.9534946146361105E-2</v>
      </c>
      <c r="AM198" s="83">
        <f t="shared" si="455"/>
        <v>0.3551331372105303</v>
      </c>
      <c r="AN198" s="6">
        <f t="shared" si="456"/>
        <v>0.81622911694510736</v>
      </c>
      <c r="AO198" s="127">
        <f t="shared" si="457"/>
        <v>2.5838516193059383E-2</v>
      </c>
      <c r="AP198" s="52">
        <f t="shared" si="458"/>
        <v>19605</v>
      </c>
      <c r="AQ198" s="3">
        <f t="shared" si="377"/>
        <v>758751</v>
      </c>
      <c r="AR198" s="12">
        <f t="shared" si="459"/>
        <v>745075</v>
      </c>
      <c r="AS198" s="3">
        <f t="shared" si="460"/>
        <v>13257</v>
      </c>
      <c r="AT198" s="21">
        <f t="shared" si="461"/>
        <v>419</v>
      </c>
    </row>
    <row r="199" spans="1:46" x14ac:dyDescent="0.2">
      <c r="A199" s="109">
        <v>40269</v>
      </c>
      <c r="B199" s="3">
        <v>2136</v>
      </c>
      <c r="C199" s="83">
        <f>B199/D199</f>
        <v>1.7724081849411686E-2</v>
      </c>
      <c r="D199" s="76">
        <v>120514</v>
      </c>
      <c r="E199" s="35">
        <v>592</v>
      </c>
      <c r="F199" s="83">
        <f t="shared" si="437"/>
        <v>0.35619735258724428</v>
      </c>
      <c r="G199" s="33">
        <v>1662</v>
      </c>
      <c r="H199" s="4">
        <v>31</v>
      </c>
      <c r="I199" s="83">
        <f t="shared" si="438"/>
        <v>0.73809523809523814</v>
      </c>
      <c r="J199" s="4">
        <v>42</v>
      </c>
      <c r="K199" s="140">
        <f t="shared" si="448"/>
        <v>2759</v>
      </c>
      <c r="L199" s="83">
        <f t="shared" si="439"/>
        <v>2.2574416207105336E-2</v>
      </c>
      <c r="M199" s="18">
        <f t="shared" si="449"/>
        <v>122218</v>
      </c>
      <c r="N199" s="53">
        <v>11374</v>
      </c>
      <c r="O199" s="6">
        <f t="shared" si="440"/>
        <v>1.9387984699617489E-2</v>
      </c>
      <c r="P199" s="3">
        <v>586652</v>
      </c>
      <c r="Q199" s="55">
        <v>3889</v>
      </c>
      <c r="R199" s="6">
        <f t="shared" si="441"/>
        <v>0.34492239467849223</v>
      </c>
      <c r="S199" s="33">
        <v>11275</v>
      </c>
      <c r="T199" s="4">
        <v>301</v>
      </c>
      <c r="U199" s="6">
        <f t="shared" si="442"/>
        <v>0.83149171270718236</v>
      </c>
      <c r="V199" s="21">
        <v>362</v>
      </c>
      <c r="W199" s="52">
        <f t="shared" si="450"/>
        <v>15564</v>
      </c>
      <c r="X199" s="6">
        <f t="shared" si="443"/>
        <v>2.6014183780748101E-2</v>
      </c>
      <c r="Y199" s="21">
        <f t="shared" si="451"/>
        <v>598289</v>
      </c>
      <c r="Z199" s="34">
        <v>28</v>
      </c>
      <c r="AA199" s="83">
        <f t="shared" si="444"/>
        <v>7.5317409081127604E-4</v>
      </c>
      <c r="AB199" s="3">
        <v>37176</v>
      </c>
      <c r="AC199" s="35">
        <v>54</v>
      </c>
      <c r="AD199" s="83">
        <f t="shared" si="445"/>
        <v>0.29189189189189191</v>
      </c>
      <c r="AE199" s="36">
        <v>185</v>
      </c>
      <c r="AF199" s="4">
        <v>9</v>
      </c>
      <c r="AG199" s="6">
        <f t="shared" si="446"/>
        <v>0.52941176470588236</v>
      </c>
      <c r="AH199" s="37">
        <v>17</v>
      </c>
      <c r="AI199" s="34">
        <f t="shared" si="452"/>
        <v>91</v>
      </c>
      <c r="AJ199" s="6">
        <f t="shared" si="447"/>
        <v>2.4345871903258603E-3</v>
      </c>
      <c r="AK199" s="37">
        <f t="shared" si="453"/>
        <v>37378</v>
      </c>
      <c r="AL199" s="84">
        <f t="shared" si="454"/>
        <v>1.8187876003235071E-2</v>
      </c>
      <c r="AM199" s="83">
        <f t="shared" si="455"/>
        <v>0.34560280445054109</v>
      </c>
      <c r="AN199" s="6">
        <f t="shared" si="456"/>
        <v>0.80997624703087889</v>
      </c>
      <c r="AO199" s="127">
        <f t="shared" si="457"/>
        <v>2.4296562143333093E-2</v>
      </c>
      <c r="AP199" s="52">
        <f t="shared" si="458"/>
        <v>18414</v>
      </c>
      <c r="AQ199" s="3">
        <f t="shared" si="377"/>
        <v>757885</v>
      </c>
      <c r="AR199" s="12">
        <f t="shared" si="459"/>
        <v>744342</v>
      </c>
      <c r="AS199" s="3">
        <f t="shared" si="460"/>
        <v>13122</v>
      </c>
      <c r="AT199" s="21">
        <f t="shared" si="461"/>
        <v>421</v>
      </c>
    </row>
    <row r="200" spans="1:46" x14ac:dyDescent="0.2">
      <c r="A200" s="109">
        <v>40238</v>
      </c>
      <c r="B200" s="3">
        <v>2136</v>
      </c>
      <c r="C200" s="83">
        <f t="shared" ref="C200:C205" si="462">B200/D200</f>
        <v>1.7724081849411686E-2</v>
      </c>
      <c r="D200" s="76">
        <v>120514</v>
      </c>
      <c r="E200" s="35">
        <v>592</v>
      </c>
      <c r="F200" s="83">
        <f t="shared" ref="F200:F205" si="463">E200/G200</f>
        <v>0.35619735258724428</v>
      </c>
      <c r="G200" s="33">
        <v>1662</v>
      </c>
      <c r="H200" s="4">
        <v>31</v>
      </c>
      <c r="I200" s="83">
        <f t="shared" ref="I200:I205" si="464">H200/J200</f>
        <v>0.73809523809523814</v>
      </c>
      <c r="J200" s="4">
        <v>42</v>
      </c>
      <c r="K200" s="140">
        <f t="shared" si="448"/>
        <v>2759</v>
      </c>
      <c r="L200" s="83">
        <f t="shared" ref="L200:L205" si="465">K200/M200</f>
        <v>2.2574416207105336E-2</v>
      </c>
      <c r="M200" s="18">
        <f t="shared" si="449"/>
        <v>122218</v>
      </c>
      <c r="N200" s="53">
        <v>11240</v>
      </c>
      <c r="O200" s="6">
        <f t="shared" ref="O200:O205" si="466">N200/P200</f>
        <v>1.9158035040114266E-2</v>
      </c>
      <c r="P200" s="3">
        <v>586699</v>
      </c>
      <c r="Q200" s="55">
        <v>3744</v>
      </c>
      <c r="R200" s="6">
        <f t="shared" ref="R200:R205" si="467">Q200/S200</f>
        <v>0.34414927842632592</v>
      </c>
      <c r="S200" s="33">
        <v>10879</v>
      </c>
      <c r="T200" s="4">
        <v>301</v>
      </c>
      <c r="U200" s="6">
        <f t="shared" ref="U200:U205" si="468">T200/V200</f>
        <v>0.83611111111111114</v>
      </c>
      <c r="V200" s="21">
        <v>360</v>
      </c>
      <c r="W200" s="52">
        <f t="shared" si="450"/>
        <v>15285</v>
      </c>
      <c r="X200" s="6">
        <f t="shared" ref="X200:X205" si="469">W200/Y200</f>
        <v>2.556285099792955E-2</v>
      </c>
      <c r="Y200" s="21">
        <f t="shared" si="451"/>
        <v>597938</v>
      </c>
      <c r="Z200" s="34">
        <v>28</v>
      </c>
      <c r="AA200" s="83">
        <f t="shared" ref="AA200:AA205" si="470">Z200/AB200</f>
        <v>7.5317409081127604E-4</v>
      </c>
      <c r="AB200" s="3">
        <v>37176</v>
      </c>
      <c r="AC200" s="35">
        <v>54</v>
      </c>
      <c r="AD200" s="83">
        <f t="shared" ref="AD200:AD205" si="471">AC200/AE200</f>
        <v>0.29189189189189191</v>
      </c>
      <c r="AE200" s="36">
        <v>185</v>
      </c>
      <c r="AF200" s="4">
        <v>9</v>
      </c>
      <c r="AG200" s="6">
        <f t="shared" ref="AG200:AG205" si="472">AF200/AH200</f>
        <v>0.52941176470588236</v>
      </c>
      <c r="AH200" s="37">
        <v>17</v>
      </c>
      <c r="AI200" s="34">
        <f t="shared" si="452"/>
        <v>91</v>
      </c>
      <c r="AJ200" s="6">
        <f t="shared" ref="AJ200:AJ205" si="473">AI200/AK200</f>
        <v>2.4345871903258603E-3</v>
      </c>
      <c r="AK200" s="37">
        <f t="shared" si="453"/>
        <v>37378</v>
      </c>
      <c r="AL200" s="84">
        <f t="shared" si="454"/>
        <v>1.8006714231403206E-2</v>
      </c>
      <c r="AM200" s="83">
        <f t="shared" si="455"/>
        <v>0.34496306773534496</v>
      </c>
      <c r="AN200" s="6">
        <f t="shared" si="456"/>
        <v>0.81384248210023868</v>
      </c>
      <c r="AO200" s="127">
        <f t="shared" si="457"/>
        <v>2.3939519546317393E-2</v>
      </c>
      <c r="AP200" s="52">
        <f t="shared" si="458"/>
        <v>18135</v>
      </c>
      <c r="AQ200" s="3">
        <f t="shared" si="377"/>
        <v>757534</v>
      </c>
      <c r="AR200" s="12">
        <f t="shared" si="459"/>
        <v>744389</v>
      </c>
      <c r="AS200" s="3">
        <f t="shared" si="460"/>
        <v>12726</v>
      </c>
      <c r="AT200" s="21">
        <f t="shared" si="461"/>
        <v>419</v>
      </c>
    </row>
    <row r="201" spans="1:46" x14ac:dyDescent="0.2">
      <c r="A201" s="109">
        <v>40210</v>
      </c>
      <c r="B201" s="3">
        <v>2020</v>
      </c>
      <c r="C201" s="83">
        <f t="shared" si="462"/>
        <v>1.6788982438059461E-2</v>
      </c>
      <c r="D201" s="76">
        <v>120317</v>
      </c>
      <c r="E201" s="35">
        <v>582</v>
      </c>
      <c r="F201" s="83">
        <f t="shared" si="463"/>
        <v>0.3546617915904936</v>
      </c>
      <c r="G201" s="33">
        <v>1641</v>
      </c>
      <c r="H201" s="4">
        <v>32</v>
      </c>
      <c r="I201" s="83">
        <f t="shared" si="464"/>
        <v>0.7441860465116279</v>
      </c>
      <c r="J201" s="4">
        <v>43</v>
      </c>
      <c r="K201" s="140">
        <f t="shared" ref="K201:K206" si="474">+H201+E201+B201</f>
        <v>2634</v>
      </c>
      <c r="L201" s="83">
        <f t="shared" si="465"/>
        <v>2.1589986967319941E-2</v>
      </c>
      <c r="M201" s="18">
        <f t="shared" ref="M201:M206" si="475">+J201+G201+D201</f>
        <v>122001</v>
      </c>
      <c r="N201" s="53">
        <v>10993</v>
      </c>
      <c r="O201" s="6">
        <f t="shared" si="466"/>
        <v>1.8740133855663636E-2</v>
      </c>
      <c r="P201" s="3">
        <v>586602</v>
      </c>
      <c r="Q201" s="55">
        <v>3732</v>
      </c>
      <c r="R201" s="6">
        <f t="shared" si="467"/>
        <v>0.34304623586726724</v>
      </c>
      <c r="S201" s="33">
        <v>10879</v>
      </c>
      <c r="T201" s="4">
        <v>300</v>
      </c>
      <c r="U201" s="6">
        <f t="shared" si="468"/>
        <v>0.83102493074792239</v>
      </c>
      <c r="V201" s="21">
        <v>361</v>
      </c>
      <c r="W201" s="52">
        <f t="shared" ref="W201:W206" si="476">+T201+Q201+N201</f>
        <v>15025</v>
      </c>
      <c r="X201" s="6">
        <f t="shared" si="469"/>
        <v>2.5132058303029899E-2</v>
      </c>
      <c r="Y201" s="21">
        <f t="shared" ref="Y201:Y206" si="477">+V201+S201+P201</f>
        <v>597842</v>
      </c>
      <c r="Z201" s="34">
        <v>28</v>
      </c>
      <c r="AA201" s="83">
        <f t="shared" si="470"/>
        <v>7.5272864132480243E-4</v>
      </c>
      <c r="AB201" s="3">
        <v>37198</v>
      </c>
      <c r="AC201" s="35">
        <v>56</v>
      </c>
      <c r="AD201" s="83">
        <f t="shared" si="471"/>
        <v>0.2978723404255319</v>
      </c>
      <c r="AE201" s="36">
        <v>188</v>
      </c>
      <c r="AF201" s="4">
        <v>9</v>
      </c>
      <c r="AG201" s="6">
        <f t="shared" si="472"/>
        <v>0.52941176470588236</v>
      </c>
      <c r="AH201" s="37">
        <v>17</v>
      </c>
      <c r="AI201" s="34">
        <f t="shared" ref="AI201:AI206" si="478">+AF201+AC201+Z201</f>
        <v>93</v>
      </c>
      <c r="AJ201" s="6">
        <f t="shared" si="473"/>
        <v>2.4864315696601878E-3</v>
      </c>
      <c r="AK201" s="37">
        <f t="shared" ref="AK201:AK206" si="479">+AH201+AE201+AB201</f>
        <v>37403</v>
      </c>
      <c r="AL201" s="84">
        <f t="shared" ref="AL201:AL206" si="480">(B201+N201+Z201)/AR201</f>
        <v>1.7525469784993489E-2</v>
      </c>
      <c r="AM201" s="83">
        <f t="shared" ref="AM201:AM206" si="481">(E201+Q201+AC201)/AS201</f>
        <v>0.34387787220648408</v>
      </c>
      <c r="AN201" s="6">
        <f t="shared" ref="AN201:AN206" si="482">(H201+T201+AF201)/AT201</f>
        <v>0.80997624703087889</v>
      </c>
      <c r="AO201" s="127">
        <f t="shared" ref="AO201:AO206" si="483">AP201/AQ201</f>
        <v>2.344284420122391E-2</v>
      </c>
      <c r="AP201" s="52">
        <f t="shared" ref="AP201:AP206" si="484">AF201+AC201+Z201+T201+Q201+N201+H201+E201+B201</f>
        <v>17752</v>
      </c>
      <c r="AQ201" s="3">
        <f t="shared" si="377"/>
        <v>757246</v>
      </c>
      <c r="AR201" s="12">
        <f t="shared" ref="AR201:AR206" si="485">+D201+P201+AB201</f>
        <v>744117</v>
      </c>
      <c r="AS201" s="3">
        <f t="shared" ref="AS201:AS206" si="486">G201+S201+AE201</f>
        <v>12708</v>
      </c>
      <c r="AT201" s="21">
        <f t="shared" ref="AT201:AT206" si="487">J201+V201+AH201</f>
        <v>421</v>
      </c>
    </row>
    <row r="202" spans="1:46" x14ac:dyDescent="0.2">
      <c r="A202" s="109">
        <v>40179</v>
      </c>
      <c r="B202" s="3">
        <v>2180</v>
      </c>
      <c r="C202" s="83">
        <f t="shared" si="462"/>
        <v>1.7999570652443151E-2</v>
      </c>
      <c r="D202" s="76">
        <v>121114</v>
      </c>
      <c r="E202" s="35">
        <v>604</v>
      </c>
      <c r="F202" s="83">
        <f t="shared" si="463"/>
        <v>0.35529411764705882</v>
      </c>
      <c r="G202" s="33">
        <v>1700</v>
      </c>
      <c r="H202" s="4">
        <v>31</v>
      </c>
      <c r="I202" s="83">
        <f t="shared" si="464"/>
        <v>0.75609756097560976</v>
      </c>
      <c r="J202" s="4">
        <v>41</v>
      </c>
      <c r="K202" s="140">
        <f t="shared" si="474"/>
        <v>2815</v>
      </c>
      <c r="L202" s="83">
        <f t="shared" si="465"/>
        <v>2.2913190346343249E-2</v>
      </c>
      <c r="M202" s="18">
        <f t="shared" si="475"/>
        <v>122855</v>
      </c>
      <c r="N202" s="53">
        <v>10877</v>
      </c>
      <c r="O202" s="6">
        <f t="shared" si="466"/>
        <v>1.8552442161136922E-2</v>
      </c>
      <c r="P202" s="3">
        <v>586284</v>
      </c>
      <c r="Q202" s="55">
        <v>3720</v>
      </c>
      <c r="R202" s="6">
        <f t="shared" si="467"/>
        <v>0.34131571703826041</v>
      </c>
      <c r="S202" s="33">
        <v>10899</v>
      </c>
      <c r="T202" s="4">
        <v>300</v>
      </c>
      <c r="U202" s="6">
        <f t="shared" si="468"/>
        <v>0.82644628099173556</v>
      </c>
      <c r="V202" s="21">
        <v>363</v>
      </c>
      <c r="W202" s="52">
        <f t="shared" si="476"/>
        <v>14897</v>
      </c>
      <c r="X202" s="6">
        <f t="shared" si="469"/>
        <v>2.4930298253188876E-2</v>
      </c>
      <c r="Y202" s="21">
        <f t="shared" si="477"/>
        <v>597546</v>
      </c>
      <c r="Z202" s="34">
        <v>30</v>
      </c>
      <c r="AA202" s="83">
        <f t="shared" si="470"/>
        <v>8.0684202033241891E-4</v>
      </c>
      <c r="AB202" s="3">
        <v>37182</v>
      </c>
      <c r="AC202" s="35">
        <v>53</v>
      </c>
      <c r="AD202" s="83">
        <f t="shared" si="471"/>
        <v>0.28191489361702127</v>
      </c>
      <c r="AE202" s="36">
        <v>188</v>
      </c>
      <c r="AF202" s="4">
        <v>9</v>
      </c>
      <c r="AG202" s="6">
        <f t="shared" si="472"/>
        <v>0.52941176470588236</v>
      </c>
      <c r="AH202" s="37">
        <v>17</v>
      </c>
      <c r="AI202" s="34">
        <f t="shared" si="478"/>
        <v>92</v>
      </c>
      <c r="AJ202" s="6">
        <f t="shared" si="473"/>
        <v>2.4607483884772781E-3</v>
      </c>
      <c r="AK202" s="37">
        <f t="shared" si="479"/>
        <v>37387</v>
      </c>
      <c r="AL202" s="84">
        <f t="shared" si="480"/>
        <v>1.7576351768782399E-2</v>
      </c>
      <c r="AM202" s="83">
        <f t="shared" si="481"/>
        <v>0.34230077422382105</v>
      </c>
      <c r="AN202" s="6">
        <f t="shared" si="482"/>
        <v>0.80760095011876487</v>
      </c>
      <c r="AO202" s="127">
        <f t="shared" si="483"/>
        <v>2.3494697725485229E-2</v>
      </c>
      <c r="AP202" s="52">
        <f t="shared" si="484"/>
        <v>17804</v>
      </c>
      <c r="AQ202" s="3">
        <f t="shared" si="377"/>
        <v>757788</v>
      </c>
      <c r="AR202" s="12">
        <f t="shared" si="485"/>
        <v>744580</v>
      </c>
      <c r="AS202" s="3">
        <f t="shared" si="486"/>
        <v>12787</v>
      </c>
      <c r="AT202" s="21">
        <f t="shared" si="487"/>
        <v>421</v>
      </c>
    </row>
    <row r="203" spans="1:46" x14ac:dyDescent="0.2">
      <c r="A203" s="109">
        <v>40148</v>
      </c>
      <c r="B203" s="3">
        <v>1684</v>
      </c>
      <c r="C203" s="83">
        <f t="shared" si="462"/>
        <v>1.3995429046332849E-2</v>
      </c>
      <c r="D203" s="76">
        <v>120325</v>
      </c>
      <c r="E203" s="35">
        <v>442</v>
      </c>
      <c r="F203" s="83">
        <f t="shared" si="463"/>
        <v>0.28907782864617398</v>
      </c>
      <c r="G203" s="33">
        <v>1529</v>
      </c>
      <c r="H203" s="4">
        <v>33</v>
      </c>
      <c r="I203" s="83">
        <f t="shared" si="464"/>
        <v>0.7857142857142857</v>
      </c>
      <c r="J203" s="4">
        <v>42</v>
      </c>
      <c r="K203" s="140">
        <f t="shared" si="474"/>
        <v>2159</v>
      </c>
      <c r="L203" s="83">
        <f t="shared" si="465"/>
        <v>1.7711819912056181E-2</v>
      </c>
      <c r="M203" s="18">
        <f t="shared" si="475"/>
        <v>121896</v>
      </c>
      <c r="N203" s="53">
        <v>7404</v>
      </c>
      <c r="O203" s="6">
        <f t="shared" si="466"/>
        <v>1.2635782611292676E-2</v>
      </c>
      <c r="P203" s="3">
        <v>585955</v>
      </c>
      <c r="Q203" s="55">
        <v>3642</v>
      </c>
      <c r="R203" s="6">
        <f t="shared" si="467"/>
        <v>0.33348594451057595</v>
      </c>
      <c r="S203" s="33">
        <v>10921</v>
      </c>
      <c r="T203" s="4">
        <v>296</v>
      </c>
      <c r="U203" s="6">
        <f t="shared" si="468"/>
        <v>0.82222222222222219</v>
      </c>
      <c r="V203" s="21">
        <v>360</v>
      </c>
      <c r="W203" s="52">
        <f t="shared" si="476"/>
        <v>11342</v>
      </c>
      <c r="X203" s="6">
        <f t="shared" si="469"/>
        <v>1.8990817700205612E-2</v>
      </c>
      <c r="Y203" s="21">
        <f t="shared" si="477"/>
        <v>597236</v>
      </c>
      <c r="Z203" s="34">
        <v>28</v>
      </c>
      <c r="AA203" s="83">
        <f t="shared" si="470"/>
        <v>7.5272864132480243E-4</v>
      </c>
      <c r="AB203" s="3">
        <v>37198</v>
      </c>
      <c r="AC203" s="35">
        <v>56</v>
      </c>
      <c r="AD203" s="83">
        <f t="shared" si="471"/>
        <v>0.2978723404255319</v>
      </c>
      <c r="AE203" s="36">
        <v>188</v>
      </c>
      <c r="AF203" s="4">
        <v>9</v>
      </c>
      <c r="AG203" s="6">
        <f t="shared" si="472"/>
        <v>0.52941176470588236</v>
      </c>
      <c r="AH203" s="37">
        <v>17</v>
      </c>
      <c r="AI203" s="34">
        <f t="shared" si="478"/>
        <v>93</v>
      </c>
      <c r="AJ203" s="6">
        <f t="shared" si="473"/>
        <v>2.4864315696601878E-3</v>
      </c>
      <c r="AK203" s="37">
        <f t="shared" si="479"/>
        <v>37403</v>
      </c>
      <c r="AL203" s="84">
        <f t="shared" si="480"/>
        <v>1.2261290851914918E-2</v>
      </c>
      <c r="AM203" s="83">
        <f t="shared" si="481"/>
        <v>0.32758347839848079</v>
      </c>
      <c r="AN203" s="6">
        <f t="shared" si="482"/>
        <v>0.80668257756563244</v>
      </c>
      <c r="AO203" s="127">
        <f t="shared" si="483"/>
        <v>1.7968765490030205E-2</v>
      </c>
      <c r="AP203" s="52">
        <f t="shared" si="484"/>
        <v>13594</v>
      </c>
      <c r="AQ203" s="3">
        <f t="shared" si="377"/>
        <v>756535</v>
      </c>
      <c r="AR203" s="12">
        <f t="shared" si="485"/>
        <v>743478</v>
      </c>
      <c r="AS203" s="3">
        <f t="shared" si="486"/>
        <v>12638</v>
      </c>
      <c r="AT203" s="21">
        <f t="shared" si="487"/>
        <v>419</v>
      </c>
    </row>
    <row r="204" spans="1:46" x14ac:dyDescent="0.2">
      <c r="A204" s="109">
        <v>40118</v>
      </c>
      <c r="B204" s="3">
        <v>1183</v>
      </c>
      <c r="C204" s="83">
        <f t="shared" si="462"/>
        <v>9.8292551202692029E-3</v>
      </c>
      <c r="D204" s="76">
        <v>120355</v>
      </c>
      <c r="E204" s="35">
        <v>524</v>
      </c>
      <c r="F204" s="83">
        <f t="shared" si="463"/>
        <v>0.31699939503932245</v>
      </c>
      <c r="G204" s="33">
        <v>1653</v>
      </c>
      <c r="H204" s="4">
        <v>35</v>
      </c>
      <c r="I204" s="83">
        <f t="shared" si="464"/>
        <v>0.81395348837209303</v>
      </c>
      <c r="J204" s="4">
        <v>43</v>
      </c>
      <c r="K204" s="140">
        <f t="shared" si="474"/>
        <v>1742</v>
      </c>
      <c r="L204" s="83">
        <f t="shared" si="465"/>
        <v>1.427272205881148E-2</v>
      </c>
      <c r="M204" s="18">
        <f t="shared" si="475"/>
        <v>122051</v>
      </c>
      <c r="N204" s="53">
        <v>5109</v>
      </c>
      <c r="O204" s="6">
        <f t="shared" si="466"/>
        <v>8.7291254472203136E-3</v>
      </c>
      <c r="P204" s="3">
        <v>585282</v>
      </c>
      <c r="Q204" s="55">
        <v>3569</v>
      </c>
      <c r="R204" s="6">
        <f t="shared" si="467"/>
        <v>0.32641302359612218</v>
      </c>
      <c r="S204" s="33">
        <v>10934</v>
      </c>
      <c r="T204" s="4">
        <v>301</v>
      </c>
      <c r="U204" s="6">
        <f t="shared" si="468"/>
        <v>0.8246575342465754</v>
      </c>
      <c r="V204" s="21">
        <v>365</v>
      </c>
      <c r="W204" s="52">
        <f t="shared" si="476"/>
        <v>8979</v>
      </c>
      <c r="X204" s="6">
        <f t="shared" si="469"/>
        <v>1.5050764271741809E-2</v>
      </c>
      <c r="Y204" s="21">
        <f t="shared" si="477"/>
        <v>596581</v>
      </c>
      <c r="Z204" s="34">
        <v>27</v>
      </c>
      <c r="AA204" s="83">
        <f t="shared" si="470"/>
        <v>7.2600161333691857E-4</v>
      </c>
      <c r="AB204" s="3">
        <v>37190</v>
      </c>
      <c r="AC204" s="35">
        <v>56</v>
      </c>
      <c r="AD204" s="83">
        <f t="shared" si="471"/>
        <v>0.29473684210526313</v>
      </c>
      <c r="AE204" s="36">
        <v>190</v>
      </c>
      <c r="AF204" s="4">
        <v>9</v>
      </c>
      <c r="AG204" s="6">
        <f t="shared" si="472"/>
        <v>0.52941176470588236</v>
      </c>
      <c r="AH204" s="37">
        <v>17</v>
      </c>
      <c r="AI204" s="34">
        <f t="shared" si="478"/>
        <v>92</v>
      </c>
      <c r="AJ204" s="6">
        <f t="shared" si="473"/>
        <v>2.4600903815814104E-3</v>
      </c>
      <c r="AK204" s="37">
        <f t="shared" si="479"/>
        <v>37397</v>
      </c>
      <c r="AL204" s="84">
        <f t="shared" si="480"/>
        <v>8.506691329205859E-3</v>
      </c>
      <c r="AM204" s="83">
        <f t="shared" si="481"/>
        <v>0.32472411364169995</v>
      </c>
      <c r="AN204" s="6">
        <f t="shared" si="482"/>
        <v>0.81176470588235294</v>
      </c>
      <c r="AO204" s="127">
        <f t="shared" si="483"/>
        <v>1.4302361417353039E-2</v>
      </c>
      <c r="AP204" s="52">
        <f t="shared" si="484"/>
        <v>10813</v>
      </c>
      <c r="AQ204" s="3">
        <f t="shared" si="377"/>
        <v>756029</v>
      </c>
      <c r="AR204" s="12">
        <f t="shared" si="485"/>
        <v>742827</v>
      </c>
      <c r="AS204" s="3">
        <f t="shared" si="486"/>
        <v>12777</v>
      </c>
      <c r="AT204" s="21">
        <f t="shared" si="487"/>
        <v>425</v>
      </c>
    </row>
    <row r="205" spans="1:46" x14ac:dyDescent="0.2">
      <c r="A205" s="109">
        <v>40087</v>
      </c>
      <c r="B205" s="3">
        <v>996</v>
      </c>
      <c r="C205" s="83">
        <f t="shared" si="462"/>
        <v>8.2369189292005388E-3</v>
      </c>
      <c r="D205" s="76">
        <v>120919</v>
      </c>
      <c r="E205" s="35">
        <v>505</v>
      </c>
      <c r="F205" s="83">
        <f t="shared" si="463"/>
        <v>0.29934795494961469</v>
      </c>
      <c r="G205" s="33">
        <v>1687</v>
      </c>
      <c r="H205" s="4">
        <v>35</v>
      </c>
      <c r="I205" s="83">
        <f t="shared" si="464"/>
        <v>0.81395348837209303</v>
      </c>
      <c r="J205" s="4">
        <v>43</v>
      </c>
      <c r="K205" s="140">
        <f t="shared" si="474"/>
        <v>1536</v>
      </c>
      <c r="L205" s="83">
        <f t="shared" si="465"/>
        <v>1.2523542792847883E-2</v>
      </c>
      <c r="M205" s="18">
        <f t="shared" si="475"/>
        <v>122649</v>
      </c>
      <c r="N205" s="53">
        <v>5474</v>
      </c>
      <c r="O205" s="6">
        <f t="shared" si="466"/>
        <v>9.3526925298059414E-3</v>
      </c>
      <c r="P205" s="3">
        <v>585286</v>
      </c>
      <c r="Q205" s="55">
        <v>3535</v>
      </c>
      <c r="R205" s="6">
        <f t="shared" si="467"/>
        <v>0.32022828154724159</v>
      </c>
      <c r="S205" s="33">
        <v>11039</v>
      </c>
      <c r="T205" s="4">
        <v>305</v>
      </c>
      <c r="U205" s="6">
        <f t="shared" si="468"/>
        <v>0.82210242587601079</v>
      </c>
      <c r="V205" s="21">
        <v>371</v>
      </c>
      <c r="W205" s="52">
        <f t="shared" si="476"/>
        <v>9314</v>
      </c>
      <c r="X205" s="6">
        <f t="shared" si="469"/>
        <v>1.5609288481907034E-2</v>
      </c>
      <c r="Y205" s="21">
        <f t="shared" si="477"/>
        <v>596696</v>
      </c>
      <c r="Z205" s="34">
        <v>27</v>
      </c>
      <c r="AA205" s="83">
        <f t="shared" si="470"/>
        <v>7.2535797759449802E-4</v>
      </c>
      <c r="AB205" s="3">
        <v>37223</v>
      </c>
      <c r="AC205" s="35">
        <v>56</v>
      </c>
      <c r="AD205" s="83">
        <f t="shared" si="471"/>
        <v>0.29166666666666669</v>
      </c>
      <c r="AE205" s="36">
        <v>192</v>
      </c>
      <c r="AF205" s="4">
        <v>9</v>
      </c>
      <c r="AG205" s="6">
        <f t="shared" si="472"/>
        <v>0.52941176470588236</v>
      </c>
      <c r="AH205" s="37">
        <v>17</v>
      </c>
      <c r="AI205" s="34">
        <f t="shared" si="478"/>
        <v>92</v>
      </c>
      <c r="AJ205" s="6">
        <f t="shared" si="473"/>
        <v>2.4577901260953196E-3</v>
      </c>
      <c r="AK205" s="37">
        <f t="shared" si="479"/>
        <v>37432</v>
      </c>
      <c r="AL205" s="84">
        <f t="shared" si="480"/>
        <v>8.7392457642165751E-3</v>
      </c>
      <c r="AM205" s="83">
        <f t="shared" si="481"/>
        <v>0.31707694689580429</v>
      </c>
      <c r="AN205" s="6">
        <f t="shared" si="482"/>
        <v>0.80974477958236657</v>
      </c>
      <c r="AO205" s="127">
        <f t="shared" si="483"/>
        <v>1.4458684658756807E-2</v>
      </c>
      <c r="AP205" s="52">
        <f t="shared" si="484"/>
        <v>10942</v>
      </c>
      <c r="AQ205" s="3">
        <f t="shared" si="377"/>
        <v>756777</v>
      </c>
      <c r="AR205" s="12">
        <f t="shared" si="485"/>
        <v>743428</v>
      </c>
      <c r="AS205" s="3">
        <f t="shared" si="486"/>
        <v>12918</v>
      </c>
      <c r="AT205" s="21">
        <f t="shared" si="487"/>
        <v>431</v>
      </c>
    </row>
    <row r="206" spans="1:46" x14ac:dyDescent="0.2">
      <c r="A206" s="109">
        <v>40057</v>
      </c>
      <c r="B206" s="3">
        <v>996</v>
      </c>
      <c r="C206" s="83">
        <f t="shared" ref="C206:C212" si="488">B206/D206</f>
        <v>8.1725759204404665E-3</v>
      </c>
      <c r="D206" s="76">
        <v>121871</v>
      </c>
      <c r="E206" s="35">
        <v>497</v>
      </c>
      <c r="F206" s="83">
        <f t="shared" ref="F206:F212" si="489">E206/G206</f>
        <v>0.29218106995884774</v>
      </c>
      <c r="G206" s="33">
        <v>1701</v>
      </c>
      <c r="H206" s="4">
        <v>35</v>
      </c>
      <c r="I206" s="83">
        <f t="shared" ref="I206:I212" si="490">H206/J206</f>
        <v>0.81395348837209303</v>
      </c>
      <c r="J206" s="4">
        <v>43</v>
      </c>
      <c r="K206" s="140">
        <f t="shared" si="474"/>
        <v>1528</v>
      </c>
      <c r="L206" s="83">
        <f t="shared" ref="L206:L212" si="491">K206/M206</f>
        <v>1.2360959430489827E-2</v>
      </c>
      <c r="M206" s="18">
        <f t="shared" si="475"/>
        <v>123615</v>
      </c>
      <c r="N206" s="53">
        <v>4677</v>
      </c>
      <c r="O206" s="6">
        <f t="shared" ref="O206:O212" si="492">N206/P206</f>
        <v>8.0036689900180886E-3</v>
      </c>
      <c r="P206" s="3">
        <v>584357</v>
      </c>
      <c r="Q206" s="55">
        <v>3416</v>
      </c>
      <c r="R206" s="6">
        <f t="shared" ref="R206:R212" si="493">Q206/S206</f>
        <v>0.31156512221816857</v>
      </c>
      <c r="S206" s="33">
        <v>10964</v>
      </c>
      <c r="T206" s="4">
        <v>304</v>
      </c>
      <c r="U206" s="6">
        <f t="shared" ref="U206:U212" si="494">T206/V206</f>
        <v>0.82162162162162167</v>
      </c>
      <c r="V206" s="21">
        <v>370</v>
      </c>
      <c r="W206" s="52">
        <f t="shared" si="476"/>
        <v>8397</v>
      </c>
      <c r="X206" s="6">
        <f t="shared" ref="X206:X212" si="495">W206/Y206</f>
        <v>1.4096234457126261E-2</v>
      </c>
      <c r="Y206" s="21">
        <f t="shared" si="477"/>
        <v>595691</v>
      </c>
      <c r="Z206" s="34">
        <v>25</v>
      </c>
      <c r="AA206" s="83">
        <f t="shared" ref="AA206:AA212" si="496">Z206/AB206</f>
        <v>6.7202494556597937E-4</v>
      </c>
      <c r="AB206" s="3">
        <v>37201</v>
      </c>
      <c r="AC206" s="35">
        <v>59</v>
      </c>
      <c r="AD206" s="83">
        <f t="shared" ref="AD206:AD212" si="497">AC206/AE206</f>
        <v>0.29064039408866993</v>
      </c>
      <c r="AE206" s="36">
        <v>203</v>
      </c>
      <c r="AF206" s="4">
        <v>9</v>
      </c>
      <c r="AG206" s="6">
        <f t="shared" ref="AG206:AG212" si="498">AF206/AH206</f>
        <v>0.52941176470588236</v>
      </c>
      <c r="AH206" s="37">
        <v>17</v>
      </c>
      <c r="AI206" s="34">
        <f t="shared" si="478"/>
        <v>93</v>
      </c>
      <c r="AJ206" s="6">
        <f t="shared" ref="AJ206:AJ212" si="499">AI206/AK206</f>
        <v>2.4852355629192166E-3</v>
      </c>
      <c r="AK206" s="37">
        <f t="shared" si="479"/>
        <v>37421</v>
      </c>
      <c r="AL206" s="84">
        <f t="shared" si="480"/>
        <v>7.6644844363079733E-3</v>
      </c>
      <c r="AM206" s="83">
        <f t="shared" si="481"/>
        <v>0.30867267640658996</v>
      </c>
      <c r="AN206" s="6">
        <f t="shared" si="482"/>
        <v>0.80930232558139537</v>
      </c>
      <c r="AO206" s="127">
        <f t="shared" si="483"/>
        <v>1.3238591988920707E-2</v>
      </c>
      <c r="AP206" s="52">
        <f t="shared" si="484"/>
        <v>10018</v>
      </c>
      <c r="AQ206" s="3">
        <f t="shared" si="377"/>
        <v>756727</v>
      </c>
      <c r="AR206" s="12">
        <f t="shared" si="485"/>
        <v>743429</v>
      </c>
      <c r="AS206" s="3">
        <f t="shared" si="486"/>
        <v>12868</v>
      </c>
      <c r="AT206" s="21">
        <f t="shared" si="487"/>
        <v>430</v>
      </c>
    </row>
    <row r="207" spans="1:46" x14ac:dyDescent="0.2">
      <c r="A207" s="109">
        <v>40026</v>
      </c>
      <c r="B207" s="3">
        <v>991</v>
      </c>
      <c r="C207" s="83">
        <f t="shared" si="488"/>
        <v>8.1176277850589784E-3</v>
      </c>
      <c r="D207" s="76">
        <v>122080</v>
      </c>
      <c r="E207" s="35">
        <v>486</v>
      </c>
      <c r="F207" s="83">
        <f t="shared" si="489"/>
        <v>0.40032948929159801</v>
      </c>
      <c r="G207" s="33">
        <v>1214</v>
      </c>
      <c r="H207" s="4">
        <v>35</v>
      </c>
      <c r="I207" s="83">
        <f t="shared" si="490"/>
        <v>0.81395348837209303</v>
      </c>
      <c r="J207" s="4">
        <v>43</v>
      </c>
      <c r="K207" s="140">
        <f t="shared" ref="K207:K213" si="500">+H207+E207+B207</f>
        <v>1512</v>
      </c>
      <c r="L207" s="83">
        <f t="shared" si="491"/>
        <v>1.2259094999878381E-2</v>
      </c>
      <c r="M207" s="18">
        <f t="shared" ref="M207:M213" si="501">+J207+G207+D207</f>
        <v>123337</v>
      </c>
      <c r="N207" s="53">
        <v>4515</v>
      </c>
      <c r="O207" s="6">
        <f t="shared" si="492"/>
        <v>7.7283985696899567E-3</v>
      </c>
      <c r="P207" s="3">
        <v>584209</v>
      </c>
      <c r="Q207" s="55">
        <v>3363</v>
      </c>
      <c r="R207" s="6">
        <f t="shared" si="493"/>
        <v>0.30514472370928231</v>
      </c>
      <c r="S207" s="33">
        <v>11021</v>
      </c>
      <c r="T207" s="4">
        <v>297</v>
      </c>
      <c r="U207" s="6">
        <f t="shared" si="494"/>
        <v>0.80706521739130432</v>
      </c>
      <c r="V207" s="21">
        <v>368</v>
      </c>
      <c r="W207" s="52">
        <f t="shared" ref="W207:W213" si="502">+T207+Q207+N207</f>
        <v>8175</v>
      </c>
      <c r="X207" s="6">
        <f t="shared" si="495"/>
        <v>1.3725700892212533E-2</v>
      </c>
      <c r="Y207" s="21">
        <f t="shared" ref="Y207:Y213" si="503">+V207+S207+P207</f>
        <v>595598</v>
      </c>
      <c r="Z207" s="34">
        <v>25</v>
      </c>
      <c r="AA207" s="83">
        <f t="shared" si="496"/>
        <v>6.7171798592079103E-4</v>
      </c>
      <c r="AB207" s="3">
        <v>37218</v>
      </c>
      <c r="AC207" s="35">
        <v>59</v>
      </c>
      <c r="AD207" s="83">
        <f t="shared" si="497"/>
        <v>0.29064039408866993</v>
      </c>
      <c r="AE207" s="36">
        <v>203</v>
      </c>
      <c r="AF207" s="4">
        <v>9</v>
      </c>
      <c r="AG207" s="6">
        <f t="shared" si="498"/>
        <v>0.5</v>
      </c>
      <c r="AH207" s="37">
        <v>18</v>
      </c>
      <c r="AI207" s="34">
        <f t="shared" ref="AI207:AI213" si="504">+AF207+AC207+Z207</f>
        <v>93</v>
      </c>
      <c r="AJ207" s="6">
        <f t="shared" si="499"/>
        <v>2.4840407062154436E-3</v>
      </c>
      <c r="AK207" s="37">
        <f t="shared" ref="AK207:AK213" si="505">+AH207+AE207+AB207</f>
        <v>37439</v>
      </c>
      <c r="AL207" s="84">
        <f t="shared" ref="AL207:AL213" si="506">(B207+N207+Z207)/AR207</f>
        <v>7.4390691681450209E-3</v>
      </c>
      <c r="AM207" s="83">
        <f t="shared" ref="AM207:AM213" si="507">(E207+Q207+AC207)/AS207</f>
        <v>0.31419842418395239</v>
      </c>
      <c r="AN207" s="6">
        <f t="shared" ref="AN207:AN213" si="508">(H207+T207+AF207)/AT207</f>
        <v>0.79487179487179482</v>
      </c>
      <c r="AO207" s="127">
        <f t="shared" ref="AO207:AO213" si="509">AP207/AQ207</f>
        <v>1.2930111294148132E-2</v>
      </c>
      <c r="AP207" s="52">
        <f t="shared" ref="AP207:AP213" si="510">AF207+AC207+Z207+T207+Q207+N207+H207+E207+B207</f>
        <v>9780</v>
      </c>
      <c r="AQ207" s="3">
        <f t="shared" si="377"/>
        <v>756374</v>
      </c>
      <c r="AR207" s="12">
        <f t="shared" ref="AR207:AR213" si="511">+D207+P207+AB207</f>
        <v>743507</v>
      </c>
      <c r="AS207" s="3">
        <f t="shared" ref="AS207:AS213" si="512">G207+S207+AE207</f>
        <v>12438</v>
      </c>
      <c r="AT207" s="21">
        <f t="shared" ref="AT207:AT213" si="513">J207+V207+AH207</f>
        <v>429</v>
      </c>
    </row>
    <row r="208" spans="1:46" x14ac:dyDescent="0.2">
      <c r="A208" s="109">
        <v>39995</v>
      </c>
      <c r="B208" s="3">
        <v>966</v>
      </c>
      <c r="C208" s="83">
        <f t="shared" si="488"/>
        <v>7.923813273617639E-3</v>
      </c>
      <c r="D208" s="76">
        <v>121911</v>
      </c>
      <c r="E208" s="35">
        <v>486</v>
      </c>
      <c r="F208" s="83">
        <f t="shared" si="489"/>
        <v>0.28588235294117648</v>
      </c>
      <c r="G208" s="33">
        <v>1700</v>
      </c>
      <c r="H208" s="4">
        <v>33</v>
      </c>
      <c r="I208" s="83">
        <f t="shared" si="490"/>
        <v>0.73333333333333328</v>
      </c>
      <c r="J208" s="4">
        <v>45</v>
      </c>
      <c r="K208" s="140">
        <f>+H208+E208+B208</f>
        <v>1485</v>
      </c>
      <c r="L208" s="83">
        <f t="shared" si="491"/>
        <v>1.2009122080610727E-2</v>
      </c>
      <c r="M208" s="18">
        <f>+J208+G208+D208</f>
        <v>123656</v>
      </c>
      <c r="N208" s="53">
        <v>4420</v>
      </c>
      <c r="O208" s="6">
        <f t="shared" si="492"/>
        <v>7.5706710149495062E-3</v>
      </c>
      <c r="P208" s="3">
        <v>583832</v>
      </c>
      <c r="Q208" s="55">
        <v>3315</v>
      </c>
      <c r="R208" s="6">
        <f t="shared" si="493"/>
        <v>0.29902579830416742</v>
      </c>
      <c r="S208" s="33">
        <v>11086</v>
      </c>
      <c r="T208" s="4">
        <v>297</v>
      </c>
      <c r="U208" s="6">
        <f t="shared" si="494"/>
        <v>0.80706521739130432</v>
      </c>
      <c r="V208" s="21">
        <v>368</v>
      </c>
      <c r="W208" s="52">
        <f>+T208+Q208+N208</f>
        <v>8032</v>
      </c>
      <c r="X208" s="6">
        <f t="shared" si="495"/>
        <v>1.349267410958766E-2</v>
      </c>
      <c r="Y208" s="21">
        <f>+V208+S208+P208</f>
        <v>595286</v>
      </c>
      <c r="Z208" s="34">
        <v>27</v>
      </c>
      <c r="AA208" s="83">
        <f t="shared" si="496"/>
        <v>7.268615732514941E-4</v>
      </c>
      <c r="AB208" s="3">
        <v>37146</v>
      </c>
      <c r="AC208" s="35">
        <v>60</v>
      </c>
      <c r="AD208" s="83">
        <f t="shared" si="497"/>
        <v>0.29556650246305421</v>
      </c>
      <c r="AE208" s="36">
        <v>203</v>
      </c>
      <c r="AF208" s="4">
        <v>12</v>
      </c>
      <c r="AG208" s="6">
        <f t="shared" si="498"/>
        <v>0.66666666666666663</v>
      </c>
      <c r="AH208" s="37">
        <v>18</v>
      </c>
      <c r="AI208" s="34">
        <f>+AF208+AC208+Z208</f>
        <v>99</v>
      </c>
      <c r="AJ208" s="6">
        <f t="shared" si="499"/>
        <v>2.6493965263467765E-3</v>
      </c>
      <c r="AK208" s="37">
        <f>+AH208+AE208+AB208</f>
        <v>37367</v>
      </c>
      <c r="AL208" s="84">
        <f>(B208+N208+Z208)/AR208</f>
        <v>7.2864182939847005E-3</v>
      </c>
      <c r="AM208" s="83">
        <f>(E208+Q208+AC208)/AS208</f>
        <v>0.29725152051736087</v>
      </c>
      <c r="AN208" s="6">
        <f>(H208+T208+AF208)/AT208</f>
        <v>0.79350348027842232</v>
      </c>
      <c r="AO208" s="127">
        <f>AP208/AQ208</f>
        <v>1.2714379969033822E-2</v>
      </c>
      <c r="AP208" s="52">
        <f>AF208+AC208+Z208+T208+Q208+N208+H208+E208+B208</f>
        <v>9616</v>
      </c>
      <c r="AQ208" s="3">
        <f t="shared" si="377"/>
        <v>756309</v>
      </c>
      <c r="AR208" s="12">
        <f>+D208+P208+AB208</f>
        <v>742889</v>
      </c>
      <c r="AS208" s="3">
        <f>G208+S208+AE208</f>
        <v>12989</v>
      </c>
      <c r="AT208" s="21">
        <f>J208+V208+AH208</f>
        <v>431</v>
      </c>
    </row>
    <row r="209" spans="1:50" x14ac:dyDescent="0.2">
      <c r="A209" s="109">
        <v>39965</v>
      </c>
      <c r="B209" s="3">
        <v>952</v>
      </c>
      <c r="C209" s="83">
        <f t="shared" si="488"/>
        <v>7.8140390045308289E-3</v>
      </c>
      <c r="D209" s="76">
        <v>121832</v>
      </c>
      <c r="E209" s="35">
        <v>475</v>
      </c>
      <c r="F209" s="83">
        <f t="shared" si="489"/>
        <v>0.27924750146972371</v>
      </c>
      <c r="G209" s="33">
        <v>1701</v>
      </c>
      <c r="H209" s="4">
        <v>32</v>
      </c>
      <c r="I209" s="83">
        <f t="shared" si="490"/>
        <v>0.71111111111111114</v>
      </c>
      <c r="J209" s="4">
        <v>45</v>
      </c>
      <c r="K209" s="140">
        <f t="shared" si="500"/>
        <v>1459</v>
      </c>
      <c r="L209" s="83">
        <f t="shared" si="491"/>
        <v>1.1806308566249656E-2</v>
      </c>
      <c r="M209" s="18">
        <f t="shared" si="501"/>
        <v>123578</v>
      </c>
      <c r="N209" s="53">
        <v>4130</v>
      </c>
      <c r="O209" s="6">
        <f t="shared" si="492"/>
        <v>7.0647441895472576E-3</v>
      </c>
      <c r="P209" s="3">
        <v>584593</v>
      </c>
      <c r="Q209" s="55">
        <v>3248</v>
      </c>
      <c r="R209" s="6">
        <f t="shared" si="493"/>
        <v>0.29314079422382672</v>
      </c>
      <c r="S209" s="33">
        <v>11080</v>
      </c>
      <c r="T209" s="4">
        <v>302</v>
      </c>
      <c r="U209" s="6">
        <f t="shared" si="494"/>
        <v>0.81842818428184283</v>
      </c>
      <c r="V209" s="21">
        <v>369</v>
      </c>
      <c r="W209" s="52">
        <f t="shared" si="502"/>
        <v>7680</v>
      </c>
      <c r="X209" s="6">
        <f t="shared" si="495"/>
        <v>1.2884998037051081E-2</v>
      </c>
      <c r="Y209" s="21">
        <f t="shared" si="503"/>
        <v>596042</v>
      </c>
      <c r="Z209" s="34">
        <v>27</v>
      </c>
      <c r="AA209" s="83">
        <f t="shared" si="496"/>
        <v>7.2660728221965074E-4</v>
      </c>
      <c r="AB209" s="3">
        <v>37159</v>
      </c>
      <c r="AC209" s="35">
        <v>60</v>
      </c>
      <c r="AD209" s="83">
        <f t="shared" si="497"/>
        <v>0.29702970297029702</v>
      </c>
      <c r="AE209" s="36">
        <v>202</v>
      </c>
      <c r="AF209" s="4">
        <v>12</v>
      </c>
      <c r="AG209" s="6">
        <f t="shared" si="498"/>
        <v>0.66666666666666663</v>
      </c>
      <c r="AH209" s="37">
        <v>18</v>
      </c>
      <c r="AI209" s="34">
        <f t="shared" si="504"/>
        <v>99</v>
      </c>
      <c r="AJ209" s="6">
        <f t="shared" si="499"/>
        <v>2.6485459750127077E-3</v>
      </c>
      <c r="AK209" s="37">
        <f t="shared" si="505"/>
        <v>37379</v>
      </c>
      <c r="AL209" s="84">
        <f t="shared" si="506"/>
        <v>6.8707772087618886E-3</v>
      </c>
      <c r="AM209" s="83">
        <f t="shared" si="507"/>
        <v>0.29138103674035276</v>
      </c>
      <c r="AN209" s="6">
        <f t="shared" si="508"/>
        <v>0.80092592592592593</v>
      </c>
      <c r="AO209" s="127">
        <f t="shared" si="509"/>
        <v>1.2203450731110609E-2</v>
      </c>
      <c r="AP209" s="52">
        <f t="shared" si="510"/>
        <v>9238</v>
      </c>
      <c r="AQ209" s="3">
        <f t="shared" si="377"/>
        <v>756999</v>
      </c>
      <c r="AR209" s="12">
        <f t="shared" si="511"/>
        <v>743584</v>
      </c>
      <c r="AS209" s="3">
        <f t="shared" si="512"/>
        <v>12983</v>
      </c>
      <c r="AT209" s="21">
        <f t="shared" si="513"/>
        <v>432</v>
      </c>
    </row>
    <row r="210" spans="1:50" x14ac:dyDescent="0.2">
      <c r="A210" s="109">
        <v>39934</v>
      </c>
      <c r="B210" s="3">
        <v>659</v>
      </c>
      <c r="C210" s="83">
        <f t="shared" si="488"/>
        <v>5.4282019389965651E-3</v>
      </c>
      <c r="D210" s="76">
        <v>121403</v>
      </c>
      <c r="E210" s="35">
        <v>456</v>
      </c>
      <c r="F210" s="83">
        <f t="shared" si="489"/>
        <v>0.26792009400705052</v>
      </c>
      <c r="G210" s="33">
        <v>1702</v>
      </c>
      <c r="H210" s="4">
        <v>31</v>
      </c>
      <c r="I210" s="83">
        <f t="shared" si="490"/>
        <v>0.68888888888888888</v>
      </c>
      <c r="J210" s="4">
        <v>45</v>
      </c>
      <c r="K210" s="140">
        <f t="shared" si="500"/>
        <v>1146</v>
      </c>
      <c r="L210" s="83">
        <f t="shared" si="491"/>
        <v>9.3057247259439712E-3</v>
      </c>
      <c r="M210" s="18">
        <f t="shared" si="501"/>
        <v>123150</v>
      </c>
      <c r="N210" s="53">
        <v>3331</v>
      </c>
      <c r="O210" s="6">
        <f t="shared" si="492"/>
        <v>5.706776861769563E-3</v>
      </c>
      <c r="P210" s="3">
        <v>583692</v>
      </c>
      <c r="Q210" s="55">
        <v>3168</v>
      </c>
      <c r="R210" s="6">
        <f t="shared" si="493"/>
        <v>0.28450830713964975</v>
      </c>
      <c r="S210" s="33">
        <v>11135</v>
      </c>
      <c r="T210" s="4">
        <v>301</v>
      </c>
      <c r="U210" s="6">
        <f t="shared" si="494"/>
        <v>0.80913978494623651</v>
      </c>
      <c r="V210" s="21">
        <v>372</v>
      </c>
      <c r="W210" s="52">
        <f t="shared" si="502"/>
        <v>6800</v>
      </c>
      <c r="X210" s="6">
        <f t="shared" si="495"/>
        <v>1.1424750377604801E-2</v>
      </c>
      <c r="Y210" s="21">
        <f t="shared" si="503"/>
        <v>595199</v>
      </c>
      <c r="Z210" s="34">
        <v>27</v>
      </c>
      <c r="AA210" s="83">
        <f t="shared" si="496"/>
        <v>7.2693985245813361E-4</v>
      </c>
      <c r="AB210" s="3">
        <v>37142</v>
      </c>
      <c r="AC210" s="35">
        <v>60</v>
      </c>
      <c r="AD210" s="83">
        <f t="shared" si="497"/>
        <v>0.3</v>
      </c>
      <c r="AE210" s="36">
        <v>200</v>
      </c>
      <c r="AF210" s="4">
        <v>12</v>
      </c>
      <c r="AG210" s="6">
        <f t="shared" si="498"/>
        <v>0.66666666666666663</v>
      </c>
      <c r="AH210" s="37">
        <v>18</v>
      </c>
      <c r="AI210" s="34">
        <f t="shared" si="504"/>
        <v>99</v>
      </c>
      <c r="AJ210" s="6">
        <f t="shared" si="499"/>
        <v>2.6498929336188437E-3</v>
      </c>
      <c r="AK210" s="37">
        <f t="shared" si="505"/>
        <v>37360</v>
      </c>
      <c r="AL210" s="84">
        <f t="shared" si="506"/>
        <v>5.4120179942525101E-3</v>
      </c>
      <c r="AM210" s="83">
        <f t="shared" si="507"/>
        <v>0.28258034823962569</v>
      </c>
      <c r="AN210" s="6">
        <f t="shared" si="508"/>
        <v>0.79080459770114941</v>
      </c>
      <c r="AO210" s="127">
        <f t="shared" si="509"/>
        <v>1.0645632115007232E-2</v>
      </c>
      <c r="AP210" s="52">
        <f t="shared" si="510"/>
        <v>8045</v>
      </c>
      <c r="AQ210" s="3">
        <f t="shared" si="377"/>
        <v>755709</v>
      </c>
      <c r="AR210" s="12">
        <f t="shared" si="511"/>
        <v>742237</v>
      </c>
      <c r="AS210" s="3">
        <f t="shared" si="512"/>
        <v>13037</v>
      </c>
      <c r="AT210" s="21">
        <f t="shared" si="513"/>
        <v>435</v>
      </c>
    </row>
    <row r="211" spans="1:50" x14ac:dyDescent="0.2">
      <c r="A211" s="109">
        <v>39904</v>
      </c>
      <c r="B211" s="3">
        <v>643</v>
      </c>
      <c r="C211" s="83">
        <f t="shared" si="488"/>
        <v>5.3400880325554356E-3</v>
      </c>
      <c r="D211" s="76">
        <v>120410</v>
      </c>
      <c r="E211" s="35">
        <v>460</v>
      </c>
      <c r="F211" s="83">
        <f t="shared" si="489"/>
        <v>0.27332144979203804</v>
      </c>
      <c r="G211" s="33">
        <v>1683</v>
      </c>
      <c r="H211" s="4">
        <v>31</v>
      </c>
      <c r="I211" s="83">
        <f t="shared" si="490"/>
        <v>0.68888888888888888</v>
      </c>
      <c r="J211" s="4">
        <v>45</v>
      </c>
      <c r="K211" s="140">
        <f t="shared" si="500"/>
        <v>1134</v>
      </c>
      <c r="L211" s="83">
        <f t="shared" si="491"/>
        <v>9.2845797376737791E-3</v>
      </c>
      <c r="M211" s="18">
        <f t="shared" si="501"/>
        <v>122138</v>
      </c>
      <c r="N211" s="53">
        <v>3094</v>
      </c>
      <c r="O211" s="6">
        <f t="shared" si="492"/>
        <v>5.2919283554314954E-3</v>
      </c>
      <c r="P211" s="3">
        <v>584664</v>
      </c>
      <c r="Q211" s="55">
        <v>3160</v>
      </c>
      <c r="R211" s="6">
        <f t="shared" si="493"/>
        <v>0.28389183361782411</v>
      </c>
      <c r="S211" s="33">
        <v>11131</v>
      </c>
      <c r="T211" s="4">
        <v>298</v>
      </c>
      <c r="U211" s="6">
        <f t="shared" si="494"/>
        <v>0.79255319148936165</v>
      </c>
      <c r="V211" s="21">
        <v>376</v>
      </c>
      <c r="W211" s="52">
        <f t="shared" si="502"/>
        <v>6552</v>
      </c>
      <c r="X211" s="6">
        <f t="shared" si="495"/>
        <v>1.0990135380620662E-2</v>
      </c>
      <c r="Y211" s="21">
        <f t="shared" si="503"/>
        <v>596171</v>
      </c>
      <c r="Z211" s="34">
        <v>26</v>
      </c>
      <c r="AA211" s="83">
        <f t="shared" si="496"/>
        <v>7.0033670033670039E-4</v>
      </c>
      <c r="AB211" s="3">
        <v>37125</v>
      </c>
      <c r="AC211" s="35">
        <v>57</v>
      </c>
      <c r="AD211" s="83">
        <f t="shared" si="497"/>
        <v>0.28499999999999998</v>
      </c>
      <c r="AE211" s="36">
        <v>200</v>
      </c>
      <c r="AF211" s="4">
        <v>12</v>
      </c>
      <c r="AG211" s="6">
        <f t="shared" si="498"/>
        <v>0.66666666666666663</v>
      </c>
      <c r="AH211" s="37">
        <v>18</v>
      </c>
      <c r="AI211" s="34">
        <f t="shared" si="504"/>
        <v>95</v>
      </c>
      <c r="AJ211" s="6">
        <f t="shared" si="499"/>
        <v>2.5439841469619474E-3</v>
      </c>
      <c r="AK211" s="37">
        <f t="shared" si="505"/>
        <v>37343</v>
      </c>
      <c r="AL211" s="84">
        <f t="shared" si="506"/>
        <v>5.0700688090390853E-3</v>
      </c>
      <c r="AM211" s="83">
        <f t="shared" si="507"/>
        <v>0.28254187797756264</v>
      </c>
      <c r="AN211" s="6">
        <f t="shared" si="508"/>
        <v>0.77676537585421412</v>
      </c>
      <c r="AO211" s="127">
        <f t="shared" si="509"/>
        <v>1.0297067962501258E-2</v>
      </c>
      <c r="AP211" s="52">
        <f t="shared" si="510"/>
        <v>7781</v>
      </c>
      <c r="AQ211" s="3">
        <f t="shared" si="377"/>
        <v>755652</v>
      </c>
      <c r="AR211" s="12">
        <f t="shared" si="511"/>
        <v>742199</v>
      </c>
      <c r="AS211" s="3">
        <f t="shared" si="512"/>
        <v>13014</v>
      </c>
      <c r="AT211" s="21">
        <f t="shared" si="513"/>
        <v>439</v>
      </c>
    </row>
    <row r="212" spans="1:50" x14ac:dyDescent="0.2">
      <c r="A212" s="109">
        <v>39873</v>
      </c>
      <c r="B212" s="3">
        <v>620</v>
      </c>
      <c r="C212" s="83">
        <f t="shared" si="488"/>
        <v>5.1747738123059462E-3</v>
      </c>
      <c r="D212" s="76">
        <v>119812</v>
      </c>
      <c r="E212" s="35">
        <v>456</v>
      </c>
      <c r="F212" s="83">
        <f t="shared" si="489"/>
        <v>0.27602905569007263</v>
      </c>
      <c r="G212" s="33">
        <v>1652</v>
      </c>
      <c r="H212" s="4">
        <v>31</v>
      </c>
      <c r="I212" s="83">
        <f t="shared" si="490"/>
        <v>0.67391304347826086</v>
      </c>
      <c r="J212" s="4">
        <v>46</v>
      </c>
      <c r="K212" s="140">
        <f t="shared" si="500"/>
        <v>1107</v>
      </c>
      <c r="L212" s="83">
        <f t="shared" si="491"/>
        <v>9.110361287136862E-3</v>
      </c>
      <c r="M212" s="18">
        <f t="shared" si="501"/>
        <v>121510</v>
      </c>
      <c r="N212" s="53">
        <v>2984</v>
      </c>
      <c r="O212" s="6">
        <f t="shared" si="492"/>
        <v>5.1047465247008829E-3</v>
      </c>
      <c r="P212" s="3">
        <v>584554</v>
      </c>
      <c r="Q212" s="55">
        <v>3123</v>
      </c>
      <c r="R212" s="6">
        <f t="shared" si="493"/>
        <v>0.2814781433077963</v>
      </c>
      <c r="S212" s="33">
        <v>11095</v>
      </c>
      <c r="T212" s="4">
        <v>295</v>
      </c>
      <c r="U212" s="6">
        <f t="shared" si="494"/>
        <v>0.793010752688172</v>
      </c>
      <c r="V212" s="21">
        <v>372</v>
      </c>
      <c r="W212" s="52">
        <f t="shared" si="502"/>
        <v>6402</v>
      </c>
      <c r="X212" s="6">
        <f t="shared" si="495"/>
        <v>1.0741232272017261E-2</v>
      </c>
      <c r="Y212" s="21">
        <f t="shared" si="503"/>
        <v>596021</v>
      </c>
      <c r="Z212" s="34">
        <v>25</v>
      </c>
      <c r="AA212" s="83">
        <f t="shared" si="496"/>
        <v>6.7376364371378526E-4</v>
      </c>
      <c r="AB212" s="3">
        <v>37105</v>
      </c>
      <c r="AC212" s="35">
        <v>39</v>
      </c>
      <c r="AD212" s="83">
        <f t="shared" si="497"/>
        <v>0.19500000000000001</v>
      </c>
      <c r="AE212" s="36">
        <v>200</v>
      </c>
      <c r="AF212" s="4">
        <v>11</v>
      </c>
      <c r="AG212" s="6">
        <f t="shared" si="498"/>
        <v>0.61111111111111116</v>
      </c>
      <c r="AH212" s="37">
        <v>18</v>
      </c>
      <c r="AI212" s="34">
        <f t="shared" si="504"/>
        <v>75</v>
      </c>
      <c r="AJ212" s="6">
        <f t="shared" si="499"/>
        <v>2.0094847681054579E-3</v>
      </c>
      <c r="AK212" s="37">
        <f t="shared" si="505"/>
        <v>37323</v>
      </c>
      <c r="AL212" s="84">
        <f t="shared" si="506"/>
        <v>4.8943249297679885E-3</v>
      </c>
      <c r="AM212" s="83">
        <f t="shared" si="507"/>
        <v>0.2794469761334672</v>
      </c>
      <c r="AN212" s="6">
        <f t="shared" si="508"/>
        <v>0.77293577981651373</v>
      </c>
      <c r="AO212" s="127">
        <f t="shared" si="509"/>
        <v>1.0046975971512372E-2</v>
      </c>
      <c r="AP212" s="52">
        <f t="shared" si="510"/>
        <v>7584</v>
      </c>
      <c r="AQ212" s="3">
        <f t="shared" si="377"/>
        <v>754854</v>
      </c>
      <c r="AR212" s="12">
        <f t="shared" si="511"/>
        <v>741471</v>
      </c>
      <c r="AS212" s="3">
        <f t="shared" si="512"/>
        <v>12947</v>
      </c>
      <c r="AT212" s="21">
        <f t="shared" si="513"/>
        <v>436</v>
      </c>
    </row>
    <row r="213" spans="1:50" x14ac:dyDescent="0.2">
      <c r="A213" s="109">
        <v>39845</v>
      </c>
      <c r="B213" s="3">
        <v>607</v>
      </c>
      <c r="C213" s="83">
        <f t="shared" ref="C213:C234" si="514">B213/D213</f>
        <v>5.0684702738810952E-3</v>
      </c>
      <c r="D213" s="76">
        <v>119760</v>
      </c>
      <c r="E213" s="35">
        <v>442</v>
      </c>
      <c r="F213" s="83">
        <f t="shared" ref="F213:F234" si="515">E213/G213</f>
        <v>0.26984126984126983</v>
      </c>
      <c r="G213" s="33">
        <v>1638</v>
      </c>
      <c r="H213" s="4">
        <v>31</v>
      </c>
      <c r="I213" s="83">
        <f t="shared" ref="I213:I234" si="516">H213/J213</f>
        <v>0.67391304347826086</v>
      </c>
      <c r="J213" s="4">
        <v>46</v>
      </c>
      <c r="K213" s="140">
        <f t="shared" si="500"/>
        <v>1080</v>
      </c>
      <c r="L213" s="83">
        <f t="shared" ref="L213:L250" si="517">K213/M213</f>
        <v>8.8929877145021569E-3</v>
      </c>
      <c r="M213" s="18">
        <f t="shared" si="501"/>
        <v>121444</v>
      </c>
      <c r="N213" s="53">
        <v>2849</v>
      </c>
      <c r="O213" s="6">
        <f t="shared" ref="O213:O245" si="518">N213/P213</f>
        <v>4.8741264124958295E-3</v>
      </c>
      <c r="P213" s="3">
        <v>584515</v>
      </c>
      <c r="Q213" s="55">
        <v>2985</v>
      </c>
      <c r="R213" s="6">
        <f t="shared" ref="R213:R245" si="519">Q213/S213</f>
        <v>0.26870105320010801</v>
      </c>
      <c r="S213" s="33">
        <v>11109</v>
      </c>
      <c r="T213" s="4">
        <v>296</v>
      </c>
      <c r="U213" s="6">
        <f t="shared" ref="U213:U245" si="520">T213/V213</f>
        <v>0.79356568364611257</v>
      </c>
      <c r="V213" s="21">
        <v>373</v>
      </c>
      <c r="W213" s="52">
        <f t="shared" si="502"/>
        <v>6130</v>
      </c>
      <c r="X213" s="6">
        <f t="shared" ref="X213:X245" si="521">W213/Y213</f>
        <v>1.0285286670906061E-2</v>
      </c>
      <c r="Y213" s="21">
        <f t="shared" si="503"/>
        <v>595997</v>
      </c>
      <c r="Z213" s="34">
        <v>91</v>
      </c>
      <c r="AA213" s="83">
        <f t="shared" ref="AA213:AA237" si="522">Z213/AB213</f>
        <v>2.4540208187260664E-3</v>
      </c>
      <c r="AB213" s="3">
        <v>37082</v>
      </c>
      <c r="AC213" s="35">
        <v>32</v>
      </c>
      <c r="AD213" s="83">
        <f t="shared" ref="AD213:AD237" si="523">AC213/AE213</f>
        <v>0.15841584158415842</v>
      </c>
      <c r="AE213" s="36">
        <v>202</v>
      </c>
      <c r="AF213" s="4">
        <v>10</v>
      </c>
      <c r="AG213" s="6">
        <f t="shared" ref="AG213:AG237" si="524">AF213/AH213</f>
        <v>0.55555555555555558</v>
      </c>
      <c r="AH213" s="37">
        <v>18</v>
      </c>
      <c r="AI213" s="34">
        <f t="shared" si="504"/>
        <v>133</v>
      </c>
      <c r="AJ213" s="6">
        <f t="shared" ref="AJ213:AJ245" si="525">AI213/AK213</f>
        <v>3.5654924668918559E-3</v>
      </c>
      <c r="AK213" s="37">
        <f t="shared" si="505"/>
        <v>37302</v>
      </c>
      <c r="AL213" s="84">
        <f t="shared" si="506"/>
        <v>4.7844695605491015E-3</v>
      </c>
      <c r="AM213" s="83">
        <f t="shared" si="507"/>
        <v>0.26712487450768402</v>
      </c>
      <c r="AN213" s="6">
        <f t="shared" si="508"/>
        <v>0.77116704805491987</v>
      </c>
      <c r="AO213" s="127">
        <f t="shared" si="509"/>
        <v>9.7291395879127059E-3</v>
      </c>
      <c r="AP213" s="52">
        <f t="shared" si="510"/>
        <v>7343</v>
      </c>
      <c r="AQ213" s="3">
        <f t="shared" si="377"/>
        <v>754743</v>
      </c>
      <c r="AR213" s="12">
        <f t="shared" si="511"/>
        <v>741357</v>
      </c>
      <c r="AS213" s="3">
        <f t="shared" si="512"/>
        <v>12949</v>
      </c>
      <c r="AT213" s="21">
        <f t="shared" si="513"/>
        <v>437</v>
      </c>
    </row>
    <row r="214" spans="1:50" x14ac:dyDescent="0.2">
      <c r="A214" s="110">
        <v>39814</v>
      </c>
      <c r="B214" s="3">
        <v>600</v>
      </c>
      <c r="C214" s="83">
        <f t="shared" si="514"/>
        <v>5.0093089658281636E-3</v>
      </c>
      <c r="D214" s="76">
        <v>119777</v>
      </c>
      <c r="E214" s="35">
        <v>442</v>
      </c>
      <c r="F214" s="83">
        <f t="shared" si="515"/>
        <v>0.27267119062307216</v>
      </c>
      <c r="G214" s="33">
        <v>1621</v>
      </c>
      <c r="H214" s="4">
        <v>31</v>
      </c>
      <c r="I214" s="83">
        <f t="shared" si="516"/>
        <v>0.67391304347826086</v>
      </c>
      <c r="J214" s="4">
        <v>46</v>
      </c>
      <c r="K214" s="140">
        <f t="shared" ref="K214:K250" si="526">+H214+E214+B214</f>
        <v>1073</v>
      </c>
      <c r="L214" s="83">
        <f t="shared" si="517"/>
        <v>8.8353479793155699E-3</v>
      </c>
      <c r="M214" s="18">
        <f t="shared" ref="M214:M250" si="527">+J214+G214+D214</f>
        <v>121444</v>
      </c>
      <c r="N214" s="53">
        <v>2839</v>
      </c>
      <c r="O214" s="6">
        <f t="shared" si="518"/>
        <v>4.8588054081807287E-3</v>
      </c>
      <c r="P214" s="3">
        <v>584300</v>
      </c>
      <c r="Q214" s="55">
        <v>2939</v>
      </c>
      <c r="R214" s="6">
        <f t="shared" si="519"/>
        <v>0.2646793948126801</v>
      </c>
      <c r="S214" s="33">
        <v>11104</v>
      </c>
      <c r="T214" s="4">
        <v>292</v>
      </c>
      <c r="U214" s="6">
        <f t="shared" si="520"/>
        <v>0.78284182305630023</v>
      </c>
      <c r="V214" s="21">
        <v>373</v>
      </c>
      <c r="W214" s="52">
        <f t="shared" ref="W214:W245" si="528">+T214+Q214+N214</f>
        <v>6070</v>
      </c>
      <c r="X214" s="6">
        <f t="shared" si="521"/>
        <v>1.0188375852038599E-2</v>
      </c>
      <c r="Y214" s="21">
        <f t="shared" ref="Y214:Y245" si="529">+V214+S214+P214</f>
        <v>595777</v>
      </c>
      <c r="Z214" s="34">
        <v>122</v>
      </c>
      <c r="AA214" s="83">
        <f t="shared" si="522"/>
        <v>3.2871692622729967E-3</v>
      </c>
      <c r="AB214" s="3">
        <v>37114</v>
      </c>
      <c r="AC214" s="35">
        <v>32</v>
      </c>
      <c r="AD214" s="83">
        <f t="shared" si="523"/>
        <v>0.15841584158415842</v>
      </c>
      <c r="AE214" s="36">
        <v>202</v>
      </c>
      <c r="AF214" s="4">
        <v>10</v>
      </c>
      <c r="AG214" s="6">
        <f t="shared" si="524"/>
        <v>0.55555555555555558</v>
      </c>
      <c r="AH214" s="37">
        <v>18</v>
      </c>
      <c r="AI214" s="34">
        <f t="shared" ref="AI214:AI245" si="530">+AF214+AC214+Z214</f>
        <v>164</v>
      </c>
      <c r="AJ214" s="6">
        <f t="shared" si="525"/>
        <v>4.39277870038035E-3</v>
      </c>
      <c r="AK214" s="37">
        <f t="shared" ref="AK214:AK245" si="531">+AH214+AE214+AB214</f>
        <v>37334</v>
      </c>
      <c r="AL214" s="84">
        <f t="shared" ref="AL214:AL250" si="532">(B214+N214+Z214)/AR214</f>
        <v>4.8044296274509539E-3</v>
      </c>
      <c r="AM214" s="83">
        <f t="shared" ref="AM214:AM250" si="533">(E214+Q214+AC214)/AS214</f>
        <v>0.26402104123153092</v>
      </c>
      <c r="AN214" s="6">
        <f t="shared" ref="AN214:AN250" si="534">(H214+T214+AF214)/AT214</f>
        <v>0.76201372997711669</v>
      </c>
      <c r="AO214" s="127">
        <f t="shared" ref="AO214:AO250" si="535">AP214/AQ214</f>
        <v>9.6838533970353378E-3</v>
      </c>
      <c r="AP214" s="52">
        <f t="shared" ref="AP214:AP250" si="536">AF214+AC214+Z214+T214+Q214+N214+H214+E214+B214</f>
        <v>7307</v>
      </c>
      <c r="AQ214" s="3">
        <f t="shared" si="377"/>
        <v>754555</v>
      </c>
      <c r="AR214" s="12">
        <f t="shared" ref="AR214:AR233" si="537">+D214+P214+AB214</f>
        <v>741191</v>
      </c>
      <c r="AS214" s="3">
        <f t="shared" ref="AS214:AS250" si="538">G214+S214+AE214</f>
        <v>12927</v>
      </c>
      <c r="AT214" s="21">
        <f t="shared" ref="AT214:AT250" si="539">J214+V214+AH214</f>
        <v>437</v>
      </c>
      <c r="AU214" s="4"/>
      <c r="AV214" s="4"/>
      <c r="AW214" s="4"/>
      <c r="AX214" s="4"/>
    </row>
    <row r="215" spans="1:50" x14ac:dyDescent="0.2">
      <c r="A215" s="110">
        <v>39783</v>
      </c>
      <c r="B215" s="3">
        <v>583</v>
      </c>
      <c r="C215" s="83">
        <f t="shared" si="514"/>
        <v>4.8914320233580562E-3</v>
      </c>
      <c r="D215" s="76">
        <v>119188</v>
      </c>
      <c r="E215" s="35">
        <v>413</v>
      </c>
      <c r="F215" s="83">
        <f t="shared" si="515"/>
        <v>0.25588599752168523</v>
      </c>
      <c r="G215" s="33">
        <v>1614</v>
      </c>
      <c r="H215" s="4">
        <v>30</v>
      </c>
      <c r="I215" s="83">
        <f t="shared" si="516"/>
        <v>0.66666666666666663</v>
      </c>
      <c r="J215" s="4">
        <v>45</v>
      </c>
      <c r="K215" s="140">
        <f t="shared" si="526"/>
        <v>1026</v>
      </c>
      <c r="L215" s="83">
        <f t="shared" si="517"/>
        <v>8.4900742260875326E-3</v>
      </c>
      <c r="M215" s="18">
        <f t="shared" si="527"/>
        <v>120847</v>
      </c>
      <c r="N215" s="53">
        <v>2835</v>
      </c>
      <c r="O215" s="6">
        <f t="shared" si="518"/>
        <v>4.8547263800865458E-3</v>
      </c>
      <c r="P215" s="3">
        <v>583967</v>
      </c>
      <c r="Q215" s="55">
        <v>2789</v>
      </c>
      <c r="R215" s="6">
        <f t="shared" si="519"/>
        <v>0.25049398239626369</v>
      </c>
      <c r="S215" s="33">
        <v>11134</v>
      </c>
      <c r="T215" s="4">
        <v>292</v>
      </c>
      <c r="U215" s="6">
        <f t="shared" si="520"/>
        <v>0.76041666666666663</v>
      </c>
      <c r="V215" s="21">
        <v>384</v>
      </c>
      <c r="W215" s="52">
        <f t="shared" si="528"/>
        <v>5916</v>
      </c>
      <c r="X215" s="6">
        <f t="shared" si="521"/>
        <v>9.9347590619411064E-3</v>
      </c>
      <c r="Y215" s="21">
        <f t="shared" si="529"/>
        <v>595485</v>
      </c>
      <c r="Z215" s="34">
        <v>122</v>
      </c>
      <c r="AA215" s="83">
        <f t="shared" si="522"/>
        <v>3.2853103541133702E-3</v>
      </c>
      <c r="AB215" s="3">
        <v>37135</v>
      </c>
      <c r="AC215" s="35">
        <v>32</v>
      </c>
      <c r="AD215" s="83">
        <f t="shared" si="523"/>
        <v>0.15686274509803921</v>
      </c>
      <c r="AE215" s="36">
        <v>204</v>
      </c>
      <c r="AF215" s="4">
        <v>10</v>
      </c>
      <c r="AG215" s="6">
        <f t="shared" si="524"/>
        <v>0.55555555555555558</v>
      </c>
      <c r="AH215" s="37">
        <v>18</v>
      </c>
      <c r="AI215" s="34">
        <f t="shared" si="530"/>
        <v>164</v>
      </c>
      <c r="AJ215" s="6">
        <f t="shared" si="525"/>
        <v>4.3900741494231335E-3</v>
      </c>
      <c r="AK215" s="37">
        <f t="shared" si="531"/>
        <v>37357</v>
      </c>
      <c r="AL215" s="84">
        <f t="shared" si="532"/>
        <v>4.7819097921084977E-3</v>
      </c>
      <c r="AM215" s="83">
        <f t="shared" si="533"/>
        <v>0.24969116738727609</v>
      </c>
      <c r="AN215" s="6">
        <f t="shared" si="534"/>
        <v>0.74272930648769575</v>
      </c>
      <c r="AO215" s="127">
        <f t="shared" si="535"/>
        <v>9.4282920408815842E-3</v>
      </c>
      <c r="AP215" s="52">
        <f t="shared" si="536"/>
        <v>7106</v>
      </c>
      <c r="AQ215" s="3">
        <f t="shared" si="377"/>
        <v>753689</v>
      </c>
      <c r="AR215" s="12">
        <f t="shared" si="537"/>
        <v>740290</v>
      </c>
      <c r="AS215" s="3">
        <f t="shared" si="538"/>
        <v>12952</v>
      </c>
      <c r="AT215" s="21">
        <f t="shared" si="539"/>
        <v>447</v>
      </c>
      <c r="AU215" s="4"/>
      <c r="AV215" s="4"/>
      <c r="AW215" s="4"/>
      <c r="AX215" s="4"/>
    </row>
    <row r="216" spans="1:50" x14ac:dyDescent="0.2">
      <c r="A216" s="110">
        <v>39753</v>
      </c>
      <c r="B216" s="3">
        <v>553</v>
      </c>
      <c r="C216" s="83">
        <f t="shared" si="514"/>
        <v>4.6079493375552035E-3</v>
      </c>
      <c r="D216" s="76">
        <v>120010</v>
      </c>
      <c r="E216" s="35">
        <v>392</v>
      </c>
      <c r="F216" s="83">
        <f t="shared" si="515"/>
        <v>0.24049079754601227</v>
      </c>
      <c r="G216" s="33">
        <v>1630</v>
      </c>
      <c r="H216" s="4">
        <v>29</v>
      </c>
      <c r="I216" s="83">
        <f t="shared" si="516"/>
        <v>0.65909090909090906</v>
      </c>
      <c r="J216" s="4">
        <v>44</v>
      </c>
      <c r="K216" s="140">
        <f t="shared" si="526"/>
        <v>974</v>
      </c>
      <c r="L216" s="83">
        <f t="shared" si="517"/>
        <v>8.0043391078531284E-3</v>
      </c>
      <c r="M216" s="18">
        <f t="shared" si="527"/>
        <v>121684</v>
      </c>
      <c r="N216" s="53">
        <v>2668</v>
      </c>
      <c r="O216" s="6">
        <f t="shared" si="518"/>
        <v>4.571170103039794E-3</v>
      </c>
      <c r="P216" s="3">
        <v>583658</v>
      </c>
      <c r="Q216" s="55">
        <v>2732</v>
      </c>
      <c r="R216" s="6">
        <f t="shared" si="519"/>
        <v>0.24323361823361822</v>
      </c>
      <c r="S216" s="33">
        <v>11232</v>
      </c>
      <c r="T216" s="4">
        <v>306</v>
      </c>
      <c r="U216" s="6">
        <f t="shared" si="520"/>
        <v>0.77272727272727271</v>
      </c>
      <c r="V216" s="21">
        <v>396</v>
      </c>
      <c r="W216" s="52">
        <f t="shared" si="528"/>
        <v>5706</v>
      </c>
      <c r="X216" s="6">
        <f t="shared" si="521"/>
        <v>9.5853085743659357E-3</v>
      </c>
      <c r="Y216" s="21">
        <f t="shared" si="529"/>
        <v>595286</v>
      </c>
      <c r="Z216" s="34">
        <v>121</v>
      </c>
      <c r="AA216" s="83">
        <f t="shared" si="522"/>
        <v>3.25531342480495E-3</v>
      </c>
      <c r="AB216" s="3">
        <v>37170</v>
      </c>
      <c r="AC216" s="35">
        <v>33</v>
      </c>
      <c r="AD216" s="83">
        <f t="shared" si="523"/>
        <v>0.16097560975609757</v>
      </c>
      <c r="AE216" s="36">
        <v>205</v>
      </c>
      <c r="AF216" s="4">
        <v>10</v>
      </c>
      <c r="AG216" s="6">
        <f t="shared" si="524"/>
        <v>0.55555555555555558</v>
      </c>
      <c r="AH216" s="37">
        <v>18</v>
      </c>
      <c r="AI216" s="34">
        <f t="shared" si="530"/>
        <v>164</v>
      </c>
      <c r="AJ216" s="6">
        <f t="shared" si="525"/>
        <v>4.3858476185382293E-3</v>
      </c>
      <c r="AK216" s="37">
        <f t="shared" si="531"/>
        <v>37393</v>
      </c>
      <c r="AL216" s="84">
        <f t="shared" si="532"/>
        <v>4.5111076915600986E-3</v>
      </c>
      <c r="AM216" s="83">
        <f t="shared" si="533"/>
        <v>0.24160097956684778</v>
      </c>
      <c r="AN216" s="6">
        <f t="shared" si="534"/>
        <v>0.75327510917030571</v>
      </c>
      <c r="AO216" s="127">
        <f t="shared" si="535"/>
        <v>9.0725552552285843E-3</v>
      </c>
      <c r="AP216" s="52">
        <f t="shared" si="536"/>
        <v>6844</v>
      </c>
      <c r="AQ216" s="3">
        <f t="shared" si="377"/>
        <v>754363</v>
      </c>
      <c r="AR216" s="12">
        <f t="shared" si="537"/>
        <v>740838</v>
      </c>
      <c r="AS216" s="3">
        <f t="shared" si="538"/>
        <v>13067</v>
      </c>
      <c r="AT216" s="21">
        <f t="shared" si="539"/>
        <v>458</v>
      </c>
      <c r="AU216" s="4"/>
      <c r="AV216" s="4"/>
      <c r="AW216" s="4"/>
      <c r="AX216" s="4"/>
    </row>
    <row r="217" spans="1:50" x14ac:dyDescent="0.2">
      <c r="A217" s="110">
        <v>39722</v>
      </c>
      <c r="B217" s="3">
        <v>554</v>
      </c>
      <c r="C217" s="83">
        <f t="shared" si="514"/>
        <v>4.5594080999448588E-3</v>
      </c>
      <c r="D217" s="76">
        <v>121507</v>
      </c>
      <c r="E217" s="35">
        <v>400</v>
      </c>
      <c r="F217" s="83">
        <f t="shared" si="515"/>
        <v>0.23738872403560832</v>
      </c>
      <c r="G217" s="33">
        <v>1685</v>
      </c>
      <c r="H217" s="4">
        <v>29</v>
      </c>
      <c r="I217" s="83">
        <f t="shared" si="516"/>
        <v>0.67441860465116277</v>
      </c>
      <c r="J217" s="4">
        <v>43</v>
      </c>
      <c r="K217" s="140">
        <f t="shared" si="526"/>
        <v>983</v>
      </c>
      <c r="L217" s="83">
        <f t="shared" si="517"/>
        <v>7.9766300158234261E-3</v>
      </c>
      <c r="M217" s="18">
        <f t="shared" si="527"/>
        <v>123235</v>
      </c>
      <c r="N217" s="53">
        <v>2564</v>
      </c>
      <c r="O217" s="6">
        <f t="shared" si="518"/>
        <v>4.3989829496518902E-3</v>
      </c>
      <c r="P217" s="3">
        <v>582862</v>
      </c>
      <c r="Q217" s="55">
        <v>2664</v>
      </c>
      <c r="R217" s="6">
        <f t="shared" si="519"/>
        <v>0.23366371370932373</v>
      </c>
      <c r="S217" s="33">
        <v>11401</v>
      </c>
      <c r="T217" s="4">
        <v>305</v>
      </c>
      <c r="U217" s="6">
        <f t="shared" si="520"/>
        <v>0.76441102756892232</v>
      </c>
      <c r="V217" s="21">
        <v>399</v>
      </c>
      <c r="W217" s="52">
        <f t="shared" si="528"/>
        <v>5533</v>
      </c>
      <c r="X217" s="6">
        <f t="shared" si="521"/>
        <v>9.3044452142561664E-3</v>
      </c>
      <c r="Y217" s="21">
        <f t="shared" si="529"/>
        <v>594662</v>
      </c>
      <c r="Z217" s="34">
        <v>122</v>
      </c>
      <c r="AA217" s="83">
        <f t="shared" si="522"/>
        <v>3.2837186768228674E-3</v>
      </c>
      <c r="AB217" s="3">
        <v>37153</v>
      </c>
      <c r="AC217" s="35">
        <v>33</v>
      </c>
      <c r="AD217" s="83">
        <f t="shared" si="523"/>
        <v>0.15865384615384615</v>
      </c>
      <c r="AE217" s="36">
        <v>208</v>
      </c>
      <c r="AF217" s="4">
        <v>10</v>
      </c>
      <c r="AG217" s="6">
        <f t="shared" si="524"/>
        <v>0.55555555555555558</v>
      </c>
      <c r="AH217" s="37">
        <v>18</v>
      </c>
      <c r="AI217" s="34">
        <f t="shared" si="530"/>
        <v>165</v>
      </c>
      <c r="AJ217" s="6">
        <f t="shared" si="525"/>
        <v>4.4142432916878457E-3</v>
      </c>
      <c r="AK217" s="37">
        <f t="shared" si="531"/>
        <v>37379</v>
      </c>
      <c r="AL217" s="84">
        <f t="shared" si="532"/>
        <v>4.3693916026766571E-3</v>
      </c>
      <c r="AM217" s="83">
        <f t="shared" si="533"/>
        <v>0.23296223860388146</v>
      </c>
      <c r="AN217" s="6">
        <f t="shared" si="534"/>
        <v>0.74782608695652175</v>
      </c>
      <c r="AO217" s="127">
        <f t="shared" si="535"/>
        <v>8.8457729359863145E-3</v>
      </c>
      <c r="AP217" s="52">
        <f t="shared" si="536"/>
        <v>6681</v>
      </c>
      <c r="AQ217" s="3">
        <f t="shared" si="377"/>
        <v>755276</v>
      </c>
      <c r="AR217" s="12">
        <f t="shared" si="537"/>
        <v>741522</v>
      </c>
      <c r="AS217" s="3">
        <f t="shared" si="538"/>
        <v>13294</v>
      </c>
      <c r="AT217" s="21">
        <f t="shared" si="539"/>
        <v>460</v>
      </c>
      <c r="AU217" s="4"/>
      <c r="AV217" s="4"/>
      <c r="AW217" s="4"/>
      <c r="AX217" s="4"/>
    </row>
    <row r="218" spans="1:50" x14ac:dyDescent="0.2">
      <c r="A218" s="110">
        <v>39692</v>
      </c>
      <c r="B218" s="3">
        <v>549</v>
      </c>
      <c r="C218" s="83">
        <f t="shared" si="514"/>
        <v>4.5195228569311699E-3</v>
      </c>
      <c r="D218" s="76">
        <v>121473</v>
      </c>
      <c r="E218" s="35">
        <v>393</v>
      </c>
      <c r="F218" s="83">
        <f t="shared" si="515"/>
        <v>0.23295791345583877</v>
      </c>
      <c r="G218" s="33">
        <v>1687</v>
      </c>
      <c r="H218" s="4">
        <v>28</v>
      </c>
      <c r="I218" s="83">
        <f t="shared" si="516"/>
        <v>0.5</v>
      </c>
      <c r="J218" s="4">
        <v>56</v>
      </c>
      <c r="K218" s="140">
        <f t="shared" si="526"/>
        <v>970</v>
      </c>
      <c r="L218" s="83">
        <f t="shared" si="517"/>
        <v>7.8723542397091291E-3</v>
      </c>
      <c r="M218" s="18">
        <f t="shared" si="527"/>
        <v>123216</v>
      </c>
      <c r="N218" s="53">
        <v>2586</v>
      </c>
      <c r="O218" s="6">
        <f t="shared" si="518"/>
        <v>4.4365374420771092E-3</v>
      </c>
      <c r="P218" s="3">
        <v>582887</v>
      </c>
      <c r="Q218" s="55">
        <v>2641</v>
      </c>
      <c r="R218" s="6">
        <f t="shared" si="519"/>
        <v>0.23252333157245994</v>
      </c>
      <c r="S218" s="33">
        <v>11358</v>
      </c>
      <c r="T218" s="4">
        <v>305</v>
      </c>
      <c r="U218" s="6">
        <f t="shared" si="520"/>
        <v>0.76059850374064841</v>
      </c>
      <c r="V218" s="21">
        <v>401</v>
      </c>
      <c r="W218" s="52">
        <f t="shared" si="528"/>
        <v>5532</v>
      </c>
      <c r="X218" s="6">
        <f t="shared" si="521"/>
        <v>9.303013893980621E-3</v>
      </c>
      <c r="Y218" s="21">
        <f t="shared" si="529"/>
        <v>594646</v>
      </c>
      <c r="Z218" s="34">
        <v>123</v>
      </c>
      <c r="AA218" s="83">
        <f t="shared" si="522"/>
        <v>3.3053853595614319E-3</v>
      </c>
      <c r="AB218" s="3">
        <v>37212</v>
      </c>
      <c r="AC218" s="35">
        <v>33</v>
      </c>
      <c r="AD218" s="83">
        <f t="shared" si="523"/>
        <v>0.15942028985507245</v>
      </c>
      <c r="AE218" s="36">
        <v>207</v>
      </c>
      <c r="AF218" s="4">
        <v>10</v>
      </c>
      <c r="AG218" s="6">
        <f t="shared" si="524"/>
        <v>0.55555555555555558</v>
      </c>
      <c r="AH218" s="37">
        <v>18</v>
      </c>
      <c r="AI218" s="34">
        <f t="shared" si="530"/>
        <v>166</v>
      </c>
      <c r="AJ218" s="6">
        <f t="shared" si="525"/>
        <v>4.4341159815156125E-3</v>
      </c>
      <c r="AK218" s="37">
        <f t="shared" si="531"/>
        <v>37437</v>
      </c>
      <c r="AL218" s="84">
        <f t="shared" si="532"/>
        <v>4.3933697604548174E-3</v>
      </c>
      <c r="AM218" s="83">
        <f t="shared" si="533"/>
        <v>0.23143676426199819</v>
      </c>
      <c r="AN218" s="6">
        <f t="shared" si="534"/>
        <v>0.72210526315789469</v>
      </c>
      <c r="AO218" s="127">
        <f t="shared" si="535"/>
        <v>8.8282918420387151E-3</v>
      </c>
      <c r="AP218" s="52">
        <f t="shared" si="536"/>
        <v>6668</v>
      </c>
      <c r="AQ218" s="3">
        <f t="shared" si="377"/>
        <v>755299</v>
      </c>
      <c r="AR218" s="12">
        <f t="shared" si="537"/>
        <v>741572</v>
      </c>
      <c r="AS218" s="3">
        <f t="shared" si="538"/>
        <v>13252</v>
      </c>
      <c r="AT218" s="21">
        <f t="shared" si="539"/>
        <v>475</v>
      </c>
      <c r="AU218" s="4"/>
      <c r="AV218" s="4"/>
      <c r="AW218" s="4"/>
      <c r="AX218" s="4"/>
    </row>
    <row r="219" spans="1:50" x14ac:dyDescent="0.2">
      <c r="A219" s="110">
        <v>39661</v>
      </c>
      <c r="B219" s="3">
        <v>551</v>
      </c>
      <c r="C219" s="83">
        <f t="shared" si="514"/>
        <v>4.5540953797834531E-3</v>
      </c>
      <c r="D219" s="76">
        <v>120990</v>
      </c>
      <c r="E219" s="35">
        <v>391</v>
      </c>
      <c r="F219" s="83">
        <f t="shared" si="515"/>
        <v>0.30146491904394757</v>
      </c>
      <c r="G219" s="33">
        <v>1297</v>
      </c>
      <c r="H219" s="4">
        <v>28</v>
      </c>
      <c r="I219" s="83">
        <f t="shared" si="516"/>
        <v>0.63636363636363635</v>
      </c>
      <c r="J219" s="4">
        <v>44</v>
      </c>
      <c r="K219" s="140">
        <f t="shared" si="526"/>
        <v>970</v>
      </c>
      <c r="L219" s="83">
        <f t="shared" si="517"/>
        <v>7.9293065535309942E-3</v>
      </c>
      <c r="M219" s="18">
        <f t="shared" si="527"/>
        <v>122331</v>
      </c>
      <c r="N219" s="53">
        <v>2333</v>
      </c>
      <c r="O219" s="6">
        <f t="shared" si="518"/>
        <v>4.0057416202220414E-3</v>
      </c>
      <c r="P219" s="3">
        <v>582414</v>
      </c>
      <c r="Q219" s="55">
        <v>2659</v>
      </c>
      <c r="R219" s="6">
        <f t="shared" si="519"/>
        <v>0.23435572007756036</v>
      </c>
      <c r="S219" s="33">
        <v>11346</v>
      </c>
      <c r="T219" s="4">
        <v>305</v>
      </c>
      <c r="U219" s="6">
        <f t="shared" si="520"/>
        <v>0.76441102756892232</v>
      </c>
      <c r="V219" s="21">
        <v>399</v>
      </c>
      <c r="W219" s="52">
        <f t="shared" si="528"/>
        <v>5297</v>
      </c>
      <c r="X219" s="6">
        <f t="shared" si="521"/>
        <v>8.9151220464555783E-3</v>
      </c>
      <c r="Y219" s="21">
        <f t="shared" si="529"/>
        <v>594159</v>
      </c>
      <c r="Z219" s="34">
        <v>123</v>
      </c>
      <c r="AA219" s="83">
        <f t="shared" si="522"/>
        <v>3.3113474222641001E-3</v>
      </c>
      <c r="AB219" s="3">
        <v>37145</v>
      </c>
      <c r="AC219" s="35">
        <v>33</v>
      </c>
      <c r="AD219" s="83">
        <f t="shared" si="523"/>
        <v>0.15942028985507245</v>
      </c>
      <c r="AE219" s="36">
        <v>207</v>
      </c>
      <c r="AF219" s="4">
        <v>8</v>
      </c>
      <c r="AG219" s="6">
        <f t="shared" si="524"/>
        <v>0.44444444444444442</v>
      </c>
      <c r="AH219" s="37">
        <v>18</v>
      </c>
      <c r="AI219" s="34">
        <f t="shared" si="530"/>
        <v>164</v>
      </c>
      <c r="AJ219" s="6">
        <f t="shared" si="525"/>
        <v>4.3885469628043884E-3</v>
      </c>
      <c r="AK219" s="37">
        <f t="shared" si="531"/>
        <v>37370</v>
      </c>
      <c r="AL219" s="20">
        <f t="shared" si="532"/>
        <v>4.0605010606995619E-3</v>
      </c>
      <c r="AM219" s="6">
        <f t="shared" si="533"/>
        <v>0.23992217898832685</v>
      </c>
      <c r="AN219" s="6">
        <f t="shared" si="534"/>
        <v>0.73969631236442512</v>
      </c>
      <c r="AO219" s="127">
        <f t="shared" si="535"/>
        <v>8.5307616798875122E-3</v>
      </c>
      <c r="AP219" s="52">
        <f t="shared" si="536"/>
        <v>6431</v>
      </c>
      <c r="AQ219" s="3">
        <f t="shared" si="377"/>
        <v>753860</v>
      </c>
      <c r="AR219" s="12">
        <f t="shared" si="537"/>
        <v>740549</v>
      </c>
      <c r="AS219" s="3">
        <f t="shared" si="538"/>
        <v>12850</v>
      </c>
      <c r="AT219" s="21">
        <f t="shared" si="539"/>
        <v>461</v>
      </c>
      <c r="AU219" s="3"/>
      <c r="AV219" s="3"/>
      <c r="AW219" s="4"/>
      <c r="AX219" s="4"/>
    </row>
    <row r="220" spans="1:50" x14ac:dyDescent="0.2">
      <c r="A220" s="110">
        <v>39630</v>
      </c>
      <c r="B220" s="3">
        <v>487</v>
      </c>
      <c r="C220" s="6">
        <f t="shared" si="514"/>
        <v>4.0113338714725796E-3</v>
      </c>
      <c r="D220" s="76">
        <v>121406</v>
      </c>
      <c r="E220" s="35">
        <v>390</v>
      </c>
      <c r="F220" s="6">
        <f t="shared" si="515"/>
        <v>0.23159144893111638</v>
      </c>
      <c r="G220" s="33">
        <v>1684</v>
      </c>
      <c r="H220" s="4">
        <v>28</v>
      </c>
      <c r="I220" s="6">
        <f t="shared" si="516"/>
        <v>0.65116279069767447</v>
      </c>
      <c r="J220" s="4">
        <v>43</v>
      </c>
      <c r="K220" s="141">
        <f t="shared" si="526"/>
        <v>905</v>
      </c>
      <c r="L220" s="7">
        <f t="shared" si="517"/>
        <v>7.3497762581923613E-3</v>
      </c>
      <c r="M220" s="18">
        <f t="shared" si="527"/>
        <v>123133</v>
      </c>
      <c r="N220" s="53">
        <v>2325</v>
      </c>
      <c r="O220" s="6">
        <f t="shared" si="518"/>
        <v>3.991334084104705E-3</v>
      </c>
      <c r="P220" s="3">
        <v>582512</v>
      </c>
      <c r="Q220" s="55">
        <v>2656</v>
      </c>
      <c r="R220" s="6">
        <f t="shared" si="519"/>
        <v>0.23431848257609175</v>
      </c>
      <c r="S220" s="33">
        <v>11335</v>
      </c>
      <c r="T220" s="4">
        <v>305</v>
      </c>
      <c r="U220" s="6">
        <f t="shared" si="520"/>
        <v>0.76441102756892232</v>
      </c>
      <c r="V220" s="21">
        <v>399</v>
      </c>
      <c r="W220" s="52">
        <f t="shared" si="528"/>
        <v>5286</v>
      </c>
      <c r="X220" s="6">
        <f t="shared" si="521"/>
        <v>8.8953059843903028E-3</v>
      </c>
      <c r="Y220" s="21">
        <f t="shared" si="529"/>
        <v>594246</v>
      </c>
      <c r="Z220" s="34">
        <v>122</v>
      </c>
      <c r="AA220" s="6">
        <f t="shared" si="522"/>
        <v>3.2818636681551622E-3</v>
      </c>
      <c r="AB220" s="3">
        <v>37174</v>
      </c>
      <c r="AC220" s="35">
        <v>33</v>
      </c>
      <c r="AD220" s="6">
        <f t="shared" si="523"/>
        <v>0.1625615763546798</v>
      </c>
      <c r="AE220" s="36">
        <v>203</v>
      </c>
      <c r="AF220" s="4">
        <v>10</v>
      </c>
      <c r="AG220" s="6">
        <f t="shared" si="524"/>
        <v>0.55555555555555558</v>
      </c>
      <c r="AH220" s="37">
        <v>18</v>
      </c>
      <c r="AI220" s="52">
        <f t="shared" si="530"/>
        <v>165</v>
      </c>
      <c r="AJ220" s="6">
        <f t="shared" si="525"/>
        <v>4.4123545928600079E-3</v>
      </c>
      <c r="AK220" s="21">
        <f t="shared" si="531"/>
        <v>37395</v>
      </c>
      <c r="AL220" s="20">
        <f t="shared" si="532"/>
        <v>3.9590226314681577E-3</v>
      </c>
      <c r="AM220" s="6">
        <f t="shared" si="533"/>
        <v>0.2328694599909242</v>
      </c>
      <c r="AN220" s="6">
        <f t="shared" si="534"/>
        <v>0.7456521739130435</v>
      </c>
      <c r="AO220" s="127">
        <f t="shared" si="535"/>
        <v>8.4210637886307695E-3</v>
      </c>
      <c r="AP220" s="52">
        <f t="shared" si="536"/>
        <v>6356</v>
      </c>
      <c r="AQ220" s="3">
        <f t="shared" si="377"/>
        <v>754774</v>
      </c>
      <c r="AR220" s="12">
        <f t="shared" si="537"/>
        <v>741092</v>
      </c>
      <c r="AS220" s="3">
        <f t="shared" si="538"/>
        <v>13222</v>
      </c>
      <c r="AT220" s="21">
        <f t="shared" si="539"/>
        <v>460</v>
      </c>
      <c r="AU220" s="4"/>
      <c r="AV220" s="4"/>
      <c r="AW220" s="4"/>
      <c r="AX220" s="4"/>
    </row>
    <row r="221" spans="1:50" x14ac:dyDescent="0.2">
      <c r="A221" s="110">
        <v>39600</v>
      </c>
      <c r="B221" s="3">
        <v>477</v>
      </c>
      <c r="C221" s="6">
        <f t="shared" si="514"/>
        <v>3.944952610946623E-3</v>
      </c>
      <c r="D221" s="76">
        <v>120914</v>
      </c>
      <c r="E221" s="35">
        <v>394</v>
      </c>
      <c r="F221" s="6">
        <f t="shared" si="515"/>
        <v>0.23466349017272187</v>
      </c>
      <c r="G221" s="33">
        <v>1679</v>
      </c>
      <c r="H221" s="4">
        <v>30</v>
      </c>
      <c r="I221" s="6">
        <f t="shared" si="516"/>
        <v>0.68181818181818177</v>
      </c>
      <c r="J221" s="4">
        <v>44</v>
      </c>
      <c r="K221" s="141">
        <f t="shared" si="526"/>
        <v>901</v>
      </c>
      <c r="L221" s="7">
        <f t="shared" si="517"/>
        <v>7.3468855239446499E-3</v>
      </c>
      <c r="M221" s="18">
        <f t="shared" si="527"/>
        <v>122637</v>
      </c>
      <c r="N221" s="53">
        <v>2186</v>
      </c>
      <c r="O221" s="6">
        <f t="shared" si="518"/>
        <v>3.7517978079615005E-3</v>
      </c>
      <c r="P221" s="3">
        <v>582654</v>
      </c>
      <c r="Q221" s="55">
        <v>2683</v>
      </c>
      <c r="R221" s="6">
        <f t="shared" si="519"/>
        <v>0.23684675141242939</v>
      </c>
      <c r="S221" s="33">
        <v>11328</v>
      </c>
      <c r="T221" s="4">
        <v>308</v>
      </c>
      <c r="U221" s="6">
        <f t="shared" si="520"/>
        <v>0.77192982456140347</v>
      </c>
      <c r="V221" s="21">
        <v>399</v>
      </c>
      <c r="W221" s="52">
        <f t="shared" si="528"/>
        <v>5177</v>
      </c>
      <c r="X221" s="6">
        <f t="shared" si="521"/>
        <v>8.7099015614563718E-3</v>
      </c>
      <c r="Y221" s="21">
        <f t="shared" si="529"/>
        <v>594381</v>
      </c>
      <c r="Z221" s="34">
        <v>122</v>
      </c>
      <c r="AA221" s="6">
        <f t="shared" si="522"/>
        <v>3.2813340505648196E-3</v>
      </c>
      <c r="AB221" s="3">
        <v>37180</v>
      </c>
      <c r="AC221" s="35">
        <v>33</v>
      </c>
      <c r="AD221" s="6">
        <f t="shared" si="523"/>
        <v>0.1625615763546798</v>
      </c>
      <c r="AE221" s="36">
        <v>203</v>
      </c>
      <c r="AF221" s="4">
        <v>10</v>
      </c>
      <c r="AG221" s="6">
        <f t="shared" si="524"/>
        <v>0.55555555555555558</v>
      </c>
      <c r="AH221" s="37">
        <v>18</v>
      </c>
      <c r="AI221" s="52">
        <f t="shared" si="530"/>
        <v>165</v>
      </c>
      <c r="AJ221" s="6">
        <f t="shared" si="525"/>
        <v>4.4116467474131704E-3</v>
      </c>
      <c r="AK221" s="21">
        <f t="shared" si="531"/>
        <v>37401</v>
      </c>
      <c r="AL221" s="20">
        <f t="shared" si="532"/>
        <v>3.7597131548110828E-3</v>
      </c>
      <c r="AM221" s="6">
        <f t="shared" si="533"/>
        <v>0.23542770628311885</v>
      </c>
      <c r="AN221" s="6">
        <f t="shared" si="534"/>
        <v>0.75488069414316705</v>
      </c>
      <c r="AO221" s="127">
        <f t="shared" si="535"/>
        <v>8.2752422725302522E-3</v>
      </c>
      <c r="AP221" s="52">
        <f t="shared" si="536"/>
        <v>6243</v>
      </c>
      <c r="AQ221" s="3">
        <f t="shared" si="377"/>
        <v>754419</v>
      </c>
      <c r="AR221" s="12">
        <f t="shared" si="537"/>
        <v>740748</v>
      </c>
      <c r="AS221" s="3">
        <f t="shared" si="538"/>
        <v>13210</v>
      </c>
      <c r="AT221" s="21">
        <f t="shared" si="539"/>
        <v>461</v>
      </c>
      <c r="AU221" s="4"/>
      <c r="AV221" s="4"/>
      <c r="AW221" s="4"/>
      <c r="AX221" s="4"/>
    </row>
    <row r="222" spans="1:50" x14ac:dyDescent="0.2">
      <c r="A222" s="110">
        <v>39569</v>
      </c>
      <c r="B222" s="3">
        <v>477</v>
      </c>
      <c r="C222" s="6">
        <f t="shared" si="514"/>
        <v>3.9798421412718804E-3</v>
      </c>
      <c r="D222" s="76">
        <v>119854</v>
      </c>
      <c r="E222" s="35">
        <v>397</v>
      </c>
      <c r="F222" s="6">
        <f t="shared" si="515"/>
        <v>0.23886883273164861</v>
      </c>
      <c r="G222" s="33">
        <v>1662</v>
      </c>
      <c r="H222" s="4">
        <v>30</v>
      </c>
      <c r="I222" s="6">
        <f t="shared" si="516"/>
        <v>0.68181818181818177</v>
      </c>
      <c r="J222" s="4">
        <v>44</v>
      </c>
      <c r="K222" s="141">
        <f t="shared" si="526"/>
        <v>904</v>
      </c>
      <c r="L222" s="7">
        <f t="shared" si="517"/>
        <v>7.4366567949983543E-3</v>
      </c>
      <c r="M222" s="18">
        <f t="shared" si="527"/>
        <v>121560</v>
      </c>
      <c r="N222" s="53">
        <v>2009</v>
      </c>
      <c r="O222" s="6">
        <f t="shared" si="518"/>
        <v>3.4437245020398368E-3</v>
      </c>
      <c r="P222" s="3">
        <v>583380</v>
      </c>
      <c r="Q222" s="55">
        <v>2705</v>
      </c>
      <c r="R222" s="6">
        <f t="shared" si="519"/>
        <v>0.23902094194574533</v>
      </c>
      <c r="S222" s="33">
        <v>11317</v>
      </c>
      <c r="T222" s="4">
        <v>311</v>
      </c>
      <c r="U222" s="6">
        <f t="shared" si="520"/>
        <v>0.77749999999999997</v>
      </c>
      <c r="V222" s="21">
        <v>400</v>
      </c>
      <c r="W222" s="52">
        <f t="shared" si="528"/>
        <v>5025</v>
      </c>
      <c r="X222" s="6">
        <f t="shared" si="521"/>
        <v>8.4440015661312352E-3</v>
      </c>
      <c r="Y222" s="21">
        <f t="shared" si="529"/>
        <v>595097</v>
      </c>
      <c r="Z222" s="34">
        <v>123</v>
      </c>
      <c r="AA222" s="6">
        <f t="shared" si="522"/>
        <v>3.3046749059645352E-3</v>
      </c>
      <c r="AB222" s="3">
        <v>37220</v>
      </c>
      <c r="AC222" s="35">
        <v>33</v>
      </c>
      <c r="AD222" s="6">
        <f t="shared" si="523"/>
        <v>0.16336633663366337</v>
      </c>
      <c r="AE222" s="36">
        <v>202</v>
      </c>
      <c r="AF222" s="4">
        <v>10</v>
      </c>
      <c r="AG222" s="6">
        <f t="shared" si="524"/>
        <v>0.55555555555555558</v>
      </c>
      <c r="AH222" s="37">
        <v>18</v>
      </c>
      <c r="AI222" s="52">
        <f t="shared" si="530"/>
        <v>166</v>
      </c>
      <c r="AJ222" s="6">
        <f t="shared" si="525"/>
        <v>4.4337606837606836E-3</v>
      </c>
      <c r="AK222" s="21">
        <f t="shared" si="531"/>
        <v>37440</v>
      </c>
      <c r="AL222" s="20">
        <f t="shared" si="532"/>
        <v>3.5235139522509164E-3</v>
      </c>
      <c r="AM222" s="6">
        <f t="shared" si="533"/>
        <v>0.23784234883544497</v>
      </c>
      <c r="AN222" s="6">
        <f t="shared" si="534"/>
        <v>0.75974025974025972</v>
      </c>
      <c r="AO222" s="127">
        <f t="shared" si="535"/>
        <v>8.0825145836676184E-3</v>
      </c>
      <c r="AP222" s="52">
        <f t="shared" si="536"/>
        <v>6095</v>
      </c>
      <c r="AQ222" s="3">
        <f t="shared" si="377"/>
        <v>754097</v>
      </c>
      <c r="AR222" s="12">
        <f t="shared" si="537"/>
        <v>740454</v>
      </c>
      <c r="AS222" s="3">
        <f t="shared" si="538"/>
        <v>13181</v>
      </c>
      <c r="AT222" s="21">
        <f t="shared" si="539"/>
        <v>462</v>
      </c>
      <c r="AU222" s="4"/>
      <c r="AV222" s="4"/>
      <c r="AW222" s="4"/>
      <c r="AX222" s="4"/>
    </row>
    <row r="223" spans="1:50" x14ac:dyDescent="0.2">
      <c r="A223" s="110">
        <v>39539</v>
      </c>
      <c r="B223" s="3">
        <v>518</v>
      </c>
      <c r="C223" s="6">
        <f t="shared" si="514"/>
        <v>4.3397759737267613E-3</v>
      </c>
      <c r="D223" s="76">
        <v>119361</v>
      </c>
      <c r="E223" s="35">
        <v>401</v>
      </c>
      <c r="F223" s="6">
        <f t="shared" si="515"/>
        <v>0.24692118226600984</v>
      </c>
      <c r="G223" s="33">
        <v>1624</v>
      </c>
      <c r="H223" s="4">
        <v>30</v>
      </c>
      <c r="I223" s="6">
        <f t="shared" si="516"/>
        <v>0.69767441860465118</v>
      </c>
      <c r="J223" s="4">
        <v>43</v>
      </c>
      <c r="K223" s="141">
        <f t="shared" si="526"/>
        <v>949</v>
      </c>
      <c r="L223" s="7">
        <f t="shared" si="517"/>
        <v>7.8411607231384465E-3</v>
      </c>
      <c r="M223" s="18">
        <f t="shared" si="527"/>
        <v>121028</v>
      </c>
      <c r="N223" s="53">
        <v>2455</v>
      </c>
      <c r="O223" s="6">
        <f t="shared" si="518"/>
        <v>4.209194389341051E-3</v>
      </c>
      <c r="P223" s="3">
        <v>583247</v>
      </c>
      <c r="Q223" s="55">
        <v>2745</v>
      </c>
      <c r="R223" s="6">
        <f t="shared" si="519"/>
        <v>0.24219163578613023</v>
      </c>
      <c r="S223" s="33">
        <v>11334</v>
      </c>
      <c r="T223" s="4">
        <v>311</v>
      </c>
      <c r="U223" s="6">
        <f t="shared" si="520"/>
        <v>0.77749999999999997</v>
      </c>
      <c r="V223" s="21">
        <v>400</v>
      </c>
      <c r="W223" s="52">
        <f t="shared" si="528"/>
        <v>5511</v>
      </c>
      <c r="X223" s="6">
        <f t="shared" si="521"/>
        <v>9.2624806506426249E-3</v>
      </c>
      <c r="Y223" s="21">
        <f t="shared" si="529"/>
        <v>594981</v>
      </c>
      <c r="Z223" s="34">
        <v>124</v>
      </c>
      <c r="AA223" s="6">
        <f t="shared" si="522"/>
        <v>3.3286803393106409E-3</v>
      </c>
      <c r="AB223" s="3">
        <v>37252</v>
      </c>
      <c r="AC223" s="35">
        <v>33</v>
      </c>
      <c r="AD223" s="6">
        <f t="shared" si="523"/>
        <v>0.1625615763546798</v>
      </c>
      <c r="AE223" s="36">
        <v>203</v>
      </c>
      <c r="AF223" s="4">
        <v>10</v>
      </c>
      <c r="AG223" s="6">
        <f t="shared" si="524"/>
        <v>0.55555555555555558</v>
      </c>
      <c r="AH223" s="37">
        <v>18</v>
      </c>
      <c r="AI223" s="52">
        <f t="shared" si="530"/>
        <v>167</v>
      </c>
      <c r="AJ223" s="6">
        <f t="shared" si="525"/>
        <v>4.4565420436047292E-3</v>
      </c>
      <c r="AK223" s="21">
        <f t="shared" si="531"/>
        <v>37473</v>
      </c>
      <c r="AL223" s="20">
        <f t="shared" si="532"/>
        <v>4.1859270672829994E-3</v>
      </c>
      <c r="AM223" s="6">
        <f t="shared" si="533"/>
        <v>0.24154699490920142</v>
      </c>
      <c r="AN223" s="6">
        <f t="shared" si="534"/>
        <v>0.76138828633405642</v>
      </c>
      <c r="AO223" s="127">
        <f t="shared" si="535"/>
        <v>8.7951669714737713E-3</v>
      </c>
      <c r="AP223" s="52">
        <f t="shared" si="536"/>
        <v>6627</v>
      </c>
      <c r="AQ223" s="3">
        <f t="shared" si="377"/>
        <v>753482</v>
      </c>
      <c r="AR223" s="12">
        <f t="shared" si="537"/>
        <v>739860</v>
      </c>
      <c r="AS223" s="3">
        <f t="shared" si="538"/>
        <v>13161</v>
      </c>
      <c r="AT223" s="21">
        <f t="shared" si="539"/>
        <v>461</v>
      </c>
      <c r="AU223" s="4"/>
      <c r="AV223" s="4"/>
      <c r="AW223" s="4"/>
      <c r="AX223" s="4"/>
    </row>
    <row r="224" spans="1:50" x14ac:dyDescent="0.2">
      <c r="A224" s="110">
        <v>39508</v>
      </c>
      <c r="B224" s="3">
        <v>620</v>
      </c>
      <c r="C224" s="6">
        <f t="shared" si="514"/>
        <v>5.1964161491203807E-3</v>
      </c>
      <c r="D224" s="3">
        <v>119313</v>
      </c>
      <c r="E224" s="35">
        <v>410</v>
      </c>
      <c r="F224" s="6">
        <f t="shared" si="515"/>
        <v>0.25324274243360101</v>
      </c>
      <c r="G224" s="33">
        <v>1619</v>
      </c>
      <c r="H224" s="4">
        <v>28</v>
      </c>
      <c r="I224" s="6">
        <f t="shared" si="516"/>
        <v>0.7</v>
      </c>
      <c r="J224" s="4">
        <v>40</v>
      </c>
      <c r="K224" s="141">
        <f t="shared" si="526"/>
        <v>1058</v>
      </c>
      <c r="L224" s="7">
        <f t="shared" si="517"/>
        <v>8.7458254802764267E-3</v>
      </c>
      <c r="M224" s="18">
        <f t="shared" si="527"/>
        <v>120972</v>
      </c>
      <c r="N224" s="53">
        <v>2995</v>
      </c>
      <c r="O224" s="6">
        <f t="shared" si="518"/>
        <v>5.1360495804559161E-3</v>
      </c>
      <c r="P224" s="3">
        <v>583133</v>
      </c>
      <c r="Q224" s="55">
        <v>2737</v>
      </c>
      <c r="R224" s="6">
        <f t="shared" si="519"/>
        <v>0.24150710315009266</v>
      </c>
      <c r="S224" s="33">
        <v>11333</v>
      </c>
      <c r="T224" s="4">
        <v>310</v>
      </c>
      <c r="U224" s="6">
        <f t="shared" si="520"/>
        <v>0.77694235588972427</v>
      </c>
      <c r="V224" s="21">
        <v>399</v>
      </c>
      <c r="W224" s="52">
        <f t="shared" si="528"/>
        <v>6042</v>
      </c>
      <c r="X224" s="6">
        <f t="shared" si="521"/>
        <v>1.0156926361443353E-2</v>
      </c>
      <c r="Y224" s="21">
        <f t="shared" si="529"/>
        <v>594865</v>
      </c>
      <c r="Z224" s="34">
        <v>124</v>
      </c>
      <c r="AA224" s="6">
        <f t="shared" si="522"/>
        <v>3.3268049258176158E-3</v>
      </c>
      <c r="AB224" s="3">
        <v>37273</v>
      </c>
      <c r="AC224" s="35">
        <v>33</v>
      </c>
      <c r="AD224" s="6">
        <f t="shared" si="523"/>
        <v>0.16176470588235295</v>
      </c>
      <c r="AE224" s="36">
        <v>204</v>
      </c>
      <c r="AF224" s="4">
        <v>10</v>
      </c>
      <c r="AG224" s="6">
        <f t="shared" si="524"/>
        <v>0.55555555555555558</v>
      </c>
      <c r="AH224" s="37">
        <v>18</v>
      </c>
      <c r="AI224" s="52">
        <f t="shared" si="530"/>
        <v>167</v>
      </c>
      <c r="AJ224" s="6">
        <f t="shared" si="525"/>
        <v>4.453927190292039E-3</v>
      </c>
      <c r="AK224" s="21">
        <f t="shared" si="531"/>
        <v>37495</v>
      </c>
      <c r="AL224" s="20">
        <f t="shared" si="532"/>
        <v>5.0546220929839573E-3</v>
      </c>
      <c r="AM224" s="6">
        <f t="shared" si="533"/>
        <v>0.24171480693219824</v>
      </c>
      <c r="AN224" s="6">
        <f t="shared" si="534"/>
        <v>0.76148796498905913</v>
      </c>
      <c r="AO224" s="127">
        <f t="shared" si="535"/>
        <v>9.6464772504022134E-3</v>
      </c>
      <c r="AP224" s="52">
        <f t="shared" si="536"/>
        <v>7267</v>
      </c>
      <c r="AQ224" s="3">
        <f t="shared" si="377"/>
        <v>753332</v>
      </c>
      <c r="AR224" s="12">
        <f t="shared" si="537"/>
        <v>739719</v>
      </c>
      <c r="AS224" s="3">
        <f t="shared" si="538"/>
        <v>13156</v>
      </c>
      <c r="AT224" s="21">
        <f t="shared" si="539"/>
        <v>457</v>
      </c>
      <c r="AU224" s="4"/>
      <c r="AV224" s="4"/>
      <c r="AW224" s="4"/>
      <c r="AX224" s="4"/>
    </row>
    <row r="225" spans="1:50" x14ac:dyDescent="0.2">
      <c r="A225" s="110">
        <v>39479</v>
      </c>
      <c r="B225" s="3">
        <v>615</v>
      </c>
      <c r="C225" s="6">
        <f t="shared" si="514"/>
        <v>5.152523060682479E-3</v>
      </c>
      <c r="D225" s="3">
        <v>119359</v>
      </c>
      <c r="E225" s="35">
        <v>408</v>
      </c>
      <c r="F225" s="6">
        <f t="shared" si="515"/>
        <v>0.254840724547158</v>
      </c>
      <c r="G225" s="33">
        <v>1601</v>
      </c>
      <c r="H225" s="4">
        <v>28</v>
      </c>
      <c r="I225" s="6">
        <f t="shared" si="516"/>
        <v>0.7</v>
      </c>
      <c r="J225" s="4">
        <v>40</v>
      </c>
      <c r="K225" s="141">
        <f t="shared" si="526"/>
        <v>1051</v>
      </c>
      <c r="L225" s="7">
        <f t="shared" si="517"/>
        <v>8.685950413223141E-3</v>
      </c>
      <c r="M225" s="18">
        <f t="shared" si="527"/>
        <v>121000</v>
      </c>
      <c r="N225" s="53">
        <v>2983</v>
      </c>
      <c r="O225" s="6">
        <f t="shared" si="518"/>
        <v>5.1187804158172546E-3</v>
      </c>
      <c r="P225" s="3">
        <v>582756</v>
      </c>
      <c r="Q225" s="55">
        <v>2752</v>
      </c>
      <c r="R225" s="6">
        <f t="shared" si="519"/>
        <v>0.24353982300884955</v>
      </c>
      <c r="S225" s="33">
        <v>11300</v>
      </c>
      <c r="T225" s="4">
        <v>318</v>
      </c>
      <c r="U225" s="6">
        <f t="shared" si="520"/>
        <v>0.79104477611940294</v>
      </c>
      <c r="V225" s="21">
        <v>402</v>
      </c>
      <c r="W225" s="52">
        <f t="shared" si="528"/>
        <v>6053</v>
      </c>
      <c r="X225" s="6">
        <f t="shared" si="521"/>
        <v>1.0182384625995444E-2</v>
      </c>
      <c r="Y225" s="21">
        <f t="shared" si="529"/>
        <v>594458</v>
      </c>
      <c r="Z225" s="34">
        <v>123</v>
      </c>
      <c r="AA225" s="6">
        <f t="shared" si="522"/>
        <v>3.2992677235052707E-3</v>
      </c>
      <c r="AB225" s="3">
        <v>37281</v>
      </c>
      <c r="AC225" s="35">
        <v>34</v>
      </c>
      <c r="AD225" s="6">
        <f t="shared" si="523"/>
        <v>0.16585365853658537</v>
      </c>
      <c r="AE225" s="36">
        <v>205</v>
      </c>
      <c r="AF225" s="4">
        <v>10</v>
      </c>
      <c r="AG225" s="6">
        <f t="shared" si="524"/>
        <v>0.55555555555555558</v>
      </c>
      <c r="AH225" s="37">
        <v>18</v>
      </c>
      <c r="AI225" s="52">
        <f t="shared" si="530"/>
        <v>167</v>
      </c>
      <c r="AJ225" s="6">
        <f t="shared" si="525"/>
        <v>4.4528583617747444E-3</v>
      </c>
      <c r="AK225" s="21">
        <f t="shared" si="531"/>
        <v>37504</v>
      </c>
      <c r="AL225" s="20">
        <f t="shared" si="532"/>
        <v>5.0324859750390857E-3</v>
      </c>
      <c r="AM225" s="6">
        <f t="shared" si="533"/>
        <v>0.24370517320311308</v>
      </c>
      <c r="AN225" s="6">
        <f t="shared" si="534"/>
        <v>0.77391304347826084</v>
      </c>
      <c r="AO225" s="127">
        <f t="shared" si="535"/>
        <v>9.6565298115973974E-3</v>
      </c>
      <c r="AP225" s="52">
        <f t="shared" si="536"/>
        <v>7271</v>
      </c>
      <c r="AQ225" s="3">
        <f t="shared" si="377"/>
        <v>752962</v>
      </c>
      <c r="AR225" s="12">
        <f t="shared" si="537"/>
        <v>739396</v>
      </c>
      <c r="AS225" s="3">
        <f t="shared" si="538"/>
        <v>13106</v>
      </c>
      <c r="AT225" s="21">
        <f t="shared" si="539"/>
        <v>460</v>
      </c>
      <c r="AU225" s="4"/>
      <c r="AV225" s="4"/>
      <c r="AW225" s="4"/>
      <c r="AX225" s="4"/>
    </row>
    <row r="226" spans="1:50" x14ac:dyDescent="0.2">
      <c r="A226" s="110">
        <v>39448</v>
      </c>
      <c r="B226" s="3">
        <v>609</v>
      </c>
      <c r="C226" s="6">
        <f t="shared" si="514"/>
        <v>5.1022545430172836E-3</v>
      </c>
      <c r="D226" s="3">
        <v>119359</v>
      </c>
      <c r="E226" s="35">
        <v>404</v>
      </c>
      <c r="F226" s="6">
        <f t="shared" si="515"/>
        <v>0.25667090216010163</v>
      </c>
      <c r="G226" s="33">
        <v>1574</v>
      </c>
      <c r="H226" s="4">
        <v>29</v>
      </c>
      <c r="I226" s="6">
        <f t="shared" si="516"/>
        <v>0.72499999999999998</v>
      </c>
      <c r="J226" s="4">
        <v>40</v>
      </c>
      <c r="K226" s="141">
        <f t="shared" si="526"/>
        <v>1042</v>
      </c>
      <c r="L226" s="7">
        <f t="shared" si="517"/>
        <v>8.6134922668694661E-3</v>
      </c>
      <c r="M226" s="18">
        <f t="shared" si="527"/>
        <v>120973</v>
      </c>
      <c r="N226" s="53">
        <v>2959</v>
      </c>
      <c r="O226" s="6">
        <f t="shared" si="518"/>
        <v>5.0806307605664762E-3</v>
      </c>
      <c r="P226" s="3">
        <v>582408</v>
      </c>
      <c r="Q226" s="55">
        <v>2740</v>
      </c>
      <c r="R226" s="6">
        <f t="shared" si="519"/>
        <v>0.24215642951833849</v>
      </c>
      <c r="S226" s="33">
        <v>11315</v>
      </c>
      <c r="T226" s="4">
        <v>318</v>
      </c>
      <c r="U226" s="6">
        <f t="shared" si="520"/>
        <v>0.78908188585607941</v>
      </c>
      <c r="V226" s="21">
        <v>403</v>
      </c>
      <c r="W226" s="52">
        <f t="shared" si="528"/>
        <v>6017</v>
      </c>
      <c r="X226" s="6">
        <f t="shared" si="521"/>
        <v>1.0127481376004416E-2</v>
      </c>
      <c r="Y226" s="21">
        <f t="shared" si="529"/>
        <v>594126</v>
      </c>
      <c r="Z226" s="34">
        <v>125</v>
      </c>
      <c r="AA226" s="6">
        <f t="shared" si="522"/>
        <v>3.3510267545976088E-3</v>
      </c>
      <c r="AB226" s="3">
        <v>37302</v>
      </c>
      <c r="AC226" s="35">
        <v>34</v>
      </c>
      <c r="AD226" s="6">
        <f t="shared" si="523"/>
        <v>0.16748768472906403</v>
      </c>
      <c r="AE226" s="36">
        <v>203</v>
      </c>
      <c r="AF226" s="4">
        <v>10</v>
      </c>
      <c r="AG226" s="6">
        <f t="shared" si="524"/>
        <v>0.55555555555555558</v>
      </c>
      <c r="AH226" s="37">
        <v>18</v>
      </c>
      <c r="AI226" s="52">
        <f t="shared" si="530"/>
        <v>169</v>
      </c>
      <c r="AJ226" s="6">
        <f t="shared" si="525"/>
        <v>4.5039042720464778E-3</v>
      </c>
      <c r="AK226" s="21">
        <f t="shared" si="531"/>
        <v>37523</v>
      </c>
      <c r="AL226" s="20">
        <f t="shared" si="532"/>
        <v>4.9968270892162981E-3</v>
      </c>
      <c r="AM226" s="6">
        <f t="shared" si="533"/>
        <v>0.24274366025053468</v>
      </c>
      <c r="AN226" s="6">
        <f t="shared" si="534"/>
        <v>0.77440347071583515</v>
      </c>
      <c r="AO226" s="127">
        <f t="shared" si="535"/>
        <v>9.6037585932911874E-3</v>
      </c>
      <c r="AP226" s="52">
        <f t="shared" si="536"/>
        <v>7228</v>
      </c>
      <c r="AQ226" s="3">
        <f t="shared" si="377"/>
        <v>752622</v>
      </c>
      <c r="AR226" s="12">
        <f t="shared" si="537"/>
        <v>739069</v>
      </c>
      <c r="AS226" s="3">
        <f t="shared" si="538"/>
        <v>13092</v>
      </c>
      <c r="AT226" s="21">
        <f t="shared" si="539"/>
        <v>461</v>
      </c>
      <c r="AU226" s="4"/>
      <c r="AV226" s="4"/>
      <c r="AW226" s="4"/>
      <c r="AX226" s="4"/>
    </row>
    <row r="227" spans="1:50" x14ac:dyDescent="0.2">
      <c r="A227" s="110">
        <v>39417</v>
      </c>
      <c r="B227" s="3">
        <v>583</v>
      </c>
      <c r="C227" s="6">
        <f t="shared" si="514"/>
        <v>4.8770694083102584E-3</v>
      </c>
      <c r="D227" s="3">
        <v>119539</v>
      </c>
      <c r="E227" s="35">
        <v>409</v>
      </c>
      <c r="F227" s="6">
        <f t="shared" si="515"/>
        <v>0.25771896660365468</v>
      </c>
      <c r="G227" s="33">
        <v>1587</v>
      </c>
      <c r="H227" s="4">
        <v>29</v>
      </c>
      <c r="I227" s="6">
        <f t="shared" si="516"/>
        <v>0.72499999999999998</v>
      </c>
      <c r="J227" s="4">
        <v>40</v>
      </c>
      <c r="K227" s="141">
        <f t="shared" si="526"/>
        <v>1021</v>
      </c>
      <c r="L227" s="7">
        <f t="shared" si="517"/>
        <v>8.4264562666094452E-3</v>
      </c>
      <c r="M227" s="18">
        <f t="shared" si="527"/>
        <v>121166</v>
      </c>
      <c r="N227" s="53">
        <v>2952</v>
      </c>
      <c r="O227" s="6">
        <f t="shared" si="518"/>
        <v>5.0739347229360066E-3</v>
      </c>
      <c r="P227" s="3">
        <v>581797</v>
      </c>
      <c r="Q227" s="55">
        <v>2800</v>
      </c>
      <c r="R227" s="6">
        <f t="shared" si="519"/>
        <v>0.24628375406807987</v>
      </c>
      <c r="S227" s="33">
        <v>11369</v>
      </c>
      <c r="T227" s="4">
        <v>330</v>
      </c>
      <c r="U227" s="6">
        <f t="shared" si="520"/>
        <v>0.80487804878048785</v>
      </c>
      <c r="V227" s="21">
        <v>410</v>
      </c>
      <c r="W227" s="52">
        <f t="shared" si="528"/>
        <v>6082</v>
      </c>
      <c r="X227" s="6">
        <f t="shared" si="521"/>
        <v>1.0246371147081419E-2</v>
      </c>
      <c r="Y227" s="21">
        <f t="shared" si="529"/>
        <v>593576</v>
      </c>
      <c r="Z227" s="34">
        <v>125</v>
      </c>
      <c r="AA227" s="6">
        <f t="shared" si="522"/>
        <v>3.3511165920484705E-3</v>
      </c>
      <c r="AB227" s="3">
        <v>37301</v>
      </c>
      <c r="AC227" s="35">
        <v>34</v>
      </c>
      <c r="AD227" s="6">
        <f t="shared" si="523"/>
        <v>0.1650485436893204</v>
      </c>
      <c r="AE227" s="36">
        <v>206</v>
      </c>
      <c r="AF227" s="4">
        <v>10</v>
      </c>
      <c r="AG227" s="6">
        <f t="shared" si="524"/>
        <v>0.55555555555555558</v>
      </c>
      <c r="AH227" s="37">
        <v>18</v>
      </c>
      <c r="AI227" s="52">
        <f t="shared" si="530"/>
        <v>169</v>
      </c>
      <c r="AJ227" s="6">
        <f t="shared" si="525"/>
        <v>4.5036642238507662E-3</v>
      </c>
      <c r="AK227" s="21">
        <f t="shared" si="531"/>
        <v>37525</v>
      </c>
      <c r="AL227" s="20">
        <f t="shared" si="532"/>
        <v>4.9550726540912521E-3</v>
      </c>
      <c r="AM227" s="6">
        <f t="shared" si="533"/>
        <v>0.24639112596869778</v>
      </c>
      <c r="AN227" s="6">
        <f t="shared" si="534"/>
        <v>0.78846153846153844</v>
      </c>
      <c r="AO227" s="127">
        <f t="shared" si="535"/>
        <v>9.6667805446736324E-3</v>
      </c>
      <c r="AP227" s="52">
        <f t="shared" si="536"/>
        <v>7272</v>
      </c>
      <c r="AQ227" s="3">
        <f t="shared" si="377"/>
        <v>752267</v>
      </c>
      <c r="AR227" s="12">
        <f t="shared" si="537"/>
        <v>738637</v>
      </c>
      <c r="AS227" s="3">
        <f t="shared" si="538"/>
        <v>13162</v>
      </c>
      <c r="AT227" s="21">
        <f t="shared" si="539"/>
        <v>468</v>
      </c>
      <c r="AU227" s="4"/>
      <c r="AV227" s="4"/>
      <c r="AW227" s="4"/>
      <c r="AX227" s="4"/>
    </row>
    <row r="228" spans="1:50" x14ac:dyDescent="0.2">
      <c r="A228" s="110">
        <v>39387</v>
      </c>
      <c r="B228" s="3">
        <v>581</v>
      </c>
      <c r="C228" s="6">
        <f t="shared" si="514"/>
        <v>4.8377964295230483E-3</v>
      </c>
      <c r="D228" s="3">
        <v>120096</v>
      </c>
      <c r="E228" s="35">
        <v>406</v>
      </c>
      <c r="F228" s="6">
        <f t="shared" si="515"/>
        <v>0.25123762376237624</v>
      </c>
      <c r="G228" s="33">
        <v>1616</v>
      </c>
      <c r="H228" s="4">
        <v>28</v>
      </c>
      <c r="I228" s="6">
        <f t="shared" si="516"/>
        <v>0.7</v>
      </c>
      <c r="J228" s="4">
        <v>40</v>
      </c>
      <c r="K228" s="141">
        <f t="shared" si="526"/>
        <v>1015</v>
      </c>
      <c r="L228" s="7">
        <f t="shared" si="517"/>
        <v>8.3366187003088253E-3</v>
      </c>
      <c r="M228" s="18">
        <f t="shared" si="527"/>
        <v>121752</v>
      </c>
      <c r="N228" s="53">
        <v>2926</v>
      </c>
      <c r="O228" s="6">
        <f t="shared" si="518"/>
        <v>5.0388591444272043E-3</v>
      </c>
      <c r="P228" s="3">
        <v>580687</v>
      </c>
      <c r="Q228" s="55">
        <v>2813</v>
      </c>
      <c r="R228" s="6">
        <f t="shared" si="519"/>
        <v>0.24773227653016291</v>
      </c>
      <c r="S228" s="33">
        <v>11355</v>
      </c>
      <c r="T228" s="4">
        <v>332</v>
      </c>
      <c r="U228" s="6">
        <f t="shared" si="520"/>
        <v>0.80193236714975846</v>
      </c>
      <c r="V228" s="21">
        <v>414</v>
      </c>
      <c r="W228" s="52">
        <f t="shared" si="528"/>
        <v>6071</v>
      </c>
      <c r="X228" s="6">
        <f t="shared" si="521"/>
        <v>1.0247174473716191E-2</v>
      </c>
      <c r="Y228" s="21">
        <f t="shared" si="529"/>
        <v>592456</v>
      </c>
      <c r="Z228" s="34">
        <v>125</v>
      </c>
      <c r="AA228" s="6">
        <f t="shared" si="522"/>
        <v>3.3556146143727686E-3</v>
      </c>
      <c r="AB228" s="3">
        <v>37251</v>
      </c>
      <c r="AC228" s="35">
        <v>34</v>
      </c>
      <c r="AD228" s="6">
        <f t="shared" si="523"/>
        <v>0.16190476190476191</v>
      </c>
      <c r="AE228" s="36">
        <v>210</v>
      </c>
      <c r="AF228" s="4">
        <v>10</v>
      </c>
      <c r="AG228" s="6">
        <f t="shared" si="524"/>
        <v>0.55555555555555558</v>
      </c>
      <c r="AH228" s="37">
        <v>18</v>
      </c>
      <c r="AI228" s="52">
        <f t="shared" si="530"/>
        <v>169</v>
      </c>
      <c r="AJ228" s="6">
        <f t="shared" si="525"/>
        <v>4.5091918140825532E-3</v>
      </c>
      <c r="AK228" s="21">
        <f t="shared" si="531"/>
        <v>37479</v>
      </c>
      <c r="AL228" s="20">
        <f t="shared" si="532"/>
        <v>4.9211824929474794E-3</v>
      </c>
      <c r="AM228" s="6">
        <f t="shared" si="533"/>
        <v>0.24679462863212198</v>
      </c>
      <c r="AN228" s="6">
        <f t="shared" si="534"/>
        <v>0.78389830508474578</v>
      </c>
      <c r="AO228" s="127">
        <f t="shared" si="535"/>
        <v>9.6516236146161893E-3</v>
      </c>
      <c r="AP228" s="52">
        <f t="shared" si="536"/>
        <v>7255</v>
      </c>
      <c r="AQ228" s="3">
        <f t="shared" si="377"/>
        <v>751687</v>
      </c>
      <c r="AR228" s="12">
        <f t="shared" si="537"/>
        <v>738034</v>
      </c>
      <c r="AS228" s="3">
        <f t="shared" si="538"/>
        <v>13181</v>
      </c>
      <c r="AT228" s="21">
        <f t="shared" si="539"/>
        <v>472</v>
      </c>
      <c r="AU228" s="4"/>
      <c r="AV228" s="4"/>
      <c r="AW228" s="4"/>
      <c r="AX228" s="4"/>
    </row>
    <row r="229" spans="1:50" x14ac:dyDescent="0.2">
      <c r="A229" s="110">
        <v>39356</v>
      </c>
      <c r="B229" s="3">
        <v>566</v>
      </c>
      <c r="C229" s="6">
        <f t="shared" si="514"/>
        <v>4.6802775090339279E-3</v>
      </c>
      <c r="D229" s="3">
        <v>120933</v>
      </c>
      <c r="E229" s="35">
        <v>401</v>
      </c>
      <c r="F229" s="6">
        <f t="shared" si="515"/>
        <v>0.24707332101047444</v>
      </c>
      <c r="G229" s="33">
        <v>1623</v>
      </c>
      <c r="H229" s="4">
        <v>27</v>
      </c>
      <c r="I229" s="6">
        <f t="shared" si="516"/>
        <v>0.67500000000000004</v>
      </c>
      <c r="J229" s="4">
        <v>40</v>
      </c>
      <c r="K229" s="141">
        <f t="shared" si="526"/>
        <v>994</v>
      </c>
      <c r="L229" s="7">
        <f t="shared" si="517"/>
        <v>8.1079317432868944E-3</v>
      </c>
      <c r="M229" s="18">
        <f t="shared" si="527"/>
        <v>122596</v>
      </c>
      <c r="N229" s="53">
        <v>2940</v>
      </c>
      <c r="O229" s="6">
        <f t="shared" si="518"/>
        <v>5.066074361011216E-3</v>
      </c>
      <c r="P229" s="3">
        <v>580331</v>
      </c>
      <c r="Q229" s="55">
        <v>2837</v>
      </c>
      <c r="R229" s="6">
        <f t="shared" si="519"/>
        <v>0.25008815232722142</v>
      </c>
      <c r="S229" s="33">
        <v>11344</v>
      </c>
      <c r="T229" s="4">
        <v>335</v>
      </c>
      <c r="U229" s="6">
        <f t="shared" si="520"/>
        <v>0.80143540669856461</v>
      </c>
      <c r="V229" s="21">
        <v>418</v>
      </c>
      <c r="W229" s="52">
        <f t="shared" si="528"/>
        <v>6112</v>
      </c>
      <c r="X229" s="6">
        <f t="shared" si="521"/>
        <v>1.0322702683531134E-2</v>
      </c>
      <c r="Y229" s="21">
        <f t="shared" si="529"/>
        <v>592093</v>
      </c>
      <c r="Z229" s="34">
        <v>125</v>
      </c>
      <c r="AA229" s="6">
        <f t="shared" si="522"/>
        <v>3.3523748223241345E-3</v>
      </c>
      <c r="AB229" s="3">
        <v>37287</v>
      </c>
      <c r="AC229" s="35">
        <v>34</v>
      </c>
      <c r="AD229" s="6">
        <f t="shared" si="523"/>
        <v>0.16190476190476191</v>
      </c>
      <c r="AE229" s="36">
        <v>210</v>
      </c>
      <c r="AF229" s="4">
        <v>10</v>
      </c>
      <c r="AG229" s="6">
        <f t="shared" si="524"/>
        <v>0.55555555555555558</v>
      </c>
      <c r="AH229" s="37">
        <v>18</v>
      </c>
      <c r="AI229" s="52">
        <f t="shared" si="530"/>
        <v>169</v>
      </c>
      <c r="AJ229" s="6">
        <f t="shared" si="525"/>
        <v>4.5048647207783553E-3</v>
      </c>
      <c r="AK229" s="21">
        <f t="shared" si="531"/>
        <v>37515</v>
      </c>
      <c r="AL229" s="20">
        <f t="shared" si="532"/>
        <v>4.9163835672824223E-3</v>
      </c>
      <c r="AM229" s="6">
        <f t="shared" si="533"/>
        <v>0.24831145177202701</v>
      </c>
      <c r="AN229" s="6">
        <f t="shared" si="534"/>
        <v>0.78151260504201681</v>
      </c>
      <c r="AO229" s="127">
        <f t="shared" si="535"/>
        <v>9.6715784547808832E-3</v>
      </c>
      <c r="AP229" s="52">
        <f t="shared" si="536"/>
        <v>7275</v>
      </c>
      <c r="AQ229" s="3">
        <f t="shared" si="377"/>
        <v>752204</v>
      </c>
      <c r="AR229" s="12">
        <f t="shared" si="537"/>
        <v>738551</v>
      </c>
      <c r="AS229" s="3">
        <f t="shared" si="538"/>
        <v>13177</v>
      </c>
      <c r="AT229" s="21">
        <f t="shared" si="539"/>
        <v>476</v>
      </c>
      <c r="AU229" s="4"/>
      <c r="AV229" s="4"/>
      <c r="AW229" s="4"/>
      <c r="AX229" s="4"/>
    </row>
    <row r="230" spans="1:50" x14ac:dyDescent="0.2">
      <c r="A230" s="110">
        <v>39326</v>
      </c>
      <c r="B230" s="3">
        <v>567</v>
      </c>
      <c r="C230" s="6">
        <f t="shared" si="514"/>
        <v>4.6851372902223581E-3</v>
      </c>
      <c r="D230" s="3">
        <v>121021</v>
      </c>
      <c r="E230" s="35">
        <v>419</v>
      </c>
      <c r="F230" s="6">
        <f t="shared" si="515"/>
        <v>0.25816389402341344</v>
      </c>
      <c r="G230" s="33">
        <v>1623</v>
      </c>
      <c r="H230" s="4">
        <v>27</v>
      </c>
      <c r="I230" s="6">
        <f t="shared" si="516"/>
        <v>0.67500000000000004</v>
      </c>
      <c r="J230" s="4">
        <v>40</v>
      </c>
      <c r="K230" s="141">
        <f t="shared" si="526"/>
        <v>1013</v>
      </c>
      <c r="L230" s="7">
        <f t="shared" si="517"/>
        <v>8.2569854259724167E-3</v>
      </c>
      <c r="M230" s="18">
        <f t="shared" si="527"/>
        <v>122684</v>
      </c>
      <c r="N230" s="53">
        <v>2937</v>
      </c>
      <c r="O230" s="6">
        <f t="shared" si="518"/>
        <v>5.0640637689255809E-3</v>
      </c>
      <c r="P230" s="3">
        <v>579969</v>
      </c>
      <c r="Q230" s="55">
        <v>2858</v>
      </c>
      <c r="R230" s="6">
        <f t="shared" si="519"/>
        <v>0.25140745953553834</v>
      </c>
      <c r="S230" s="33">
        <v>11368</v>
      </c>
      <c r="T230" s="4">
        <v>333</v>
      </c>
      <c r="U230" s="6">
        <f t="shared" si="520"/>
        <v>0.80048076923076927</v>
      </c>
      <c r="V230" s="21">
        <v>416</v>
      </c>
      <c r="W230" s="52">
        <f t="shared" si="528"/>
        <v>6128</v>
      </c>
      <c r="X230" s="6">
        <f t="shared" si="521"/>
        <v>1.0355672045600107E-2</v>
      </c>
      <c r="Y230" s="21">
        <f t="shared" si="529"/>
        <v>591753</v>
      </c>
      <c r="Z230" s="34">
        <v>125</v>
      </c>
      <c r="AA230" s="6">
        <f t="shared" si="522"/>
        <v>3.3539939359789636E-3</v>
      </c>
      <c r="AB230" s="3">
        <v>37269</v>
      </c>
      <c r="AC230" s="35">
        <v>34</v>
      </c>
      <c r="AD230" s="6">
        <f t="shared" si="523"/>
        <v>0.16037735849056603</v>
      </c>
      <c r="AE230" s="36">
        <v>212</v>
      </c>
      <c r="AF230" s="4">
        <v>10</v>
      </c>
      <c r="AG230" s="6">
        <f t="shared" si="524"/>
        <v>0.55555555555555558</v>
      </c>
      <c r="AH230" s="37">
        <v>18</v>
      </c>
      <c r="AI230" s="52">
        <f t="shared" si="530"/>
        <v>169</v>
      </c>
      <c r="AJ230" s="6">
        <f t="shared" si="525"/>
        <v>4.5067868476492707E-3</v>
      </c>
      <c r="AK230" s="21">
        <f t="shared" si="531"/>
        <v>37499</v>
      </c>
      <c r="AL230" s="20">
        <f t="shared" si="532"/>
        <v>4.9156190442649532E-3</v>
      </c>
      <c r="AM230" s="6">
        <f t="shared" si="533"/>
        <v>0.25077633871089905</v>
      </c>
      <c r="AN230" s="6">
        <f t="shared" si="534"/>
        <v>0.78059071729957807</v>
      </c>
      <c r="AO230" s="127">
        <f t="shared" si="535"/>
        <v>9.7215720486849948E-3</v>
      </c>
      <c r="AP230" s="52">
        <f t="shared" si="536"/>
        <v>7310</v>
      </c>
      <c r="AQ230" s="3">
        <f t="shared" si="377"/>
        <v>751936</v>
      </c>
      <c r="AR230" s="12">
        <f t="shared" si="537"/>
        <v>738259</v>
      </c>
      <c r="AS230" s="3">
        <f t="shared" si="538"/>
        <v>13203</v>
      </c>
      <c r="AT230" s="21">
        <f t="shared" si="539"/>
        <v>474</v>
      </c>
      <c r="AU230" s="4"/>
      <c r="AV230" s="4"/>
      <c r="AW230" s="4"/>
      <c r="AX230" s="4"/>
    </row>
    <row r="231" spans="1:50" x14ac:dyDescent="0.2">
      <c r="A231" s="110">
        <v>39295</v>
      </c>
      <c r="B231" s="3">
        <v>565</v>
      </c>
      <c r="C231" s="6">
        <f t="shared" si="514"/>
        <v>4.669267131665069E-3</v>
      </c>
      <c r="D231" s="3">
        <v>121004</v>
      </c>
      <c r="E231" s="35">
        <v>418</v>
      </c>
      <c r="F231" s="6">
        <f t="shared" si="515"/>
        <v>0.25754775107825018</v>
      </c>
      <c r="G231" s="33">
        <v>1623</v>
      </c>
      <c r="H231" s="4">
        <v>26</v>
      </c>
      <c r="I231" s="6">
        <f t="shared" si="516"/>
        <v>0.65</v>
      </c>
      <c r="J231" s="4">
        <v>40</v>
      </c>
      <c r="K231" s="141">
        <f t="shared" si="526"/>
        <v>1009</v>
      </c>
      <c r="L231" s="7">
        <f t="shared" si="517"/>
        <v>8.2255211263012867E-3</v>
      </c>
      <c r="M231" s="18">
        <f t="shared" si="527"/>
        <v>122667</v>
      </c>
      <c r="N231" s="53">
        <v>2889</v>
      </c>
      <c r="O231" s="6">
        <f t="shared" si="518"/>
        <v>4.9862184305407174E-3</v>
      </c>
      <c r="P231" s="3">
        <v>579397</v>
      </c>
      <c r="Q231" s="55">
        <v>2856</v>
      </c>
      <c r="R231" s="6">
        <f t="shared" si="519"/>
        <v>0.25236370062737473</v>
      </c>
      <c r="S231" s="33">
        <v>11317</v>
      </c>
      <c r="T231" s="4">
        <v>334</v>
      </c>
      <c r="U231" s="6">
        <f t="shared" si="520"/>
        <v>0.79904306220095689</v>
      </c>
      <c r="V231" s="21">
        <v>418</v>
      </c>
      <c r="W231" s="52">
        <f t="shared" si="528"/>
        <v>6079</v>
      </c>
      <c r="X231" s="6">
        <f t="shared" si="521"/>
        <v>1.0283659148887219E-2</v>
      </c>
      <c r="Y231" s="21">
        <f t="shared" si="529"/>
        <v>591132</v>
      </c>
      <c r="Z231" s="34">
        <v>126</v>
      </c>
      <c r="AA231" s="6">
        <f t="shared" si="522"/>
        <v>3.387278885961611E-3</v>
      </c>
      <c r="AB231" s="3">
        <v>37198</v>
      </c>
      <c r="AC231" s="35">
        <v>34</v>
      </c>
      <c r="AD231" s="6">
        <f t="shared" si="523"/>
        <v>0.15962441314553991</v>
      </c>
      <c r="AE231" s="36">
        <v>213</v>
      </c>
      <c r="AF231" s="4">
        <v>10</v>
      </c>
      <c r="AG231" s="6">
        <f t="shared" si="524"/>
        <v>0.55555555555555558</v>
      </c>
      <c r="AH231" s="37">
        <v>18</v>
      </c>
      <c r="AI231" s="52">
        <f t="shared" si="530"/>
        <v>170</v>
      </c>
      <c r="AJ231" s="6">
        <f t="shared" si="525"/>
        <v>4.5419327259611534E-3</v>
      </c>
      <c r="AK231" s="21">
        <f t="shared" si="531"/>
        <v>37429</v>
      </c>
      <c r="AL231" s="20">
        <f t="shared" si="532"/>
        <v>4.8535857559459817E-3</v>
      </c>
      <c r="AM231" s="6">
        <f t="shared" si="533"/>
        <v>0.25150155857979167</v>
      </c>
      <c r="AN231" s="6">
        <f t="shared" si="534"/>
        <v>0.77731092436974791</v>
      </c>
      <c r="AO231" s="127">
        <f t="shared" si="535"/>
        <v>9.6615142140601788E-3</v>
      </c>
      <c r="AP231" s="52">
        <f t="shared" si="536"/>
        <v>7258</v>
      </c>
      <c r="AQ231" s="3">
        <f t="shared" si="377"/>
        <v>751228</v>
      </c>
      <c r="AR231" s="12">
        <f t="shared" si="537"/>
        <v>737599</v>
      </c>
      <c r="AS231" s="3">
        <f t="shared" si="538"/>
        <v>13153</v>
      </c>
      <c r="AT231" s="21">
        <f t="shared" si="539"/>
        <v>476</v>
      </c>
      <c r="AU231" s="4"/>
      <c r="AV231" s="4"/>
      <c r="AW231" s="4"/>
      <c r="AX231" s="4"/>
    </row>
    <row r="232" spans="1:50" x14ac:dyDescent="0.2">
      <c r="A232" s="110">
        <v>39264</v>
      </c>
      <c r="B232" s="3">
        <v>568</v>
      </c>
      <c r="C232" s="6">
        <f t="shared" si="514"/>
        <v>4.7031547569760706E-3</v>
      </c>
      <c r="D232" s="3">
        <v>120770</v>
      </c>
      <c r="E232" s="35">
        <v>415</v>
      </c>
      <c r="F232" s="6">
        <f t="shared" si="515"/>
        <v>0.25617283950617287</v>
      </c>
      <c r="G232" s="33">
        <v>1620</v>
      </c>
      <c r="H232" s="4">
        <v>26</v>
      </c>
      <c r="I232" s="6">
        <f t="shared" si="516"/>
        <v>0.65</v>
      </c>
      <c r="J232" s="4">
        <v>40</v>
      </c>
      <c r="K232" s="141">
        <f t="shared" si="526"/>
        <v>1009</v>
      </c>
      <c r="L232" s="7">
        <f t="shared" si="517"/>
        <v>8.2414440905006943E-3</v>
      </c>
      <c r="M232" s="18">
        <f t="shared" si="527"/>
        <v>122430</v>
      </c>
      <c r="N232" s="53">
        <v>2928</v>
      </c>
      <c r="O232" s="6">
        <f t="shared" si="518"/>
        <v>5.0563485841187824E-3</v>
      </c>
      <c r="P232" s="3">
        <v>579074</v>
      </c>
      <c r="Q232" s="55">
        <v>2853</v>
      </c>
      <c r="R232" s="6">
        <f t="shared" si="519"/>
        <v>0.25241086437229054</v>
      </c>
      <c r="S232" s="33">
        <v>11303</v>
      </c>
      <c r="T232" s="4">
        <v>335</v>
      </c>
      <c r="U232" s="6">
        <f t="shared" si="520"/>
        <v>0.80143540669856461</v>
      </c>
      <c r="V232" s="21">
        <v>418</v>
      </c>
      <c r="W232" s="52">
        <f t="shared" si="528"/>
        <v>6116</v>
      </c>
      <c r="X232" s="6">
        <f t="shared" si="521"/>
        <v>1.0352152607926607E-2</v>
      </c>
      <c r="Y232" s="21">
        <f t="shared" si="529"/>
        <v>590795</v>
      </c>
      <c r="Z232" s="34">
        <v>128</v>
      </c>
      <c r="AA232" s="6">
        <f t="shared" si="522"/>
        <v>3.4425259534183205E-3</v>
      </c>
      <c r="AB232" s="3">
        <v>37182</v>
      </c>
      <c r="AC232" s="35">
        <v>34</v>
      </c>
      <c r="AD232" s="6">
        <f t="shared" si="523"/>
        <v>0.16037735849056603</v>
      </c>
      <c r="AE232" s="36">
        <v>212</v>
      </c>
      <c r="AF232" s="4">
        <v>10</v>
      </c>
      <c r="AG232" s="6">
        <f t="shared" si="524"/>
        <v>0.55555555555555558</v>
      </c>
      <c r="AH232" s="37">
        <v>18</v>
      </c>
      <c r="AI232" s="52">
        <f t="shared" si="530"/>
        <v>172</v>
      </c>
      <c r="AJ232" s="6">
        <f t="shared" si="525"/>
        <v>4.5974553619159628E-3</v>
      </c>
      <c r="AK232" s="21">
        <f t="shared" si="531"/>
        <v>37412</v>
      </c>
      <c r="AL232" s="20">
        <f t="shared" si="532"/>
        <v>4.9170585569572852E-3</v>
      </c>
      <c r="AM232" s="6">
        <f t="shared" si="533"/>
        <v>0.25138941758660066</v>
      </c>
      <c r="AN232" s="6">
        <f t="shared" si="534"/>
        <v>0.77941176470588236</v>
      </c>
      <c r="AO232" s="127">
        <f t="shared" si="535"/>
        <v>9.7210768986873818E-3</v>
      </c>
      <c r="AP232" s="52">
        <f t="shared" si="536"/>
        <v>7297</v>
      </c>
      <c r="AQ232" s="3">
        <f t="shared" si="377"/>
        <v>750637</v>
      </c>
      <c r="AR232" s="12">
        <f t="shared" si="537"/>
        <v>737026</v>
      </c>
      <c r="AS232" s="3">
        <f t="shared" si="538"/>
        <v>13135</v>
      </c>
      <c r="AT232" s="21">
        <f t="shared" si="539"/>
        <v>476</v>
      </c>
      <c r="AU232" s="4"/>
      <c r="AV232" s="4"/>
      <c r="AW232" s="4"/>
      <c r="AX232" s="4"/>
    </row>
    <row r="233" spans="1:50" x14ac:dyDescent="0.2">
      <c r="A233" s="110">
        <v>39234</v>
      </c>
      <c r="B233" s="3">
        <v>562</v>
      </c>
      <c r="C233" s="6">
        <f t="shared" si="514"/>
        <v>4.6814997459328428E-3</v>
      </c>
      <c r="D233" s="3">
        <v>120047</v>
      </c>
      <c r="E233" s="35">
        <v>421</v>
      </c>
      <c r="F233" s="6">
        <f t="shared" si="515"/>
        <v>0.26019777503090236</v>
      </c>
      <c r="G233" s="33">
        <v>1618</v>
      </c>
      <c r="H233" s="4">
        <v>26</v>
      </c>
      <c r="I233" s="6">
        <f t="shared" si="516"/>
        <v>0.65</v>
      </c>
      <c r="J233" s="4">
        <v>40</v>
      </c>
      <c r="K233" s="141">
        <f t="shared" si="526"/>
        <v>1009</v>
      </c>
      <c r="L233" s="7">
        <f t="shared" si="517"/>
        <v>8.2905385974282077E-3</v>
      </c>
      <c r="M233" s="18">
        <f t="shared" si="527"/>
        <v>121705</v>
      </c>
      <c r="N233" s="53">
        <v>2869</v>
      </c>
      <c r="O233" s="6">
        <f t="shared" si="518"/>
        <v>4.9570812484449724E-3</v>
      </c>
      <c r="P233" s="3">
        <v>578768</v>
      </c>
      <c r="Q233" s="55">
        <v>2877</v>
      </c>
      <c r="R233" s="6">
        <f t="shared" si="519"/>
        <v>0.25514366796736432</v>
      </c>
      <c r="S233" s="33">
        <v>11276</v>
      </c>
      <c r="T233" s="3">
        <v>337</v>
      </c>
      <c r="U233" s="6">
        <f t="shared" si="520"/>
        <v>0.80429594272076377</v>
      </c>
      <c r="V233" s="37">
        <v>419</v>
      </c>
      <c r="W233" s="52">
        <f t="shared" si="528"/>
        <v>6083</v>
      </c>
      <c r="X233" s="6">
        <f t="shared" si="521"/>
        <v>1.0302084973994983E-2</v>
      </c>
      <c r="Y233" s="21">
        <f t="shared" si="529"/>
        <v>590463</v>
      </c>
      <c r="Z233" s="34">
        <v>129</v>
      </c>
      <c r="AA233" s="6">
        <f t="shared" si="522"/>
        <v>3.4703540299149899E-3</v>
      </c>
      <c r="AB233" s="3">
        <v>37172</v>
      </c>
      <c r="AC233" s="35">
        <v>35</v>
      </c>
      <c r="AD233" s="6">
        <f t="shared" si="523"/>
        <v>0.1650943396226415</v>
      </c>
      <c r="AE233" s="36">
        <v>212</v>
      </c>
      <c r="AF233" s="4">
        <v>10</v>
      </c>
      <c r="AG233" s="6">
        <f t="shared" si="524"/>
        <v>0.55555555555555558</v>
      </c>
      <c r="AH233" s="37">
        <v>18</v>
      </c>
      <c r="AI233" s="52">
        <f t="shared" si="530"/>
        <v>174</v>
      </c>
      <c r="AJ233" s="6">
        <f t="shared" si="525"/>
        <v>4.6521576386289506E-3</v>
      </c>
      <c r="AK233" s="21">
        <f t="shared" si="531"/>
        <v>37402</v>
      </c>
      <c r="AL233" s="20">
        <f t="shared" si="532"/>
        <v>4.8370419586215513E-3</v>
      </c>
      <c r="AM233" s="6">
        <f t="shared" si="533"/>
        <v>0.25431100259423167</v>
      </c>
      <c r="AN233" s="6">
        <f t="shared" si="534"/>
        <v>0.78197064989517817</v>
      </c>
      <c r="AO233" s="127">
        <f t="shared" si="535"/>
        <v>9.6935576397134352E-3</v>
      </c>
      <c r="AP233" s="52">
        <f t="shared" si="536"/>
        <v>7266</v>
      </c>
      <c r="AQ233" s="3">
        <f t="shared" si="377"/>
        <v>749570</v>
      </c>
      <c r="AR233" s="12">
        <f t="shared" si="537"/>
        <v>735987</v>
      </c>
      <c r="AS233" s="3">
        <f t="shared" si="538"/>
        <v>13106</v>
      </c>
      <c r="AT233" s="21">
        <f t="shared" si="539"/>
        <v>477</v>
      </c>
      <c r="AU233" s="4"/>
      <c r="AV233" s="4"/>
      <c r="AW233" s="4"/>
      <c r="AX233" s="4"/>
    </row>
    <row r="234" spans="1:50" x14ac:dyDescent="0.2">
      <c r="A234" s="110">
        <v>39203</v>
      </c>
      <c r="B234" s="3">
        <v>557</v>
      </c>
      <c r="C234" s="6">
        <f t="shared" si="514"/>
        <v>4.6779598384130211E-3</v>
      </c>
      <c r="D234" s="76">
        <v>119069</v>
      </c>
      <c r="E234" s="35">
        <v>434</v>
      </c>
      <c r="F234" s="6">
        <f t="shared" si="515"/>
        <v>0.2697327532628962</v>
      </c>
      <c r="G234" s="33">
        <v>1609</v>
      </c>
      <c r="H234" s="4">
        <v>26</v>
      </c>
      <c r="I234" s="6">
        <f t="shared" si="516"/>
        <v>0.65</v>
      </c>
      <c r="J234" s="4">
        <v>40</v>
      </c>
      <c r="K234" s="141">
        <f t="shared" si="526"/>
        <v>1017</v>
      </c>
      <c r="L234" s="7">
        <f t="shared" si="517"/>
        <v>8.4245928527642931E-3</v>
      </c>
      <c r="M234" s="18">
        <f t="shared" si="527"/>
        <v>120718</v>
      </c>
      <c r="N234" s="53">
        <v>2823</v>
      </c>
      <c r="O234" s="6">
        <f t="shared" si="518"/>
        <v>4.872138718746602E-3</v>
      </c>
      <c r="P234" s="3">
        <v>579417</v>
      </c>
      <c r="Q234" s="55">
        <v>2899</v>
      </c>
      <c r="R234" s="6">
        <f t="shared" si="519"/>
        <v>0.25704912218478454</v>
      </c>
      <c r="S234" s="33">
        <v>11278</v>
      </c>
      <c r="T234" s="3">
        <v>342</v>
      </c>
      <c r="U234" s="6">
        <f t="shared" si="520"/>
        <v>0.81042654028436023</v>
      </c>
      <c r="V234" s="21">
        <v>422</v>
      </c>
      <c r="W234" s="52">
        <f t="shared" si="528"/>
        <v>6064</v>
      </c>
      <c r="X234" s="6">
        <f t="shared" si="521"/>
        <v>1.025854441675675E-2</v>
      </c>
      <c r="Y234" s="21">
        <f t="shared" si="529"/>
        <v>591117</v>
      </c>
      <c r="Z234" s="34">
        <v>131</v>
      </c>
      <c r="AA234" s="6">
        <f t="shared" si="522"/>
        <v>3.525770421208451E-3</v>
      </c>
      <c r="AB234" s="3">
        <v>37155</v>
      </c>
      <c r="AC234" s="35">
        <v>35</v>
      </c>
      <c r="AD234" s="6">
        <f t="shared" si="523"/>
        <v>0.16908212560386474</v>
      </c>
      <c r="AE234" s="36">
        <v>207</v>
      </c>
      <c r="AF234" s="4">
        <v>10</v>
      </c>
      <c r="AG234" s="6">
        <f t="shared" si="524"/>
        <v>0.55555555555555558</v>
      </c>
      <c r="AH234" s="37">
        <v>18</v>
      </c>
      <c r="AI234" s="52">
        <f t="shared" si="530"/>
        <v>176</v>
      </c>
      <c r="AJ234" s="6">
        <f t="shared" si="525"/>
        <v>4.7084002140181918E-3</v>
      </c>
      <c r="AK234" s="21">
        <f t="shared" si="531"/>
        <v>37380</v>
      </c>
      <c r="AL234" s="20">
        <f t="shared" si="532"/>
        <v>4.7727084270724439E-3</v>
      </c>
      <c r="AM234" s="6">
        <f t="shared" si="533"/>
        <v>0.25721704597525585</v>
      </c>
      <c r="AN234" s="6">
        <f t="shared" si="534"/>
        <v>0.78749999999999998</v>
      </c>
      <c r="AO234" s="127">
        <f t="shared" si="535"/>
        <v>9.6861381579386417E-3</v>
      </c>
      <c r="AP234" s="52">
        <f t="shared" si="536"/>
        <v>7257</v>
      </c>
      <c r="AQ234" s="3">
        <f t="shared" si="377"/>
        <v>749215</v>
      </c>
      <c r="AR234" s="12">
        <f t="shared" ref="AR234:AR250" si="540">D234+P234+AB234</f>
        <v>735641</v>
      </c>
      <c r="AS234" s="3">
        <f t="shared" si="538"/>
        <v>13094</v>
      </c>
      <c r="AT234" s="21">
        <f t="shared" si="539"/>
        <v>480</v>
      </c>
      <c r="AU234" s="4"/>
      <c r="AV234" s="4"/>
      <c r="AW234" s="4"/>
      <c r="AX234" s="4"/>
    </row>
    <row r="235" spans="1:50" x14ac:dyDescent="0.2">
      <c r="A235" s="110">
        <v>39173</v>
      </c>
      <c r="B235" s="3">
        <v>548</v>
      </c>
      <c r="C235" s="6">
        <v>4.624082355919332E-3</v>
      </c>
      <c r="D235" s="3">
        <v>118510</v>
      </c>
      <c r="E235" s="49">
        <v>425</v>
      </c>
      <c r="F235" s="6">
        <v>0.27156549520766771</v>
      </c>
      <c r="G235" s="33">
        <v>1565</v>
      </c>
      <c r="H235" s="3">
        <v>26</v>
      </c>
      <c r="I235" s="6">
        <v>0.65</v>
      </c>
      <c r="J235" s="3">
        <v>40</v>
      </c>
      <c r="K235" s="141">
        <f t="shared" si="526"/>
        <v>999</v>
      </c>
      <c r="L235" s="7">
        <f t="shared" si="517"/>
        <v>8.3170295133830081E-3</v>
      </c>
      <c r="M235" s="18">
        <f t="shared" si="527"/>
        <v>120115</v>
      </c>
      <c r="N235" s="52">
        <v>2806</v>
      </c>
      <c r="O235" s="6">
        <f t="shared" si="518"/>
        <v>4.8428406729581026E-3</v>
      </c>
      <c r="P235" s="3">
        <v>579412</v>
      </c>
      <c r="Q235" s="55">
        <v>2926</v>
      </c>
      <c r="R235" s="6">
        <f t="shared" si="519"/>
        <v>0.26064493140922856</v>
      </c>
      <c r="S235" s="33">
        <v>11226</v>
      </c>
      <c r="T235" s="3">
        <v>341</v>
      </c>
      <c r="U235" s="6">
        <f t="shared" si="520"/>
        <v>0.80997624703087889</v>
      </c>
      <c r="V235" s="37">
        <v>421</v>
      </c>
      <c r="W235" s="52">
        <f t="shared" si="528"/>
        <v>6073</v>
      </c>
      <c r="X235" s="6">
        <f t="shared" si="521"/>
        <v>1.0274777983247019E-2</v>
      </c>
      <c r="Y235" s="21">
        <f t="shared" si="529"/>
        <v>591059</v>
      </c>
      <c r="Z235" s="52">
        <v>146</v>
      </c>
      <c r="AA235" s="6">
        <f t="shared" si="522"/>
        <v>3.9264199655765922E-3</v>
      </c>
      <c r="AB235" s="3">
        <v>37184</v>
      </c>
      <c r="AC235" s="35">
        <v>38</v>
      </c>
      <c r="AD235" s="6">
        <f t="shared" si="523"/>
        <v>0.18446601941747573</v>
      </c>
      <c r="AE235" s="36">
        <v>206</v>
      </c>
      <c r="AF235" s="4">
        <v>11</v>
      </c>
      <c r="AG235" s="6">
        <f t="shared" si="524"/>
        <v>0.61111111111111116</v>
      </c>
      <c r="AH235" s="37">
        <v>18</v>
      </c>
      <c r="AI235" s="52">
        <f t="shared" si="530"/>
        <v>195</v>
      </c>
      <c r="AJ235" s="6">
        <f t="shared" si="525"/>
        <v>5.2127887082976899E-3</v>
      </c>
      <c r="AK235" s="21">
        <f t="shared" si="531"/>
        <v>37408</v>
      </c>
      <c r="AL235" s="20">
        <f t="shared" si="532"/>
        <v>4.7612181100412732E-3</v>
      </c>
      <c r="AM235" s="6">
        <f t="shared" si="533"/>
        <v>0.26075248134184814</v>
      </c>
      <c r="AN235" s="6">
        <f t="shared" si="534"/>
        <v>0.78914405010438415</v>
      </c>
      <c r="AO235" s="127">
        <f t="shared" si="535"/>
        <v>9.7076873341865027E-3</v>
      </c>
      <c r="AP235" s="52">
        <f t="shared" si="536"/>
        <v>7267</v>
      </c>
      <c r="AQ235" s="3">
        <f t="shared" ref="AQ235:AQ250" si="541">SUM(AR235:AT235)</f>
        <v>748582</v>
      </c>
      <c r="AR235" s="12">
        <f t="shared" si="540"/>
        <v>735106</v>
      </c>
      <c r="AS235" s="3">
        <f t="shared" si="538"/>
        <v>12997</v>
      </c>
      <c r="AT235" s="21">
        <f t="shared" si="539"/>
        <v>479</v>
      </c>
      <c r="AU235" s="4"/>
      <c r="AV235" s="4"/>
      <c r="AW235" s="4"/>
      <c r="AX235" s="4"/>
    </row>
    <row r="236" spans="1:50" x14ac:dyDescent="0.2">
      <c r="A236" s="110">
        <v>39142</v>
      </c>
      <c r="B236" s="3">
        <v>540</v>
      </c>
      <c r="C236" s="6">
        <f>B236/D236</f>
        <v>4.5553859002370484E-3</v>
      </c>
      <c r="D236" s="3">
        <v>118541</v>
      </c>
      <c r="E236" s="47">
        <v>427</v>
      </c>
      <c r="F236" s="6">
        <f>E236/G236</f>
        <v>0.27042431918936033</v>
      </c>
      <c r="G236" s="48">
        <v>1579</v>
      </c>
      <c r="H236" s="4">
        <v>24</v>
      </c>
      <c r="I236" s="6">
        <f>H236/J236</f>
        <v>0.61538461538461542</v>
      </c>
      <c r="J236" s="71">
        <v>39</v>
      </c>
      <c r="K236" s="141">
        <f t="shared" si="526"/>
        <v>991</v>
      </c>
      <c r="L236" s="7">
        <f t="shared" si="517"/>
        <v>8.247405521017985E-3</v>
      </c>
      <c r="M236" s="18">
        <f t="shared" si="527"/>
        <v>120159</v>
      </c>
      <c r="N236" s="52">
        <v>2766</v>
      </c>
      <c r="O236" s="6">
        <f t="shared" si="518"/>
        <v>4.7756514292423185E-3</v>
      </c>
      <c r="P236" s="3">
        <v>579188</v>
      </c>
      <c r="Q236" s="55">
        <v>2962</v>
      </c>
      <c r="R236" s="6">
        <f t="shared" si="519"/>
        <v>0.26422836752899198</v>
      </c>
      <c r="S236" s="33">
        <v>11210</v>
      </c>
      <c r="T236" s="3">
        <v>344</v>
      </c>
      <c r="U236" s="6">
        <f t="shared" si="520"/>
        <v>0.80751173708920188</v>
      </c>
      <c r="V236" s="21">
        <v>426</v>
      </c>
      <c r="W236" s="52">
        <f t="shared" si="528"/>
        <v>6072</v>
      </c>
      <c r="X236" s="6">
        <f t="shared" si="521"/>
        <v>1.0277172220492058E-2</v>
      </c>
      <c r="Y236" s="21">
        <f t="shared" si="529"/>
        <v>590824</v>
      </c>
      <c r="Z236" s="52">
        <v>146</v>
      </c>
      <c r="AA236" s="6">
        <f t="shared" si="522"/>
        <v>3.9269480082842461E-3</v>
      </c>
      <c r="AB236" s="3">
        <v>37179</v>
      </c>
      <c r="AC236" s="35">
        <v>38</v>
      </c>
      <c r="AD236" s="6">
        <f t="shared" si="523"/>
        <v>0.18446601941747573</v>
      </c>
      <c r="AE236" s="36">
        <v>206</v>
      </c>
      <c r="AF236" s="4">
        <v>11</v>
      </c>
      <c r="AG236" s="6">
        <f t="shared" si="524"/>
        <v>0.61111111111111116</v>
      </c>
      <c r="AH236" s="37">
        <v>18</v>
      </c>
      <c r="AI236" s="52">
        <f t="shared" si="530"/>
        <v>195</v>
      </c>
      <c r="AJ236" s="6">
        <f t="shared" si="525"/>
        <v>5.21348554928749E-3</v>
      </c>
      <c r="AK236" s="21">
        <f t="shared" si="531"/>
        <v>37403</v>
      </c>
      <c r="AL236" s="20">
        <f t="shared" si="532"/>
        <v>4.6971865866203659E-3</v>
      </c>
      <c r="AM236" s="6">
        <f t="shared" si="533"/>
        <v>0.26371681415929205</v>
      </c>
      <c r="AN236" s="6">
        <f t="shared" si="534"/>
        <v>0.78467908902691508</v>
      </c>
      <c r="AO236" s="127">
        <f t="shared" si="535"/>
        <v>9.6982038680573923E-3</v>
      </c>
      <c r="AP236" s="52">
        <f t="shared" si="536"/>
        <v>7258</v>
      </c>
      <c r="AQ236" s="3">
        <f t="shared" si="541"/>
        <v>748386</v>
      </c>
      <c r="AR236" s="12">
        <f t="shared" si="540"/>
        <v>734908</v>
      </c>
      <c r="AS236" s="3">
        <f t="shared" si="538"/>
        <v>12995</v>
      </c>
      <c r="AT236" s="21">
        <f t="shared" si="539"/>
        <v>483</v>
      </c>
      <c r="AU236" s="4"/>
      <c r="AV236" s="4"/>
      <c r="AW236" s="4"/>
      <c r="AX236" s="4"/>
    </row>
    <row r="237" spans="1:50" x14ac:dyDescent="0.2">
      <c r="A237" s="110">
        <v>39114</v>
      </c>
      <c r="B237" s="3">
        <v>531</v>
      </c>
      <c r="C237" s="6">
        <f>B237/D237</f>
        <v>4.4815043000497948E-3</v>
      </c>
      <c r="D237" s="3">
        <v>118487</v>
      </c>
      <c r="E237" s="47">
        <v>431</v>
      </c>
      <c r="F237" s="6">
        <f>E237/G237</f>
        <v>0.27038895859473022</v>
      </c>
      <c r="G237" s="33">
        <v>1594</v>
      </c>
      <c r="H237" s="4">
        <v>24</v>
      </c>
      <c r="I237" s="6">
        <f>H237/J237</f>
        <v>0.61538461538461542</v>
      </c>
      <c r="J237" s="4">
        <v>39</v>
      </c>
      <c r="K237" s="141">
        <f t="shared" si="526"/>
        <v>986</v>
      </c>
      <c r="L237" s="7">
        <f t="shared" si="517"/>
        <v>8.2084582084582091E-3</v>
      </c>
      <c r="M237" s="18">
        <f t="shared" si="527"/>
        <v>120120</v>
      </c>
      <c r="N237" s="52">
        <v>2630</v>
      </c>
      <c r="O237" s="6">
        <f t="shared" si="518"/>
        <v>4.544519879250552E-3</v>
      </c>
      <c r="P237" s="3">
        <v>578719</v>
      </c>
      <c r="Q237" s="55">
        <v>2941</v>
      </c>
      <c r="R237" s="6">
        <f t="shared" si="519"/>
        <v>0.26198111526812756</v>
      </c>
      <c r="S237" s="33">
        <v>11226</v>
      </c>
      <c r="T237" s="3">
        <v>346</v>
      </c>
      <c r="U237" s="6">
        <f t="shared" si="520"/>
        <v>0.81030444964871196</v>
      </c>
      <c r="V237" s="21">
        <v>427</v>
      </c>
      <c r="W237" s="52">
        <f t="shared" si="528"/>
        <v>5917</v>
      </c>
      <c r="X237" s="6">
        <f t="shared" si="521"/>
        <v>1.0022494291734702E-2</v>
      </c>
      <c r="Y237" s="21">
        <f t="shared" si="529"/>
        <v>590372</v>
      </c>
      <c r="Z237" s="52">
        <v>220</v>
      </c>
      <c r="AA237" s="6">
        <f t="shared" si="522"/>
        <v>5.9150915494851179E-3</v>
      </c>
      <c r="AB237" s="3">
        <v>37193</v>
      </c>
      <c r="AC237" s="35">
        <v>54</v>
      </c>
      <c r="AD237" s="6">
        <f t="shared" si="523"/>
        <v>0.25837320574162681</v>
      </c>
      <c r="AE237" s="36">
        <v>209</v>
      </c>
      <c r="AF237" s="4">
        <v>11</v>
      </c>
      <c r="AG237" s="6">
        <f t="shared" si="524"/>
        <v>0.61111111111111116</v>
      </c>
      <c r="AH237" s="37">
        <v>18</v>
      </c>
      <c r="AI237" s="52">
        <f t="shared" si="530"/>
        <v>285</v>
      </c>
      <c r="AJ237" s="6">
        <f t="shared" si="525"/>
        <v>7.6162479957242119E-3</v>
      </c>
      <c r="AK237" s="21">
        <f t="shared" si="531"/>
        <v>37420</v>
      </c>
      <c r="AL237" s="20">
        <f t="shared" si="532"/>
        <v>4.6037644386770675E-3</v>
      </c>
      <c r="AM237" s="6">
        <f t="shared" si="533"/>
        <v>0.26295187658300712</v>
      </c>
      <c r="AN237" s="6">
        <f t="shared" si="534"/>
        <v>0.78719008264462809</v>
      </c>
      <c r="AO237" s="127">
        <f t="shared" si="535"/>
        <v>9.6107563456663356E-3</v>
      </c>
      <c r="AP237" s="52">
        <f t="shared" si="536"/>
        <v>7188</v>
      </c>
      <c r="AQ237" s="3">
        <f t="shared" si="541"/>
        <v>747912</v>
      </c>
      <c r="AR237" s="12">
        <f t="shared" si="540"/>
        <v>734399</v>
      </c>
      <c r="AS237" s="3">
        <f t="shared" si="538"/>
        <v>13029</v>
      </c>
      <c r="AT237" s="21">
        <f t="shared" si="539"/>
        <v>484</v>
      </c>
      <c r="AU237" s="4"/>
      <c r="AV237" s="4"/>
      <c r="AW237" s="4"/>
      <c r="AX237" s="4"/>
    </row>
    <row r="238" spans="1:50" x14ac:dyDescent="0.2">
      <c r="A238" s="110">
        <v>39083</v>
      </c>
      <c r="B238" s="3">
        <v>507</v>
      </c>
      <c r="C238" s="6">
        <f>B238/D238</f>
        <v>4.2829627627221731E-3</v>
      </c>
      <c r="D238" s="3">
        <v>118376</v>
      </c>
      <c r="E238" s="47">
        <v>428</v>
      </c>
      <c r="F238" s="6">
        <f>E238/G238</f>
        <v>0.26600372902423863</v>
      </c>
      <c r="G238" s="33">
        <v>1609</v>
      </c>
      <c r="H238" s="4">
        <v>24</v>
      </c>
      <c r="I238" s="6">
        <f>H238/J238</f>
        <v>0.61538461538461542</v>
      </c>
      <c r="J238" s="4">
        <v>39</v>
      </c>
      <c r="K238" s="141">
        <f t="shared" si="526"/>
        <v>959</v>
      </c>
      <c r="L238" s="7">
        <f t="shared" si="517"/>
        <v>7.9900686529360797E-3</v>
      </c>
      <c r="M238" s="18">
        <f t="shared" si="527"/>
        <v>120024</v>
      </c>
      <c r="N238" s="52">
        <v>2604</v>
      </c>
      <c r="O238" s="6">
        <f t="shared" si="518"/>
        <v>4.5067419405643121E-3</v>
      </c>
      <c r="P238" s="3">
        <v>577801</v>
      </c>
      <c r="Q238" s="55">
        <v>2914</v>
      </c>
      <c r="R238" s="6">
        <f t="shared" si="519"/>
        <v>0.25966850828729282</v>
      </c>
      <c r="S238" s="33">
        <v>11222</v>
      </c>
      <c r="T238" s="3">
        <v>346</v>
      </c>
      <c r="U238" s="6">
        <f t="shared" si="520"/>
        <v>0.80092592592592593</v>
      </c>
      <c r="V238" s="37">
        <v>432</v>
      </c>
      <c r="W238" s="52">
        <f t="shared" si="528"/>
        <v>5864</v>
      </c>
      <c r="X238" s="6">
        <f t="shared" si="521"/>
        <v>9.9481724643950761E-3</v>
      </c>
      <c r="Y238" s="21">
        <f t="shared" si="529"/>
        <v>589455</v>
      </c>
      <c r="Z238" s="52">
        <v>296</v>
      </c>
      <c r="AA238" s="6">
        <v>8.0000000000000002E-3</v>
      </c>
      <c r="AB238" s="4">
        <v>37187</v>
      </c>
      <c r="AC238" s="56">
        <v>64</v>
      </c>
      <c r="AD238" s="6">
        <v>0.30188679245283018</v>
      </c>
      <c r="AE238" s="31">
        <v>212</v>
      </c>
      <c r="AF238" s="10">
        <v>11</v>
      </c>
      <c r="AG238" s="6">
        <v>0.6470588235294118</v>
      </c>
      <c r="AH238" s="18">
        <v>17</v>
      </c>
      <c r="AI238" s="52">
        <f t="shared" si="530"/>
        <v>371</v>
      </c>
      <c r="AJ238" s="6">
        <f t="shared" si="525"/>
        <v>9.9155441522343381E-3</v>
      </c>
      <c r="AK238" s="21">
        <f t="shared" si="531"/>
        <v>37416</v>
      </c>
      <c r="AL238" s="20">
        <f t="shared" si="532"/>
        <v>4.6457148155622579E-3</v>
      </c>
      <c r="AM238" s="6">
        <f t="shared" si="533"/>
        <v>0.26113624166219429</v>
      </c>
      <c r="AN238" s="6">
        <f t="shared" si="534"/>
        <v>0.78073770491803274</v>
      </c>
      <c r="AO238" s="127">
        <f t="shared" si="535"/>
        <v>9.6318759665013163E-3</v>
      </c>
      <c r="AP238" s="52">
        <f t="shared" si="536"/>
        <v>7194</v>
      </c>
      <c r="AQ238" s="3">
        <f t="shared" si="541"/>
        <v>746895</v>
      </c>
      <c r="AR238" s="12">
        <f t="shared" si="540"/>
        <v>733364</v>
      </c>
      <c r="AS238" s="3">
        <f t="shared" si="538"/>
        <v>13043</v>
      </c>
      <c r="AT238" s="21">
        <f t="shared" si="539"/>
        <v>488</v>
      </c>
      <c r="AU238" s="4"/>
      <c r="AV238" s="4"/>
      <c r="AW238" s="4"/>
      <c r="AX238" s="4"/>
    </row>
    <row r="239" spans="1:50" x14ac:dyDescent="0.2">
      <c r="A239" s="110">
        <v>39052</v>
      </c>
      <c r="B239" s="3">
        <v>209</v>
      </c>
      <c r="C239" s="6">
        <v>1.7668740700662788E-3</v>
      </c>
      <c r="D239" s="5">
        <v>118288</v>
      </c>
      <c r="E239" s="47">
        <v>390</v>
      </c>
      <c r="F239" s="7">
        <v>0.25112685125563428</v>
      </c>
      <c r="G239" s="31">
        <v>1553</v>
      </c>
      <c r="H239" s="9">
        <v>24</v>
      </c>
      <c r="I239" s="7">
        <v>0.61538461538461542</v>
      </c>
      <c r="J239" s="5">
        <v>39</v>
      </c>
      <c r="K239" s="141">
        <f t="shared" si="526"/>
        <v>623</v>
      </c>
      <c r="L239" s="7">
        <f t="shared" si="517"/>
        <v>5.1968635301968633E-3</v>
      </c>
      <c r="M239" s="18">
        <f t="shared" si="527"/>
        <v>119880</v>
      </c>
      <c r="N239" s="52">
        <v>2548</v>
      </c>
      <c r="O239" s="6">
        <f t="shared" si="518"/>
        <v>4.4168784387686828E-3</v>
      </c>
      <c r="P239" s="3">
        <v>576878</v>
      </c>
      <c r="Q239" s="55">
        <v>2765</v>
      </c>
      <c r="R239" s="6">
        <f t="shared" si="519"/>
        <v>0.24606211622319124</v>
      </c>
      <c r="S239" s="33">
        <v>11237</v>
      </c>
      <c r="T239" s="3">
        <v>357</v>
      </c>
      <c r="U239" s="6">
        <f t="shared" si="520"/>
        <v>0.80405405405405406</v>
      </c>
      <c r="V239" s="37">
        <v>444</v>
      </c>
      <c r="W239" s="52">
        <f t="shared" si="528"/>
        <v>5670</v>
      </c>
      <c r="X239" s="6">
        <f t="shared" si="521"/>
        <v>9.6336985756738068E-3</v>
      </c>
      <c r="Y239" s="21">
        <f t="shared" si="529"/>
        <v>588559</v>
      </c>
      <c r="Z239" s="52">
        <v>333</v>
      </c>
      <c r="AA239" s="6">
        <v>8.954501452081317E-3</v>
      </c>
      <c r="AB239" s="5">
        <v>37188</v>
      </c>
      <c r="AC239" s="56">
        <v>63</v>
      </c>
      <c r="AD239" s="6">
        <v>0.29857819905213268</v>
      </c>
      <c r="AE239" s="31">
        <v>211</v>
      </c>
      <c r="AF239" s="10">
        <v>11</v>
      </c>
      <c r="AG239" s="6">
        <v>0.6470588235294118</v>
      </c>
      <c r="AH239" s="18">
        <v>17</v>
      </c>
      <c r="AI239" s="52">
        <f t="shared" si="530"/>
        <v>407</v>
      </c>
      <c r="AJ239" s="6">
        <f t="shared" si="525"/>
        <v>1.0877699379944409E-2</v>
      </c>
      <c r="AK239" s="21">
        <f t="shared" si="531"/>
        <v>37416</v>
      </c>
      <c r="AL239" s="20">
        <f t="shared" si="532"/>
        <v>4.2192710082828797E-3</v>
      </c>
      <c r="AM239" s="6">
        <f t="shared" si="533"/>
        <v>0.24751942158295515</v>
      </c>
      <c r="AN239" s="6">
        <f t="shared" si="534"/>
        <v>0.78400000000000003</v>
      </c>
      <c r="AO239" s="127">
        <f t="shared" si="535"/>
        <v>8.9829792654068149E-3</v>
      </c>
      <c r="AP239" s="52">
        <f t="shared" si="536"/>
        <v>6700</v>
      </c>
      <c r="AQ239" s="3">
        <f t="shared" si="541"/>
        <v>745855</v>
      </c>
      <c r="AR239" s="12">
        <f t="shared" si="540"/>
        <v>732354</v>
      </c>
      <c r="AS239" s="3">
        <f t="shared" si="538"/>
        <v>13001</v>
      </c>
      <c r="AT239" s="21">
        <f t="shared" si="539"/>
        <v>500</v>
      </c>
      <c r="AU239" s="4"/>
      <c r="AV239" s="4"/>
      <c r="AW239" s="4"/>
      <c r="AX239" s="4"/>
    </row>
    <row r="240" spans="1:50" x14ac:dyDescent="0.2">
      <c r="A240" s="110">
        <v>39022</v>
      </c>
      <c r="B240" s="3">
        <v>506</v>
      </c>
      <c r="C240" s="6">
        <v>4.2447527809002907E-3</v>
      </c>
      <c r="D240" s="5">
        <v>119206</v>
      </c>
      <c r="E240" s="47">
        <v>382</v>
      </c>
      <c r="F240" s="7">
        <v>0.24040276903713026</v>
      </c>
      <c r="G240" s="31">
        <v>1589</v>
      </c>
      <c r="H240" s="9">
        <v>25</v>
      </c>
      <c r="I240" s="7">
        <v>0.64102564102564108</v>
      </c>
      <c r="J240" s="5">
        <v>39</v>
      </c>
      <c r="K240" s="141">
        <f t="shared" si="526"/>
        <v>913</v>
      </c>
      <c r="L240" s="7">
        <f t="shared" si="517"/>
        <v>7.5558203816806528E-3</v>
      </c>
      <c r="M240" s="18">
        <f t="shared" si="527"/>
        <v>120834</v>
      </c>
      <c r="N240" s="52">
        <v>2511</v>
      </c>
      <c r="O240" s="6">
        <f t="shared" si="518"/>
        <v>4.3585199431361559E-3</v>
      </c>
      <c r="P240" s="3">
        <v>576113</v>
      </c>
      <c r="Q240" s="55">
        <v>2733</v>
      </c>
      <c r="R240" s="6">
        <f t="shared" si="519"/>
        <v>0.24222281308162721</v>
      </c>
      <c r="S240" s="33">
        <v>11283</v>
      </c>
      <c r="T240" s="3">
        <v>355</v>
      </c>
      <c r="U240" s="6">
        <f t="shared" si="520"/>
        <v>0.7924107142857143</v>
      </c>
      <c r="V240" s="37">
        <v>448</v>
      </c>
      <c r="W240" s="52">
        <f t="shared" si="528"/>
        <v>5599</v>
      </c>
      <c r="X240" s="6">
        <f t="shared" si="521"/>
        <v>9.5246357877259956E-3</v>
      </c>
      <c r="Y240" s="21">
        <f t="shared" si="529"/>
        <v>587844</v>
      </c>
      <c r="Z240" s="52">
        <v>334</v>
      </c>
      <c r="AA240" s="6">
        <v>8.9959060547295834E-3</v>
      </c>
      <c r="AB240" s="5">
        <v>37128</v>
      </c>
      <c r="AC240" s="56">
        <v>63</v>
      </c>
      <c r="AD240" s="6">
        <v>0.29716981132075471</v>
      </c>
      <c r="AE240" s="31">
        <v>212</v>
      </c>
      <c r="AF240" s="10">
        <v>11</v>
      </c>
      <c r="AG240" s="6">
        <v>0.6875</v>
      </c>
      <c r="AH240" s="18">
        <v>16</v>
      </c>
      <c r="AI240" s="52">
        <f t="shared" si="530"/>
        <v>408</v>
      </c>
      <c r="AJ240" s="6">
        <f t="shared" si="525"/>
        <v>1.0921940250562159E-2</v>
      </c>
      <c r="AK240" s="21">
        <f t="shared" si="531"/>
        <v>37356</v>
      </c>
      <c r="AL240" s="20">
        <f t="shared" si="532"/>
        <v>4.5750750566252579E-3</v>
      </c>
      <c r="AM240" s="6">
        <f t="shared" si="533"/>
        <v>0.24289208193213085</v>
      </c>
      <c r="AN240" s="6">
        <f t="shared" si="534"/>
        <v>0.77733598409542748</v>
      </c>
      <c r="AO240" s="127">
        <f t="shared" si="535"/>
        <v>9.2757166563454205E-3</v>
      </c>
      <c r="AP240" s="52">
        <f t="shared" si="536"/>
        <v>6920</v>
      </c>
      <c r="AQ240" s="3">
        <f t="shared" si="541"/>
        <v>746034</v>
      </c>
      <c r="AR240" s="12">
        <f t="shared" si="540"/>
        <v>732447</v>
      </c>
      <c r="AS240" s="3">
        <f t="shared" si="538"/>
        <v>13084</v>
      </c>
      <c r="AT240" s="21">
        <f t="shared" si="539"/>
        <v>503</v>
      </c>
      <c r="AU240" s="4"/>
      <c r="AV240" s="4"/>
      <c r="AW240" s="4"/>
      <c r="AX240" s="4"/>
    </row>
    <row r="241" spans="1:50" x14ac:dyDescent="0.2">
      <c r="A241" s="110">
        <v>38991</v>
      </c>
      <c r="B241" s="3">
        <v>505</v>
      </c>
      <c r="C241" s="6">
        <v>4.2091751683670069E-3</v>
      </c>
      <c r="D241" s="5">
        <v>119976</v>
      </c>
      <c r="E241" s="47">
        <v>383</v>
      </c>
      <c r="F241" s="7">
        <v>0.2398246712586099</v>
      </c>
      <c r="G241" s="31">
        <v>1597</v>
      </c>
      <c r="H241" s="9">
        <v>23</v>
      </c>
      <c r="I241" s="7">
        <v>0.58974358974358976</v>
      </c>
      <c r="J241" s="5">
        <v>39</v>
      </c>
      <c r="K241" s="141">
        <f t="shared" si="526"/>
        <v>911</v>
      </c>
      <c r="L241" s="7">
        <f t="shared" si="517"/>
        <v>7.4910370687103246E-3</v>
      </c>
      <c r="M241" s="18">
        <f t="shared" si="527"/>
        <v>121612</v>
      </c>
      <c r="N241" s="52">
        <v>2501</v>
      </c>
      <c r="O241" s="6">
        <f t="shared" si="518"/>
        <v>4.3472895058412897E-3</v>
      </c>
      <c r="P241" s="3">
        <v>575301</v>
      </c>
      <c r="Q241" s="55">
        <v>2703</v>
      </c>
      <c r="R241" s="6">
        <f t="shared" si="519"/>
        <v>0.2389920424403183</v>
      </c>
      <c r="S241" s="33">
        <v>11310</v>
      </c>
      <c r="T241" s="3">
        <v>351</v>
      </c>
      <c r="U241" s="6">
        <f t="shared" si="520"/>
        <v>0.79054054054054057</v>
      </c>
      <c r="V241" s="37">
        <v>444</v>
      </c>
      <c r="W241" s="52">
        <f t="shared" si="528"/>
        <v>5555</v>
      </c>
      <c r="X241" s="6">
        <f t="shared" si="521"/>
        <v>9.4624864791203554E-3</v>
      </c>
      <c r="Y241" s="21">
        <f t="shared" si="529"/>
        <v>587055</v>
      </c>
      <c r="Z241" s="52">
        <v>334</v>
      </c>
      <c r="AA241" s="6">
        <v>8.9980872329534743E-3</v>
      </c>
      <c r="AB241" s="5">
        <v>37119</v>
      </c>
      <c r="AC241" s="56">
        <v>63</v>
      </c>
      <c r="AD241" s="6">
        <v>0.29716981132075471</v>
      </c>
      <c r="AE241" s="31">
        <v>212</v>
      </c>
      <c r="AF241" s="10">
        <v>11</v>
      </c>
      <c r="AG241" s="6">
        <v>0.6875</v>
      </c>
      <c r="AH241" s="18">
        <v>16</v>
      </c>
      <c r="AI241" s="52">
        <f t="shared" si="530"/>
        <v>408</v>
      </c>
      <c r="AJ241" s="6">
        <f t="shared" si="525"/>
        <v>1.0924572254799583E-2</v>
      </c>
      <c r="AK241" s="21">
        <f t="shared" si="531"/>
        <v>37347</v>
      </c>
      <c r="AL241" s="20">
        <f t="shared" si="532"/>
        <v>4.5603744422416286E-3</v>
      </c>
      <c r="AM241" s="6">
        <f t="shared" si="533"/>
        <v>0.24003353914170286</v>
      </c>
      <c r="AN241" s="6">
        <f t="shared" si="534"/>
        <v>0.77154308617234468</v>
      </c>
      <c r="AO241" s="127">
        <f t="shared" si="535"/>
        <v>9.2143042891956444E-3</v>
      </c>
      <c r="AP241" s="52">
        <f t="shared" si="536"/>
        <v>6874</v>
      </c>
      <c r="AQ241" s="3">
        <f t="shared" si="541"/>
        <v>746014</v>
      </c>
      <c r="AR241" s="12">
        <f t="shared" si="540"/>
        <v>732396</v>
      </c>
      <c r="AS241" s="3">
        <f t="shared" si="538"/>
        <v>13119</v>
      </c>
      <c r="AT241" s="21">
        <f t="shared" si="539"/>
        <v>499</v>
      </c>
      <c r="AU241" s="4"/>
      <c r="AV241" s="4"/>
      <c r="AW241" s="4"/>
      <c r="AX241" s="4"/>
    </row>
    <row r="242" spans="1:50" x14ac:dyDescent="0.2">
      <c r="A242" s="110">
        <v>38961</v>
      </c>
      <c r="B242" s="3">
        <v>487</v>
      </c>
      <c r="C242" s="6">
        <v>4.0515806988352743E-3</v>
      </c>
      <c r="D242" s="5">
        <v>120200</v>
      </c>
      <c r="E242" s="47">
        <v>376</v>
      </c>
      <c r="F242" s="7">
        <v>0.2348532167395378</v>
      </c>
      <c r="G242" s="31">
        <v>1601</v>
      </c>
      <c r="H242" s="9">
        <v>24</v>
      </c>
      <c r="I242" s="7">
        <v>0.61538461538461542</v>
      </c>
      <c r="J242" s="5">
        <v>39</v>
      </c>
      <c r="K242" s="141">
        <f t="shared" si="526"/>
        <v>887</v>
      </c>
      <c r="L242" s="7">
        <f t="shared" si="517"/>
        <v>7.2800393959290876E-3</v>
      </c>
      <c r="M242" s="18">
        <f t="shared" si="527"/>
        <v>121840</v>
      </c>
      <c r="N242" s="52">
        <v>2454</v>
      </c>
      <c r="O242" s="6">
        <f t="shared" si="518"/>
        <v>4.2698459097172924E-3</v>
      </c>
      <c r="P242" s="3">
        <v>574728</v>
      </c>
      <c r="Q242" s="55">
        <v>2638</v>
      </c>
      <c r="R242" s="6">
        <f t="shared" si="519"/>
        <v>0.23380306656031197</v>
      </c>
      <c r="S242" s="33">
        <v>11283</v>
      </c>
      <c r="T242" s="3">
        <v>347</v>
      </c>
      <c r="U242" s="6">
        <f t="shared" si="520"/>
        <v>0.78153153153153154</v>
      </c>
      <c r="V242" s="37">
        <v>444</v>
      </c>
      <c r="W242" s="52">
        <f t="shared" si="528"/>
        <v>5439</v>
      </c>
      <c r="X242" s="6">
        <f t="shared" si="521"/>
        <v>9.2743688774074729E-3</v>
      </c>
      <c r="Y242" s="21">
        <f t="shared" si="529"/>
        <v>586455</v>
      </c>
      <c r="Z242" s="52">
        <v>336</v>
      </c>
      <c r="AA242" s="6">
        <v>9.0553833715132735E-3</v>
      </c>
      <c r="AB242" s="5">
        <v>37105</v>
      </c>
      <c r="AC242" s="56">
        <v>63</v>
      </c>
      <c r="AD242" s="6">
        <v>0.30143540669856461</v>
      </c>
      <c r="AE242" s="31">
        <v>209</v>
      </c>
      <c r="AF242" s="10">
        <v>11</v>
      </c>
      <c r="AG242" s="6">
        <v>0.6875</v>
      </c>
      <c r="AH242" s="18">
        <v>16</v>
      </c>
      <c r="AI242" s="52">
        <f t="shared" si="530"/>
        <v>410</v>
      </c>
      <c r="AJ242" s="6">
        <f t="shared" si="525"/>
        <v>1.0983123493169033E-2</v>
      </c>
      <c r="AK242" s="21">
        <f t="shared" si="531"/>
        <v>37330</v>
      </c>
      <c r="AL242" s="20">
        <f t="shared" si="532"/>
        <v>4.4765741435153876E-3</v>
      </c>
      <c r="AM242" s="6">
        <f t="shared" si="533"/>
        <v>0.23501107462002596</v>
      </c>
      <c r="AN242" s="6">
        <f t="shared" si="534"/>
        <v>0.76553106212424848</v>
      </c>
      <c r="AO242" s="127">
        <f t="shared" si="535"/>
        <v>9.034031852472757E-3</v>
      </c>
      <c r="AP242" s="52">
        <f t="shared" si="536"/>
        <v>6736</v>
      </c>
      <c r="AQ242" s="3">
        <f t="shared" si="541"/>
        <v>745625</v>
      </c>
      <c r="AR242" s="12">
        <f t="shared" si="540"/>
        <v>732033</v>
      </c>
      <c r="AS242" s="3">
        <f t="shared" si="538"/>
        <v>13093</v>
      </c>
      <c r="AT242" s="21">
        <f t="shared" si="539"/>
        <v>499</v>
      </c>
      <c r="AU242" s="4"/>
      <c r="AV242" s="4"/>
      <c r="AW242" s="4"/>
      <c r="AX242" s="4"/>
    </row>
    <row r="243" spans="1:50" x14ac:dyDescent="0.2">
      <c r="A243" s="110">
        <v>38930</v>
      </c>
      <c r="B243" s="3">
        <v>480</v>
      </c>
      <c r="C243" s="6">
        <v>3.9998000099994999E-3</v>
      </c>
      <c r="D243" s="5">
        <v>120006</v>
      </c>
      <c r="E243" s="47">
        <v>366</v>
      </c>
      <c r="F243" s="7">
        <v>0.22789539227895392</v>
      </c>
      <c r="G243" s="31">
        <v>1606</v>
      </c>
      <c r="H243" s="9">
        <v>24</v>
      </c>
      <c r="I243" s="7">
        <v>0.61538461538461542</v>
      </c>
      <c r="J243" s="5">
        <v>39</v>
      </c>
      <c r="K243" s="141">
        <f t="shared" si="526"/>
        <v>870</v>
      </c>
      <c r="L243" s="7">
        <f t="shared" si="517"/>
        <v>7.1516058232155922E-3</v>
      </c>
      <c r="M243" s="18">
        <f t="shared" si="527"/>
        <v>121651</v>
      </c>
      <c r="N243" s="52">
        <v>2413</v>
      </c>
      <c r="O243" s="6">
        <f t="shared" si="518"/>
        <v>4.2038327526132402E-3</v>
      </c>
      <c r="P243" s="3">
        <v>574000</v>
      </c>
      <c r="Q243" s="55">
        <v>2642</v>
      </c>
      <c r="R243" s="6">
        <f t="shared" si="519"/>
        <v>0.23492797439089455</v>
      </c>
      <c r="S243" s="33">
        <v>11246</v>
      </c>
      <c r="T243" s="3">
        <v>350</v>
      </c>
      <c r="U243" s="6">
        <f t="shared" si="520"/>
        <v>0.76086956521739135</v>
      </c>
      <c r="V243" s="37">
        <v>460</v>
      </c>
      <c r="W243" s="52">
        <f t="shared" si="528"/>
        <v>5405</v>
      </c>
      <c r="X243" s="6">
        <f t="shared" si="521"/>
        <v>9.2281793254636278E-3</v>
      </c>
      <c r="Y243" s="21">
        <f t="shared" si="529"/>
        <v>585706</v>
      </c>
      <c r="Z243" s="52">
        <v>338</v>
      </c>
      <c r="AA243" s="6">
        <v>9.1292134831460672E-3</v>
      </c>
      <c r="AB243" s="5">
        <v>37024</v>
      </c>
      <c r="AC243" s="56">
        <v>63</v>
      </c>
      <c r="AD243" s="6">
        <v>0.29857819905213268</v>
      </c>
      <c r="AE243" s="31">
        <v>211</v>
      </c>
      <c r="AF243" s="10">
        <v>11</v>
      </c>
      <c r="AG243" s="6">
        <v>0.6875</v>
      </c>
      <c r="AH243" s="18">
        <v>16</v>
      </c>
      <c r="AI243" s="52">
        <f t="shared" si="530"/>
        <v>412</v>
      </c>
      <c r="AJ243" s="6">
        <f t="shared" si="525"/>
        <v>1.1060105768972645E-2</v>
      </c>
      <c r="AK243" s="21">
        <f t="shared" si="531"/>
        <v>37251</v>
      </c>
      <c r="AL243" s="20">
        <f t="shared" si="532"/>
        <v>4.4197912534369313E-3</v>
      </c>
      <c r="AM243" s="6">
        <f t="shared" si="533"/>
        <v>0.23509147975197123</v>
      </c>
      <c r="AN243" s="6">
        <f t="shared" si="534"/>
        <v>0.74757281553398058</v>
      </c>
      <c r="AO243" s="127">
        <f t="shared" si="535"/>
        <v>8.9805642700588762E-3</v>
      </c>
      <c r="AP243" s="52">
        <f t="shared" si="536"/>
        <v>6687</v>
      </c>
      <c r="AQ243" s="3">
        <f t="shared" si="541"/>
        <v>744608</v>
      </c>
      <c r="AR243" s="12">
        <f t="shared" si="540"/>
        <v>731030</v>
      </c>
      <c r="AS243" s="3">
        <f t="shared" si="538"/>
        <v>13063</v>
      </c>
      <c r="AT243" s="21">
        <f t="shared" si="539"/>
        <v>515</v>
      </c>
      <c r="AU243" s="4"/>
      <c r="AV243" s="4"/>
      <c r="AW243" s="4"/>
      <c r="AX243" s="4"/>
    </row>
    <row r="244" spans="1:50" x14ac:dyDescent="0.2">
      <c r="A244" s="110">
        <v>38899</v>
      </c>
      <c r="B244" s="3">
        <v>475</v>
      </c>
      <c r="C244" s="6">
        <v>3.9693814450219777E-3</v>
      </c>
      <c r="D244" s="5">
        <v>119666</v>
      </c>
      <c r="E244" s="47">
        <v>353</v>
      </c>
      <c r="F244" s="7">
        <v>0.21966397013067829</v>
      </c>
      <c r="G244" s="31">
        <v>1607</v>
      </c>
      <c r="H244" s="9">
        <v>24</v>
      </c>
      <c r="I244" s="7">
        <v>0.61538461538461542</v>
      </c>
      <c r="J244" s="5">
        <v>39</v>
      </c>
      <c r="K244" s="141">
        <f t="shared" si="526"/>
        <v>852</v>
      </c>
      <c r="L244" s="7">
        <f t="shared" si="517"/>
        <v>7.0232128725929831E-3</v>
      </c>
      <c r="M244" s="18">
        <f t="shared" si="527"/>
        <v>121312</v>
      </c>
      <c r="N244" s="52">
        <v>2360</v>
      </c>
      <c r="O244" s="6">
        <f t="shared" si="518"/>
        <v>4.1136482482133519E-3</v>
      </c>
      <c r="P244" s="3">
        <v>573700</v>
      </c>
      <c r="Q244" s="55">
        <v>2582</v>
      </c>
      <c r="R244" s="6">
        <f t="shared" si="519"/>
        <v>0.23008376403493139</v>
      </c>
      <c r="S244" s="33">
        <v>11222</v>
      </c>
      <c r="T244" s="3">
        <v>334</v>
      </c>
      <c r="U244" s="6">
        <f t="shared" si="520"/>
        <v>0.74720357941834448</v>
      </c>
      <c r="V244" s="37">
        <v>447</v>
      </c>
      <c r="W244" s="52">
        <f t="shared" si="528"/>
        <v>5276</v>
      </c>
      <c r="X244" s="6">
        <f t="shared" si="521"/>
        <v>9.0131182211562275E-3</v>
      </c>
      <c r="Y244" s="21">
        <f t="shared" si="529"/>
        <v>585369</v>
      </c>
      <c r="Z244" s="52">
        <v>344</v>
      </c>
      <c r="AA244" s="6">
        <v>9.3010680005407593E-3</v>
      </c>
      <c r="AB244" s="5">
        <v>36985</v>
      </c>
      <c r="AC244" s="56">
        <v>63</v>
      </c>
      <c r="AD244" s="6">
        <v>0.30143540669856461</v>
      </c>
      <c r="AE244" s="31">
        <v>209</v>
      </c>
      <c r="AF244" s="10">
        <v>11</v>
      </c>
      <c r="AG244" s="6">
        <v>0.6875</v>
      </c>
      <c r="AH244" s="18">
        <v>16</v>
      </c>
      <c r="AI244" s="52">
        <f t="shared" si="530"/>
        <v>418</v>
      </c>
      <c r="AJ244" s="6">
        <f t="shared" si="525"/>
        <v>1.123353937113679E-2</v>
      </c>
      <c r="AK244" s="21">
        <f t="shared" si="531"/>
        <v>37210</v>
      </c>
      <c r="AL244" s="20">
        <f t="shared" si="532"/>
        <v>4.3527016461947753E-3</v>
      </c>
      <c r="AM244" s="6">
        <f t="shared" si="533"/>
        <v>0.22994324282865469</v>
      </c>
      <c r="AN244" s="6">
        <f t="shared" si="534"/>
        <v>0.73505976095617531</v>
      </c>
      <c r="AO244" s="127">
        <f t="shared" si="535"/>
        <v>8.7996762966617414E-3</v>
      </c>
      <c r="AP244" s="52">
        <f t="shared" si="536"/>
        <v>6546</v>
      </c>
      <c r="AQ244" s="3">
        <f t="shared" si="541"/>
        <v>743891</v>
      </c>
      <c r="AR244" s="12">
        <f t="shared" si="540"/>
        <v>730351</v>
      </c>
      <c r="AS244" s="3">
        <f t="shared" si="538"/>
        <v>13038</v>
      </c>
      <c r="AT244" s="21">
        <f t="shared" si="539"/>
        <v>502</v>
      </c>
      <c r="AU244" s="4"/>
      <c r="AV244" s="4"/>
      <c r="AW244" s="4"/>
      <c r="AX244" s="4"/>
    </row>
    <row r="245" spans="1:50" x14ac:dyDescent="0.2">
      <c r="A245" s="110">
        <v>38869</v>
      </c>
      <c r="B245" s="3">
        <v>488</v>
      </c>
      <c r="C245" s="6">
        <v>4.0974315485436483E-3</v>
      </c>
      <c r="D245" s="5">
        <v>119099</v>
      </c>
      <c r="E245" s="47">
        <v>351</v>
      </c>
      <c r="F245" s="7">
        <v>0.21910112359550563</v>
      </c>
      <c r="G245" s="31">
        <v>1602</v>
      </c>
      <c r="H245" s="9">
        <v>23</v>
      </c>
      <c r="I245" s="7">
        <v>0.58974358974358976</v>
      </c>
      <c r="J245" s="5">
        <v>39</v>
      </c>
      <c r="K245" s="141">
        <f t="shared" si="526"/>
        <v>862</v>
      </c>
      <c r="L245" s="7">
        <f t="shared" si="517"/>
        <v>7.1393076031141299E-3</v>
      </c>
      <c r="M245" s="18">
        <f t="shared" si="527"/>
        <v>120740</v>
      </c>
      <c r="N245" s="52">
        <v>2334</v>
      </c>
      <c r="O245" s="6">
        <f t="shared" si="518"/>
        <v>4.0738103217158178E-3</v>
      </c>
      <c r="P245" s="3">
        <v>572928</v>
      </c>
      <c r="Q245" s="55">
        <v>2528</v>
      </c>
      <c r="R245" s="6">
        <f t="shared" si="519"/>
        <v>0.22613829501744342</v>
      </c>
      <c r="S245" s="33">
        <v>11179</v>
      </c>
      <c r="T245" s="3">
        <v>328</v>
      </c>
      <c r="U245" s="6">
        <f t="shared" si="520"/>
        <v>0.72888888888888892</v>
      </c>
      <c r="V245" s="37">
        <v>450</v>
      </c>
      <c r="W245" s="52">
        <f t="shared" si="528"/>
        <v>5190</v>
      </c>
      <c r="X245" s="6">
        <f t="shared" si="521"/>
        <v>8.878518262547536E-3</v>
      </c>
      <c r="Y245" s="21">
        <f t="shared" si="529"/>
        <v>584557</v>
      </c>
      <c r="Z245" s="52">
        <v>346</v>
      </c>
      <c r="AA245" s="6">
        <v>9.368569262428246E-3</v>
      </c>
      <c r="AB245" s="5">
        <v>36932</v>
      </c>
      <c r="AC245" s="56">
        <v>64</v>
      </c>
      <c r="AD245" s="6">
        <v>0.30917874396135264</v>
      </c>
      <c r="AE245" s="31">
        <v>207</v>
      </c>
      <c r="AF245" s="10">
        <v>11</v>
      </c>
      <c r="AG245" s="6">
        <v>0.6875</v>
      </c>
      <c r="AH245" s="18">
        <v>16</v>
      </c>
      <c r="AI245" s="52">
        <f t="shared" si="530"/>
        <v>421</v>
      </c>
      <c r="AJ245" s="6">
        <f t="shared" si="525"/>
        <v>1.1330911048311128E-2</v>
      </c>
      <c r="AK245" s="21">
        <f t="shared" si="531"/>
        <v>37155</v>
      </c>
      <c r="AL245" s="20">
        <f t="shared" si="532"/>
        <v>4.3459234332795119E-3</v>
      </c>
      <c r="AM245" s="6">
        <f t="shared" si="533"/>
        <v>0.22659377887280566</v>
      </c>
      <c r="AN245" s="6">
        <f t="shared" si="534"/>
        <v>0.7168316831683168</v>
      </c>
      <c r="AO245" s="127">
        <f t="shared" si="535"/>
        <v>8.7184087321469945E-3</v>
      </c>
      <c r="AP245" s="52">
        <f t="shared" si="536"/>
        <v>6473</v>
      </c>
      <c r="AQ245" s="3">
        <f t="shared" si="541"/>
        <v>742452</v>
      </c>
      <c r="AR245" s="12">
        <f t="shared" si="540"/>
        <v>728959</v>
      </c>
      <c r="AS245" s="3">
        <f t="shared" si="538"/>
        <v>12988</v>
      </c>
      <c r="AT245" s="21">
        <f t="shared" si="539"/>
        <v>505</v>
      </c>
      <c r="AU245" s="4"/>
      <c r="AV245" s="4"/>
      <c r="AW245" s="4"/>
      <c r="AX245" s="4"/>
    </row>
    <row r="246" spans="1:50" x14ac:dyDescent="0.2">
      <c r="A246" s="110">
        <v>38838</v>
      </c>
      <c r="B246" s="3">
        <v>483</v>
      </c>
      <c r="C246" s="6">
        <v>4.0986388785173621E-3</v>
      </c>
      <c r="D246" s="5">
        <v>117844</v>
      </c>
      <c r="E246" s="47">
        <v>347</v>
      </c>
      <c r="F246" s="7">
        <v>0.21948134092346616</v>
      </c>
      <c r="G246" s="31">
        <v>1581</v>
      </c>
      <c r="H246" s="9">
        <v>22</v>
      </c>
      <c r="I246" s="7">
        <v>0.57894736842105265</v>
      </c>
      <c r="J246" s="5">
        <v>38</v>
      </c>
      <c r="K246" s="141">
        <f t="shared" si="526"/>
        <v>852</v>
      </c>
      <c r="L246" s="7">
        <f t="shared" si="517"/>
        <v>7.1319153210617509E-3</v>
      </c>
      <c r="M246" s="18">
        <f t="shared" si="527"/>
        <v>119463</v>
      </c>
      <c r="N246" s="52">
        <v>2313</v>
      </c>
      <c r="O246" s="6">
        <f t="shared" ref="O246:O277" si="542">N246/P246</f>
        <v>4.035543489829139E-3</v>
      </c>
      <c r="P246" s="3">
        <v>573157</v>
      </c>
      <c r="Q246" s="55">
        <v>2535</v>
      </c>
      <c r="R246" s="6">
        <f t="shared" ref="R246:R277" si="543">Q246/S246</f>
        <v>0.22611720631522611</v>
      </c>
      <c r="S246" s="33">
        <v>11211</v>
      </c>
      <c r="T246" s="3">
        <v>322</v>
      </c>
      <c r="U246" s="6">
        <f t="shared" ref="U246:U277" si="544">T246/V246</f>
        <v>0.7155555555555555</v>
      </c>
      <c r="V246" s="37">
        <v>450</v>
      </c>
      <c r="W246" s="52">
        <f t="shared" ref="W246:W277" si="545">+T246+Q246+N246</f>
        <v>5170</v>
      </c>
      <c r="X246" s="6">
        <f t="shared" ref="X246:X277" si="546">W246/Y246</f>
        <v>8.8403571709489114E-3</v>
      </c>
      <c r="Y246" s="21">
        <f t="shared" ref="Y246:Y277" si="547">+V246+S246+P246</f>
        <v>584818</v>
      </c>
      <c r="Z246" s="52">
        <v>364</v>
      </c>
      <c r="AA246" s="6">
        <v>9.8623604638560739E-3</v>
      </c>
      <c r="AB246" s="5">
        <v>36908</v>
      </c>
      <c r="AC246" s="56">
        <v>63</v>
      </c>
      <c r="AD246" s="6">
        <v>0.30582524271844658</v>
      </c>
      <c r="AE246" s="31">
        <v>206</v>
      </c>
      <c r="AF246" s="10">
        <v>11</v>
      </c>
      <c r="AG246" s="6">
        <v>0.6875</v>
      </c>
      <c r="AH246" s="18">
        <v>16</v>
      </c>
      <c r="AI246" s="52">
        <f t="shared" ref="AI246:AI262" si="548">+AF246+AC246+Z246</f>
        <v>438</v>
      </c>
      <c r="AJ246" s="6">
        <f t="shared" ref="AJ246:AJ262" si="549">AI246/AK246</f>
        <v>1.1796391058443307E-2</v>
      </c>
      <c r="AK246" s="21">
        <f t="shared" ref="AK246:AK262" si="550">+AH246+AE246+AB246</f>
        <v>37130</v>
      </c>
      <c r="AL246" s="20">
        <f t="shared" si="532"/>
        <v>4.3412019909082038E-3</v>
      </c>
      <c r="AM246" s="6">
        <f t="shared" si="533"/>
        <v>0.22657331897214955</v>
      </c>
      <c r="AN246" s="6">
        <f t="shared" si="534"/>
        <v>0.70436507936507942</v>
      </c>
      <c r="AO246" s="127">
        <f t="shared" si="535"/>
        <v>8.7131159370443662E-3</v>
      </c>
      <c r="AP246" s="52">
        <f t="shared" si="536"/>
        <v>6460</v>
      </c>
      <c r="AQ246" s="3">
        <f t="shared" si="541"/>
        <v>741411</v>
      </c>
      <c r="AR246" s="12">
        <f t="shared" si="540"/>
        <v>727909</v>
      </c>
      <c r="AS246" s="3">
        <f t="shared" si="538"/>
        <v>12998</v>
      </c>
      <c r="AT246" s="21">
        <f t="shared" si="539"/>
        <v>504</v>
      </c>
      <c r="AU246" s="4"/>
      <c r="AV246" s="4"/>
      <c r="AW246" s="4"/>
      <c r="AX246" s="4"/>
    </row>
    <row r="247" spans="1:50" x14ac:dyDescent="0.2">
      <c r="A247" s="110">
        <v>38808</v>
      </c>
      <c r="B247" s="3">
        <v>477</v>
      </c>
      <c r="C247" s="6">
        <v>4.0678486453296489E-3</v>
      </c>
      <c r="D247" s="5">
        <v>117261</v>
      </c>
      <c r="E247" s="47">
        <v>335</v>
      </c>
      <c r="F247" s="7">
        <v>0.2166882276843467</v>
      </c>
      <c r="G247" s="31">
        <v>1546</v>
      </c>
      <c r="H247" s="9">
        <v>22</v>
      </c>
      <c r="I247" s="7">
        <v>0.57894736842105265</v>
      </c>
      <c r="J247" s="5">
        <v>38</v>
      </c>
      <c r="K247" s="141">
        <f t="shared" si="526"/>
        <v>834</v>
      </c>
      <c r="L247" s="7">
        <f t="shared" si="517"/>
        <v>7.0175438596491229E-3</v>
      </c>
      <c r="M247" s="18">
        <f t="shared" si="527"/>
        <v>118845</v>
      </c>
      <c r="N247" s="52">
        <v>2301</v>
      </c>
      <c r="O247" s="6">
        <f t="shared" si="542"/>
        <v>4.0169406309791492E-3</v>
      </c>
      <c r="P247" s="3">
        <v>572824</v>
      </c>
      <c r="Q247" s="55">
        <v>2481</v>
      </c>
      <c r="R247" s="6">
        <f t="shared" si="543"/>
        <v>0.22137949495850809</v>
      </c>
      <c r="S247" s="33">
        <v>11207</v>
      </c>
      <c r="T247" s="3">
        <v>313</v>
      </c>
      <c r="U247" s="6">
        <f t="shared" si="544"/>
        <v>0.68942731277533043</v>
      </c>
      <c r="V247" s="37">
        <v>454</v>
      </c>
      <c r="W247" s="52">
        <f t="shared" si="545"/>
        <v>5095</v>
      </c>
      <c r="X247" s="6">
        <f t="shared" si="546"/>
        <v>8.7170757162288171E-3</v>
      </c>
      <c r="Y247" s="21">
        <f t="shared" si="547"/>
        <v>584485</v>
      </c>
      <c r="Z247" s="52">
        <v>1230</v>
      </c>
      <c r="AA247" s="6">
        <v>3.3348697231787003E-2</v>
      </c>
      <c r="AB247" s="5">
        <v>36883</v>
      </c>
      <c r="AC247" s="56">
        <v>65</v>
      </c>
      <c r="AD247" s="6">
        <v>0.3125</v>
      </c>
      <c r="AE247" s="31">
        <v>208</v>
      </c>
      <c r="AF247" s="10">
        <v>11</v>
      </c>
      <c r="AG247" s="6">
        <v>0.6875</v>
      </c>
      <c r="AH247" s="18">
        <v>16</v>
      </c>
      <c r="AI247" s="52">
        <f t="shared" si="548"/>
        <v>1306</v>
      </c>
      <c r="AJ247" s="6">
        <f t="shared" si="549"/>
        <v>3.5195515670897674E-2</v>
      </c>
      <c r="AK247" s="21">
        <f t="shared" si="550"/>
        <v>37107</v>
      </c>
      <c r="AL247" s="20">
        <f t="shared" si="532"/>
        <v>5.5133100769222303E-3</v>
      </c>
      <c r="AM247" s="6">
        <f t="shared" si="533"/>
        <v>0.22228223130931254</v>
      </c>
      <c r="AN247" s="6">
        <f t="shared" si="534"/>
        <v>0.68110236220472442</v>
      </c>
      <c r="AO247" s="127">
        <f t="shared" si="535"/>
        <v>9.771256703811397E-3</v>
      </c>
      <c r="AP247" s="52">
        <f t="shared" si="536"/>
        <v>7235</v>
      </c>
      <c r="AQ247" s="3">
        <f t="shared" si="541"/>
        <v>740437</v>
      </c>
      <c r="AR247" s="12">
        <f t="shared" si="540"/>
        <v>726968</v>
      </c>
      <c r="AS247" s="3">
        <f t="shared" si="538"/>
        <v>12961</v>
      </c>
      <c r="AT247" s="21">
        <f t="shared" si="539"/>
        <v>508</v>
      </c>
      <c r="AU247" s="4"/>
      <c r="AV247" s="4"/>
      <c r="AW247" s="4"/>
      <c r="AX247" s="4"/>
    </row>
    <row r="248" spans="1:50" x14ac:dyDescent="0.2">
      <c r="A248" s="110">
        <v>38777</v>
      </c>
      <c r="B248" s="3">
        <v>492</v>
      </c>
      <c r="C248" s="6">
        <v>4.1990987300286765E-3</v>
      </c>
      <c r="D248" s="5">
        <v>117168</v>
      </c>
      <c r="E248" s="47">
        <v>333</v>
      </c>
      <c r="F248" s="7">
        <v>0.21623376623376622</v>
      </c>
      <c r="G248" s="31">
        <v>1540</v>
      </c>
      <c r="H248" s="9">
        <v>22</v>
      </c>
      <c r="I248" s="7">
        <v>0.57894736842105265</v>
      </c>
      <c r="J248" s="5">
        <v>38</v>
      </c>
      <c r="K248" s="141">
        <f t="shared" si="526"/>
        <v>847</v>
      </c>
      <c r="L248" s="7">
        <f t="shared" si="517"/>
        <v>7.1328718441042221E-3</v>
      </c>
      <c r="M248" s="18">
        <f t="shared" si="527"/>
        <v>118746</v>
      </c>
      <c r="N248" s="52">
        <v>2270</v>
      </c>
      <c r="O248" s="6">
        <f t="shared" si="542"/>
        <v>3.9673870299651321E-3</v>
      </c>
      <c r="P248" s="3">
        <v>572165</v>
      </c>
      <c r="Q248" s="55">
        <v>2356</v>
      </c>
      <c r="R248" s="6">
        <f t="shared" si="543"/>
        <v>0.20934778745334992</v>
      </c>
      <c r="S248" s="33">
        <v>11254</v>
      </c>
      <c r="T248" s="3">
        <v>293</v>
      </c>
      <c r="U248" s="6">
        <f t="shared" si="544"/>
        <v>0.64823008849557517</v>
      </c>
      <c r="V248" s="37">
        <v>452</v>
      </c>
      <c r="W248" s="52">
        <f t="shared" si="545"/>
        <v>4919</v>
      </c>
      <c r="X248" s="6">
        <f t="shared" si="546"/>
        <v>8.4248061643753501E-3</v>
      </c>
      <c r="Y248" s="21">
        <f t="shared" si="547"/>
        <v>583871</v>
      </c>
      <c r="Z248" s="52">
        <v>1630</v>
      </c>
      <c r="AA248" s="6">
        <v>4.4191405720482579E-2</v>
      </c>
      <c r="AB248" s="5">
        <v>36885</v>
      </c>
      <c r="AC248" s="56">
        <v>84</v>
      </c>
      <c r="AD248" s="6">
        <v>0.40191387559808611</v>
      </c>
      <c r="AE248" s="31">
        <v>209</v>
      </c>
      <c r="AF248" s="10">
        <v>11</v>
      </c>
      <c r="AG248" s="6">
        <v>0.6875</v>
      </c>
      <c r="AH248" s="18">
        <v>16</v>
      </c>
      <c r="AI248" s="52">
        <f t="shared" si="548"/>
        <v>1725</v>
      </c>
      <c r="AJ248" s="6">
        <f t="shared" si="549"/>
        <v>4.648342764753436E-2</v>
      </c>
      <c r="AK248" s="21">
        <f t="shared" si="550"/>
        <v>37110</v>
      </c>
      <c r="AL248" s="20">
        <f t="shared" si="532"/>
        <v>6.0477707795730754E-3</v>
      </c>
      <c r="AM248" s="6">
        <f t="shared" si="533"/>
        <v>0.21325847881258173</v>
      </c>
      <c r="AN248" s="6">
        <f t="shared" si="534"/>
        <v>0.64426877470355737</v>
      </c>
      <c r="AO248" s="127">
        <f t="shared" si="535"/>
        <v>1.0126708907475326E-2</v>
      </c>
      <c r="AP248" s="52">
        <f t="shared" si="536"/>
        <v>7491</v>
      </c>
      <c r="AQ248" s="3">
        <f t="shared" si="541"/>
        <v>739727</v>
      </c>
      <c r="AR248" s="12">
        <f t="shared" si="540"/>
        <v>726218</v>
      </c>
      <c r="AS248" s="3">
        <f t="shared" si="538"/>
        <v>13003</v>
      </c>
      <c r="AT248" s="21">
        <f t="shared" si="539"/>
        <v>506</v>
      </c>
      <c r="AU248" s="4"/>
      <c r="AV248" s="4"/>
      <c r="AW248" s="4"/>
      <c r="AX248" s="4"/>
    </row>
    <row r="249" spans="1:50" x14ac:dyDescent="0.2">
      <c r="A249" s="110">
        <v>38749</v>
      </c>
      <c r="B249" s="3">
        <v>503</v>
      </c>
      <c r="C249" s="6">
        <v>4.2955840030060545E-3</v>
      </c>
      <c r="D249" s="5">
        <v>117097</v>
      </c>
      <c r="E249" s="47">
        <v>323</v>
      </c>
      <c r="F249" s="7">
        <v>0.20946822308690013</v>
      </c>
      <c r="G249" s="31">
        <v>1542</v>
      </c>
      <c r="H249" s="9">
        <v>22</v>
      </c>
      <c r="I249" s="7">
        <v>0.5641025641025641</v>
      </c>
      <c r="J249" s="5">
        <v>39</v>
      </c>
      <c r="K249" s="141">
        <f t="shared" si="526"/>
        <v>848</v>
      </c>
      <c r="L249" s="7">
        <f t="shared" si="517"/>
        <v>7.1453849913210533E-3</v>
      </c>
      <c r="M249" s="18">
        <f t="shared" si="527"/>
        <v>118678</v>
      </c>
      <c r="N249" s="54">
        <v>2274</v>
      </c>
      <c r="O249" s="6">
        <f t="shared" si="542"/>
        <v>3.9792741761905011E-3</v>
      </c>
      <c r="P249" s="3">
        <v>571461</v>
      </c>
      <c r="Q249" s="55">
        <v>2364</v>
      </c>
      <c r="R249" s="6">
        <f t="shared" si="543"/>
        <v>0.21043261527505785</v>
      </c>
      <c r="S249" s="33">
        <v>11234</v>
      </c>
      <c r="T249" s="3">
        <v>299</v>
      </c>
      <c r="U249" s="6">
        <f t="shared" si="544"/>
        <v>0.66004415011037532</v>
      </c>
      <c r="V249" s="37">
        <v>453</v>
      </c>
      <c r="W249" s="52">
        <f t="shared" si="545"/>
        <v>4937</v>
      </c>
      <c r="X249" s="6">
        <f t="shared" si="546"/>
        <v>8.4661183781818677E-3</v>
      </c>
      <c r="Y249" s="21">
        <f t="shared" si="547"/>
        <v>583148</v>
      </c>
      <c r="Z249" s="52">
        <v>1633</v>
      </c>
      <c r="AA249" s="6">
        <v>4.4265539020357271E-2</v>
      </c>
      <c r="AB249" s="5">
        <v>36891</v>
      </c>
      <c r="AC249" s="56">
        <v>84</v>
      </c>
      <c r="AD249" s="6">
        <v>0.40191387559808611</v>
      </c>
      <c r="AE249" s="31">
        <v>209</v>
      </c>
      <c r="AF249" s="10">
        <v>11</v>
      </c>
      <c r="AG249" s="6">
        <v>0.6470588235294118</v>
      </c>
      <c r="AH249" s="18">
        <v>17</v>
      </c>
      <c r="AI249" s="52">
        <f t="shared" si="548"/>
        <v>1728</v>
      </c>
      <c r="AJ249" s="6">
        <f t="shared" si="549"/>
        <v>4.6555486704205618E-2</v>
      </c>
      <c r="AK249" s="21">
        <f t="shared" si="550"/>
        <v>37117</v>
      </c>
      <c r="AL249" s="20">
        <f t="shared" si="532"/>
        <v>6.0789938369203069E-3</v>
      </c>
      <c r="AM249" s="6">
        <f t="shared" si="533"/>
        <v>0.21340007701193686</v>
      </c>
      <c r="AN249" s="6">
        <f t="shared" si="534"/>
        <v>0.65225933202357567</v>
      </c>
      <c r="AO249" s="127">
        <f t="shared" si="535"/>
        <v>1.0167225347557254E-2</v>
      </c>
      <c r="AP249" s="52">
        <f t="shared" si="536"/>
        <v>7513</v>
      </c>
      <c r="AQ249" s="3">
        <f t="shared" si="541"/>
        <v>738943</v>
      </c>
      <c r="AR249" s="12">
        <f t="shared" si="540"/>
        <v>725449</v>
      </c>
      <c r="AS249" s="3">
        <f t="shared" si="538"/>
        <v>12985</v>
      </c>
      <c r="AT249" s="21">
        <f t="shared" si="539"/>
        <v>509</v>
      </c>
      <c r="AU249" s="4"/>
      <c r="AV249" s="4"/>
      <c r="AW249" s="4"/>
      <c r="AX249" s="4"/>
    </row>
    <row r="250" spans="1:50" x14ac:dyDescent="0.2">
      <c r="A250" s="110">
        <v>38718</v>
      </c>
      <c r="B250" s="3">
        <v>506</v>
      </c>
      <c r="C250" s="6">
        <v>4.321203788312254E-3</v>
      </c>
      <c r="D250" s="5">
        <v>117097</v>
      </c>
      <c r="E250" s="47">
        <v>327</v>
      </c>
      <c r="F250" s="7">
        <v>0.21219987021414666</v>
      </c>
      <c r="G250" s="31">
        <v>1541</v>
      </c>
      <c r="H250" s="9">
        <v>22</v>
      </c>
      <c r="I250" s="7">
        <v>0.5641025641025641</v>
      </c>
      <c r="J250" s="5">
        <v>39</v>
      </c>
      <c r="K250" s="141">
        <f t="shared" si="526"/>
        <v>855</v>
      </c>
      <c r="L250" s="7">
        <f t="shared" si="517"/>
        <v>7.2044288278267903E-3</v>
      </c>
      <c r="M250" s="18">
        <f t="shared" si="527"/>
        <v>118677</v>
      </c>
      <c r="N250" s="53">
        <v>2254</v>
      </c>
      <c r="O250" s="6">
        <f t="shared" si="542"/>
        <v>3.950297060936925E-3</v>
      </c>
      <c r="P250" s="3">
        <v>570590</v>
      </c>
      <c r="Q250" s="55">
        <v>2360</v>
      </c>
      <c r="R250" s="6">
        <f t="shared" si="543"/>
        <v>0.21033868092691621</v>
      </c>
      <c r="S250" s="33">
        <v>11220</v>
      </c>
      <c r="T250" s="3">
        <v>295</v>
      </c>
      <c r="U250" s="6">
        <f t="shared" si="544"/>
        <v>0.65121412803532008</v>
      </c>
      <c r="V250" s="37">
        <v>453</v>
      </c>
      <c r="W250" s="52">
        <f t="shared" si="545"/>
        <v>4909</v>
      </c>
      <c r="X250" s="6">
        <f t="shared" si="546"/>
        <v>8.4308980649637714E-3</v>
      </c>
      <c r="Y250" s="21">
        <f t="shared" si="547"/>
        <v>582263</v>
      </c>
      <c r="Z250" s="52">
        <v>1637</v>
      </c>
      <c r="AA250" s="6">
        <f t="shared" ref="AA250:AA262" si="551">Z250/AB250</f>
        <v>4.4392016487688472E-2</v>
      </c>
      <c r="AB250" s="3">
        <v>36876</v>
      </c>
      <c r="AC250" s="35">
        <v>82</v>
      </c>
      <c r="AD250" s="6">
        <f t="shared" ref="AD250:AD262" si="552">AC250/AE250</f>
        <v>0.38862559241706163</v>
      </c>
      <c r="AE250" s="36">
        <v>211</v>
      </c>
      <c r="AF250" s="4">
        <v>11</v>
      </c>
      <c r="AG250" s="6">
        <f t="shared" ref="AG250:AG262" si="553">AF250/AH250</f>
        <v>0.6470588235294118</v>
      </c>
      <c r="AH250" s="37">
        <v>17</v>
      </c>
      <c r="AI250" s="52">
        <f t="shared" si="548"/>
        <v>1730</v>
      </c>
      <c r="AJ250" s="6">
        <f t="shared" si="549"/>
        <v>4.66257007330746E-2</v>
      </c>
      <c r="AK250" s="21">
        <f t="shared" si="550"/>
        <v>37104</v>
      </c>
      <c r="AL250" s="20">
        <f t="shared" si="532"/>
        <v>6.0684854181071897E-3</v>
      </c>
      <c r="AM250" s="6">
        <f t="shared" si="533"/>
        <v>0.21345975948196114</v>
      </c>
      <c r="AN250" s="6">
        <f t="shared" si="534"/>
        <v>0.64440078585461691</v>
      </c>
      <c r="AO250" s="127">
        <f t="shared" si="535"/>
        <v>1.0153866165160884E-2</v>
      </c>
      <c r="AP250" s="52">
        <f t="shared" si="536"/>
        <v>7494</v>
      </c>
      <c r="AQ250" s="3">
        <f t="shared" si="541"/>
        <v>738044</v>
      </c>
      <c r="AR250" s="12">
        <f t="shared" si="540"/>
        <v>724563</v>
      </c>
      <c r="AS250" s="3">
        <f t="shared" si="538"/>
        <v>12972</v>
      </c>
      <c r="AT250" s="21">
        <f t="shared" si="539"/>
        <v>509</v>
      </c>
      <c r="AU250" s="4"/>
      <c r="AV250" s="4"/>
      <c r="AW250" s="4"/>
      <c r="AX250" s="4"/>
    </row>
    <row r="251" spans="1:50" x14ac:dyDescent="0.2">
      <c r="A251" s="110">
        <v>38687</v>
      </c>
      <c r="B251" s="3">
        <v>501</v>
      </c>
      <c r="C251" s="4"/>
      <c r="D251" s="4"/>
      <c r="E251" s="47">
        <v>337</v>
      </c>
      <c r="F251" s="4"/>
      <c r="G251" s="36"/>
      <c r="H251" s="4">
        <v>22</v>
      </c>
      <c r="I251" s="4"/>
      <c r="J251" s="4"/>
      <c r="K251" s="34"/>
      <c r="L251" s="4"/>
      <c r="M251" s="37"/>
      <c r="N251" s="53">
        <v>2263</v>
      </c>
      <c r="O251" s="6">
        <f t="shared" si="542"/>
        <v>3.9743659542781076E-3</v>
      </c>
      <c r="P251" s="3">
        <f>520178+48799+422</f>
        <v>569399</v>
      </c>
      <c r="Q251" s="55">
        <v>2332</v>
      </c>
      <c r="R251" s="6">
        <f t="shared" si="543"/>
        <v>0.20845624385447395</v>
      </c>
      <c r="S251" s="33">
        <v>11187</v>
      </c>
      <c r="T251" s="3">
        <v>305</v>
      </c>
      <c r="U251" s="6">
        <f t="shared" si="544"/>
        <v>0.67777777777777781</v>
      </c>
      <c r="V251" s="37">
        <v>450</v>
      </c>
      <c r="W251" s="52">
        <f t="shared" si="545"/>
        <v>4900</v>
      </c>
      <c r="X251" s="6">
        <f t="shared" si="546"/>
        <v>8.4332123999201428E-3</v>
      </c>
      <c r="Y251" s="21">
        <f t="shared" si="547"/>
        <v>581036</v>
      </c>
      <c r="Z251" s="52">
        <v>1644</v>
      </c>
      <c r="AA251" s="6">
        <f t="shared" si="551"/>
        <v>4.4591515677552346E-2</v>
      </c>
      <c r="AB251" s="3">
        <v>36868</v>
      </c>
      <c r="AC251" s="35">
        <v>83</v>
      </c>
      <c r="AD251" s="6">
        <f t="shared" si="552"/>
        <v>0.38967136150234744</v>
      </c>
      <c r="AE251" s="36">
        <v>213</v>
      </c>
      <c r="AF251" s="4">
        <v>11</v>
      </c>
      <c r="AG251" s="6">
        <f t="shared" si="553"/>
        <v>0.6470588235294118</v>
      </c>
      <c r="AH251" s="37">
        <v>17</v>
      </c>
      <c r="AI251" s="52">
        <f t="shared" si="548"/>
        <v>1738</v>
      </c>
      <c r="AJ251" s="6">
        <f t="shared" si="549"/>
        <v>4.6848886732438408E-2</v>
      </c>
      <c r="AK251" s="21">
        <f t="shared" si="550"/>
        <v>37098</v>
      </c>
      <c r="AL251" s="34"/>
      <c r="AM251" s="4"/>
      <c r="AN251" s="4"/>
      <c r="AO251" s="37"/>
      <c r="AP251" s="52">
        <v>5613</v>
      </c>
      <c r="AQ251" s="4"/>
      <c r="AR251" s="4"/>
      <c r="AS251" s="4"/>
      <c r="AT251" s="37"/>
      <c r="AU251" s="4"/>
      <c r="AV251" s="4"/>
      <c r="AW251" s="4"/>
      <c r="AX251" s="4"/>
    </row>
    <row r="252" spans="1:50" x14ac:dyDescent="0.2">
      <c r="A252" s="110">
        <v>38657</v>
      </c>
      <c r="B252" s="3">
        <v>500</v>
      </c>
      <c r="C252" s="4"/>
      <c r="D252" s="4"/>
      <c r="E252" s="47">
        <v>338</v>
      </c>
      <c r="F252" s="4"/>
      <c r="G252" s="36"/>
      <c r="H252" s="4">
        <v>23</v>
      </c>
      <c r="I252" s="4"/>
      <c r="J252" s="4"/>
      <c r="K252" s="34"/>
      <c r="L252" s="4"/>
      <c r="M252" s="37"/>
      <c r="N252" s="53">
        <v>2280</v>
      </c>
      <c r="O252" s="6">
        <f t="shared" si="542"/>
        <v>4.011909035241454E-3</v>
      </c>
      <c r="P252" s="3">
        <f>519084+48792+432</f>
        <v>568308</v>
      </c>
      <c r="Q252" s="55">
        <v>2366</v>
      </c>
      <c r="R252" s="6">
        <f t="shared" si="543"/>
        <v>0.21221634227284958</v>
      </c>
      <c r="S252" s="33">
        <v>11149</v>
      </c>
      <c r="T252" s="3">
        <v>311</v>
      </c>
      <c r="U252" s="6">
        <f t="shared" si="544"/>
        <v>0.68805309734513276</v>
      </c>
      <c r="V252" s="37">
        <v>452</v>
      </c>
      <c r="W252" s="52">
        <f t="shared" si="545"/>
        <v>4957</v>
      </c>
      <c r="X252" s="6">
        <f t="shared" si="546"/>
        <v>8.5478928590520236E-3</v>
      </c>
      <c r="Y252" s="21">
        <f t="shared" si="547"/>
        <v>579909</v>
      </c>
      <c r="Z252" s="52">
        <v>1644</v>
      </c>
      <c r="AA252" s="6">
        <f t="shared" si="551"/>
        <v>4.4607244607244606E-2</v>
      </c>
      <c r="AB252" s="3">
        <v>36855</v>
      </c>
      <c r="AC252" s="35">
        <v>82</v>
      </c>
      <c r="AD252" s="6">
        <f t="shared" si="552"/>
        <v>0.3867924528301887</v>
      </c>
      <c r="AE252" s="36">
        <v>212</v>
      </c>
      <c r="AF252" s="4">
        <v>10</v>
      </c>
      <c r="AG252" s="6">
        <f t="shared" si="553"/>
        <v>0.58823529411764708</v>
      </c>
      <c r="AH252" s="37">
        <v>17</v>
      </c>
      <c r="AI252" s="52">
        <f t="shared" si="548"/>
        <v>1736</v>
      </c>
      <c r="AJ252" s="6">
        <f t="shared" si="549"/>
        <v>4.6812641570488624E-2</v>
      </c>
      <c r="AK252" s="21">
        <f t="shared" si="550"/>
        <v>37084</v>
      </c>
      <c r="AL252" s="34"/>
      <c r="AM252" s="4"/>
      <c r="AN252" s="4"/>
      <c r="AO252" s="37"/>
      <c r="AP252" s="52">
        <v>5630</v>
      </c>
      <c r="AQ252" s="4"/>
      <c r="AR252" s="4"/>
      <c r="AS252" s="4"/>
      <c r="AT252" s="37"/>
      <c r="AU252" s="4"/>
      <c r="AV252" s="4"/>
      <c r="AW252" s="4"/>
      <c r="AX252" s="4"/>
    </row>
    <row r="253" spans="1:50" x14ac:dyDescent="0.2">
      <c r="A253" s="110">
        <v>38626</v>
      </c>
      <c r="B253" s="3">
        <v>500</v>
      </c>
      <c r="C253" s="4"/>
      <c r="D253" s="4"/>
      <c r="E253" s="47">
        <v>333</v>
      </c>
      <c r="F253" s="4"/>
      <c r="G253" s="36"/>
      <c r="H253" s="4">
        <v>23</v>
      </c>
      <c r="I253" s="4"/>
      <c r="J253" s="4"/>
      <c r="K253" s="34"/>
      <c r="L253" s="4"/>
      <c r="M253" s="37"/>
      <c r="N253" s="53">
        <v>2241</v>
      </c>
      <c r="O253" s="6">
        <f t="shared" si="542"/>
        <v>3.9480012472935672E-3</v>
      </c>
      <c r="P253" s="3">
        <f>518404+48792+433</f>
        <v>567629</v>
      </c>
      <c r="Q253" s="55">
        <v>2414</v>
      </c>
      <c r="R253" s="6">
        <f t="shared" si="543"/>
        <v>0.21685231764283147</v>
      </c>
      <c r="S253" s="33">
        <v>11132</v>
      </c>
      <c r="T253" s="3">
        <v>313</v>
      </c>
      <c r="U253" s="6">
        <f t="shared" si="544"/>
        <v>0.69401330376940129</v>
      </c>
      <c r="V253" s="37">
        <v>451</v>
      </c>
      <c r="W253" s="52">
        <f t="shared" si="545"/>
        <v>4968</v>
      </c>
      <c r="X253" s="6">
        <f t="shared" si="546"/>
        <v>8.5771703624924894E-3</v>
      </c>
      <c r="Y253" s="21">
        <f t="shared" si="547"/>
        <v>579212</v>
      </c>
      <c r="Z253" s="52">
        <v>1649</v>
      </c>
      <c r="AA253" s="6">
        <f t="shared" si="551"/>
        <v>4.4725921505872145E-2</v>
      </c>
      <c r="AB253" s="3">
        <v>36869</v>
      </c>
      <c r="AC253" s="35">
        <v>82</v>
      </c>
      <c r="AD253" s="6">
        <f t="shared" si="552"/>
        <v>0.38497652582159625</v>
      </c>
      <c r="AE253" s="36">
        <v>213</v>
      </c>
      <c r="AF253" s="4">
        <v>11</v>
      </c>
      <c r="AG253" s="6">
        <f t="shared" si="553"/>
        <v>0.6470588235294118</v>
      </c>
      <c r="AH253" s="37">
        <v>17</v>
      </c>
      <c r="AI253" s="52">
        <f t="shared" si="548"/>
        <v>1742</v>
      </c>
      <c r="AJ253" s="6">
        <f t="shared" si="549"/>
        <v>4.6955443542952641E-2</v>
      </c>
      <c r="AK253" s="21">
        <f t="shared" si="550"/>
        <v>37099</v>
      </c>
      <c r="AL253" s="34"/>
      <c r="AM253" s="4"/>
      <c r="AN253" s="4"/>
      <c r="AO253" s="37"/>
      <c r="AP253" s="52">
        <v>5691</v>
      </c>
      <c r="AR253" s="4"/>
      <c r="AS253" s="4"/>
      <c r="AT253" s="37"/>
      <c r="AU253" s="4"/>
      <c r="AV253" s="4"/>
      <c r="AW253" s="4"/>
      <c r="AX253" s="4"/>
    </row>
    <row r="254" spans="1:50" x14ac:dyDescent="0.2">
      <c r="A254" s="110">
        <v>38596</v>
      </c>
      <c r="B254" s="3">
        <v>497</v>
      </c>
      <c r="C254" s="4"/>
      <c r="D254" s="4"/>
      <c r="E254" s="47">
        <v>333</v>
      </c>
      <c r="F254" s="4"/>
      <c r="G254" s="36"/>
      <c r="H254" s="4">
        <v>23</v>
      </c>
      <c r="I254" s="4"/>
      <c r="J254" s="4"/>
      <c r="K254" s="34"/>
      <c r="L254" s="4"/>
      <c r="M254" s="37"/>
      <c r="N254" s="53">
        <v>2209</v>
      </c>
      <c r="O254" s="6">
        <f t="shared" si="542"/>
        <v>3.8964452213424302E-3</v>
      </c>
      <c r="P254" s="3">
        <f>517550+48943+434</f>
        <v>566927</v>
      </c>
      <c r="Q254" s="55">
        <v>2441</v>
      </c>
      <c r="R254" s="6">
        <f t="shared" si="543"/>
        <v>0.22296309828279137</v>
      </c>
      <c r="S254" s="33">
        <v>10948</v>
      </c>
      <c r="T254" s="3">
        <v>315</v>
      </c>
      <c r="U254" s="6">
        <f t="shared" si="544"/>
        <v>0.7</v>
      </c>
      <c r="V254" s="37">
        <v>450</v>
      </c>
      <c r="W254" s="52">
        <f t="shared" si="545"/>
        <v>4965</v>
      </c>
      <c r="X254" s="6">
        <f t="shared" si="546"/>
        <v>8.5851381143820515E-3</v>
      </c>
      <c r="Y254" s="21">
        <f t="shared" si="547"/>
        <v>578325</v>
      </c>
      <c r="Z254" s="52">
        <v>1658</v>
      </c>
      <c r="AA254" s="6">
        <f t="shared" si="551"/>
        <v>4.5010315995222067E-2</v>
      </c>
      <c r="AB254" s="3">
        <v>36836</v>
      </c>
      <c r="AC254" s="35">
        <v>85</v>
      </c>
      <c r="AD254" s="6">
        <f t="shared" si="552"/>
        <v>0.39534883720930231</v>
      </c>
      <c r="AE254" s="36">
        <v>215</v>
      </c>
      <c r="AF254" s="4">
        <v>11</v>
      </c>
      <c r="AG254" s="6">
        <f t="shared" si="553"/>
        <v>0.6470588235294118</v>
      </c>
      <c r="AH254" s="37">
        <v>17</v>
      </c>
      <c r="AI254" s="52">
        <f t="shared" si="548"/>
        <v>1754</v>
      </c>
      <c r="AJ254" s="6">
        <f t="shared" si="549"/>
        <v>4.7318441782669689E-2</v>
      </c>
      <c r="AK254" s="21">
        <f t="shared" si="550"/>
        <v>37068</v>
      </c>
      <c r="AL254" s="34"/>
      <c r="AM254" s="4"/>
      <c r="AN254" s="4"/>
      <c r="AO254" s="37"/>
      <c r="AP254" s="52">
        <v>5752</v>
      </c>
      <c r="AR254" s="4"/>
      <c r="AS254" s="4"/>
      <c r="AT254" s="37"/>
      <c r="AU254" s="4"/>
      <c r="AV254" s="4"/>
      <c r="AW254" s="4"/>
      <c r="AX254" s="4"/>
    </row>
    <row r="255" spans="1:50" x14ac:dyDescent="0.2">
      <c r="A255" s="110">
        <v>38565</v>
      </c>
      <c r="B255" s="3">
        <v>490</v>
      </c>
      <c r="C255" s="4"/>
      <c r="D255" s="4"/>
      <c r="E255" s="47">
        <v>338</v>
      </c>
      <c r="F255" s="4"/>
      <c r="G255" s="36"/>
      <c r="H255" s="4">
        <v>23</v>
      </c>
      <c r="I255" s="4"/>
      <c r="J255" s="4"/>
      <c r="K255" s="34"/>
      <c r="L255" s="4"/>
      <c r="M255" s="37"/>
      <c r="N255" s="53">
        <v>2194</v>
      </c>
      <c r="O255" s="6">
        <f t="shared" si="542"/>
        <v>3.875777275296778E-3</v>
      </c>
      <c r="P255" s="3">
        <f>516823+48823+434</f>
        <v>566080</v>
      </c>
      <c r="Q255" s="55">
        <v>2445</v>
      </c>
      <c r="R255" s="6">
        <f t="shared" si="543"/>
        <v>0.22406524926686217</v>
      </c>
      <c r="S255" s="33">
        <v>10912</v>
      </c>
      <c r="T255" s="3">
        <v>310</v>
      </c>
      <c r="U255" s="6">
        <f t="shared" si="544"/>
        <v>0.69351230425055932</v>
      </c>
      <c r="V255" s="37">
        <v>447</v>
      </c>
      <c r="W255" s="52">
        <f t="shared" si="545"/>
        <v>4949</v>
      </c>
      <c r="X255" s="6">
        <f t="shared" si="546"/>
        <v>8.5706022627498324E-3</v>
      </c>
      <c r="Y255" s="21">
        <f t="shared" si="547"/>
        <v>577439</v>
      </c>
      <c r="Z255" s="52">
        <v>1672</v>
      </c>
      <c r="AA255" s="6">
        <f t="shared" si="551"/>
        <v>4.5474325500435162E-2</v>
      </c>
      <c r="AB255" s="3">
        <v>36768</v>
      </c>
      <c r="AC255" s="35">
        <v>86</v>
      </c>
      <c r="AD255" s="6">
        <f t="shared" si="552"/>
        <v>0.4</v>
      </c>
      <c r="AE255" s="36">
        <v>215</v>
      </c>
      <c r="AF255" s="4">
        <v>11</v>
      </c>
      <c r="AG255" s="6">
        <f t="shared" si="553"/>
        <v>0.6470588235294118</v>
      </c>
      <c r="AH255" s="37">
        <v>17</v>
      </c>
      <c r="AI255" s="52">
        <f t="shared" si="548"/>
        <v>1769</v>
      </c>
      <c r="AJ255" s="6">
        <f t="shared" si="549"/>
        <v>4.781081081081081E-2</v>
      </c>
      <c r="AK255" s="21">
        <f t="shared" si="550"/>
        <v>37000</v>
      </c>
      <c r="AL255" s="34"/>
      <c r="AM255" s="4"/>
      <c r="AN255" s="4"/>
      <c r="AO255" s="37"/>
      <c r="AP255" s="52">
        <v>5790</v>
      </c>
      <c r="AR255" s="4"/>
      <c r="AS255" s="4"/>
      <c r="AT255" s="37"/>
      <c r="AU255" s="4"/>
      <c r="AV255" s="4"/>
      <c r="AW255" s="4"/>
      <c r="AX255" s="4"/>
    </row>
    <row r="256" spans="1:50" x14ac:dyDescent="0.2">
      <c r="A256" s="110">
        <v>38534</v>
      </c>
      <c r="B256" s="3">
        <v>430</v>
      </c>
      <c r="C256" s="4"/>
      <c r="D256" s="4"/>
      <c r="E256" s="47">
        <v>328</v>
      </c>
      <c r="F256" s="4"/>
      <c r="G256" s="36"/>
      <c r="H256" s="4">
        <v>22</v>
      </c>
      <c r="I256" s="4"/>
      <c r="J256" s="4"/>
      <c r="K256" s="34"/>
      <c r="L256" s="4"/>
      <c r="M256" s="37"/>
      <c r="N256" s="53">
        <v>1898</v>
      </c>
      <c r="O256" s="6">
        <f t="shared" si="542"/>
        <v>3.3553072368921158E-3</v>
      </c>
      <c r="P256" s="3">
        <f>516378+48859+434</f>
        <v>565671</v>
      </c>
      <c r="Q256" s="55">
        <v>2427</v>
      </c>
      <c r="R256" s="6">
        <f t="shared" si="543"/>
        <v>0.22309035756962955</v>
      </c>
      <c r="S256" s="33">
        <v>10879</v>
      </c>
      <c r="T256" s="3">
        <v>310</v>
      </c>
      <c r="U256" s="6">
        <f t="shared" si="544"/>
        <v>0.69351230425055932</v>
      </c>
      <c r="V256" s="37">
        <v>447</v>
      </c>
      <c r="W256" s="52">
        <f t="shared" si="545"/>
        <v>4635</v>
      </c>
      <c r="X256" s="6">
        <f t="shared" si="546"/>
        <v>8.0329707086865265E-3</v>
      </c>
      <c r="Y256" s="21">
        <f t="shared" si="547"/>
        <v>576997</v>
      </c>
      <c r="Z256" s="52">
        <v>1679</v>
      </c>
      <c r="AA256" s="6">
        <f t="shared" si="551"/>
        <v>4.5710707576706325E-2</v>
      </c>
      <c r="AB256" s="3">
        <v>36731</v>
      </c>
      <c r="AC256" s="35">
        <v>86</v>
      </c>
      <c r="AD256" s="6">
        <f t="shared" si="552"/>
        <v>0.39814814814814814</v>
      </c>
      <c r="AE256" s="36">
        <v>216</v>
      </c>
      <c r="AF256" s="4">
        <v>11</v>
      </c>
      <c r="AG256" s="6">
        <f t="shared" si="553"/>
        <v>0.6470588235294118</v>
      </c>
      <c r="AH256" s="37">
        <v>17</v>
      </c>
      <c r="AI256" s="52">
        <f t="shared" si="548"/>
        <v>1776</v>
      </c>
      <c r="AJ256" s="6">
        <f t="shared" si="549"/>
        <v>4.8046748187425603E-2</v>
      </c>
      <c r="AK256" s="21">
        <f t="shared" si="550"/>
        <v>36964</v>
      </c>
      <c r="AL256" s="34"/>
      <c r="AM256" s="4"/>
      <c r="AN256" s="4"/>
      <c r="AO256" s="37"/>
      <c r="AP256" s="52">
        <v>5806</v>
      </c>
      <c r="AR256" s="4"/>
      <c r="AS256" s="4"/>
      <c r="AT256" s="37"/>
      <c r="AU256" s="4"/>
      <c r="AV256" s="4"/>
      <c r="AW256" s="4"/>
      <c r="AX256" s="4"/>
    </row>
    <row r="257" spans="1:50" x14ac:dyDescent="0.2">
      <c r="A257" s="110">
        <v>38504</v>
      </c>
      <c r="B257" s="3">
        <v>421</v>
      </c>
      <c r="C257" s="4"/>
      <c r="D257" s="4"/>
      <c r="E257" s="47">
        <v>330</v>
      </c>
      <c r="F257" s="4"/>
      <c r="G257" s="36"/>
      <c r="H257" s="4">
        <v>22</v>
      </c>
      <c r="I257" s="4"/>
      <c r="J257" s="4"/>
      <c r="K257" s="34"/>
      <c r="L257" s="4"/>
      <c r="M257" s="37"/>
      <c r="N257" s="53">
        <v>1835</v>
      </c>
      <c r="O257" s="6">
        <f t="shared" si="542"/>
        <v>3.2465751728115695E-3</v>
      </c>
      <c r="P257" s="3">
        <f>515936+48840+435</f>
        <v>565211</v>
      </c>
      <c r="Q257" s="55">
        <v>2462</v>
      </c>
      <c r="R257" s="6">
        <f t="shared" si="543"/>
        <v>0.22664089109822333</v>
      </c>
      <c r="S257" s="33">
        <v>10863</v>
      </c>
      <c r="T257" s="3">
        <v>306</v>
      </c>
      <c r="U257" s="6">
        <f t="shared" si="544"/>
        <v>0.68609865470852016</v>
      </c>
      <c r="V257" s="37">
        <v>446</v>
      </c>
      <c r="W257" s="52">
        <f t="shared" si="545"/>
        <v>4603</v>
      </c>
      <c r="X257" s="6">
        <f t="shared" si="546"/>
        <v>7.9841115659474091E-3</v>
      </c>
      <c r="Y257" s="21">
        <f t="shared" si="547"/>
        <v>576520</v>
      </c>
      <c r="Z257" s="52">
        <v>1704</v>
      </c>
      <c r="AA257" s="6">
        <f t="shared" si="551"/>
        <v>4.6403965033631984E-2</v>
      </c>
      <c r="AB257" s="3">
        <v>36721</v>
      </c>
      <c r="AC257" s="35">
        <v>85</v>
      </c>
      <c r="AD257" s="6">
        <f t="shared" si="552"/>
        <v>0.40284360189573459</v>
      </c>
      <c r="AE257" s="36">
        <v>211</v>
      </c>
      <c r="AF257" s="4">
        <v>11</v>
      </c>
      <c r="AG257" s="6">
        <f t="shared" si="553"/>
        <v>0.6470588235294118</v>
      </c>
      <c r="AH257" s="37">
        <v>17</v>
      </c>
      <c r="AI257" s="52">
        <f t="shared" si="548"/>
        <v>1800</v>
      </c>
      <c r="AJ257" s="6">
        <f t="shared" si="549"/>
        <v>4.8715797450539937E-2</v>
      </c>
      <c r="AK257" s="21">
        <f t="shared" si="550"/>
        <v>36949</v>
      </c>
      <c r="AL257" s="34"/>
      <c r="AM257" s="4"/>
      <c r="AN257" s="4"/>
      <c r="AO257" s="37"/>
      <c r="AP257" s="52">
        <v>5472</v>
      </c>
      <c r="AR257" s="4"/>
      <c r="AS257" s="4"/>
      <c r="AT257" s="37"/>
      <c r="AU257" s="4"/>
      <c r="AV257" s="4"/>
      <c r="AW257" s="4"/>
      <c r="AX257" s="4"/>
    </row>
    <row r="258" spans="1:50" x14ac:dyDescent="0.2">
      <c r="A258" s="110">
        <v>38473</v>
      </c>
      <c r="B258" s="3">
        <v>399</v>
      </c>
      <c r="C258" s="4"/>
      <c r="D258" s="4"/>
      <c r="E258" s="47">
        <v>332</v>
      </c>
      <c r="F258" s="4"/>
      <c r="G258" s="36"/>
      <c r="H258" s="4">
        <v>19</v>
      </c>
      <c r="I258" s="4"/>
      <c r="J258" s="4"/>
      <c r="K258" s="34"/>
      <c r="L258" s="4"/>
      <c r="M258" s="37"/>
      <c r="N258" s="53">
        <v>1747</v>
      </c>
      <c r="O258" s="6">
        <f t="shared" si="542"/>
        <v>3.0902086200370045E-3</v>
      </c>
      <c r="P258" s="3">
        <f>516164+48734+436</f>
        <v>565334</v>
      </c>
      <c r="Q258" s="55">
        <v>2476</v>
      </c>
      <c r="R258" s="6">
        <f t="shared" si="543"/>
        <v>0.22795065365494385</v>
      </c>
      <c r="S258" s="33">
        <v>10862</v>
      </c>
      <c r="T258" s="3">
        <v>309</v>
      </c>
      <c r="U258" s="6">
        <f t="shared" si="544"/>
        <v>0.69751693002257331</v>
      </c>
      <c r="V258" s="37">
        <v>443</v>
      </c>
      <c r="W258" s="52">
        <f t="shared" si="545"/>
        <v>4532</v>
      </c>
      <c r="X258" s="6">
        <f t="shared" si="546"/>
        <v>7.859336604010482E-3</v>
      </c>
      <c r="Y258" s="21">
        <f t="shared" si="547"/>
        <v>576639</v>
      </c>
      <c r="Z258" s="52">
        <v>2248</v>
      </c>
      <c r="AA258" s="6">
        <f t="shared" si="551"/>
        <v>6.1563740928385596E-2</v>
      </c>
      <c r="AB258" s="3">
        <v>36515</v>
      </c>
      <c r="AC258" s="35">
        <v>117</v>
      </c>
      <c r="AD258" s="6">
        <f t="shared" si="552"/>
        <v>0.54929577464788737</v>
      </c>
      <c r="AE258" s="36">
        <v>213</v>
      </c>
      <c r="AF258" s="4">
        <v>11</v>
      </c>
      <c r="AG258" s="6">
        <f t="shared" si="553"/>
        <v>0.6470588235294118</v>
      </c>
      <c r="AH258" s="37">
        <v>17</v>
      </c>
      <c r="AI258" s="52">
        <f t="shared" si="548"/>
        <v>2376</v>
      </c>
      <c r="AJ258" s="6">
        <f t="shared" si="549"/>
        <v>6.4661858756293378E-2</v>
      </c>
      <c r="AK258" s="21">
        <f t="shared" si="550"/>
        <v>36745</v>
      </c>
      <c r="AL258" s="34"/>
      <c r="AM258" s="4"/>
      <c r="AN258" s="4"/>
      <c r="AO258" s="37"/>
      <c r="AP258" s="52">
        <v>5514</v>
      </c>
      <c r="AR258" s="4"/>
      <c r="AS258" s="4"/>
      <c r="AT258" s="37"/>
      <c r="AU258" s="4"/>
      <c r="AV258" s="4"/>
      <c r="AW258" s="4"/>
      <c r="AX258" s="4"/>
    </row>
    <row r="259" spans="1:50" x14ac:dyDescent="0.2">
      <c r="A259" s="110">
        <v>38443</v>
      </c>
      <c r="B259" s="3">
        <v>351</v>
      </c>
      <c r="C259" s="4"/>
      <c r="D259" s="4"/>
      <c r="E259" s="47">
        <v>331</v>
      </c>
      <c r="F259" s="4"/>
      <c r="G259" s="36"/>
      <c r="H259" s="4">
        <v>22</v>
      </c>
      <c r="I259" s="4"/>
      <c r="J259" s="4"/>
      <c r="K259" s="34"/>
      <c r="L259" s="4"/>
      <c r="M259" s="37"/>
      <c r="N259" s="53">
        <v>1234</v>
      </c>
      <c r="O259" s="6">
        <f t="shared" si="542"/>
        <v>2.1839007227755715E-3</v>
      </c>
      <c r="P259" s="3">
        <f>516007+48602+435</f>
        <v>565044</v>
      </c>
      <c r="Q259" s="55">
        <v>2520</v>
      </c>
      <c r="R259" s="6">
        <f t="shared" si="543"/>
        <v>0.23083264633140974</v>
      </c>
      <c r="S259" s="33">
        <v>10917</v>
      </c>
      <c r="T259" s="3">
        <v>311</v>
      </c>
      <c r="U259" s="6">
        <f t="shared" si="544"/>
        <v>0.69730941704035876</v>
      </c>
      <c r="V259" s="37">
        <v>446</v>
      </c>
      <c r="W259" s="52">
        <f t="shared" si="545"/>
        <v>4065</v>
      </c>
      <c r="X259" s="6">
        <f t="shared" si="546"/>
        <v>7.0523085250526101E-3</v>
      </c>
      <c r="Y259" s="21">
        <f t="shared" si="547"/>
        <v>576407</v>
      </c>
      <c r="Z259" s="52">
        <v>2261</v>
      </c>
      <c r="AA259" s="6">
        <f t="shared" si="551"/>
        <v>6.1595880894652247E-2</v>
      </c>
      <c r="AB259" s="3">
        <v>36707</v>
      </c>
      <c r="AC259" s="35">
        <v>116</v>
      </c>
      <c r="AD259" s="6">
        <f t="shared" si="552"/>
        <v>0.54205607476635509</v>
      </c>
      <c r="AE259" s="36">
        <v>214</v>
      </c>
      <c r="AF259" s="4">
        <v>11</v>
      </c>
      <c r="AG259" s="6">
        <f t="shared" si="553"/>
        <v>0.6470588235294118</v>
      </c>
      <c r="AH259" s="37">
        <v>17</v>
      </c>
      <c r="AI259" s="52">
        <f t="shared" si="548"/>
        <v>2388</v>
      </c>
      <c r="AJ259" s="6">
        <f t="shared" si="549"/>
        <v>6.464887108127132E-2</v>
      </c>
      <c r="AK259" s="21">
        <f t="shared" si="550"/>
        <v>36938</v>
      </c>
      <c r="AL259" s="34"/>
      <c r="AM259" s="4"/>
      <c r="AN259" s="4"/>
      <c r="AO259" s="37"/>
      <c r="AP259" s="52">
        <v>6086</v>
      </c>
      <c r="AR259" s="4"/>
      <c r="AS259" s="4"/>
      <c r="AT259" s="37"/>
      <c r="AU259" s="4"/>
      <c r="AV259" s="4"/>
      <c r="AW259" s="4"/>
      <c r="AX259" s="4"/>
    </row>
    <row r="260" spans="1:50" x14ac:dyDescent="0.2">
      <c r="A260" s="110">
        <v>38412</v>
      </c>
      <c r="B260" s="3">
        <v>325</v>
      </c>
      <c r="C260" s="4"/>
      <c r="D260" s="4"/>
      <c r="E260" s="47">
        <v>327</v>
      </c>
      <c r="F260" s="4"/>
      <c r="G260" s="36"/>
      <c r="H260" s="4">
        <v>22</v>
      </c>
      <c r="I260" s="4"/>
      <c r="J260" s="4"/>
      <c r="K260" s="34"/>
      <c r="L260" s="4"/>
      <c r="M260" s="37"/>
      <c r="N260" s="53">
        <v>1100</v>
      </c>
      <c r="O260" s="6">
        <f t="shared" si="542"/>
        <v>1.9482543640897756E-3</v>
      </c>
      <c r="P260" s="3">
        <f>515606+48567+435</f>
        <v>564608</v>
      </c>
      <c r="Q260" s="55">
        <v>2505</v>
      </c>
      <c r="R260" s="6">
        <f t="shared" si="543"/>
        <v>0.2291228391109485</v>
      </c>
      <c r="S260" s="33">
        <v>10933</v>
      </c>
      <c r="T260" s="3">
        <v>308</v>
      </c>
      <c r="U260" s="6">
        <f t="shared" si="544"/>
        <v>0.68596881959910916</v>
      </c>
      <c r="V260" s="37">
        <v>449</v>
      </c>
      <c r="W260" s="52">
        <f t="shared" si="545"/>
        <v>3913</v>
      </c>
      <c r="X260" s="6">
        <f t="shared" si="546"/>
        <v>6.7935207208458482E-3</v>
      </c>
      <c r="Y260" s="21">
        <f t="shared" si="547"/>
        <v>575990</v>
      </c>
      <c r="Z260" s="52">
        <v>2332</v>
      </c>
      <c r="AA260" s="6">
        <f t="shared" si="551"/>
        <v>6.3518004031159772E-2</v>
      </c>
      <c r="AB260" s="3">
        <v>36714</v>
      </c>
      <c r="AC260" s="35">
        <v>121</v>
      </c>
      <c r="AD260" s="6">
        <f t="shared" si="552"/>
        <v>0.568075117370892</v>
      </c>
      <c r="AE260" s="36">
        <v>213</v>
      </c>
      <c r="AF260" s="4">
        <v>12</v>
      </c>
      <c r="AG260" s="6">
        <f t="shared" si="553"/>
        <v>0.70588235294117652</v>
      </c>
      <c r="AH260" s="37">
        <v>17</v>
      </c>
      <c r="AI260" s="52">
        <f t="shared" si="548"/>
        <v>2465</v>
      </c>
      <c r="AJ260" s="6">
        <f t="shared" si="549"/>
        <v>6.6722607189259417E-2</v>
      </c>
      <c r="AK260" s="21">
        <f t="shared" si="550"/>
        <v>36944</v>
      </c>
      <c r="AL260" s="34"/>
      <c r="AM260" s="4"/>
      <c r="AN260" s="4"/>
      <c r="AO260" s="37"/>
      <c r="AP260" s="52">
        <v>6110</v>
      </c>
      <c r="AR260" s="4"/>
      <c r="AS260" s="4"/>
      <c r="AT260" s="37"/>
      <c r="AU260" s="4"/>
      <c r="AV260" s="4"/>
      <c r="AW260" s="4"/>
      <c r="AX260" s="4"/>
    </row>
    <row r="261" spans="1:50" x14ac:dyDescent="0.2">
      <c r="A261" s="110">
        <v>38384</v>
      </c>
      <c r="B261" s="3">
        <v>508</v>
      </c>
      <c r="C261" s="4"/>
      <c r="D261" s="4"/>
      <c r="E261" s="47">
        <v>327</v>
      </c>
      <c r="F261" s="4"/>
      <c r="G261" s="36"/>
      <c r="H261" s="4">
        <v>22</v>
      </c>
      <c r="I261" s="4"/>
      <c r="J261" s="4"/>
      <c r="K261" s="34"/>
      <c r="L261" s="4"/>
      <c r="M261" s="37"/>
      <c r="N261" s="52">
        <v>2450</v>
      </c>
      <c r="O261" s="6">
        <f t="shared" si="542"/>
        <v>4.3414083528696707E-3</v>
      </c>
      <c r="P261" s="3">
        <f>515310+48588+435</f>
        <v>564333</v>
      </c>
      <c r="Q261" s="55">
        <v>2458</v>
      </c>
      <c r="R261" s="6">
        <f t="shared" si="543"/>
        <v>0.22429053745779726</v>
      </c>
      <c r="S261" s="33">
        <v>10959</v>
      </c>
      <c r="T261" s="3">
        <v>306</v>
      </c>
      <c r="U261" s="6">
        <f t="shared" si="544"/>
        <v>0.68456375838926176</v>
      </c>
      <c r="V261" s="37">
        <v>447</v>
      </c>
      <c r="W261" s="52">
        <f t="shared" si="545"/>
        <v>5214</v>
      </c>
      <c r="X261" s="6">
        <f t="shared" si="546"/>
        <v>9.0561869180305656E-3</v>
      </c>
      <c r="Y261" s="21">
        <f t="shared" si="547"/>
        <v>575739</v>
      </c>
      <c r="Z261" s="52">
        <v>2663</v>
      </c>
      <c r="AA261" s="6">
        <f t="shared" si="551"/>
        <v>7.2541541814219554E-2</v>
      </c>
      <c r="AB261" s="3">
        <v>36710</v>
      </c>
      <c r="AC261" s="35">
        <v>127</v>
      </c>
      <c r="AD261" s="6">
        <f t="shared" si="552"/>
        <v>0.59905660377358494</v>
      </c>
      <c r="AE261" s="36">
        <v>212</v>
      </c>
      <c r="AF261" s="4">
        <v>12</v>
      </c>
      <c r="AG261" s="6">
        <f t="shared" si="553"/>
        <v>0.70588235294117652</v>
      </c>
      <c r="AH261" s="37">
        <v>17</v>
      </c>
      <c r="AI261" s="52">
        <f t="shared" si="548"/>
        <v>2802</v>
      </c>
      <c r="AJ261" s="6">
        <f t="shared" si="549"/>
        <v>7.5854787622837649E-2</v>
      </c>
      <c r="AK261" s="21">
        <f t="shared" si="550"/>
        <v>36939</v>
      </c>
      <c r="AL261" s="34"/>
      <c r="AM261" s="4"/>
      <c r="AN261" s="4"/>
      <c r="AO261" s="37"/>
      <c r="AP261" s="52">
        <v>6372</v>
      </c>
      <c r="AR261" s="4"/>
      <c r="AS261" s="4"/>
      <c r="AT261" s="37"/>
      <c r="AU261" s="4"/>
      <c r="AV261" s="4"/>
      <c r="AW261" s="4"/>
      <c r="AX261" s="4"/>
    </row>
    <row r="262" spans="1:50" x14ac:dyDescent="0.2">
      <c r="A262" s="110">
        <v>38353</v>
      </c>
      <c r="B262" s="3">
        <v>507</v>
      </c>
      <c r="C262" s="4"/>
      <c r="D262" s="4"/>
      <c r="E262" s="47">
        <v>315</v>
      </c>
      <c r="F262" s="4"/>
      <c r="G262" s="36"/>
      <c r="H262" s="4">
        <v>22</v>
      </c>
      <c r="I262" s="4"/>
      <c r="J262" s="4"/>
      <c r="K262" s="34"/>
      <c r="L262" s="4"/>
      <c r="M262" s="37"/>
      <c r="N262" s="52">
        <v>2400</v>
      </c>
      <c r="O262" s="6">
        <f t="shared" si="542"/>
        <v>4.2602667992083006E-3</v>
      </c>
      <c r="P262" s="3">
        <f>514400+48509+436</f>
        <v>563345</v>
      </c>
      <c r="Q262" s="55">
        <v>2435</v>
      </c>
      <c r="R262" s="6">
        <f t="shared" si="543"/>
        <v>0.22219180582169906</v>
      </c>
      <c r="S262" s="33">
        <v>10959</v>
      </c>
      <c r="T262" s="3">
        <v>303</v>
      </c>
      <c r="U262" s="6">
        <f t="shared" si="544"/>
        <v>0.679372197309417</v>
      </c>
      <c r="V262" s="37">
        <v>446</v>
      </c>
      <c r="W262" s="52">
        <f t="shared" si="545"/>
        <v>5138</v>
      </c>
      <c r="X262" s="6">
        <f t="shared" si="546"/>
        <v>8.9395389299695514E-3</v>
      </c>
      <c r="Y262" s="21">
        <f t="shared" si="547"/>
        <v>574750</v>
      </c>
      <c r="Z262" s="52">
        <v>2672</v>
      </c>
      <c r="AA262" s="6">
        <f t="shared" si="551"/>
        <v>7.280058850775141E-2</v>
      </c>
      <c r="AB262" s="3">
        <v>36703</v>
      </c>
      <c r="AC262" s="35">
        <v>128</v>
      </c>
      <c r="AD262" s="6">
        <f t="shared" si="552"/>
        <v>0.58715596330275233</v>
      </c>
      <c r="AE262" s="36">
        <v>218</v>
      </c>
      <c r="AF262" s="4">
        <v>12</v>
      </c>
      <c r="AG262" s="6">
        <f t="shared" si="553"/>
        <v>0.70588235294117652</v>
      </c>
      <c r="AH262" s="37">
        <v>17</v>
      </c>
      <c r="AI262" s="52">
        <f t="shared" si="548"/>
        <v>2812</v>
      </c>
      <c r="AJ262" s="6">
        <f t="shared" si="549"/>
        <v>7.6127565109101736E-2</v>
      </c>
      <c r="AK262" s="21">
        <f t="shared" si="550"/>
        <v>36938</v>
      </c>
      <c r="AL262" s="34"/>
      <c r="AM262" s="4"/>
      <c r="AN262" s="4"/>
      <c r="AO262" s="37"/>
      <c r="AP262" s="52">
        <v>8854</v>
      </c>
      <c r="AR262" s="4"/>
      <c r="AS262" s="4"/>
      <c r="AT262" s="37"/>
      <c r="AU262" s="4"/>
      <c r="AV262" s="4"/>
      <c r="AW262" s="4"/>
      <c r="AX262" s="4"/>
    </row>
    <row r="263" spans="1:50" x14ac:dyDescent="0.2">
      <c r="A263" s="110">
        <v>38322</v>
      </c>
      <c r="B263" s="3">
        <v>496</v>
      </c>
      <c r="C263" s="4"/>
      <c r="D263" s="4"/>
      <c r="E263" s="47">
        <v>304</v>
      </c>
      <c r="F263" s="4"/>
      <c r="G263" s="36"/>
      <c r="H263" s="4">
        <v>22</v>
      </c>
      <c r="I263" s="4"/>
      <c r="J263" s="4"/>
      <c r="K263" s="34"/>
      <c r="L263" s="4"/>
      <c r="M263" s="37"/>
      <c r="N263" s="52">
        <v>2346</v>
      </c>
      <c r="O263" s="6">
        <f t="shared" si="542"/>
        <v>4.1736642851043235E-3</v>
      </c>
      <c r="P263" s="3">
        <f>513156+48505+435</f>
        <v>562096</v>
      </c>
      <c r="Q263" s="55">
        <v>2454</v>
      </c>
      <c r="R263" s="6">
        <f t="shared" si="543"/>
        <v>0.22429394022484234</v>
      </c>
      <c r="S263" s="33">
        <v>10941</v>
      </c>
      <c r="T263" s="3">
        <v>299</v>
      </c>
      <c r="U263" s="6">
        <f t="shared" si="544"/>
        <v>0.67494356659142207</v>
      </c>
      <c r="V263" s="37">
        <v>443</v>
      </c>
      <c r="W263" s="52">
        <f t="shared" si="545"/>
        <v>5099</v>
      </c>
      <c r="X263" s="6">
        <f t="shared" si="546"/>
        <v>8.8913301248517828E-3</v>
      </c>
      <c r="Y263" s="21">
        <f t="shared" si="547"/>
        <v>573480</v>
      </c>
      <c r="Z263" s="52">
        <v>2671</v>
      </c>
      <c r="AA263" s="4"/>
      <c r="AB263" s="4"/>
      <c r="AC263" s="35">
        <v>128</v>
      </c>
      <c r="AD263" s="4"/>
      <c r="AE263" s="36"/>
      <c r="AF263" s="4">
        <v>12</v>
      </c>
      <c r="AG263" s="4"/>
      <c r="AH263" s="37"/>
      <c r="AI263" s="34"/>
      <c r="AJ263" s="4"/>
      <c r="AK263" s="37"/>
      <c r="AL263" s="34"/>
      <c r="AM263" s="4"/>
      <c r="AN263" s="4"/>
      <c r="AO263" s="37"/>
      <c r="AP263" s="52">
        <v>8778</v>
      </c>
      <c r="AR263" s="4"/>
      <c r="AS263" s="4"/>
      <c r="AT263" s="37"/>
      <c r="AU263" s="4"/>
      <c r="AV263" s="4"/>
      <c r="AW263" s="4"/>
      <c r="AX263" s="4"/>
    </row>
    <row r="264" spans="1:50" x14ac:dyDescent="0.2">
      <c r="A264" s="110">
        <v>38292</v>
      </c>
      <c r="B264" s="3">
        <v>492</v>
      </c>
      <c r="C264" s="4"/>
      <c r="D264" s="4"/>
      <c r="E264" s="47">
        <v>293</v>
      </c>
      <c r="F264" s="4"/>
      <c r="G264" s="36"/>
      <c r="H264" s="4">
        <v>21</v>
      </c>
      <c r="I264" s="4"/>
      <c r="J264" s="4"/>
      <c r="K264" s="34"/>
      <c r="L264" s="4"/>
      <c r="M264" s="37"/>
      <c r="N264" s="52">
        <v>2280</v>
      </c>
      <c r="O264" s="6">
        <f t="shared" si="542"/>
        <v>4.0670782502287735E-3</v>
      </c>
      <c r="P264" s="3">
        <f>511832+48334+433</f>
        <v>560599</v>
      </c>
      <c r="Q264" s="55">
        <v>2448</v>
      </c>
      <c r="R264" s="6">
        <f t="shared" si="543"/>
        <v>0.22210125204137179</v>
      </c>
      <c r="S264" s="33">
        <v>11022</v>
      </c>
      <c r="T264" s="3">
        <v>303</v>
      </c>
      <c r="U264" s="6">
        <f t="shared" si="544"/>
        <v>0.68243243243243246</v>
      </c>
      <c r="V264" s="37">
        <v>444</v>
      </c>
      <c r="W264" s="52">
        <f t="shared" si="545"/>
        <v>5031</v>
      </c>
      <c r="X264" s="6">
        <f t="shared" si="546"/>
        <v>8.7944551755482336E-3</v>
      </c>
      <c r="Y264" s="21">
        <f t="shared" si="547"/>
        <v>572065</v>
      </c>
      <c r="Z264" s="52">
        <v>2682</v>
      </c>
      <c r="AA264" s="4"/>
      <c r="AB264" s="4"/>
      <c r="AC264" s="35">
        <v>128</v>
      </c>
      <c r="AD264" s="4"/>
      <c r="AE264" s="36"/>
      <c r="AF264" s="4">
        <v>12</v>
      </c>
      <c r="AG264" s="4"/>
      <c r="AH264" s="37"/>
      <c r="AI264" s="34"/>
      <c r="AJ264" s="4"/>
      <c r="AK264" s="37"/>
      <c r="AL264" s="34"/>
      <c r="AM264" s="4"/>
      <c r="AN264" s="4"/>
      <c r="AO264" s="37"/>
      <c r="AP264" s="52">
        <v>8717</v>
      </c>
      <c r="AR264" s="4"/>
      <c r="AS264" s="4"/>
      <c r="AT264" s="37"/>
      <c r="AU264" s="4"/>
      <c r="AV264" s="4"/>
      <c r="AW264" s="4"/>
      <c r="AX264" s="4"/>
    </row>
    <row r="265" spans="1:50" x14ac:dyDescent="0.2">
      <c r="A265" s="110">
        <v>38261</v>
      </c>
      <c r="B265" s="3">
        <v>479</v>
      </c>
      <c r="C265" s="4"/>
      <c r="D265" s="4"/>
      <c r="E265" s="47">
        <v>300</v>
      </c>
      <c r="F265" s="4"/>
      <c r="G265" s="36"/>
      <c r="H265" s="4">
        <v>21</v>
      </c>
      <c r="I265" s="4"/>
      <c r="J265" s="4"/>
      <c r="K265" s="34"/>
      <c r="L265" s="4"/>
      <c r="M265" s="37"/>
      <c r="N265" s="52">
        <v>2293</v>
      </c>
      <c r="O265" s="6">
        <f t="shared" si="542"/>
        <v>4.0985877478501628E-3</v>
      </c>
      <c r="P265" s="3">
        <f>510794+48233+434</f>
        <v>559461</v>
      </c>
      <c r="Q265" s="55">
        <v>2352</v>
      </c>
      <c r="R265" s="6">
        <f t="shared" si="543"/>
        <v>0.21246612466124662</v>
      </c>
      <c r="S265" s="33">
        <v>11070</v>
      </c>
      <c r="T265" s="3">
        <v>262</v>
      </c>
      <c r="U265" s="6">
        <f t="shared" si="544"/>
        <v>0.6164705882352941</v>
      </c>
      <c r="V265" s="37">
        <v>425</v>
      </c>
      <c r="W265" s="52">
        <f t="shared" si="545"/>
        <v>4907</v>
      </c>
      <c r="X265" s="6">
        <f t="shared" si="546"/>
        <v>8.5943575336803538E-3</v>
      </c>
      <c r="Y265" s="21">
        <f t="shared" si="547"/>
        <v>570956</v>
      </c>
      <c r="Z265" s="52">
        <v>2648</v>
      </c>
      <c r="AA265" s="4"/>
      <c r="AB265" s="4"/>
      <c r="AC265" s="35">
        <v>128</v>
      </c>
      <c r="AD265" s="4"/>
      <c r="AE265" s="36"/>
      <c r="AF265" s="4">
        <v>12</v>
      </c>
      <c r="AG265" s="4"/>
      <c r="AH265" s="37"/>
      <c r="AI265" s="34"/>
      <c r="AJ265" s="4"/>
      <c r="AK265" s="37"/>
      <c r="AL265" s="34"/>
      <c r="AM265" s="4"/>
      <c r="AN265" s="4"/>
      <c r="AO265" s="37"/>
      <c r="AP265" s="52">
        <v>8557</v>
      </c>
      <c r="AR265" s="4"/>
      <c r="AS265" s="4"/>
      <c r="AT265" s="37"/>
      <c r="AU265" s="4"/>
      <c r="AV265" s="4"/>
      <c r="AW265" s="4"/>
      <c r="AX265" s="4"/>
    </row>
    <row r="266" spans="1:50" x14ac:dyDescent="0.2">
      <c r="A266" s="110">
        <v>38231</v>
      </c>
      <c r="B266" s="3">
        <v>477</v>
      </c>
      <c r="C266" s="4"/>
      <c r="D266" s="4"/>
      <c r="E266" s="47">
        <v>300</v>
      </c>
      <c r="F266" s="4"/>
      <c r="G266" s="36"/>
      <c r="H266" s="4">
        <v>20</v>
      </c>
      <c r="I266" s="4"/>
      <c r="J266" s="4"/>
      <c r="K266" s="34"/>
      <c r="L266" s="4"/>
      <c r="M266" s="37"/>
      <c r="N266" s="52">
        <v>2280</v>
      </c>
      <c r="O266" s="6">
        <f t="shared" si="542"/>
        <v>4.0795804473582036E-3</v>
      </c>
      <c r="P266" s="3">
        <f>510093+48355+433</f>
        <v>558881</v>
      </c>
      <c r="Q266" s="55">
        <v>2396</v>
      </c>
      <c r="R266" s="6">
        <f t="shared" si="543"/>
        <v>0.21845368344274252</v>
      </c>
      <c r="S266" s="33">
        <v>10968</v>
      </c>
      <c r="T266" s="3">
        <v>253</v>
      </c>
      <c r="U266" s="6">
        <f t="shared" si="544"/>
        <v>0.59810874704491723</v>
      </c>
      <c r="V266" s="37">
        <v>423</v>
      </c>
      <c r="W266" s="52">
        <f t="shared" si="545"/>
        <v>4929</v>
      </c>
      <c r="X266" s="6">
        <f t="shared" si="546"/>
        <v>8.6432439257056286E-3</v>
      </c>
      <c r="Y266" s="21">
        <f t="shared" si="547"/>
        <v>570272</v>
      </c>
      <c r="Z266" s="52">
        <v>2649</v>
      </c>
      <c r="AA266" s="4"/>
      <c r="AB266" s="4"/>
      <c r="AC266" s="35">
        <v>125</v>
      </c>
      <c r="AD266" s="4"/>
      <c r="AE266" s="36"/>
      <c r="AF266" s="4">
        <v>12</v>
      </c>
      <c r="AG266" s="4"/>
      <c r="AH266" s="37"/>
      <c r="AI266" s="34"/>
      <c r="AJ266" s="4"/>
      <c r="AK266" s="37"/>
      <c r="AL266" s="34"/>
      <c r="AM266" s="4"/>
      <c r="AN266" s="4"/>
      <c r="AO266" s="37"/>
      <c r="AP266" s="52">
        <v>8495</v>
      </c>
      <c r="AR266" s="4"/>
      <c r="AS266" s="4"/>
      <c r="AT266" s="37"/>
      <c r="AU266" s="4"/>
      <c r="AV266" s="4"/>
      <c r="AW266" s="4"/>
      <c r="AX266" s="4"/>
    </row>
    <row r="267" spans="1:50" x14ac:dyDescent="0.2">
      <c r="A267" s="110">
        <v>38200</v>
      </c>
      <c r="B267" s="3">
        <v>471</v>
      </c>
      <c r="C267" s="4"/>
      <c r="D267" s="4"/>
      <c r="E267" s="47">
        <v>300</v>
      </c>
      <c r="F267" s="4"/>
      <c r="G267" s="36"/>
      <c r="H267" s="4">
        <v>20</v>
      </c>
      <c r="I267" s="4"/>
      <c r="J267" s="4"/>
      <c r="K267" s="34"/>
      <c r="L267" s="4"/>
      <c r="M267" s="37"/>
      <c r="N267" s="52">
        <v>2248</v>
      </c>
      <c r="O267" s="6">
        <f t="shared" si="542"/>
        <v>4.0294392841650926E-3</v>
      </c>
      <c r="P267" s="3">
        <f>509167+48293+434</f>
        <v>557894</v>
      </c>
      <c r="Q267" s="55">
        <v>2403</v>
      </c>
      <c r="R267" s="6">
        <f t="shared" si="543"/>
        <v>0.21871302448348048</v>
      </c>
      <c r="S267" s="33">
        <v>10987</v>
      </c>
      <c r="T267" s="3">
        <v>248</v>
      </c>
      <c r="U267" s="6">
        <f t="shared" si="544"/>
        <v>0.5890736342042755</v>
      </c>
      <c r="V267" s="37">
        <v>421</v>
      </c>
      <c r="W267" s="52">
        <f t="shared" si="545"/>
        <v>4899</v>
      </c>
      <c r="X267" s="6">
        <f t="shared" si="546"/>
        <v>8.6052745291602707E-3</v>
      </c>
      <c r="Y267" s="21">
        <f t="shared" si="547"/>
        <v>569302</v>
      </c>
      <c r="Z267" s="52">
        <v>2641</v>
      </c>
      <c r="AA267" s="4"/>
      <c r="AB267" s="4"/>
      <c r="AC267" s="35">
        <v>120</v>
      </c>
      <c r="AD267" s="4"/>
      <c r="AE267" s="36"/>
      <c r="AF267" s="4">
        <v>12</v>
      </c>
      <c r="AG267" s="4"/>
      <c r="AH267" s="37"/>
      <c r="AI267" s="34"/>
      <c r="AJ267" s="4"/>
      <c r="AK267" s="37"/>
      <c r="AL267" s="34"/>
      <c r="AM267" s="4"/>
      <c r="AN267" s="4"/>
      <c r="AO267" s="37"/>
      <c r="AP267" s="52">
        <v>8512</v>
      </c>
      <c r="AR267" s="4"/>
      <c r="AS267" s="4"/>
      <c r="AT267" s="37"/>
      <c r="AU267" s="4"/>
      <c r="AV267" s="4"/>
      <c r="AW267" s="4"/>
      <c r="AX267" s="4"/>
    </row>
    <row r="268" spans="1:50" x14ac:dyDescent="0.2">
      <c r="A268" s="110">
        <v>38169</v>
      </c>
      <c r="B268" s="3">
        <v>469</v>
      </c>
      <c r="C268" s="4"/>
      <c r="D268" s="4"/>
      <c r="E268" s="47">
        <v>299</v>
      </c>
      <c r="F268" s="4"/>
      <c r="G268" s="36"/>
      <c r="H268" s="4">
        <v>20</v>
      </c>
      <c r="I268" s="4"/>
      <c r="J268" s="4"/>
      <c r="K268" s="34"/>
      <c r="L268" s="4"/>
      <c r="M268" s="37"/>
      <c r="N268" s="52">
        <v>2226</v>
      </c>
      <c r="O268" s="6">
        <f t="shared" si="542"/>
        <v>3.9956274265897694E-3</v>
      </c>
      <c r="P268" s="3">
        <f>508396+48280+433</f>
        <v>557109</v>
      </c>
      <c r="Q268" s="55">
        <v>2419</v>
      </c>
      <c r="R268" s="6">
        <f t="shared" si="543"/>
        <v>0.22063115651222182</v>
      </c>
      <c r="S268" s="33">
        <v>10964</v>
      </c>
      <c r="T268" s="3">
        <v>248</v>
      </c>
      <c r="U268" s="6">
        <f t="shared" si="544"/>
        <v>0.59047619047619049</v>
      </c>
      <c r="V268" s="37">
        <v>420</v>
      </c>
      <c r="W268" s="52">
        <f t="shared" si="545"/>
        <v>4893</v>
      </c>
      <c r="X268" s="6">
        <f t="shared" si="546"/>
        <v>8.6069661367862045E-3</v>
      </c>
      <c r="Y268" s="21">
        <f t="shared" si="547"/>
        <v>568493</v>
      </c>
      <c r="Z268" s="52">
        <v>2642</v>
      </c>
      <c r="AA268" s="4"/>
      <c r="AB268" s="4"/>
      <c r="AC268" s="35">
        <v>121</v>
      </c>
      <c r="AD268" s="4"/>
      <c r="AE268" s="36"/>
      <c r="AF268" s="4">
        <v>12</v>
      </c>
      <c r="AG268" s="4"/>
      <c r="AH268" s="37"/>
      <c r="AI268" s="34"/>
      <c r="AJ268" s="4"/>
      <c r="AK268" s="37"/>
      <c r="AL268" s="34"/>
      <c r="AM268" s="4"/>
      <c r="AN268" s="4"/>
      <c r="AO268" s="37"/>
      <c r="AP268" s="52">
        <v>8463</v>
      </c>
      <c r="AR268" s="4"/>
      <c r="AS268" s="4"/>
      <c r="AT268" s="37"/>
      <c r="AU268" s="4"/>
      <c r="AV268" s="4"/>
      <c r="AW268" s="4"/>
      <c r="AX268" s="4"/>
    </row>
    <row r="269" spans="1:50" x14ac:dyDescent="0.2">
      <c r="A269" s="110">
        <v>38139</v>
      </c>
      <c r="B269" s="3">
        <v>460</v>
      </c>
      <c r="C269" s="4"/>
      <c r="D269" s="4"/>
      <c r="E269" s="47">
        <v>305</v>
      </c>
      <c r="F269" s="4"/>
      <c r="G269" s="36"/>
      <c r="H269" s="4">
        <v>17</v>
      </c>
      <c r="I269" s="4"/>
      <c r="J269" s="4"/>
      <c r="K269" s="34"/>
      <c r="L269" s="4"/>
      <c r="M269" s="37"/>
      <c r="N269" s="52">
        <v>2193</v>
      </c>
      <c r="O269" s="6">
        <f t="shared" si="542"/>
        <v>3.9406512406852025E-3</v>
      </c>
      <c r="P269" s="3">
        <f>507759+48315+433</f>
        <v>556507</v>
      </c>
      <c r="Q269" s="55">
        <v>2520</v>
      </c>
      <c r="R269" s="6">
        <f t="shared" si="543"/>
        <v>0.23123508900715728</v>
      </c>
      <c r="S269" s="33">
        <v>10898</v>
      </c>
      <c r="T269" s="3">
        <v>248</v>
      </c>
      <c r="U269" s="6">
        <f t="shared" si="544"/>
        <v>0.59330143540669855</v>
      </c>
      <c r="V269" s="37">
        <v>418</v>
      </c>
      <c r="W269" s="52">
        <f t="shared" si="545"/>
        <v>4961</v>
      </c>
      <c r="X269" s="6">
        <f t="shared" si="546"/>
        <v>8.7368775128869383E-3</v>
      </c>
      <c r="Y269" s="21">
        <f t="shared" si="547"/>
        <v>567823</v>
      </c>
      <c r="Z269" s="52">
        <v>2646</v>
      </c>
      <c r="AA269" s="4"/>
      <c r="AB269" s="4"/>
      <c r="AC269" s="35">
        <v>120</v>
      </c>
      <c r="AD269" s="4"/>
      <c r="AE269" s="36"/>
      <c r="AF269" s="4">
        <v>12</v>
      </c>
      <c r="AG269" s="4"/>
      <c r="AH269" s="37"/>
      <c r="AI269" s="34"/>
      <c r="AJ269" s="4"/>
      <c r="AK269" s="37"/>
      <c r="AL269" s="34"/>
      <c r="AM269" s="4"/>
      <c r="AN269" s="4"/>
      <c r="AO269" s="37"/>
      <c r="AP269" s="52">
        <v>8456</v>
      </c>
      <c r="AR269" s="4"/>
      <c r="AS269" s="4"/>
      <c r="AT269" s="37"/>
      <c r="AU269" s="4"/>
      <c r="AV269" s="4"/>
      <c r="AW269" s="4"/>
      <c r="AX269" s="4"/>
    </row>
    <row r="270" spans="1:50" x14ac:dyDescent="0.2">
      <c r="A270" s="110">
        <v>38108</v>
      </c>
      <c r="B270" s="3">
        <v>434</v>
      </c>
      <c r="C270" s="4"/>
      <c r="D270" s="4"/>
      <c r="E270" s="47">
        <v>304</v>
      </c>
      <c r="F270" s="4"/>
      <c r="G270" s="36"/>
      <c r="H270" s="4">
        <v>16</v>
      </c>
      <c r="I270" s="4"/>
      <c r="J270" s="4"/>
      <c r="K270" s="34"/>
      <c r="L270" s="4"/>
      <c r="M270" s="37"/>
      <c r="N270" s="52">
        <v>2124</v>
      </c>
      <c r="O270" s="6">
        <f t="shared" si="542"/>
        <v>3.8167938931297708E-3</v>
      </c>
      <c r="P270" s="3">
        <f>507833+48222+433</f>
        <v>556488</v>
      </c>
      <c r="Q270" s="55">
        <v>2542</v>
      </c>
      <c r="R270" s="6">
        <f t="shared" si="543"/>
        <v>0.23269864518491395</v>
      </c>
      <c r="S270" s="33">
        <v>10924</v>
      </c>
      <c r="T270" s="3">
        <v>248</v>
      </c>
      <c r="U270" s="6">
        <f t="shared" si="544"/>
        <v>0.59188544152744627</v>
      </c>
      <c r="V270" s="37">
        <v>419</v>
      </c>
      <c r="W270" s="52">
        <f t="shared" si="545"/>
        <v>4914</v>
      </c>
      <c r="X270" s="6">
        <f t="shared" si="546"/>
        <v>8.6539833154582971E-3</v>
      </c>
      <c r="Y270" s="21">
        <f t="shared" si="547"/>
        <v>567831</v>
      </c>
      <c r="Z270" s="52">
        <v>2641</v>
      </c>
      <c r="AA270" s="4"/>
      <c r="AB270" s="4"/>
      <c r="AC270" s="35">
        <v>120</v>
      </c>
      <c r="AD270" s="4"/>
      <c r="AE270" s="36"/>
      <c r="AF270" s="4">
        <v>12</v>
      </c>
      <c r="AG270" s="4"/>
      <c r="AH270" s="37"/>
      <c r="AI270" s="34"/>
      <c r="AJ270" s="4"/>
      <c r="AK270" s="37"/>
      <c r="AL270" s="34"/>
      <c r="AM270" s="4"/>
      <c r="AN270" s="4"/>
      <c r="AO270" s="37"/>
      <c r="AP270" s="52">
        <v>8521</v>
      </c>
      <c r="AR270" s="4"/>
      <c r="AS270" s="4"/>
      <c r="AT270" s="37"/>
      <c r="AU270" s="4"/>
      <c r="AV270" s="4"/>
      <c r="AW270" s="4"/>
      <c r="AX270" s="4"/>
    </row>
    <row r="271" spans="1:50" x14ac:dyDescent="0.2">
      <c r="A271" s="110">
        <v>38078</v>
      </c>
      <c r="B271" s="3">
        <v>422</v>
      </c>
      <c r="C271" s="4"/>
      <c r="D271" s="4"/>
      <c r="E271" s="47">
        <v>294</v>
      </c>
      <c r="F271" s="4"/>
      <c r="G271" s="36"/>
      <c r="H271" s="4">
        <v>16</v>
      </c>
      <c r="I271" s="4"/>
      <c r="J271" s="4"/>
      <c r="K271" s="34"/>
      <c r="L271" s="4"/>
      <c r="M271" s="37"/>
      <c r="N271" s="52">
        <v>2074</v>
      </c>
      <c r="O271" s="6">
        <f t="shared" si="542"/>
        <v>3.7300481093476014E-3</v>
      </c>
      <c r="P271" s="3">
        <f>507437+48156+432</f>
        <v>556025</v>
      </c>
      <c r="Q271" s="55">
        <v>2554</v>
      </c>
      <c r="R271" s="6">
        <f t="shared" si="543"/>
        <v>0.2343979441997063</v>
      </c>
      <c r="S271" s="33">
        <v>10896</v>
      </c>
      <c r="T271" s="3">
        <v>249</v>
      </c>
      <c r="U271" s="6">
        <f t="shared" si="544"/>
        <v>0.59285714285714286</v>
      </c>
      <c r="V271" s="37">
        <v>420</v>
      </c>
      <c r="W271" s="52">
        <f t="shared" si="545"/>
        <v>4877</v>
      </c>
      <c r="X271" s="6">
        <f t="shared" si="546"/>
        <v>8.5962410613722607E-3</v>
      </c>
      <c r="Y271" s="21">
        <f t="shared" si="547"/>
        <v>567341</v>
      </c>
      <c r="Z271" s="52">
        <v>2758</v>
      </c>
      <c r="AA271" s="4"/>
      <c r="AB271" s="4"/>
      <c r="AC271" s="35">
        <v>123</v>
      </c>
      <c r="AD271" s="4"/>
      <c r="AE271" s="36"/>
      <c r="AF271" s="4">
        <v>12</v>
      </c>
      <c r="AG271" s="4"/>
      <c r="AH271" s="37"/>
      <c r="AI271" s="34"/>
      <c r="AJ271" s="4"/>
      <c r="AK271" s="37"/>
      <c r="AL271" s="34"/>
      <c r="AM271" s="4"/>
      <c r="AN271" s="4"/>
      <c r="AO271" s="37"/>
      <c r="AP271" s="52">
        <v>8441</v>
      </c>
      <c r="AR271" s="4"/>
      <c r="AS271" s="4"/>
      <c r="AT271" s="37"/>
      <c r="AU271" s="4"/>
      <c r="AV271" s="4"/>
      <c r="AW271" s="4"/>
      <c r="AX271" s="4"/>
    </row>
    <row r="272" spans="1:50" x14ac:dyDescent="0.2">
      <c r="A272" s="110">
        <v>38047</v>
      </c>
      <c r="B272" s="3">
        <v>415</v>
      </c>
      <c r="C272" s="4"/>
      <c r="D272" s="4"/>
      <c r="E272" s="47">
        <v>291</v>
      </c>
      <c r="F272" s="4"/>
      <c r="G272" s="36"/>
      <c r="H272" s="4">
        <v>16</v>
      </c>
      <c r="I272" s="4"/>
      <c r="J272" s="4"/>
      <c r="K272" s="34"/>
      <c r="L272" s="4"/>
      <c r="M272" s="37"/>
      <c r="N272" s="52">
        <v>2033</v>
      </c>
      <c r="O272" s="6">
        <f t="shared" si="542"/>
        <v>3.6596605678324299E-3</v>
      </c>
      <c r="P272" s="3">
        <f>506962+48122+432</f>
        <v>555516</v>
      </c>
      <c r="Q272" s="55">
        <v>2528</v>
      </c>
      <c r="R272" s="6">
        <f t="shared" si="543"/>
        <v>0.23248114769174177</v>
      </c>
      <c r="S272" s="33">
        <v>10874</v>
      </c>
      <c r="T272" s="3">
        <v>250</v>
      </c>
      <c r="U272" s="6">
        <f t="shared" si="544"/>
        <v>0.58275058275058278</v>
      </c>
      <c r="V272" s="37">
        <v>429</v>
      </c>
      <c r="W272" s="52">
        <f t="shared" si="545"/>
        <v>4811</v>
      </c>
      <c r="X272" s="6">
        <f t="shared" si="546"/>
        <v>8.4877183016095082E-3</v>
      </c>
      <c r="Y272" s="21">
        <f t="shared" si="547"/>
        <v>566819</v>
      </c>
      <c r="Z272" s="52">
        <v>2503</v>
      </c>
      <c r="AA272" s="4"/>
      <c r="AB272" s="4"/>
      <c r="AC272" s="35">
        <v>123</v>
      </c>
      <c r="AD272" s="4"/>
      <c r="AE272" s="36"/>
      <c r="AF272" s="4">
        <v>12</v>
      </c>
      <c r="AG272" s="4"/>
      <c r="AH272" s="37"/>
      <c r="AI272" s="34"/>
      <c r="AJ272" s="4"/>
      <c r="AK272" s="37"/>
      <c r="AL272" s="34"/>
      <c r="AM272" s="4"/>
      <c r="AN272" s="4"/>
      <c r="AO272" s="37"/>
      <c r="AP272" s="52">
        <v>8502</v>
      </c>
      <c r="AR272" s="4"/>
      <c r="AS272" s="4"/>
      <c r="AT272" s="37"/>
      <c r="AU272" s="4"/>
      <c r="AV272" s="4"/>
      <c r="AW272" s="4"/>
      <c r="AX272" s="4"/>
    </row>
    <row r="273" spans="1:50" x14ac:dyDescent="0.2">
      <c r="A273" s="110">
        <v>38018</v>
      </c>
      <c r="B273" s="3">
        <v>406</v>
      </c>
      <c r="C273" s="4"/>
      <c r="D273" s="4"/>
      <c r="E273" s="47">
        <v>291</v>
      </c>
      <c r="F273" s="4"/>
      <c r="G273" s="36"/>
      <c r="H273" s="4">
        <v>17</v>
      </c>
      <c r="I273" s="4"/>
      <c r="J273" s="4"/>
      <c r="K273" s="34"/>
      <c r="L273" s="4"/>
      <c r="M273" s="37"/>
      <c r="N273" s="52">
        <v>1980</v>
      </c>
      <c r="O273" s="6">
        <f t="shared" si="542"/>
        <v>3.5678504241777728E-3</v>
      </c>
      <c r="P273" s="3">
        <f>506349+48175+432</f>
        <v>554956</v>
      </c>
      <c r="Q273" s="55">
        <v>2546</v>
      </c>
      <c r="R273" s="6">
        <f t="shared" si="543"/>
        <v>0.23539201183431951</v>
      </c>
      <c r="S273" s="33">
        <v>10816</v>
      </c>
      <c r="T273" s="3">
        <v>251</v>
      </c>
      <c r="U273" s="6">
        <f t="shared" si="544"/>
        <v>0.58236658932714613</v>
      </c>
      <c r="V273" s="37">
        <v>431</v>
      </c>
      <c r="W273" s="52">
        <f t="shared" si="545"/>
        <v>4777</v>
      </c>
      <c r="X273" s="6">
        <f t="shared" si="546"/>
        <v>8.4369033721121232E-3</v>
      </c>
      <c r="Y273" s="21">
        <f t="shared" si="547"/>
        <v>566203</v>
      </c>
      <c r="Z273" s="52">
        <v>2691</v>
      </c>
      <c r="AA273" s="4"/>
      <c r="AB273" s="4"/>
      <c r="AC273" s="35">
        <v>162</v>
      </c>
      <c r="AD273" s="4"/>
      <c r="AE273" s="36"/>
      <c r="AF273" s="4">
        <v>14</v>
      </c>
      <c r="AG273" s="4"/>
      <c r="AH273" s="37"/>
      <c r="AI273" s="34"/>
      <c r="AJ273" s="4"/>
      <c r="AK273" s="37"/>
      <c r="AL273" s="34"/>
      <c r="AM273" s="4"/>
      <c r="AN273" s="4"/>
      <c r="AO273" s="37"/>
      <c r="AP273" s="52">
        <v>8171</v>
      </c>
      <c r="AR273" s="4"/>
      <c r="AS273" s="4"/>
      <c r="AT273" s="37"/>
      <c r="AU273" s="4"/>
      <c r="AV273" s="4"/>
      <c r="AW273" s="4"/>
      <c r="AX273" s="4"/>
    </row>
    <row r="274" spans="1:50" x14ac:dyDescent="0.2">
      <c r="A274" s="110">
        <v>37987</v>
      </c>
      <c r="B274" s="3">
        <v>409</v>
      </c>
      <c r="C274" s="4"/>
      <c r="D274" s="4"/>
      <c r="E274" s="47">
        <v>302</v>
      </c>
      <c r="F274" s="4"/>
      <c r="G274" s="36"/>
      <c r="H274" s="4">
        <v>17</v>
      </c>
      <c r="I274" s="4"/>
      <c r="J274" s="4"/>
      <c r="K274" s="34"/>
      <c r="L274" s="4"/>
      <c r="M274" s="37"/>
      <c r="N274" s="52">
        <v>1941</v>
      </c>
      <c r="O274" s="6">
        <f t="shared" si="542"/>
        <v>3.5024658008845485E-3</v>
      </c>
      <c r="P274" s="3">
        <f>505597+48150+434</f>
        <v>554181</v>
      </c>
      <c r="Q274" s="55">
        <v>2641</v>
      </c>
      <c r="R274" s="6">
        <f t="shared" si="543"/>
        <v>0.24455968145198628</v>
      </c>
      <c r="S274" s="33">
        <v>10799</v>
      </c>
      <c r="T274" s="3">
        <v>253</v>
      </c>
      <c r="U274" s="6">
        <f t="shared" si="544"/>
        <v>0.58294930875576034</v>
      </c>
      <c r="V274" s="37">
        <v>434</v>
      </c>
      <c r="W274" s="52">
        <f t="shared" si="545"/>
        <v>4835</v>
      </c>
      <c r="X274" s="6">
        <f t="shared" si="546"/>
        <v>8.5512562476344773E-3</v>
      </c>
      <c r="Y274" s="21">
        <f t="shared" si="547"/>
        <v>565414</v>
      </c>
      <c r="Z274" s="52">
        <v>2875</v>
      </c>
      <c r="AA274" s="4"/>
      <c r="AB274" s="4"/>
      <c r="AC274" s="35">
        <v>162</v>
      </c>
      <c r="AD274" s="4"/>
      <c r="AE274" s="36"/>
      <c r="AF274" s="4">
        <v>14</v>
      </c>
      <c r="AG274" s="4"/>
      <c r="AH274" s="37"/>
      <c r="AI274" s="34"/>
      <c r="AJ274" s="4"/>
      <c r="AK274" s="37"/>
      <c r="AL274" s="34"/>
      <c r="AM274" s="4"/>
      <c r="AN274" s="4"/>
      <c r="AO274" s="37"/>
      <c r="AP274" s="52">
        <v>8358</v>
      </c>
      <c r="AR274" s="4"/>
      <c r="AS274" s="4"/>
      <c r="AT274" s="37"/>
      <c r="AU274" s="4"/>
      <c r="AV274" s="4"/>
      <c r="AW274" s="4"/>
      <c r="AX274" s="4"/>
    </row>
    <row r="275" spans="1:50" x14ac:dyDescent="0.2">
      <c r="A275" s="110">
        <v>37956</v>
      </c>
      <c r="B275" s="3">
        <v>402</v>
      </c>
      <c r="C275" s="4"/>
      <c r="D275" s="4"/>
      <c r="E275" s="47">
        <v>310</v>
      </c>
      <c r="F275" s="4"/>
      <c r="G275" s="36"/>
      <c r="H275" s="4">
        <v>16</v>
      </c>
      <c r="I275" s="4"/>
      <c r="J275" s="4"/>
      <c r="K275" s="34"/>
      <c r="L275" s="4"/>
      <c r="M275" s="37"/>
      <c r="N275" s="52">
        <v>1895</v>
      </c>
      <c r="O275" s="6">
        <f t="shared" si="542"/>
        <v>3.4277610660608244E-3</v>
      </c>
      <c r="P275" s="3">
        <f>504333+48076+430</f>
        <v>552839</v>
      </c>
      <c r="Q275" s="55">
        <v>2433</v>
      </c>
      <c r="R275" s="6">
        <f t="shared" si="543"/>
        <v>0.22496532593619972</v>
      </c>
      <c r="S275" s="33">
        <v>10815</v>
      </c>
      <c r="T275" s="3">
        <v>246</v>
      </c>
      <c r="U275" s="6">
        <f t="shared" si="544"/>
        <v>0.57076566125290018</v>
      </c>
      <c r="V275" s="37">
        <v>431</v>
      </c>
      <c r="W275" s="52">
        <f t="shared" si="545"/>
        <v>4574</v>
      </c>
      <c r="X275" s="6">
        <f t="shared" si="546"/>
        <v>8.1087070211049751E-3</v>
      </c>
      <c r="Y275" s="21">
        <f t="shared" si="547"/>
        <v>564085</v>
      </c>
      <c r="Z275" s="52">
        <v>2882</v>
      </c>
      <c r="AA275" s="4"/>
      <c r="AB275" s="4"/>
      <c r="AC275" s="35">
        <v>166</v>
      </c>
      <c r="AD275" s="4"/>
      <c r="AE275" s="36"/>
      <c r="AF275" s="4">
        <v>14</v>
      </c>
      <c r="AG275" s="4"/>
      <c r="AH275" s="37"/>
      <c r="AI275" s="34"/>
      <c r="AJ275" s="4"/>
      <c r="AK275" s="37"/>
      <c r="AL275" s="34"/>
      <c r="AM275" s="4"/>
      <c r="AN275" s="4"/>
      <c r="AO275" s="37"/>
      <c r="AP275" s="52">
        <v>8614</v>
      </c>
      <c r="AR275" s="4"/>
      <c r="AS275" s="4"/>
      <c r="AT275" s="37"/>
      <c r="AU275" s="4"/>
      <c r="AV275" s="4"/>
      <c r="AW275" s="4"/>
      <c r="AX275" s="4"/>
    </row>
    <row r="276" spans="1:50" x14ac:dyDescent="0.2">
      <c r="A276" s="110">
        <v>37926</v>
      </c>
      <c r="B276" s="3">
        <v>397</v>
      </c>
      <c r="C276" s="4"/>
      <c r="D276" s="4"/>
      <c r="E276" s="47">
        <v>305</v>
      </c>
      <c r="F276" s="4"/>
      <c r="G276" s="36"/>
      <c r="H276" s="4">
        <v>15</v>
      </c>
      <c r="I276" s="4"/>
      <c r="J276" s="4"/>
      <c r="K276" s="34"/>
      <c r="L276" s="4"/>
      <c r="M276" s="37"/>
      <c r="N276" s="52">
        <v>1861</v>
      </c>
      <c r="O276" s="6">
        <f t="shared" si="542"/>
        <v>3.3716272404290897E-3</v>
      </c>
      <c r="P276" s="3">
        <f>503472+48057+430</f>
        <v>551959</v>
      </c>
      <c r="Q276" s="55">
        <v>2400</v>
      </c>
      <c r="R276" s="6">
        <f t="shared" si="543"/>
        <v>0.22183196228856641</v>
      </c>
      <c r="S276" s="33">
        <v>10819</v>
      </c>
      <c r="T276" s="3">
        <v>241</v>
      </c>
      <c r="U276" s="6">
        <f t="shared" si="544"/>
        <v>0.5565819861431871</v>
      </c>
      <c r="V276" s="37">
        <v>433</v>
      </c>
      <c r="W276" s="52">
        <f t="shared" si="545"/>
        <v>4502</v>
      </c>
      <c r="X276" s="6">
        <f t="shared" si="546"/>
        <v>7.9934518324393522E-3</v>
      </c>
      <c r="Y276" s="21">
        <f t="shared" si="547"/>
        <v>563211</v>
      </c>
      <c r="Z276" s="52">
        <v>2888</v>
      </c>
      <c r="AA276" s="4"/>
      <c r="AB276" s="4"/>
      <c r="AC276" s="35">
        <v>166</v>
      </c>
      <c r="AD276" s="4"/>
      <c r="AE276" s="36"/>
      <c r="AF276" s="4">
        <v>14</v>
      </c>
      <c r="AG276" s="4"/>
      <c r="AH276" s="37"/>
      <c r="AI276" s="34"/>
      <c r="AJ276" s="4"/>
      <c r="AK276" s="37"/>
      <c r="AL276" s="34"/>
      <c r="AM276" s="4"/>
      <c r="AN276" s="4"/>
      <c r="AO276" s="37"/>
      <c r="AP276" s="52">
        <v>8364</v>
      </c>
      <c r="AR276" s="4"/>
      <c r="AS276" s="4"/>
      <c r="AT276" s="37"/>
      <c r="AU276" s="4"/>
      <c r="AV276" s="4"/>
      <c r="AW276" s="4"/>
      <c r="AX276" s="4"/>
    </row>
    <row r="277" spans="1:50" x14ac:dyDescent="0.2">
      <c r="A277" s="110">
        <v>37895</v>
      </c>
      <c r="B277" s="3">
        <v>387</v>
      </c>
      <c r="C277" s="4"/>
      <c r="D277" s="4"/>
      <c r="E277" s="47">
        <v>293</v>
      </c>
      <c r="F277" s="4"/>
      <c r="G277" s="36"/>
      <c r="H277" s="4">
        <v>12</v>
      </c>
      <c r="I277" s="4"/>
      <c r="J277" s="4"/>
      <c r="K277" s="34"/>
      <c r="L277" s="4"/>
      <c r="M277" s="37"/>
      <c r="N277" s="52">
        <v>1786</v>
      </c>
      <c r="O277" s="6">
        <f t="shared" si="542"/>
        <v>3.2429919778619496E-3</v>
      </c>
      <c r="P277" s="3">
        <f>502474+47822+430</f>
        <v>550726</v>
      </c>
      <c r="Q277" s="55">
        <v>2290</v>
      </c>
      <c r="R277" s="6">
        <f t="shared" si="543"/>
        <v>0.20842814235005006</v>
      </c>
      <c r="S277" s="33">
        <v>10987</v>
      </c>
      <c r="T277" s="3">
        <v>232</v>
      </c>
      <c r="U277" s="6">
        <f t="shared" si="544"/>
        <v>0.53333333333333333</v>
      </c>
      <c r="V277" s="37">
        <v>435</v>
      </c>
      <c r="W277" s="52">
        <f t="shared" si="545"/>
        <v>4308</v>
      </c>
      <c r="X277" s="6">
        <f t="shared" si="546"/>
        <v>7.6634622910692557E-3</v>
      </c>
      <c r="Y277" s="21">
        <f t="shared" si="547"/>
        <v>562148</v>
      </c>
      <c r="Z277" s="52">
        <v>2901</v>
      </c>
      <c r="AA277" s="4"/>
      <c r="AB277" s="4"/>
      <c r="AC277" s="35">
        <v>167</v>
      </c>
      <c r="AD277" s="4"/>
      <c r="AE277" s="36"/>
      <c r="AF277" s="4">
        <v>14</v>
      </c>
      <c r="AG277" s="4"/>
      <c r="AH277" s="37"/>
      <c r="AI277" s="34"/>
      <c r="AJ277" s="4"/>
      <c r="AK277" s="37"/>
      <c r="AL277" s="34"/>
      <c r="AM277" s="4"/>
      <c r="AN277" s="4"/>
      <c r="AO277" s="37"/>
      <c r="AP277" s="52">
        <v>8287</v>
      </c>
      <c r="AR277" s="4"/>
      <c r="AS277" s="4"/>
      <c r="AT277" s="37"/>
      <c r="AU277" s="4"/>
      <c r="AV277" s="4"/>
      <c r="AW277" s="4"/>
      <c r="AX277" s="4"/>
    </row>
    <row r="278" spans="1:50" x14ac:dyDescent="0.2">
      <c r="A278" s="110">
        <v>37865</v>
      </c>
      <c r="B278" s="3">
        <v>379</v>
      </c>
      <c r="C278" s="4"/>
      <c r="D278" s="4"/>
      <c r="E278" s="47">
        <v>295</v>
      </c>
      <c r="F278" s="4"/>
      <c r="G278" s="36"/>
      <c r="H278" s="4">
        <v>9</v>
      </c>
      <c r="I278" s="4"/>
      <c r="J278" s="4"/>
      <c r="K278" s="34"/>
      <c r="L278" s="4"/>
      <c r="M278" s="37"/>
      <c r="N278" s="52">
        <v>1732</v>
      </c>
      <c r="O278" s="6">
        <f t="shared" ref="O278:O309" si="554">N278/P278</f>
        <v>3.1482838036067115E-3</v>
      </c>
      <c r="P278" s="3">
        <f>501825+47886+430</f>
        <v>550141</v>
      </c>
      <c r="Q278" s="55">
        <v>1852</v>
      </c>
      <c r="R278" s="6">
        <f t="shared" ref="R278:R309" si="555">Q278/S278</f>
        <v>0.16970585540181435</v>
      </c>
      <c r="S278" s="33">
        <v>10913</v>
      </c>
      <c r="T278" s="3">
        <v>200</v>
      </c>
      <c r="U278" s="6">
        <f t="shared" ref="U278:U309" si="556">T278/V278</f>
        <v>0.45977011494252873</v>
      </c>
      <c r="V278" s="37">
        <v>435</v>
      </c>
      <c r="W278" s="52">
        <f t="shared" ref="W278:W309" si="557">+T278+Q278+N278</f>
        <v>3784</v>
      </c>
      <c r="X278" s="6">
        <f t="shared" ref="X278:X309" si="558">W278/Y278</f>
        <v>6.7392237425844496E-3</v>
      </c>
      <c r="Y278" s="21">
        <f t="shared" ref="Y278:Y309" si="559">+V278+S278+P278</f>
        <v>561489</v>
      </c>
      <c r="Z278" s="52">
        <v>2905</v>
      </c>
      <c r="AA278" s="4"/>
      <c r="AB278" s="4"/>
      <c r="AC278" s="35">
        <v>166</v>
      </c>
      <c r="AD278" s="4"/>
      <c r="AE278" s="36"/>
      <c r="AF278" s="4">
        <v>14</v>
      </c>
      <c r="AG278" s="4"/>
      <c r="AH278" s="37"/>
      <c r="AI278" s="34"/>
      <c r="AJ278" s="4"/>
      <c r="AK278" s="37"/>
      <c r="AL278" s="34"/>
      <c r="AM278" s="4"/>
      <c r="AN278" s="4"/>
      <c r="AO278" s="37"/>
      <c r="AP278" s="52">
        <v>8082</v>
      </c>
      <c r="AR278" s="4"/>
      <c r="AS278" s="4"/>
      <c r="AT278" s="37"/>
      <c r="AU278" s="4"/>
      <c r="AV278" s="4"/>
      <c r="AW278" s="4"/>
      <c r="AX278" s="4"/>
    </row>
    <row r="279" spans="1:50" x14ac:dyDescent="0.2">
      <c r="A279" s="110">
        <v>37834</v>
      </c>
      <c r="B279" s="3">
        <v>372</v>
      </c>
      <c r="C279" s="4"/>
      <c r="D279" s="4"/>
      <c r="E279" s="47">
        <v>294</v>
      </c>
      <c r="F279" s="4"/>
      <c r="G279" s="36"/>
      <c r="H279" s="4">
        <v>9</v>
      </c>
      <c r="I279" s="4"/>
      <c r="J279" s="4"/>
      <c r="K279" s="34"/>
      <c r="L279" s="4"/>
      <c r="M279" s="37"/>
      <c r="N279" s="52">
        <v>1661</v>
      </c>
      <c r="O279" s="6">
        <f t="shared" si="554"/>
        <v>3.0242008899635129E-3</v>
      </c>
      <c r="P279" s="3">
        <f>500974+47832+430</f>
        <v>549236</v>
      </c>
      <c r="Q279" s="55">
        <v>1835</v>
      </c>
      <c r="R279" s="6">
        <f t="shared" si="555"/>
        <v>0.16850321395775941</v>
      </c>
      <c r="S279" s="33">
        <v>10890</v>
      </c>
      <c r="T279" s="3">
        <v>199</v>
      </c>
      <c r="U279" s="6">
        <f t="shared" si="556"/>
        <v>0.45537757437070936</v>
      </c>
      <c r="V279" s="37">
        <v>437</v>
      </c>
      <c r="W279" s="52">
        <f t="shared" si="557"/>
        <v>3695</v>
      </c>
      <c r="X279" s="6">
        <f t="shared" si="558"/>
        <v>6.5915873862527497E-3</v>
      </c>
      <c r="Y279" s="21">
        <f t="shared" si="559"/>
        <v>560563</v>
      </c>
      <c r="Z279" s="52">
        <v>2902</v>
      </c>
      <c r="AA279" s="4"/>
      <c r="AB279" s="4"/>
      <c r="AC279" s="35">
        <v>167</v>
      </c>
      <c r="AD279" s="4"/>
      <c r="AE279" s="36"/>
      <c r="AF279" s="4">
        <v>14</v>
      </c>
      <c r="AG279" s="4"/>
      <c r="AH279" s="37"/>
      <c r="AI279" s="34"/>
      <c r="AJ279" s="4"/>
      <c r="AK279" s="37"/>
      <c r="AL279" s="34"/>
      <c r="AM279" s="4"/>
      <c r="AN279" s="4"/>
      <c r="AO279" s="37"/>
      <c r="AP279" s="52">
        <v>7379</v>
      </c>
      <c r="AR279" s="4"/>
      <c r="AS279" s="4"/>
      <c r="AT279" s="37"/>
      <c r="AU279" s="4"/>
      <c r="AV279" s="4"/>
      <c r="AW279" s="4"/>
      <c r="AX279" s="4"/>
    </row>
    <row r="280" spans="1:50" x14ac:dyDescent="0.2">
      <c r="A280" s="110">
        <v>37803</v>
      </c>
      <c r="B280" s="3">
        <v>355</v>
      </c>
      <c r="C280" s="4"/>
      <c r="D280" s="4"/>
      <c r="E280" s="47">
        <v>287</v>
      </c>
      <c r="F280" s="4"/>
      <c r="G280" s="36"/>
      <c r="H280" s="4">
        <v>8</v>
      </c>
      <c r="I280" s="4"/>
      <c r="J280" s="4"/>
      <c r="K280" s="34"/>
      <c r="L280" s="4"/>
      <c r="M280" s="37"/>
      <c r="N280" s="52">
        <v>1587</v>
      </c>
      <c r="O280" s="6">
        <f t="shared" si="554"/>
        <v>2.8938572546102046E-3</v>
      </c>
      <c r="P280" s="3">
        <f>500217+47756+430</f>
        <v>548403</v>
      </c>
      <c r="Q280" s="55">
        <v>1831</v>
      </c>
      <c r="R280" s="6">
        <f t="shared" si="555"/>
        <v>0.1683059104697123</v>
      </c>
      <c r="S280" s="33">
        <v>10879</v>
      </c>
      <c r="T280" s="3">
        <v>193</v>
      </c>
      <c r="U280" s="6">
        <f t="shared" si="556"/>
        <v>0.4447004608294931</v>
      </c>
      <c r="V280" s="37">
        <v>434</v>
      </c>
      <c r="W280" s="52">
        <f t="shared" si="557"/>
        <v>3611</v>
      </c>
      <c r="X280" s="6">
        <f t="shared" si="558"/>
        <v>6.4514861108133413E-3</v>
      </c>
      <c r="Y280" s="21">
        <f t="shared" si="559"/>
        <v>559716</v>
      </c>
      <c r="Z280" s="52">
        <v>5603</v>
      </c>
      <c r="AA280" s="4"/>
      <c r="AB280" s="4"/>
      <c r="AC280" s="35">
        <v>163</v>
      </c>
      <c r="AD280" s="4"/>
      <c r="AE280" s="36"/>
      <c r="AF280" s="4">
        <v>15</v>
      </c>
      <c r="AG280" s="4"/>
      <c r="AH280" s="37"/>
      <c r="AI280" s="34"/>
      <c r="AJ280" s="4"/>
      <c r="AK280" s="37"/>
      <c r="AL280" s="34"/>
      <c r="AM280" s="4"/>
      <c r="AN280" s="4"/>
      <c r="AO280" s="37"/>
      <c r="AP280" s="52">
        <v>7453</v>
      </c>
      <c r="AR280" s="4"/>
      <c r="AS280" s="4"/>
      <c r="AT280" s="37"/>
      <c r="AU280" s="4"/>
      <c r="AV280" s="4"/>
      <c r="AW280" s="4"/>
      <c r="AX280" s="4"/>
    </row>
    <row r="281" spans="1:50" x14ac:dyDescent="0.2">
      <c r="A281" s="110">
        <v>37773</v>
      </c>
      <c r="B281" s="3">
        <v>341</v>
      </c>
      <c r="C281" s="4"/>
      <c r="D281" s="4"/>
      <c r="E281" s="47">
        <v>284</v>
      </c>
      <c r="F281" s="4"/>
      <c r="G281" s="36"/>
      <c r="H281" s="4">
        <v>8</v>
      </c>
      <c r="I281" s="4"/>
      <c r="J281" s="4"/>
      <c r="K281" s="34"/>
      <c r="L281" s="4"/>
      <c r="M281" s="37"/>
      <c r="N281" s="52">
        <v>1506</v>
      </c>
      <c r="O281" s="6">
        <f t="shared" si="554"/>
        <v>2.7483657625893766E-3</v>
      </c>
      <c r="P281" s="3">
        <f>499852+47682+428</f>
        <v>547962</v>
      </c>
      <c r="Q281" s="55">
        <v>1838</v>
      </c>
      <c r="R281" s="6">
        <f t="shared" si="555"/>
        <v>0.16933849272157731</v>
      </c>
      <c r="S281" s="33">
        <v>10854</v>
      </c>
      <c r="T281" s="3">
        <v>183</v>
      </c>
      <c r="U281" s="6">
        <f t="shared" si="556"/>
        <v>0.42263279445727481</v>
      </c>
      <c r="V281" s="37">
        <v>433</v>
      </c>
      <c r="W281" s="52">
        <f t="shared" si="557"/>
        <v>3527</v>
      </c>
      <c r="X281" s="6">
        <f t="shared" si="558"/>
        <v>6.3066719833204891E-3</v>
      </c>
      <c r="Y281" s="21">
        <f t="shared" si="559"/>
        <v>559249</v>
      </c>
      <c r="Z281" s="52">
        <v>5662</v>
      </c>
      <c r="AA281" s="4"/>
      <c r="AB281" s="4"/>
      <c r="AC281" s="35">
        <v>172</v>
      </c>
      <c r="AD281" s="4"/>
      <c r="AE281" s="36"/>
      <c r="AF281" s="4">
        <v>15</v>
      </c>
      <c r="AG281" s="4"/>
      <c r="AH281" s="37"/>
      <c r="AI281" s="34"/>
      <c r="AJ281" s="4"/>
      <c r="AK281" s="37"/>
      <c r="AL281" s="34"/>
      <c r="AM281" s="4"/>
      <c r="AN281" s="4"/>
      <c r="AO281" s="37"/>
      <c r="AP281" s="52">
        <v>10042</v>
      </c>
      <c r="AR281" s="4"/>
      <c r="AS281" s="4"/>
      <c r="AT281" s="37"/>
      <c r="AU281" s="4"/>
      <c r="AV281" s="4"/>
      <c r="AW281" s="4"/>
      <c r="AX281" s="4"/>
    </row>
    <row r="282" spans="1:50" x14ac:dyDescent="0.2">
      <c r="A282" s="110">
        <v>37742</v>
      </c>
      <c r="B282" s="3">
        <v>210</v>
      </c>
      <c r="C282" s="4"/>
      <c r="D282" s="4"/>
      <c r="E282" s="47">
        <v>290</v>
      </c>
      <c r="F282" s="4"/>
      <c r="G282" s="36"/>
      <c r="H282" s="4">
        <v>9</v>
      </c>
      <c r="I282" s="4"/>
      <c r="J282" s="4"/>
      <c r="K282" s="34"/>
      <c r="L282" s="4"/>
      <c r="M282" s="37"/>
      <c r="N282" s="52">
        <v>740</v>
      </c>
      <c r="O282" s="6">
        <f t="shared" si="554"/>
        <v>1.3511440903878878E-3</v>
      </c>
      <c r="P282" s="3">
        <f>499747+47508+429</f>
        <v>547684</v>
      </c>
      <c r="Q282" s="55">
        <v>1839</v>
      </c>
      <c r="R282" s="6">
        <f t="shared" si="555"/>
        <v>0.16933701657458564</v>
      </c>
      <c r="S282" s="33">
        <v>10860</v>
      </c>
      <c r="T282" s="3">
        <v>180</v>
      </c>
      <c r="U282" s="6">
        <f t="shared" si="556"/>
        <v>0.41860465116279072</v>
      </c>
      <c r="V282" s="37">
        <v>430</v>
      </c>
      <c r="W282" s="52">
        <f t="shared" si="557"/>
        <v>2759</v>
      </c>
      <c r="X282" s="6">
        <f t="shared" si="558"/>
        <v>4.9358288578717439E-3</v>
      </c>
      <c r="Y282" s="21">
        <f t="shared" si="559"/>
        <v>558974</v>
      </c>
      <c r="Z282" s="52">
        <v>5700</v>
      </c>
      <c r="AA282" s="4"/>
      <c r="AB282" s="4"/>
      <c r="AC282" s="35">
        <v>172</v>
      </c>
      <c r="AD282" s="4"/>
      <c r="AE282" s="36"/>
      <c r="AF282" s="4">
        <v>15</v>
      </c>
      <c r="AG282" s="4"/>
      <c r="AH282" s="37"/>
      <c r="AI282" s="34"/>
      <c r="AJ282" s="4"/>
      <c r="AK282" s="37"/>
      <c r="AL282" s="34"/>
      <c r="AM282" s="4"/>
      <c r="AN282" s="4"/>
      <c r="AO282" s="37"/>
      <c r="AP282" s="52">
        <v>10009</v>
      </c>
      <c r="AR282" s="4"/>
      <c r="AS282" s="4"/>
      <c r="AT282" s="37"/>
      <c r="AU282" s="4"/>
      <c r="AV282" s="4"/>
      <c r="AW282" s="4"/>
      <c r="AX282" s="4"/>
    </row>
    <row r="283" spans="1:50" x14ac:dyDescent="0.2">
      <c r="A283" s="110">
        <v>37712</v>
      </c>
      <c r="B283" s="3">
        <v>183</v>
      </c>
      <c r="C283" s="4"/>
      <c r="D283" s="4"/>
      <c r="E283" s="47">
        <v>314</v>
      </c>
      <c r="F283" s="4"/>
      <c r="G283" s="36"/>
      <c r="H283" s="4">
        <v>8</v>
      </c>
      <c r="I283" s="4"/>
      <c r="J283" s="4"/>
      <c r="K283" s="34"/>
      <c r="L283" s="4"/>
      <c r="M283" s="37"/>
      <c r="N283" s="52">
        <v>523</v>
      </c>
      <c r="O283" s="6">
        <f t="shared" si="554"/>
        <v>9.5555482472968576E-4</v>
      </c>
      <c r="P283" s="3">
        <f>499430+47463+433</f>
        <v>547326</v>
      </c>
      <c r="Q283" s="55">
        <v>1915</v>
      </c>
      <c r="R283" s="6">
        <f t="shared" si="555"/>
        <v>0.17672572905131045</v>
      </c>
      <c r="S283" s="33">
        <v>10836</v>
      </c>
      <c r="T283" s="3">
        <v>175</v>
      </c>
      <c r="U283" s="6">
        <f t="shared" si="556"/>
        <v>0.4098360655737705</v>
      </c>
      <c r="V283" s="37">
        <v>427</v>
      </c>
      <c r="W283" s="52">
        <f t="shared" si="557"/>
        <v>2613</v>
      </c>
      <c r="X283" s="6">
        <f t="shared" si="558"/>
        <v>4.6778579599669884E-3</v>
      </c>
      <c r="Y283" s="21">
        <f t="shared" si="559"/>
        <v>558589</v>
      </c>
      <c r="Z283" s="52">
        <v>5722</v>
      </c>
      <c r="AA283" s="4"/>
      <c r="AB283" s="4"/>
      <c r="AC283" s="35">
        <v>172</v>
      </c>
      <c r="AD283" s="4"/>
      <c r="AE283" s="36"/>
      <c r="AF283" s="4">
        <v>15</v>
      </c>
      <c r="AG283" s="4"/>
      <c r="AH283" s="37"/>
      <c r="AI283" s="34"/>
      <c r="AJ283" s="4"/>
      <c r="AK283" s="37"/>
      <c r="AL283" s="34"/>
      <c r="AM283" s="4"/>
      <c r="AN283" s="4"/>
      <c r="AO283" s="37"/>
      <c r="AP283" s="52">
        <v>9155</v>
      </c>
      <c r="AR283" s="4"/>
      <c r="AS283" s="4"/>
      <c r="AT283" s="37"/>
      <c r="AU283" s="4"/>
      <c r="AV283" s="4"/>
      <c r="AW283" s="4"/>
      <c r="AX283" s="4"/>
    </row>
    <row r="284" spans="1:50" x14ac:dyDescent="0.2">
      <c r="A284" s="110">
        <v>37681</v>
      </c>
      <c r="B284" s="3">
        <v>139</v>
      </c>
      <c r="C284" s="4"/>
      <c r="D284" s="4"/>
      <c r="E284" s="47">
        <v>315</v>
      </c>
      <c r="F284" s="4"/>
      <c r="G284" s="36"/>
      <c r="H284" s="4">
        <v>10</v>
      </c>
      <c r="I284" s="4"/>
      <c r="J284" s="4"/>
      <c r="K284" s="34"/>
      <c r="L284" s="4"/>
      <c r="M284" s="37"/>
      <c r="N284" s="52">
        <v>281</v>
      </c>
      <c r="O284" s="6">
        <f t="shared" si="554"/>
        <v>5.1366044302756221E-4</v>
      </c>
      <c r="P284" s="3">
        <f>499143+47478+433</f>
        <v>547054</v>
      </c>
      <c r="Q284" s="55">
        <v>1950</v>
      </c>
      <c r="R284" s="6">
        <f t="shared" si="555"/>
        <v>0.18038852913968548</v>
      </c>
      <c r="S284" s="33">
        <v>10810</v>
      </c>
      <c r="T284" s="3">
        <v>175</v>
      </c>
      <c r="U284" s="6">
        <f t="shared" si="556"/>
        <v>0.40887850467289721</v>
      </c>
      <c r="V284" s="37">
        <v>428</v>
      </c>
      <c r="W284" s="52">
        <f t="shared" si="557"/>
        <v>2406</v>
      </c>
      <c r="X284" s="6">
        <f t="shared" si="558"/>
        <v>4.3095727683721066E-3</v>
      </c>
      <c r="Y284" s="21">
        <f t="shared" si="559"/>
        <v>558292</v>
      </c>
      <c r="Z284" s="52">
        <v>5724</v>
      </c>
      <c r="AA284" s="4"/>
      <c r="AB284" s="4"/>
      <c r="AC284" s="35">
        <v>168</v>
      </c>
      <c r="AD284" s="4"/>
      <c r="AE284" s="36"/>
      <c r="AF284" s="4">
        <v>15</v>
      </c>
      <c r="AG284" s="4"/>
      <c r="AH284" s="37"/>
      <c r="AI284" s="34"/>
      <c r="AJ284" s="4"/>
      <c r="AK284" s="37"/>
      <c r="AL284" s="34"/>
      <c r="AM284" s="4"/>
      <c r="AN284" s="4"/>
      <c r="AO284" s="37"/>
      <c r="AP284" s="52">
        <v>9027</v>
      </c>
      <c r="AR284" s="4"/>
      <c r="AS284" s="4"/>
      <c r="AT284" s="37"/>
      <c r="AU284" s="4"/>
      <c r="AV284" s="4"/>
      <c r="AW284" s="4"/>
      <c r="AX284" s="4"/>
    </row>
    <row r="285" spans="1:50" x14ac:dyDescent="0.2">
      <c r="A285" s="110">
        <v>37653</v>
      </c>
      <c r="B285" s="3"/>
      <c r="C285" s="4"/>
      <c r="D285" s="4"/>
      <c r="E285" s="47"/>
      <c r="F285" s="4"/>
      <c r="G285" s="36"/>
      <c r="H285" s="4"/>
      <c r="I285" s="4"/>
      <c r="J285" s="4"/>
      <c r="K285" s="34"/>
      <c r="L285" s="4"/>
      <c r="M285" s="37"/>
      <c r="N285" s="52">
        <v>114</v>
      </c>
      <c r="O285" s="6">
        <f t="shared" si="554"/>
        <v>2.0850403839400679E-4</v>
      </c>
      <c r="P285" s="3">
        <f>498842+47475+435</f>
        <v>546752</v>
      </c>
      <c r="Q285" s="55">
        <v>1985</v>
      </c>
      <c r="R285" s="6">
        <f t="shared" si="555"/>
        <v>0.18379629629629629</v>
      </c>
      <c r="S285" s="33">
        <v>10800</v>
      </c>
      <c r="T285" s="3">
        <v>176</v>
      </c>
      <c r="U285" s="6">
        <f t="shared" si="556"/>
        <v>0.41805225653206651</v>
      </c>
      <c r="V285" s="37">
        <v>421</v>
      </c>
      <c r="W285" s="52">
        <f t="shared" si="557"/>
        <v>2275</v>
      </c>
      <c r="X285" s="6">
        <f t="shared" si="558"/>
        <v>4.0772582185876378E-3</v>
      </c>
      <c r="Y285" s="21">
        <f t="shared" si="559"/>
        <v>557973</v>
      </c>
      <c r="Z285" s="52"/>
      <c r="AA285" s="4"/>
      <c r="AB285" s="4"/>
      <c r="AC285" s="35"/>
      <c r="AD285" s="4"/>
      <c r="AE285" s="36"/>
      <c r="AF285" s="4"/>
      <c r="AG285" s="4"/>
      <c r="AH285" s="37"/>
      <c r="AI285" s="34"/>
      <c r="AJ285" s="4"/>
      <c r="AK285" s="37"/>
      <c r="AL285" s="34"/>
      <c r="AM285" s="4"/>
      <c r="AN285" s="4"/>
      <c r="AO285" s="37"/>
      <c r="AP285" s="52">
        <v>8777</v>
      </c>
      <c r="AR285" s="4"/>
      <c r="AS285" s="4"/>
      <c r="AT285" s="37"/>
      <c r="AU285" s="4"/>
      <c r="AV285" s="4"/>
      <c r="AW285" s="4"/>
      <c r="AX285" s="4"/>
    </row>
    <row r="286" spans="1:50" x14ac:dyDescent="0.2">
      <c r="A286" s="110">
        <v>37622</v>
      </c>
      <c r="B286" s="3">
        <v>148</v>
      </c>
      <c r="C286" s="4"/>
      <c r="D286" s="4"/>
      <c r="E286" s="47">
        <v>332</v>
      </c>
      <c r="F286" s="4"/>
      <c r="G286" s="36"/>
      <c r="H286" s="4">
        <v>11</v>
      </c>
      <c r="I286" s="4"/>
      <c r="J286" s="4"/>
      <c r="K286" s="34"/>
      <c r="L286" s="4"/>
      <c r="M286" s="37"/>
      <c r="N286" s="52">
        <v>113</v>
      </c>
      <c r="O286" s="6">
        <f t="shared" si="554"/>
        <v>2.0694606216439942E-4</v>
      </c>
      <c r="P286" s="3">
        <f>498133+47467+436</f>
        <v>546036</v>
      </c>
      <c r="Q286" s="55">
        <v>2038</v>
      </c>
      <c r="R286" s="6">
        <f t="shared" si="555"/>
        <v>0.1885640266469282</v>
      </c>
      <c r="S286" s="33">
        <v>10808</v>
      </c>
      <c r="T286" s="3">
        <v>176</v>
      </c>
      <c r="U286" s="6">
        <f t="shared" si="556"/>
        <v>0.42206235011990406</v>
      </c>
      <c r="V286" s="37">
        <v>417</v>
      </c>
      <c r="W286" s="52">
        <f t="shared" si="557"/>
        <v>2327</v>
      </c>
      <c r="X286" s="6">
        <f t="shared" si="558"/>
        <v>4.175781186912416E-3</v>
      </c>
      <c r="Y286" s="21">
        <f t="shared" si="559"/>
        <v>557261</v>
      </c>
      <c r="Z286" s="52">
        <v>5713</v>
      </c>
      <c r="AA286" s="4"/>
      <c r="AB286" s="4"/>
      <c r="AC286" s="35">
        <v>167</v>
      </c>
      <c r="AD286" s="4"/>
      <c r="AE286" s="36"/>
      <c r="AF286" s="4">
        <v>15</v>
      </c>
      <c r="AG286" s="4"/>
      <c r="AH286" s="37"/>
      <c r="AI286" s="34"/>
      <c r="AJ286" s="4"/>
      <c r="AK286" s="37"/>
      <c r="AL286" s="34"/>
      <c r="AM286" s="4"/>
      <c r="AN286" s="4"/>
      <c r="AO286" s="37"/>
      <c r="AP286" s="52"/>
      <c r="AR286" s="4"/>
      <c r="AS286" s="4"/>
      <c r="AT286" s="37"/>
      <c r="AU286" s="4"/>
      <c r="AV286" s="4"/>
      <c r="AW286" s="4"/>
      <c r="AX286" s="4"/>
    </row>
    <row r="287" spans="1:50" x14ac:dyDescent="0.2">
      <c r="A287" s="110">
        <v>37591</v>
      </c>
      <c r="B287" s="3">
        <v>154</v>
      </c>
      <c r="C287" s="4"/>
      <c r="D287" s="4"/>
      <c r="E287" s="47">
        <v>353</v>
      </c>
      <c r="F287" s="4"/>
      <c r="G287" s="36"/>
      <c r="H287" s="4">
        <v>12</v>
      </c>
      <c r="I287" s="4"/>
      <c r="J287" s="4"/>
      <c r="K287" s="34"/>
      <c r="L287" s="4"/>
      <c r="M287" s="37"/>
      <c r="N287" s="52">
        <v>119</v>
      </c>
      <c r="O287" s="6">
        <f t="shared" si="554"/>
        <v>2.1828654235951243E-4</v>
      </c>
      <c r="P287" s="3">
        <f>497282+47440+433</f>
        <v>545155</v>
      </c>
      <c r="Q287" s="55">
        <v>2176</v>
      </c>
      <c r="R287" s="6">
        <f t="shared" si="555"/>
        <v>0.20150013890175017</v>
      </c>
      <c r="S287" s="33">
        <v>10799</v>
      </c>
      <c r="T287" s="3">
        <v>172</v>
      </c>
      <c r="U287" s="6">
        <f t="shared" si="556"/>
        <v>0.42469135802469138</v>
      </c>
      <c r="V287" s="37">
        <v>405</v>
      </c>
      <c r="W287" s="52">
        <f t="shared" si="557"/>
        <v>2467</v>
      </c>
      <c r="X287" s="6">
        <f t="shared" si="558"/>
        <v>4.4341872783580389E-3</v>
      </c>
      <c r="Y287" s="21">
        <f t="shared" si="559"/>
        <v>556359</v>
      </c>
      <c r="Z287" s="52">
        <v>5715</v>
      </c>
      <c r="AA287" s="4"/>
      <c r="AB287" s="4"/>
      <c r="AC287" s="35">
        <v>171</v>
      </c>
      <c r="AD287" s="4"/>
      <c r="AE287" s="36"/>
      <c r="AF287" s="4">
        <v>14</v>
      </c>
      <c r="AG287" s="4"/>
      <c r="AH287" s="37"/>
      <c r="AI287" s="34"/>
      <c r="AJ287" s="4"/>
      <c r="AK287" s="37"/>
      <c r="AL287" s="34"/>
      <c r="AM287" s="4"/>
      <c r="AN287" s="4"/>
      <c r="AO287" s="37"/>
      <c r="AP287" s="52">
        <v>8713</v>
      </c>
      <c r="AR287" s="4"/>
      <c r="AS287" s="4"/>
      <c r="AT287" s="37"/>
      <c r="AU287" s="4"/>
      <c r="AV287" s="4"/>
      <c r="AW287" s="4"/>
      <c r="AX287" s="4"/>
    </row>
    <row r="288" spans="1:50" x14ac:dyDescent="0.2">
      <c r="A288" s="110">
        <v>37561</v>
      </c>
      <c r="B288" s="3">
        <v>155</v>
      </c>
      <c r="C288" s="4"/>
      <c r="D288" s="4"/>
      <c r="E288" s="47">
        <v>355</v>
      </c>
      <c r="F288" s="4"/>
      <c r="G288" s="36"/>
      <c r="H288" s="4">
        <v>11</v>
      </c>
      <c r="I288" s="4"/>
      <c r="J288" s="4"/>
      <c r="K288" s="34"/>
      <c r="L288" s="4"/>
      <c r="M288" s="37"/>
      <c r="N288" s="52">
        <v>118</v>
      </c>
      <c r="O288" s="6">
        <f t="shared" si="554"/>
        <v>2.167981847745207E-4</v>
      </c>
      <c r="P288" s="3">
        <f>496354+47498+433</f>
        <v>544285</v>
      </c>
      <c r="Q288" s="55">
        <v>2163</v>
      </c>
      <c r="R288" s="6">
        <f t="shared" si="555"/>
        <v>0.20249017038007863</v>
      </c>
      <c r="S288" s="33">
        <v>10682</v>
      </c>
      <c r="T288" s="3">
        <v>169</v>
      </c>
      <c r="U288" s="6">
        <f t="shared" si="556"/>
        <v>0.41728395061728396</v>
      </c>
      <c r="V288" s="37">
        <v>405</v>
      </c>
      <c r="W288" s="52">
        <f t="shared" si="557"/>
        <v>2450</v>
      </c>
      <c r="X288" s="6">
        <f t="shared" si="558"/>
        <v>4.4114575455730569E-3</v>
      </c>
      <c r="Y288" s="21">
        <f t="shared" si="559"/>
        <v>555372</v>
      </c>
      <c r="Z288" s="52">
        <v>5703</v>
      </c>
      <c r="AA288" s="4"/>
      <c r="AB288" s="4"/>
      <c r="AC288" s="35">
        <v>172</v>
      </c>
      <c r="AD288" s="4"/>
      <c r="AE288" s="36"/>
      <c r="AF288" s="4">
        <v>14</v>
      </c>
      <c r="AG288" s="4"/>
      <c r="AH288" s="37"/>
      <c r="AI288" s="34"/>
      <c r="AJ288" s="4"/>
      <c r="AK288" s="37"/>
      <c r="AL288" s="34"/>
      <c r="AM288" s="4"/>
      <c r="AN288" s="4"/>
      <c r="AO288" s="37"/>
      <c r="AP288" s="52">
        <v>8886</v>
      </c>
      <c r="AR288" s="4"/>
      <c r="AS288" s="4"/>
      <c r="AT288" s="37"/>
      <c r="AU288" s="4"/>
      <c r="AV288" s="4"/>
      <c r="AW288" s="4"/>
      <c r="AX288" s="4"/>
    </row>
    <row r="289" spans="1:50" x14ac:dyDescent="0.2">
      <c r="A289" s="110">
        <v>37530</v>
      </c>
      <c r="B289" s="3">
        <v>161</v>
      </c>
      <c r="C289" s="4"/>
      <c r="D289" s="4"/>
      <c r="E289" s="47">
        <v>364</v>
      </c>
      <c r="F289" s="4"/>
      <c r="G289" s="36"/>
      <c r="H289" s="4">
        <v>12</v>
      </c>
      <c r="I289" s="4"/>
      <c r="J289" s="4"/>
      <c r="K289" s="34"/>
      <c r="L289" s="4"/>
      <c r="M289" s="37"/>
      <c r="N289" s="52">
        <v>118</v>
      </c>
      <c r="O289" s="6">
        <f t="shared" si="554"/>
        <v>2.171145113451532E-4</v>
      </c>
      <c r="P289" s="3">
        <f>495390+47669+433</f>
        <v>543492</v>
      </c>
      <c r="Q289" s="55">
        <v>2175</v>
      </c>
      <c r="R289" s="6">
        <f t="shared" si="555"/>
        <v>0.20464809936018066</v>
      </c>
      <c r="S289" s="33">
        <v>10628</v>
      </c>
      <c r="T289" s="3">
        <v>175</v>
      </c>
      <c r="U289" s="6">
        <f t="shared" si="556"/>
        <v>0.43424317617866004</v>
      </c>
      <c r="V289" s="37">
        <v>403</v>
      </c>
      <c r="W289" s="52">
        <f t="shared" si="557"/>
        <v>2468</v>
      </c>
      <c r="X289" s="6">
        <f t="shared" si="558"/>
        <v>4.4506720190145401E-3</v>
      </c>
      <c r="Y289" s="21">
        <f t="shared" si="559"/>
        <v>554523</v>
      </c>
      <c r="Z289" s="52">
        <v>5646</v>
      </c>
      <c r="AA289" s="4"/>
      <c r="AB289" s="4"/>
      <c r="AC289" s="35">
        <v>170</v>
      </c>
      <c r="AD289" s="4"/>
      <c r="AE289" s="36"/>
      <c r="AF289" s="4">
        <v>14</v>
      </c>
      <c r="AG289" s="4"/>
      <c r="AH289" s="37"/>
      <c r="AI289" s="34"/>
      <c r="AJ289" s="4"/>
      <c r="AK289" s="37"/>
      <c r="AL289" s="34"/>
      <c r="AM289" s="4"/>
      <c r="AN289" s="4"/>
      <c r="AO289" s="37"/>
      <c r="AP289" s="52">
        <v>8860</v>
      </c>
      <c r="AR289" s="4"/>
      <c r="AS289" s="4"/>
      <c r="AT289" s="37"/>
      <c r="AU289" s="4"/>
      <c r="AV289" s="4"/>
      <c r="AW289" s="4"/>
      <c r="AX289" s="4"/>
    </row>
    <row r="290" spans="1:50" x14ac:dyDescent="0.2">
      <c r="A290" s="110">
        <v>37500</v>
      </c>
      <c r="B290" s="3">
        <v>162</v>
      </c>
      <c r="C290" s="4"/>
      <c r="D290" s="4"/>
      <c r="E290" s="47">
        <v>361</v>
      </c>
      <c r="F290" s="4"/>
      <c r="G290" s="36"/>
      <c r="H290" s="4">
        <v>13</v>
      </c>
      <c r="I290" s="4"/>
      <c r="J290" s="4"/>
      <c r="K290" s="34"/>
      <c r="L290" s="4"/>
      <c r="M290" s="37"/>
      <c r="N290" s="52">
        <v>120</v>
      </c>
      <c r="O290" s="6">
        <f t="shared" si="554"/>
        <v>2.2097982454201932E-4</v>
      </c>
      <c r="P290" s="3">
        <f>494815+47789+432</f>
        <v>543036</v>
      </c>
      <c r="Q290" s="55">
        <v>2166</v>
      </c>
      <c r="R290" s="6">
        <f t="shared" si="555"/>
        <v>0.20620715917745622</v>
      </c>
      <c r="S290" s="33">
        <v>10504</v>
      </c>
      <c r="T290" s="3">
        <v>186</v>
      </c>
      <c r="U290" s="6">
        <f t="shared" si="556"/>
        <v>0.46733668341708545</v>
      </c>
      <c r="V290" s="37">
        <v>398</v>
      </c>
      <c r="W290" s="52">
        <f t="shared" si="557"/>
        <v>2472</v>
      </c>
      <c r="X290" s="6">
        <f t="shared" si="558"/>
        <v>4.4625932866133033E-3</v>
      </c>
      <c r="Y290" s="21">
        <f t="shared" si="559"/>
        <v>553938</v>
      </c>
      <c r="Z290" s="52">
        <v>5597</v>
      </c>
      <c r="AA290" s="4"/>
      <c r="AB290" s="4"/>
      <c r="AC290" s="35">
        <v>168</v>
      </c>
      <c r="AD290" s="4"/>
      <c r="AE290" s="36"/>
      <c r="AF290" s="4">
        <v>15</v>
      </c>
      <c r="AG290" s="4"/>
      <c r="AH290" s="37"/>
      <c r="AI290" s="34"/>
      <c r="AJ290" s="4"/>
      <c r="AK290" s="37"/>
      <c r="AL290" s="34"/>
      <c r="AM290" s="4"/>
      <c r="AN290" s="4"/>
      <c r="AO290" s="37"/>
      <c r="AP290" s="52">
        <v>8835</v>
      </c>
      <c r="AR290" s="4"/>
      <c r="AS290" s="4"/>
      <c r="AT290" s="37"/>
      <c r="AU290" s="4"/>
      <c r="AV290" s="4"/>
      <c r="AW290" s="4"/>
      <c r="AX290" s="4"/>
    </row>
    <row r="291" spans="1:50" x14ac:dyDescent="0.2">
      <c r="A291" s="110">
        <v>37469</v>
      </c>
      <c r="B291" s="3">
        <v>161</v>
      </c>
      <c r="C291" s="4"/>
      <c r="D291" s="4"/>
      <c r="E291" s="47">
        <v>364</v>
      </c>
      <c r="F291" s="4"/>
      <c r="G291" s="36"/>
      <c r="H291" s="4">
        <v>13</v>
      </c>
      <c r="I291" s="4"/>
      <c r="J291" s="4"/>
      <c r="K291" s="34"/>
      <c r="L291" s="4"/>
      <c r="M291" s="37"/>
      <c r="N291" s="52">
        <v>122</v>
      </c>
      <c r="O291" s="6">
        <f t="shared" si="554"/>
        <v>2.2497353794861014E-4</v>
      </c>
      <c r="P291" s="3">
        <f>494111+47743+432</f>
        <v>542286</v>
      </c>
      <c r="Q291" s="55">
        <v>2236</v>
      </c>
      <c r="R291" s="6">
        <f t="shared" si="555"/>
        <v>0.21297266406324411</v>
      </c>
      <c r="S291" s="33">
        <v>10499</v>
      </c>
      <c r="T291" s="3">
        <v>193</v>
      </c>
      <c r="U291" s="6">
        <f t="shared" si="556"/>
        <v>0.49234693877551022</v>
      </c>
      <c r="V291" s="37">
        <v>392</v>
      </c>
      <c r="W291" s="52">
        <f t="shared" si="557"/>
        <v>2551</v>
      </c>
      <c r="X291" s="6">
        <f t="shared" si="558"/>
        <v>4.6115438638988969E-3</v>
      </c>
      <c r="Y291" s="21">
        <f t="shared" si="559"/>
        <v>553177</v>
      </c>
      <c r="Z291" s="52">
        <v>5571</v>
      </c>
      <c r="AA291" s="4"/>
      <c r="AB291" s="4"/>
      <c r="AC291" s="35">
        <v>164</v>
      </c>
      <c r="AD291" s="4"/>
      <c r="AE291" s="36"/>
      <c r="AF291" s="4">
        <v>15</v>
      </c>
      <c r="AG291" s="4"/>
      <c r="AH291" s="37"/>
      <c r="AI291" s="34"/>
      <c r="AJ291" s="4"/>
      <c r="AK291" s="37"/>
      <c r="AL291" s="34"/>
      <c r="AM291" s="4"/>
      <c r="AN291" s="4"/>
      <c r="AO291" s="37"/>
      <c r="AP291" s="52">
        <v>8789</v>
      </c>
      <c r="AR291" s="4"/>
      <c r="AS291" s="4"/>
      <c r="AT291" s="37"/>
      <c r="AU291" s="4"/>
      <c r="AV291" s="4"/>
      <c r="AW291" s="4"/>
      <c r="AX291" s="4"/>
    </row>
    <row r="292" spans="1:50" x14ac:dyDescent="0.2">
      <c r="A292" s="110">
        <v>37438</v>
      </c>
      <c r="B292" s="3">
        <v>173</v>
      </c>
      <c r="C292" s="4"/>
      <c r="D292" s="4"/>
      <c r="E292" s="47">
        <v>382</v>
      </c>
      <c r="F292" s="4"/>
      <c r="G292" s="36"/>
      <c r="H292" s="4">
        <v>13</v>
      </c>
      <c r="I292" s="4"/>
      <c r="J292" s="4"/>
      <c r="K292" s="34"/>
      <c r="L292" s="4"/>
      <c r="M292" s="37"/>
      <c r="N292" s="52">
        <v>123</v>
      </c>
      <c r="O292" s="6">
        <f t="shared" si="554"/>
        <v>2.2715184824040422E-4</v>
      </c>
      <c r="P292" s="3">
        <f>493406+47650+432</f>
        <v>541488</v>
      </c>
      <c r="Q292" s="55">
        <v>2334</v>
      </c>
      <c r="R292" s="6">
        <f t="shared" si="555"/>
        <v>0.22296522735957203</v>
      </c>
      <c r="S292" s="33">
        <v>10468</v>
      </c>
      <c r="T292" s="3">
        <v>197</v>
      </c>
      <c r="U292" s="6">
        <f t="shared" si="556"/>
        <v>0.50383631713554988</v>
      </c>
      <c r="V292" s="37">
        <v>391</v>
      </c>
      <c r="W292" s="52">
        <f t="shared" si="557"/>
        <v>2654</v>
      </c>
      <c r="X292" s="6">
        <f t="shared" si="558"/>
        <v>4.8049505111822819E-3</v>
      </c>
      <c r="Y292" s="21">
        <f t="shared" si="559"/>
        <v>552347</v>
      </c>
      <c r="Z292" s="52">
        <v>5467</v>
      </c>
      <c r="AA292" s="4"/>
      <c r="AB292" s="4"/>
      <c r="AC292" s="35">
        <v>161</v>
      </c>
      <c r="AD292" s="4"/>
      <c r="AE292" s="36"/>
      <c r="AF292" s="4">
        <v>15</v>
      </c>
      <c r="AG292" s="4"/>
      <c r="AH292" s="37"/>
      <c r="AI292" s="34"/>
      <c r="AJ292" s="4"/>
      <c r="AK292" s="37"/>
      <c r="AL292" s="34"/>
      <c r="AM292" s="4"/>
      <c r="AN292" s="4"/>
      <c r="AO292" s="37"/>
      <c r="AP292" s="52">
        <v>8839</v>
      </c>
      <c r="AR292" s="4"/>
      <c r="AS292" s="4"/>
      <c r="AT292" s="37"/>
      <c r="AU292" s="4"/>
      <c r="AV292" s="4"/>
      <c r="AW292" s="4"/>
      <c r="AX292" s="4"/>
    </row>
    <row r="293" spans="1:50" x14ac:dyDescent="0.2">
      <c r="A293" s="110">
        <v>37408</v>
      </c>
      <c r="B293" s="3">
        <v>175</v>
      </c>
      <c r="C293" s="4"/>
      <c r="D293" s="4"/>
      <c r="E293" s="47">
        <v>384</v>
      </c>
      <c r="F293" s="4"/>
      <c r="G293" s="36"/>
      <c r="H293" s="4">
        <v>14</v>
      </c>
      <c r="I293" s="4"/>
      <c r="J293" s="4"/>
      <c r="K293" s="34"/>
      <c r="L293" s="4"/>
      <c r="M293" s="37"/>
      <c r="N293" s="52">
        <v>124</v>
      </c>
      <c r="O293" s="6">
        <f t="shared" si="554"/>
        <v>2.2923059858764373E-4</v>
      </c>
      <c r="P293" s="3">
        <f>492893+47614+433</f>
        <v>540940</v>
      </c>
      <c r="Q293" s="55">
        <v>2338</v>
      </c>
      <c r="R293" s="6">
        <f t="shared" si="555"/>
        <v>0.22465648121456711</v>
      </c>
      <c r="S293" s="33">
        <v>10407</v>
      </c>
      <c r="T293" s="3">
        <v>198</v>
      </c>
      <c r="U293" s="6">
        <f t="shared" si="556"/>
        <v>0.50126582278481013</v>
      </c>
      <c r="V293" s="37">
        <v>395</v>
      </c>
      <c r="W293" s="52">
        <f t="shared" si="557"/>
        <v>2660</v>
      </c>
      <c r="X293" s="6">
        <f t="shared" si="558"/>
        <v>4.8210939170844347E-3</v>
      </c>
      <c r="Y293" s="21">
        <f t="shared" si="559"/>
        <v>551742</v>
      </c>
      <c r="Z293" s="52">
        <v>5262</v>
      </c>
      <c r="AA293" s="4"/>
      <c r="AB293" s="4"/>
      <c r="AC293" s="35">
        <v>160</v>
      </c>
      <c r="AD293" s="4"/>
      <c r="AE293" s="36"/>
      <c r="AF293" s="4">
        <v>15</v>
      </c>
      <c r="AG293" s="4"/>
      <c r="AH293" s="37"/>
      <c r="AI293" s="34"/>
      <c r="AJ293" s="4"/>
      <c r="AK293" s="37"/>
      <c r="AL293" s="34"/>
      <c r="AM293" s="4"/>
      <c r="AN293" s="4"/>
      <c r="AO293" s="37"/>
      <c r="AP293" s="52">
        <v>8865</v>
      </c>
      <c r="AR293" s="4"/>
      <c r="AS293" s="4"/>
      <c r="AT293" s="37"/>
      <c r="AU293" s="4"/>
      <c r="AV293" s="4"/>
      <c r="AW293" s="4"/>
      <c r="AX293" s="4"/>
    </row>
    <row r="294" spans="1:50" x14ac:dyDescent="0.2">
      <c r="A294" s="110">
        <v>37377</v>
      </c>
      <c r="B294" s="3">
        <v>177</v>
      </c>
      <c r="C294" s="4"/>
      <c r="D294" s="4"/>
      <c r="E294" s="47">
        <v>385</v>
      </c>
      <c r="F294" s="4"/>
      <c r="G294" s="36"/>
      <c r="H294" s="4">
        <v>14</v>
      </c>
      <c r="I294" s="4"/>
      <c r="J294" s="4"/>
      <c r="K294" s="34"/>
      <c r="L294" s="4"/>
      <c r="M294" s="37"/>
      <c r="N294" s="52">
        <v>126</v>
      </c>
      <c r="O294" s="6">
        <f t="shared" si="554"/>
        <v>2.331058393012745E-4</v>
      </c>
      <c r="P294" s="3">
        <f>492578+47516+433</f>
        <v>540527</v>
      </c>
      <c r="Q294" s="55">
        <v>2396</v>
      </c>
      <c r="R294" s="6">
        <f t="shared" si="555"/>
        <v>0.231945788964182</v>
      </c>
      <c r="S294" s="33">
        <v>10330</v>
      </c>
      <c r="T294" s="3">
        <v>212</v>
      </c>
      <c r="U294" s="6">
        <f t="shared" si="556"/>
        <v>0.53670886075949364</v>
      </c>
      <c r="V294" s="37">
        <v>395</v>
      </c>
      <c r="W294" s="52">
        <f t="shared" si="557"/>
        <v>2734</v>
      </c>
      <c r="X294" s="6">
        <f t="shared" si="558"/>
        <v>4.9596191941253731E-3</v>
      </c>
      <c r="Y294" s="21">
        <f t="shared" si="559"/>
        <v>551252</v>
      </c>
      <c r="Z294" s="52">
        <v>4723</v>
      </c>
      <c r="AA294" s="4"/>
      <c r="AB294" s="4"/>
      <c r="AC294" s="35">
        <v>158</v>
      </c>
      <c r="AD294" s="4"/>
      <c r="AE294" s="36"/>
      <c r="AF294" s="4">
        <v>15</v>
      </c>
      <c r="AG294" s="4"/>
      <c r="AH294" s="37"/>
      <c r="AI294" s="34"/>
      <c r="AJ294" s="4"/>
      <c r="AK294" s="37"/>
      <c r="AL294" s="34"/>
      <c r="AM294" s="4"/>
      <c r="AN294" s="4"/>
      <c r="AO294" s="37"/>
      <c r="AP294" s="52">
        <v>8670</v>
      </c>
      <c r="AR294" s="4"/>
      <c r="AS294" s="4"/>
      <c r="AT294" s="37"/>
      <c r="AU294" s="4"/>
      <c r="AV294" s="4"/>
      <c r="AW294" s="4"/>
      <c r="AX294" s="4"/>
    </row>
    <row r="295" spans="1:50" x14ac:dyDescent="0.2">
      <c r="A295" s="110">
        <v>37347</v>
      </c>
      <c r="B295" s="3">
        <v>178</v>
      </c>
      <c r="C295" s="4"/>
      <c r="D295" s="4"/>
      <c r="E295" s="47">
        <v>383</v>
      </c>
      <c r="F295" s="4"/>
      <c r="G295" s="36"/>
      <c r="H295" s="4">
        <v>19</v>
      </c>
      <c r="I295" s="4"/>
      <c r="J295" s="4"/>
      <c r="K295" s="34"/>
      <c r="L295" s="4"/>
      <c r="M295" s="37"/>
      <c r="N295" s="52">
        <v>133</v>
      </c>
      <c r="O295" s="6">
        <f t="shared" si="554"/>
        <v>2.4604250800563124E-4</v>
      </c>
      <c r="P295" s="3">
        <f>492315+47809+433</f>
        <v>540557</v>
      </c>
      <c r="Q295" s="55">
        <v>3321</v>
      </c>
      <c r="R295" s="6">
        <f t="shared" si="555"/>
        <v>0.33538679054736414</v>
      </c>
      <c r="S295" s="33">
        <v>9902</v>
      </c>
      <c r="T295" s="3">
        <v>256</v>
      </c>
      <c r="U295" s="6">
        <f t="shared" si="556"/>
        <v>0.64483627204030225</v>
      </c>
      <c r="V295" s="37">
        <v>397</v>
      </c>
      <c r="W295" s="52">
        <f t="shared" si="557"/>
        <v>3710</v>
      </c>
      <c r="X295" s="6">
        <f t="shared" si="558"/>
        <v>6.734972479196015E-3</v>
      </c>
      <c r="Y295" s="21">
        <f t="shared" si="559"/>
        <v>550856</v>
      </c>
      <c r="Z295" s="52">
        <v>2750</v>
      </c>
      <c r="AA295" s="4"/>
      <c r="AB295" s="4"/>
      <c r="AC295" s="35">
        <v>156</v>
      </c>
      <c r="AD295" s="4"/>
      <c r="AE295" s="36"/>
      <c r="AF295" s="4">
        <v>15</v>
      </c>
      <c r="AG295" s="4"/>
      <c r="AH295" s="37"/>
      <c r="AI295" s="34"/>
      <c r="AJ295" s="4"/>
      <c r="AK295" s="37"/>
      <c r="AL295" s="34"/>
      <c r="AM295" s="4"/>
      <c r="AN295" s="4"/>
      <c r="AO295" s="37"/>
      <c r="AP295" s="52">
        <v>8206</v>
      </c>
      <c r="AR295" s="4"/>
      <c r="AS295" s="4"/>
      <c r="AT295" s="37"/>
      <c r="AU295" s="4"/>
      <c r="AV295" s="4"/>
      <c r="AW295" s="4"/>
      <c r="AX295" s="4"/>
    </row>
    <row r="296" spans="1:50" x14ac:dyDescent="0.2">
      <c r="A296" s="110">
        <v>37316</v>
      </c>
      <c r="B296" s="3">
        <v>177</v>
      </c>
      <c r="C296" s="4"/>
      <c r="D296" s="4"/>
      <c r="E296" s="47">
        <v>383</v>
      </c>
      <c r="F296" s="4"/>
      <c r="G296" s="36"/>
      <c r="H296" s="4">
        <v>20</v>
      </c>
      <c r="I296" s="4"/>
      <c r="J296" s="4"/>
      <c r="K296" s="34"/>
      <c r="L296" s="4"/>
      <c r="M296" s="37"/>
      <c r="N296" s="52">
        <v>125</v>
      </c>
      <c r="O296" s="6">
        <f t="shared" si="554"/>
        <v>2.315020594423208E-4</v>
      </c>
      <c r="P296" s="3">
        <f>491861+47658+433</f>
        <v>539952</v>
      </c>
      <c r="Q296" s="55">
        <v>3368</v>
      </c>
      <c r="R296" s="6">
        <f t="shared" si="555"/>
        <v>0.34483464728166274</v>
      </c>
      <c r="S296" s="33">
        <v>9767</v>
      </c>
      <c r="T296" s="3">
        <v>256</v>
      </c>
      <c r="U296" s="6">
        <f t="shared" si="556"/>
        <v>0.65139949109414763</v>
      </c>
      <c r="V296" s="37">
        <v>393</v>
      </c>
      <c r="W296" s="52">
        <f t="shared" si="557"/>
        <v>3749</v>
      </c>
      <c r="X296" s="6">
        <f t="shared" si="558"/>
        <v>6.8149758594613459E-3</v>
      </c>
      <c r="Y296" s="21">
        <f t="shared" si="559"/>
        <v>550112</v>
      </c>
      <c r="Z296" s="52">
        <v>2240</v>
      </c>
      <c r="AA296" s="4"/>
      <c r="AB296" s="4"/>
      <c r="AC296" s="35">
        <v>150</v>
      </c>
      <c r="AD296" s="4"/>
      <c r="AE296" s="36"/>
      <c r="AF296" s="4">
        <v>16</v>
      </c>
      <c r="AG296" s="4"/>
      <c r="AH296" s="37"/>
      <c r="AI296" s="34"/>
      <c r="AJ296" s="4"/>
      <c r="AK296" s="37"/>
      <c r="AL296" s="34"/>
      <c r="AM296" s="4"/>
      <c r="AN296" s="4"/>
      <c r="AO296" s="37"/>
      <c r="AP296" s="52">
        <v>7211</v>
      </c>
      <c r="AR296" s="4"/>
      <c r="AS296" s="4"/>
      <c r="AT296" s="37"/>
      <c r="AU296" s="4"/>
      <c r="AV296" s="4"/>
      <c r="AW296" s="4"/>
      <c r="AX296" s="4"/>
    </row>
    <row r="297" spans="1:50" x14ac:dyDescent="0.2">
      <c r="A297" s="110">
        <v>37288</v>
      </c>
      <c r="B297" s="3">
        <v>170</v>
      </c>
      <c r="C297" s="4"/>
      <c r="D297" s="36"/>
      <c r="E297" s="47">
        <v>346</v>
      </c>
      <c r="F297" s="4"/>
      <c r="G297" s="36"/>
      <c r="H297" s="4">
        <v>19</v>
      </c>
      <c r="I297" s="4"/>
      <c r="J297" s="4"/>
      <c r="K297" s="34"/>
      <c r="L297" s="4"/>
      <c r="M297" s="37"/>
      <c r="N297" s="52">
        <v>149</v>
      </c>
      <c r="O297" s="6">
        <f t="shared" si="554"/>
        <v>2.7626204474703479E-4</v>
      </c>
      <c r="P297" s="3">
        <f>491410+47503+430</f>
        <v>539343</v>
      </c>
      <c r="Q297" s="55">
        <v>3243</v>
      </c>
      <c r="R297" s="6">
        <f t="shared" si="555"/>
        <v>0.33432989690721648</v>
      </c>
      <c r="S297" s="33">
        <v>9700</v>
      </c>
      <c r="T297" s="3">
        <v>249</v>
      </c>
      <c r="U297" s="6">
        <f t="shared" si="556"/>
        <v>0.64507772020725385</v>
      </c>
      <c r="V297" s="37">
        <v>386</v>
      </c>
      <c r="W297" s="52">
        <f t="shared" si="557"/>
        <v>3641</v>
      </c>
      <c r="X297" s="6">
        <f t="shared" si="558"/>
        <v>6.6268799062299223E-3</v>
      </c>
      <c r="Y297" s="21">
        <f t="shared" si="559"/>
        <v>549429</v>
      </c>
      <c r="Z297" s="52">
        <v>2010</v>
      </c>
      <c r="AA297" s="4"/>
      <c r="AB297" s="4"/>
      <c r="AC297" s="35">
        <v>147</v>
      </c>
      <c r="AD297" s="4"/>
      <c r="AE297" s="36"/>
      <c r="AF297" s="4">
        <v>15</v>
      </c>
      <c r="AG297" s="4"/>
      <c r="AH297" s="37"/>
      <c r="AI297" s="34"/>
      <c r="AJ297" s="4"/>
      <c r="AK297" s="37"/>
      <c r="AL297" s="34"/>
      <c r="AM297" s="4"/>
      <c r="AN297" s="4"/>
      <c r="AO297" s="37"/>
      <c r="AP297" s="52">
        <v>6735</v>
      </c>
      <c r="AR297" s="4"/>
      <c r="AS297" s="4"/>
      <c r="AT297" s="37"/>
      <c r="AU297" s="4"/>
      <c r="AV297" s="4"/>
      <c r="AW297" s="4"/>
      <c r="AX297" s="4"/>
    </row>
    <row r="298" spans="1:50" x14ac:dyDescent="0.2">
      <c r="A298" s="110">
        <v>37257</v>
      </c>
      <c r="B298" s="3">
        <v>154</v>
      </c>
      <c r="C298" s="4"/>
      <c r="D298" s="4"/>
      <c r="E298" s="47">
        <v>304</v>
      </c>
      <c r="F298" s="4"/>
      <c r="G298" s="36"/>
      <c r="H298" s="4">
        <v>18</v>
      </c>
      <c r="I298" s="4"/>
      <c r="J298" s="4"/>
      <c r="K298" s="34"/>
      <c r="L298" s="4"/>
      <c r="M298" s="37"/>
      <c r="N298" s="52">
        <v>163</v>
      </c>
      <c r="O298" s="6">
        <f t="shared" si="554"/>
        <v>3.0272639477007651E-4</v>
      </c>
      <c r="P298" s="3">
        <f>490703+47309+428</f>
        <v>538440</v>
      </c>
      <c r="Q298" s="55">
        <v>3092</v>
      </c>
      <c r="R298" s="6">
        <f t="shared" si="555"/>
        <v>0.31755160727123344</v>
      </c>
      <c r="S298" s="33">
        <v>9737</v>
      </c>
      <c r="T298" s="3">
        <v>245</v>
      </c>
      <c r="U298" s="6">
        <f t="shared" si="556"/>
        <v>0.63144329896907214</v>
      </c>
      <c r="V298" s="37">
        <v>388</v>
      </c>
      <c r="W298" s="52">
        <f t="shared" si="557"/>
        <v>3500</v>
      </c>
      <c r="X298" s="6">
        <f t="shared" si="558"/>
        <v>6.3802831022759382E-3</v>
      </c>
      <c r="Y298" s="21">
        <f t="shared" si="559"/>
        <v>548565</v>
      </c>
      <c r="Z298" s="52">
        <v>1650</v>
      </c>
      <c r="AA298" s="4"/>
      <c r="AB298" s="4"/>
      <c r="AC298" s="35">
        <v>172</v>
      </c>
      <c r="AD298" s="4"/>
      <c r="AE298" s="36"/>
      <c r="AF298" s="4">
        <v>15</v>
      </c>
      <c r="AG298" s="4"/>
      <c r="AH298" s="37"/>
      <c r="AI298" s="34"/>
      <c r="AJ298" s="4"/>
      <c r="AK298" s="37"/>
      <c r="AL298" s="34"/>
      <c r="AM298" s="4"/>
      <c r="AN298" s="4"/>
      <c r="AO298" s="37"/>
      <c r="AP298" s="52">
        <v>6348</v>
      </c>
      <c r="AR298" s="4"/>
      <c r="AS298" s="4"/>
      <c r="AT298" s="37"/>
      <c r="AU298" s="4"/>
      <c r="AV298" s="4"/>
      <c r="AW298" s="4"/>
      <c r="AX298" s="4"/>
    </row>
    <row r="299" spans="1:50" x14ac:dyDescent="0.2">
      <c r="A299" s="110">
        <v>37226</v>
      </c>
      <c r="B299" s="3">
        <v>133</v>
      </c>
      <c r="C299" s="4"/>
      <c r="D299" s="4"/>
      <c r="E299" s="47">
        <v>225</v>
      </c>
      <c r="F299" s="4"/>
      <c r="G299" s="36"/>
      <c r="H299" s="4">
        <v>18</v>
      </c>
      <c r="I299" s="4"/>
      <c r="J299" s="4"/>
      <c r="K299" s="34"/>
      <c r="L299" s="4"/>
      <c r="M299" s="37"/>
      <c r="N299" s="52">
        <v>161</v>
      </c>
      <c r="O299" s="6">
        <f t="shared" si="554"/>
        <v>2.995510455447829E-4</v>
      </c>
      <c r="P299" s="3">
        <f>489925+47119+427</f>
        <v>537471</v>
      </c>
      <c r="Q299" s="55">
        <v>2908</v>
      </c>
      <c r="R299" s="6">
        <f t="shared" si="555"/>
        <v>0.29734151329243352</v>
      </c>
      <c r="S299" s="33">
        <v>9780</v>
      </c>
      <c r="T299" s="3">
        <v>238</v>
      </c>
      <c r="U299" s="6">
        <f t="shared" si="556"/>
        <v>0.61818181818181817</v>
      </c>
      <c r="V299" s="37">
        <v>385</v>
      </c>
      <c r="W299" s="52">
        <f t="shared" si="557"/>
        <v>3307</v>
      </c>
      <c r="X299" s="6">
        <f t="shared" si="558"/>
        <v>6.0386826286073234E-3</v>
      </c>
      <c r="Y299" s="21">
        <f t="shared" si="559"/>
        <v>547636</v>
      </c>
      <c r="Z299" s="52">
        <v>1281</v>
      </c>
      <c r="AA299" s="4"/>
      <c r="AB299" s="4"/>
      <c r="AC299" s="35">
        <v>130</v>
      </c>
      <c r="AD299" s="4"/>
      <c r="AE299" s="36"/>
      <c r="AF299" s="4">
        <v>14</v>
      </c>
      <c r="AG299" s="4"/>
      <c r="AH299" s="37"/>
      <c r="AI299" s="34"/>
      <c r="AJ299" s="4"/>
      <c r="AK299" s="37"/>
      <c r="AL299" s="34"/>
      <c r="AM299" s="4"/>
      <c r="AN299" s="4"/>
      <c r="AO299" s="37"/>
      <c r="AP299" s="52">
        <v>5813</v>
      </c>
      <c r="AR299" s="4"/>
      <c r="AS299" s="4"/>
      <c r="AT299" s="37"/>
      <c r="AU299" s="4"/>
      <c r="AV299" s="4"/>
      <c r="AW299" s="4"/>
      <c r="AX299" s="4"/>
    </row>
    <row r="300" spans="1:50" x14ac:dyDescent="0.2">
      <c r="A300" s="110">
        <v>37196</v>
      </c>
      <c r="B300" s="3">
        <v>125</v>
      </c>
      <c r="C300" s="4"/>
      <c r="D300" s="4"/>
      <c r="E300" s="47">
        <v>203</v>
      </c>
      <c r="F300" s="4"/>
      <c r="G300" s="36"/>
      <c r="H300" s="4">
        <v>18</v>
      </c>
      <c r="I300" s="4"/>
      <c r="J300" s="4"/>
      <c r="K300" s="34"/>
      <c r="L300" s="4"/>
      <c r="M300" s="37"/>
      <c r="N300" s="52">
        <v>162</v>
      </c>
      <c r="O300" s="6">
        <f t="shared" si="554"/>
        <v>3.0206410471555632E-4</v>
      </c>
      <c r="P300" s="3">
        <f>488997+46886+427</f>
        <v>536310</v>
      </c>
      <c r="Q300" s="55">
        <v>2808</v>
      </c>
      <c r="R300" s="6">
        <f t="shared" si="555"/>
        <v>0.28603443007028623</v>
      </c>
      <c r="S300" s="33">
        <v>9817</v>
      </c>
      <c r="T300" s="3">
        <v>231</v>
      </c>
      <c r="U300" s="6">
        <f t="shared" si="556"/>
        <v>0.60949868073878632</v>
      </c>
      <c r="V300" s="37">
        <v>379</v>
      </c>
      <c r="W300" s="52">
        <f t="shared" si="557"/>
        <v>3201</v>
      </c>
      <c r="X300" s="6">
        <f t="shared" si="558"/>
        <v>5.8572092529633711E-3</v>
      </c>
      <c r="Y300" s="21">
        <f t="shared" si="559"/>
        <v>546506</v>
      </c>
      <c r="Z300" s="52">
        <v>1095</v>
      </c>
      <c r="AA300" s="4"/>
      <c r="AB300" s="4"/>
      <c r="AC300" s="35">
        <v>89</v>
      </c>
      <c r="AD300" s="4"/>
      <c r="AE300" s="36"/>
      <c r="AF300" s="4">
        <v>14</v>
      </c>
      <c r="AG300" s="4"/>
      <c r="AH300" s="37"/>
      <c r="AI300" s="34"/>
      <c r="AJ300" s="4"/>
      <c r="AK300" s="37"/>
      <c r="AL300" s="34"/>
      <c r="AM300" s="4"/>
      <c r="AN300" s="4"/>
      <c r="AO300" s="37"/>
      <c r="AP300" s="52">
        <v>5108</v>
      </c>
      <c r="AR300" s="4"/>
      <c r="AS300" s="4"/>
      <c r="AT300" s="37"/>
      <c r="AU300" s="4"/>
      <c r="AV300" s="4"/>
      <c r="AW300" s="4"/>
      <c r="AX300" s="4"/>
    </row>
    <row r="301" spans="1:50" x14ac:dyDescent="0.2">
      <c r="A301" s="110">
        <v>37165</v>
      </c>
      <c r="B301" s="3">
        <v>121</v>
      </c>
      <c r="C301" s="4"/>
      <c r="D301" s="4"/>
      <c r="E301" s="47">
        <v>179</v>
      </c>
      <c r="F301" s="4"/>
      <c r="G301" s="36"/>
      <c r="H301" s="4">
        <v>18</v>
      </c>
      <c r="I301" s="4"/>
      <c r="J301" s="4"/>
      <c r="K301" s="34"/>
      <c r="L301" s="4"/>
      <c r="M301" s="37"/>
      <c r="N301" s="52">
        <v>170</v>
      </c>
      <c r="O301" s="6">
        <f t="shared" si="554"/>
        <v>3.1711684823160723E-4</v>
      </c>
      <c r="P301" s="3">
        <f>488779+46875+426</f>
        <v>536080</v>
      </c>
      <c r="Q301" s="55">
        <v>2644</v>
      </c>
      <c r="R301" s="6">
        <f t="shared" si="555"/>
        <v>0.27029237374769988</v>
      </c>
      <c r="S301" s="33">
        <v>9782</v>
      </c>
      <c r="T301" s="3">
        <v>229</v>
      </c>
      <c r="U301" s="6">
        <f t="shared" si="556"/>
        <v>0.60582010582010581</v>
      </c>
      <c r="V301" s="37">
        <v>378</v>
      </c>
      <c r="W301" s="52">
        <f t="shared" si="557"/>
        <v>3043</v>
      </c>
      <c r="X301" s="6">
        <f t="shared" si="558"/>
        <v>5.5708113649677801E-3</v>
      </c>
      <c r="Y301" s="21">
        <f t="shared" si="559"/>
        <v>546240</v>
      </c>
      <c r="Z301" s="52">
        <v>1072</v>
      </c>
      <c r="AA301" s="4"/>
      <c r="AB301" s="4"/>
      <c r="AC301" s="35">
        <v>89</v>
      </c>
      <c r="AD301" s="4"/>
      <c r="AE301" s="36"/>
      <c r="AF301" s="4">
        <v>13</v>
      </c>
      <c r="AG301" s="4"/>
      <c r="AH301" s="37"/>
      <c r="AI301" s="34"/>
      <c r="AJ301" s="4"/>
      <c r="AK301" s="37"/>
      <c r="AL301" s="34"/>
      <c r="AM301" s="4"/>
      <c r="AN301" s="4"/>
      <c r="AO301" s="37"/>
      <c r="AP301" s="52">
        <v>4745</v>
      </c>
      <c r="AR301" s="4"/>
      <c r="AS301" s="4"/>
      <c r="AT301" s="37"/>
      <c r="AU301" s="4"/>
      <c r="AV301" s="4"/>
      <c r="AW301" s="4"/>
      <c r="AX301" s="4"/>
    </row>
    <row r="302" spans="1:50" x14ac:dyDescent="0.2">
      <c r="A302" s="110">
        <v>37135</v>
      </c>
      <c r="B302" s="3">
        <v>85</v>
      </c>
      <c r="C302" s="4"/>
      <c r="D302" s="4"/>
      <c r="E302" s="47">
        <v>140</v>
      </c>
      <c r="F302" s="4"/>
      <c r="G302" s="36"/>
      <c r="H302" s="4">
        <v>17</v>
      </c>
      <c r="I302" s="4"/>
      <c r="J302" s="4"/>
      <c r="K302" s="34"/>
      <c r="L302" s="4"/>
      <c r="M302" s="37"/>
      <c r="N302" s="52">
        <v>176</v>
      </c>
      <c r="O302" s="6">
        <f t="shared" si="554"/>
        <v>3.2861754705672573E-4</v>
      </c>
      <c r="P302" s="3">
        <f>488292+46860+425</f>
        <v>535577</v>
      </c>
      <c r="Q302" s="55">
        <v>2417</v>
      </c>
      <c r="R302" s="6">
        <f t="shared" si="555"/>
        <v>0.24761807191886076</v>
      </c>
      <c r="S302" s="33">
        <v>9761</v>
      </c>
      <c r="T302" s="3">
        <v>213</v>
      </c>
      <c r="U302" s="6">
        <f t="shared" si="556"/>
        <v>0.57104557640750675</v>
      </c>
      <c r="V302" s="37">
        <v>373</v>
      </c>
      <c r="W302" s="52">
        <f t="shared" si="557"/>
        <v>2806</v>
      </c>
      <c r="X302" s="6">
        <f t="shared" si="558"/>
        <v>5.1419157759326822E-3</v>
      </c>
      <c r="Y302" s="21">
        <f t="shared" si="559"/>
        <v>545711</v>
      </c>
      <c r="Z302" s="52">
        <v>1065</v>
      </c>
      <c r="AA302" s="4"/>
      <c r="AB302" s="4"/>
      <c r="AC302" s="35">
        <v>37</v>
      </c>
      <c r="AD302" s="4"/>
      <c r="AE302" s="36"/>
      <c r="AF302" s="4">
        <v>10</v>
      </c>
      <c r="AG302" s="4"/>
      <c r="AH302" s="37"/>
      <c r="AI302" s="34"/>
      <c r="AJ302" s="4"/>
      <c r="AK302" s="37"/>
      <c r="AL302" s="34"/>
      <c r="AM302" s="4"/>
      <c r="AN302" s="4"/>
      <c r="AO302" s="37"/>
      <c r="AP302" s="52">
        <v>4535</v>
      </c>
      <c r="AR302" s="4"/>
      <c r="AS302" s="4"/>
      <c r="AT302" s="37"/>
      <c r="AU302" s="4"/>
      <c r="AV302" s="4"/>
      <c r="AW302" s="4"/>
      <c r="AX302" s="4"/>
    </row>
    <row r="303" spans="1:50" x14ac:dyDescent="0.2">
      <c r="A303" s="110">
        <v>37104</v>
      </c>
      <c r="B303" s="3">
        <v>73</v>
      </c>
      <c r="C303" s="4"/>
      <c r="D303" s="4"/>
      <c r="E303" s="47">
        <v>121</v>
      </c>
      <c r="F303" s="4"/>
      <c r="G303" s="36"/>
      <c r="H303" s="4">
        <v>18</v>
      </c>
      <c r="I303" s="4"/>
      <c r="J303" s="4"/>
      <c r="K303" s="34"/>
      <c r="L303" s="4"/>
      <c r="M303" s="37"/>
      <c r="N303" s="52">
        <v>169</v>
      </c>
      <c r="O303" s="6">
        <f t="shared" si="554"/>
        <v>3.1644977062072842E-4</v>
      </c>
      <c r="P303" s="3">
        <f>487014+46608+428</f>
        <v>534050</v>
      </c>
      <c r="Q303" s="55">
        <v>2291</v>
      </c>
      <c r="R303" s="6">
        <f t="shared" si="555"/>
        <v>0.23531224322103533</v>
      </c>
      <c r="S303" s="33">
        <v>9736</v>
      </c>
      <c r="T303" s="3">
        <v>200</v>
      </c>
      <c r="U303" s="6">
        <f t="shared" si="556"/>
        <v>0.54200542005420049</v>
      </c>
      <c r="V303" s="37">
        <v>369</v>
      </c>
      <c r="W303" s="52">
        <f t="shared" si="557"/>
        <v>2660</v>
      </c>
      <c r="X303" s="6">
        <f t="shared" si="558"/>
        <v>4.8883130725620458E-3</v>
      </c>
      <c r="Y303" s="21">
        <f t="shared" si="559"/>
        <v>544155</v>
      </c>
      <c r="Z303" s="52">
        <v>1815</v>
      </c>
      <c r="AA303" s="4"/>
      <c r="AB303" s="4"/>
      <c r="AC303" s="35">
        <v>104</v>
      </c>
      <c r="AD303" s="4"/>
      <c r="AE303" s="36"/>
      <c r="AF303" s="4">
        <v>10</v>
      </c>
      <c r="AG303" s="4"/>
      <c r="AH303" s="37"/>
      <c r="AI303" s="34"/>
      <c r="AJ303" s="4"/>
      <c r="AK303" s="37"/>
      <c r="AL303" s="34"/>
      <c r="AM303" s="4"/>
      <c r="AN303" s="4"/>
      <c r="AO303" s="37"/>
      <c r="AP303" s="52">
        <v>4160</v>
      </c>
      <c r="AR303" s="4"/>
      <c r="AS303" s="4"/>
      <c r="AT303" s="37"/>
      <c r="AU303" s="4"/>
      <c r="AV303" s="4"/>
      <c r="AW303" s="4"/>
      <c r="AX303" s="4"/>
    </row>
    <row r="304" spans="1:50" x14ac:dyDescent="0.2">
      <c r="A304" s="110">
        <v>37073</v>
      </c>
      <c r="B304" s="3">
        <v>72</v>
      </c>
      <c r="C304" s="4"/>
      <c r="D304" s="4"/>
      <c r="E304" s="47">
        <v>107</v>
      </c>
      <c r="F304" s="4"/>
      <c r="G304" s="36"/>
      <c r="H304" s="4">
        <v>13</v>
      </c>
      <c r="I304" s="4"/>
      <c r="J304" s="4"/>
      <c r="K304" s="34"/>
      <c r="L304" s="4"/>
      <c r="M304" s="37"/>
      <c r="N304" s="52">
        <v>161</v>
      </c>
      <c r="O304" s="6">
        <f t="shared" si="554"/>
        <v>3.017620278408271E-4</v>
      </c>
      <c r="P304" s="3">
        <f>486650+46454+429</f>
        <v>533533</v>
      </c>
      <c r="Q304" s="55">
        <v>2133</v>
      </c>
      <c r="R304" s="6">
        <f t="shared" si="555"/>
        <v>0.2171655467318265</v>
      </c>
      <c r="S304" s="33">
        <v>9822</v>
      </c>
      <c r="T304" s="3">
        <v>185</v>
      </c>
      <c r="U304" s="6">
        <f t="shared" si="556"/>
        <v>0.50684931506849318</v>
      </c>
      <c r="V304" s="37">
        <v>365</v>
      </c>
      <c r="W304" s="52">
        <f t="shared" si="557"/>
        <v>2479</v>
      </c>
      <c r="X304" s="6">
        <f t="shared" si="558"/>
        <v>4.5593320091223428E-3</v>
      </c>
      <c r="Y304" s="21">
        <f t="shared" si="559"/>
        <v>543720</v>
      </c>
      <c r="Z304" s="52">
        <v>1857</v>
      </c>
      <c r="AA304" s="4"/>
      <c r="AB304" s="4"/>
      <c r="AC304" s="35">
        <v>114</v>
      </c>
      <c r="AD304" s="4"/>
      <c r="AE304" s="36"/>
      <c r="AF304" s="4">
        <v>11</v>
      </c>
      <c r="AG304" s="4"/>
      <c r="AH304" s="37"/>
      <c r="AI304" s="34"/>
      <c r="AJ304" s="4"/>
      <c r="AK304" s="37"/>
      <c r="AL304" s="34"/>
      <c r="AM304" s="4"/>
      <c r="AN304" s="4"/>
      <c r="AO304" s="37"/>
      <c r="AP304" s="52">
        <v>4801</v>
      </c>
      <c r="AR304" s="4"/>
      <c r="AS304" s="4"/>
      <c r="AT304" s="37"/>
      <c r="AU304" s="4"/>
      <c r="AV304" s="4"/>
      <c r="AW304" s="4"/>
      <c r="AX304" s="4"/>
    </row>
    <row r="305" spans="1:50" x14ac:dyDescent="0.2">
      <c r="A305" s="110">
        <v>37043</v>
      </c>
      <c r="B305" s="3">
        <v>70</v>
      </c>
      <c r="C305" s="4"/>
      <c r="D305" s="4"/>
      <c r="E305" s="47">
        <v>106</v>
      </c>
      <c r="F305" s="4"/>
      <c r="G305" s="36"/>
      <c r="H305" s="4">
        <v>14</v>
      </c>
      <c r="I305" s="4"/>
      <c r="J305" s="4"/>
      <c r="K305" s="34"/>
      <c r="L305" s="4"/>
      <c r="M305" s="37"/>
      <c r="N305" s="52">
        <v>153</v>
      </c>
      <c r="O305" s="6">
        <f t="shared" si="554"/>
        <v>2.8709750056293625E-4</v>
      </c>
      <c r="P305" s="3">
        <f>486353+46142+425</f>
        <v>532920</v>
      </c>
      <c r="Q305" s="55">
        <v>1562</v>
      </c>
      <c r="R305" s="6">
        <f t="shared" si="555"/>
        <v>0.15621562156215621</v>
      </c>
      <c r="S305" s="33">
        <v>9999</v>
      </c>
      <c r="T305" s="3">
        <v>180</v>
      </c>
      <c r="U305" s="6">
        <f t="shared" si="556"/>
        <v>0.48648648648648651</v>
      </c>
      <c r="V305" s="37">
        <v>370</v>
      </c>
      <c r="W305" s="52">
        <f t="shared" si="557"/>
        <v>1895</v>
      </c>
      <c r="X305" s="6">
        <f t="shared" si="558"/>
        <v>3.4880146662273669E-3</v>
      </c>
      <c r="Y305" s="21">
        <f t="shared" si="559"/>
        <v>543289</v>
      </c>
      <c r="Z305" s="52">
        <v>1875</v>
      </c>
      <c r="AA305" s="4"/>
      <c r="AB305" s="4"/>
      <c r="AC305" s="35">
        <v>114</v>
      </c>
      <c r="AD305" s="4"/>
      <c r="AE305" s="36"/>
      <c r="AF305" s="4">
        <v>11</v>
      </c>
      <c r="AG305" s="4"/>
      <c r="AH305" s="37"/>
      <c r="AI305" s="34"/>
      <c r="AJ305" s="4"/>
      <c r="AK305" s="37"/>
      <c r="AL305" s="34"/>
      <c r="AM305" s="4"/>
      <c r="AN305" s="4"/>
      <c r="AO305" s="37"/>
      <c r="AP305" s="52">
        <v>4653</v>
      </c>
      <c r="AR305" s="4"/>
      <c r="AS305" s="4"/>
      <c r="AT305" s="37"/>
      <c r="AU305" s="4"/>
      <c r="AV305" s="4"/>
      <c r="AW305" s="4"/>
      <c r="AX305" s="4"/>
    </row>
    <row r="306" spans="1:50" x14ac:dyDescent="0.2">
      <c r="A306" s="110">
        <v>37012</v>
      </c>
      <c r="B306" s="3">
        <v>65</v>
      </c>
      <c r="C306" s="4"/>
      <c r="D306" s="4"/>
      <c r="E306" s="47">
        <v>109</v>
      </c>
      <c r="F306" s="4"/>
      <c r="G306" s="36"/>
      <c r="H306" s="4">
        <v>11</v>
      </c>
      <c r="I306" s="4"/>
      <c r="J306" s="4"/>
      <c r="K306" s="34"/>
      <c r="L306" s="4"/>
      <c r="M306" s="37"/>
      <c r="N306" s="52">
        <v>163</v>
      </c>
      <c r="O306" s="6">
        <f t="shared" si="554"/>
        <v>3.0597170418730725E-4</v>
      </c>
      <c r="P306" s="3">
        <f>486390+45913+426</f>
        <v>532729</v>
      </c>
      <c r="Q306" s="55">
        <v>1575</v>
      </c>
      <c r="R306" s="6">
        <f t="shared" si="555"/>
        <v>0.15710723192019951</v>
      </c>
      <c r="S306" s="33">
        <v>10025</v>
      </c>
      <c r="T306" s="3">
        <v>165</v>
      </c>
      <c r="U306" s="6">
        <f t="shared" si="556"/>
        <v>0.45081967213114754</v>
      </c>
      <c r="V306" s="37">
        <v>366</v>
      </c>
      <c r="W306" s="52">
        <f t="shared" si="557"/>
        <v>1903</v>
      </c>
      <c r="X306" s="6">
        <f t="shared" si="558"/>
        <v>3.5038297245544264E-3</v>
      </c>
      <c r="Y306" s="21">
        <f t="shared" si="559"/>
        <v>543120</v>
      </c>
      <c r="Z306" s="52">
        <v>1863</v>
      </c>
      <c r="AA306" s="4"/>
      <c r="AB306" s="4"/>
      <c r="AC306" s="35">
        <v>115</v>
      </c>
      <c r="AD306" s="4"/>
      <c r="AE306" s="36"/>
      <c r="AF306" s="4">
        <v>11</v>
      </c>
      <c r="AG306" s="4"/>
      <c r="AH306" s="37"/>
      <c r="AI306" s="34"/>
      <c r="AJ306" s="4"/>
      <c r="AK306" s="37"/>
      <c r="AL306" s="34"/>
      <c r="AM306" s="4"/>
      <c r="AN306" s="4"/>
      <c r="AO306" s="37"/>
      <c r="AP306" s="52">
        <v>4085</v>
      </c>
      <c r="AR306" s="4"/>
      <c r="AS306" s="4"/>
      <c r="AT306" s="37"/>
      <c r="AU306" s="4"/>
      <c r="AV306" s="4"/>
      <c r="AW306" s="4"/>
      <c r="AX306" s="4"/>
    </row>
    <row r="307" spans="1:50" x14ac:dyDescent="0.2">
      <c r="A307" s="110">
        <v>36982</v>
      </c>
      <c r="B307" s="3">
        <v>62</v>
      </c>
      <c r="C307" s="4"/>
      <c r="D307" s="4"/>
      <c r="E307" s="47">
        <v>98</v>
      </c>
      <c r="F307" s="4"/>
      <c r="G307" s="36"/>
      <c r="H307" s="4">
        <v>7</v>
      </c>
      <c r="I307" s="4"/>
      <c r="J307" s="4"/>
      <c r="K307" s="34"/>
      <c r="L307" s="4"/>
      <c r="M307" s="37"/>
      <c r="N307" s="52">
        <v>163</v>
      </c>
      <c r="O307" s="6">
        <f t="shared" si="554"/>
        <v>3.0649294972199398E-4</v>
      </c>
      <c r="P307" s="3">
        <f>486283+45114+426</f>
        <v>531823</v>
      </c>
      <c r="Q307" s="55">
        <v>1527</v>
      </c>
      <c r="R307" s="6">
        <f t="shared" si="555"/>
        <v>0.14289724873666479</v>
      </c>
      <c r="S307" s="33">
        <v>10686</v>
      </c>
      <c r="T307" s="3">
        <v>164</v>
      </c>
      <c r="U307" s="6">
        <f t="shared" si="556"/>
        <v>0.44808743169398907</v>
      </c>
      <c r="V307" s="37">
        <v>366</v>
      </c>
      <c r="W307" s="52">
        <f t="shared" si="557"/>
        <v>1854</v>
      </c>
      <c r="X307" s="6">
        <f t="shared" si="558"/>
        <v>3.415150817407322E-3</v>
      </c>
      <c r="Y307" s="21">
        <f t="shared" si="559"/>
        <v>542875</v>
      </c>
      <c r="Z307" s="52">
        <v>1900</v>
      </c>
      <c r="AA307" s="4"/>
      <c r="AB307" s="4"/>
      <c r="AC307" s="35">
        <v>114</v>
      </c>
      <c r="AD307" s="4"/>
      <c r="AE307" s="36"/>
      <c r="AF307" s="4">
        <v>11</v>
      </c>
      <c r="AG307" s="4"/>
      <c r="AH307" s="37"/>
      <c r="AI307" s="34"/>
      <c r="AJ307" s="4"/>
      <c r="AK307" s="37"/>
      <c r="AL307" s="34"/>
      <c r="AM307" s="4"/>
      <c r="AN307" s="4"/>
      <c r="AO307" s="37"/>
      <c r="AP307" s="52">
        <v>4077</v>
      </c>
      <c r="AR307" s="4"/>
      <c r="AS307" s="4"/>
      <c r="AT307" s="37"/>
      <c r="AU307" s="4"/>
      <c r="AV307" s="4"/>
      <c r="AW307" s="4"/>
      <c r="AX307" s="4"/>
    </row>
    <row r="308" spans="1:50" x14ac:dyDescent="0.2">
      <c r="A308" s="110">
        <v>36951</v>
      </c>
      <c r="B308" s="3">
        <v>42</v>
      </c>
      <c r="C308" s="4"/>
      <c r="D308" s="36"/>
      <c r="E308" s="47">
        <v>46</v>
      </c>
      <c r="F308" s="4"/>
      <c r="G308" s="36"/>
      <c r="H308" s="4">
        <v>6</v>
      </c>
      <c r="I308" s="4"/>
      <c r="J308" s="4"/>
      <c r="K308" s="34"/>
      <c r="L308" s="4"/>
      <c r="M308" s="37"/>
      <c r="N308" s="52">
        <v>142</v>
      </c>
      <c r="O308" s="6">
        <f t="shared" si="554"/>
        <v>2.6715280952569089E-4</v>
      </c>
      <c r="P308" s="3">
        <f>486080+45025+426</f>
        <v>531531</v>
      </c>
      <c r="Q308" s="55">
        <v>934</v>
      </c>
      <c r="R308" s="6">
        <f t="shared" si="555"/>
        <v>8.7159387831280327E-2</v>
      </c>
      <c r="S308" s="33">
        <v>10716</v>
      </c>
      <c r="T308" s="3">
        <v>122</v>
      </c>
      <c r="U308" s="6">
        <f t="shared" si="556"/>
        <v>0.45692883895131087</v>
      </c>
      <c r="V308" s="37">
        <v>267</v>
      </c>
      <c r="W308" s="52">
        <f t="shared" si="557"/>
        <v>1198</v>
      </c>
      <c r="X308" s="6">
        <f t="shared" si="558"/>
        <v>2.2082379440899222E-3</v>
      </c>
      <c r="Y308" s="21">
        <f t="shared" si="559"/>
        <v>542514</v>
      </c>
      <c r="Z308" s="52">
        <v>2022</v>
      </c>
      <c r="AA308" s="4"/>
      <c r="AB308" s="4"/>
      <c r="AC308" s="35">
        <v>114</v>
      </c>
      <c r="AD308" s="4"/>
      <c r="AE308" s="36"/>
      <c r="AF308" s="4">
        <v>11</v>
      </c>
      <c r="AG308" s="4"/>
      <c r="AH308" s="37"/>
      <c r="AI308" s="34"/>
      <c r="AJ308" s="4"/>
      <c r="AK308" s="37"/>
      <c r="AL308" s="34"/>
      <c r="AM308" s="4"/>
      <c r="AN308" s="4"/>
      <c r="AO308" s="37"/>
      <c r="AP308" s="52">
        <v>4046</v>
      </c>
      <c r="AR308" s="4"/>
      <c r="AS308" s="4"/>
      <c r="AT308" s="37"/>
      <c r="AU308" s="4"/>
      <c r="AV308" s="4"/>
      <c r="AW308" s="4"/>
      <c r="AX308" s="4"/>
    </row>
    <row r="309" spans="1:50" x14ac:dyDescent="0.2">
      <c r="A309" s="110">
        <v>36923</v>
      </c>
      <c r="B309" s="3">
        <v>42</v>
      </c>
      <c r="C309" s="4"/>
      <c r="D309" s="4"/>
      <c r="E309" s="47">
        <v>46</v>
      </c>
      <c r="F309" s="4"/>
      <c r="G309" s="36"/>
      <c r="H309" s="4">
        <v>6</v>
      </c>
      <c r="I309" s="4"/>
      <c r="J309" s="4"/>
      <c r="K309" s="34"/>
      <c r="L309" s="4"/>
      <c r="M309" s="37"/>
      <c r="N309" s="52">
        <v>142</v>
      </c>
      <c r="O309" s="6">
        <f t="shared" si="554"/>
        <v>2.6731827063904129E-4</v>
      </c>
      <c r="P309" s="3">
        <f>485886+44893+423</f>
        <v>531202</v>
      </c>
      <c r="Q309" s="55">
        <v>949</v>
      </c>
      <c r="R309" s="6">
        <f t="shared" si="555"/>
        <v>8.8344814745857383E-2</v>
      </c>
      <c r="S309" s="33">
        <v>10742</v>
      </c>
      <c r="T309" s="3">
        <v>119</v>
      </c>
      <c r="U309" s="6">
        <f t="shared" si="556"/>
        <v>0.32692307692307693</v>
      </c>
      <c r="V309" s="37">
        <v>364</v>
      </c>
      <c r="W309" s="52">
        <f t="shared" si="557"/>
        <v>1210</v>
      </c>
      <c r="X309" s="6">
        <f t="shared" si="558"/>
        <v>2.2312044078272864E-3</v>
      </c>
      <c r="Y309" s="21">
        <f t="shared" si="559"/>
        <v>542308</v>
      </c>
      <c r="Z309" s="52">
        <v>2037</v>
      </c>
      <c r="AA309" s="4"/>
      <c r="AB309" s="4"/>
      <c r="AC309" s="35">
        <v>115</v>
      </c>
      <c r="AD309" s="4"/>
      <c r="AE309" s="36"/>
      <c r="AF309" s="4">
        <v>11</v>
      </c>
      <c r="AG309" s="4"/>
      <c r="AH309" s="37"/>
      <c r="AI309" s="34"/>
      <c r="AJ309" s="4"/>
      <c r="AK309" s="37"/>
      <c r="AL309" s="34"/>
      <c r="AM309" s="4"/>
      <c r="AN309" s="4"/>
      <c r="AO309" s="37"/>
      <c r="AP309" s="52">
        <v>3451</v>
      </c>
      <c r="AR309" s="4"/>
      <c r="AS309" s="4"/>
      <c r="AT309" s="37"/>
      <c r="AU309" s="4"/>
      <c r="AV309" s="4"/>
      <c r="AW309" s="4"/>
      <c r="AX309" s="4"/>
    </row>
    <row r="310" spans="1:50" x14ac:dyDescent="0.2">
      <c r="A310" s="110">
        <v>36892</v>
      </c>
      <c r="B310" s="3">
        <v>42</v>
      </c>
      <c r="C310" s="4"/>
      <c r="D310" s="4"/>
      <c r="E310" s="47">
        <v>46</v>
      </c>
      <c r="F310" s="4"/>
      <c r="G310" s="36"/>
      <c r="H310" s="4">
        <v>6</v>
      </c>
      <c r="I310" s="4"/>
      <c r="J310" s="4"/>
      <c r="K310" s="34"/>
      <c r="L310" s="4"/>
      <c r="M310" s="37"/>
      <c r="N310" s="52">
        <v>137</v>
      </c>
      <c r="O310" s="6">
        <f t="shared" ref="O310:O317" si="560">N310/P310</f>
        <v>2.5822551946681142E-4</v>
      </c>
      <c r="P310" s="3">
        <f>485323+44803+418</f>
        <v>530544</v>
      </c>
      <c r="Q310" s="55">
        <v>945</v>
      </c>
      <c r="R310" s="6">
        <f t="shared" ref="R310:R317" si="561">Q310/S310</f>
        <v>8.8062622309197647E-2</v>
      </c>
      <c r="S310" s="33">
        <v>10731</v>
      </c>
      <c r="T310" s="3">
        <v>118</v>
      </c>
      <c r="U310" s="6">
        <f t="shared" ref="U310:U317" si="562">T310/V310</f>
        <v>0.32777777777777778</v>
      </c>
      <c r="V310" s="37">
        <v>360</v>
      </c>
      <c r="W310" s="52">
        <f t="shared" ref="W310:W317" si="563">+T310+Q310+N310</f>
        <v>1200</v>
      </c>
      <c r="X310" s="6">
        <f t="shared" ref="X310:X317" si="564">W310/Y310</f>
        <v>2.2155141377495917E-3</v>
      </c>
      <c r="Y310" s="21">
        <f t="shared" ref="Y310:Y317" si="565">+V310+S310+P310</f>
        <v>541635</v>
      </c>
      <c r="Z310" s="52">
        <v>1833</v>
      </c>
      <c r="AA310" s="4"/>
      <c r="AB310" s="4"/>
      <c r="AC310" s="35">
        <v>111</v>
      </c>
      <c r="AD310" s="4"/>
      <c r="AE310" s="36"/>
      <c r="AF310" s="4">
        <v>11</v>
      </c>
      <c r="AG310" s="4"/>
      <c r="AH310" s="37"/>
      <c r="AI310" s="34"/>
      <c r="AJ310" s="4"/>
      <c r="AK310" s="37"/>
      <c r="AL310" s="34"/>
      <c r="AM310" s="4"/>
      <c r="AN310" s="4"/>
      <c r="AO310" s="37"/>
      <c r="AP310" s="52">
        <v>3467</v>
      </c>
      <c r="AR310" s="4"/>
      <c r="AS310" s="4"/>
      <c r="AT310" s="37"/>
      <c r="AU310" s="4"/>
      <c r="AV310" s="4"/>
      <c r="AW310" s="4"/>
      <c r="AX310" s="4"/>
    </row>
    <row r="311" spans="1:50" x14ac:dyDescent="0.2">
      <c r="A311" s="110">
        <v>36861</v>
      </c>
      <c r="B311" s="3">
        <v>37</v>
      </c>
      <c r="C311" s="4"/>
      <c r="D311" s="4"/>
      <c r="E311" s="47">
        <v>38</v>
      </c>
      <c r="F311" s="4"/>
      <c r="G311" s="36"/>
      <c r="H311" s="4">
        <v>7</v>
      </c>
      <c r="I311" s="4"/>
      <c r="J311" s="4"/>
      <c r="K311" s="34"/>
      <c r="L311" s="4"/>
      <c r="M311" s="37"/>
      <c r="N311" s="52">
        <v>129</v>
      </c>
      <c r="O311" s="6">
        <f t="shared" si="560"/>
        <v>2.4359431915387797E-4</v>
      </c>
      <c r="P311" s="3">
        <f>484489+44663+417</f>
        <v>529569</v>
      </c>
      <c r="Q311" s="55">
        <v>956</v>
      </c>
      <c r="R311" s="6">
        <f t="shared" si="561"/>
        <v>8.9187424200018656E-2</v>
      </c>
      <c r="S311" s="33">
        <v>10719</v>
      </c>
      <c r="T311" s="3">
        <v>126</v>
      </c>
      <c r="U311" s="6">
        <f t="shared" si="562"/>
        <v>0.34615384615384615</v>
      </c>
      <c r="V311" s="37">
        <v>364</v>
      </c>
      <c r="W311" s="52">
        <f t="shared" si="563"/>
        <v>1211</v>
      </c>
      <c r="X311" s="6">
        <f t="shared" si="564"/>
        <v>2.2398881350665493E-3</v>
      </c>
      <c r="Y311" s="21">
        <f t="shared" si="565"/>
        <v>540652</v>
      </c>
      <c r="Z311" s="52">
        <v>1680</v>
      </c>
      <c r="AA311" s="4"/>
      <c r="AB311" s="4"/>
      <c r="AC311" s="35">
        <v>111</v>
      </c>
      <c r="AD311" s="4"/>
      <c r="AE311" s="36"/>
      <c r="AF311" s="4">
        <v>11</v>
      </c>
      <c r="AG311" s="4"/>
      <c r="AH311" s="37"/>
      <c r="AI311" s="34"/>
      <c r="AJ311" s="4"/>
      <c r="AK311" s="37"/>
      <c r="AL311" s="34"/>
      <c r="AM311" s="4"/>
      <c r="AN311" s="4"/>
      <c r="AO311" s="37"/>
      <c r="AP311" s="52">
        <v>3252</v>
      </c>
      <c r="AR311" s="4"/>
      <c r="AS311" s="4"/>
      <c r="AT311" s="37"/>
      <c r="AU311" s="4"/>
      <c r="AV311" s="4"/>
      <c r="AW311" s="4"/>
      <c r="AX311" s="4"/>
    </row>
    <row r="312" spans="1:50" x14ac:dyDescent="0.2">
      <c r="A312" s="110">
        <v>36831</v>
      </c>
      <c r="B312" s="3">
        <v>36</v>
      </c>
      <c r="C312" s="4"/>
      <c r="D312" s="36"/>
      <c r="E312" s="47">
        <v>38</v>
      </c>
      <c r="F312" s="4"/>
      <c r="G312" s="36"/>
      <c r="H312" s="4">
        <v>7</v>
      </c>
      <c r="I312" s="4"/>
      <c r="J312" s="4"/>
      <c r="K312" s="34"/>
      <c r="L312" s="4"/>
      <c r="M312" s="37"/>
      <c r="N312" s="52">
        <v>110</v>
      </c>
      <c r="O312" s="6">
        <f t="shared" si="560"/>
        <v>2.0827653064315794E-4</v>
      </c>
      <c r="P312" s="3">
        <f>483191+44538+415</f>
        <v>528144</v>
      </c>
      <c r="Q312" s="55">
        <v>957</v>
      </c>
      <c r="R312" s="6">
        <f t="shared" si="561"/>
        <v>8.8775510204081629E-2</v>
      </c>
      <c r="S312" s="33">
        <v>10780</v>
      </c>
      <c r="T312" s="3">
        <v>121</v>
      </c>
      <c r="U312" s="6">
        <f t="shared" si="562"/>
        <v>0.33333333333333331</v>
      </c>
      <c r="V312" s="37">
        <v>363</v>
      </c>
      <c r="W312" s="52">
        <f t="shared" si="563"/>
        <v>1188</v>
      </c>
      <c r="X312" s="6">
        <f t="shared" si="564"/>
        <v>2.202908655317113E-3</v>
      </c>
      <c r="Y312" s="21">
        <f t="shared" si="565"/>
        <v>539287</v>
      </c>
      <c r="Z312" s="52">
        <v>1644</v>
      </c>
      <c r="AA312" s="4"/>
      <c r="AB312" s="36"/>
      <c r="AC312" s="35">
        <v>110</v>
      </c>
      <c r="AD312" s="4"/>
      <c r="AE312" s="36"/>
      <c r="AF312" s="4">
        <v>11</v>
      </c>
      <c r="AG312" s="4"/>
      <c r="AH312" s="37"/>
      <c r="AI312" s="34"/>
      <c r="AJ312" s="4"/>
      <c r="AK312" s="37"/>
      <c r="AL312" s="34"/>
      <c r="AM312" s="4"/>
      <c r="AN312" s="4"/>
      <c r="AO312" s="37"/>
      <c r="AP312" s="52">
        <v>3089</v>
      </c>
      <c r="AR312" s="4"/>
      <c r="AS312" s="4"/>
      <c r="AT312" s="37"/>
      <c r="AU312" s="4"/>
      <c r="AV312" s="4"/>
      <c r="AW312" s="4"/>
      <c r="AX312" s="4"/>
    </row>
    <row r="313" spans="1:50" x14ac:dyDescent="0.2">
      <c r="A313" s="110">
        <v>36800</v>
      </c>
      <c r="B313" s="3">
        <v>35</v>
      </c>
      <c r="C313" s="4"/>
      <c r="D313" s="36"/>
      <c r="E313" s="47">
        <v>39</v>
      </c>
      <c r="F313" s="4"/>
      <c r="G313" s="36"/>
      <c r="H313" s="4">
        <v>7</v>
      </c>
      <c r="I313" s="4"/>
      <c r="J313" s="4"/>
      <c r="K313" s="34"/>
      <c r="L313" s="4"/>
      <c r="M313" s="37"/>
      <c r="N313" s="52">
        <v>102</v>
      </c>
      <c r="O313" s="6">
        <f t="shared" si="560"/>
        <v>1.9318437933836245E-4</v>
      </c>
      <c r="P313" s="3">
        <f>483157+44423+413</f>
        <v>527993</v>
      </c>
      <c r="Q313" s="55">
        <v>808</v>
      </c>
      <c r="R313" s="6">
        <f t="shared" si="561"/>
        <v>7.4155653450807629E-2</v>
      </c>
      <c r="S313" s="33">
        <v>10896</v>
      </c>
      <c r="T313" s="3">
        <v>118</v>
      </c>
      <c r="U313" s="6">
        <f t="shared" si="562"/>
        <v>0.32506887052341599</v>
      </c>
      <c r="V313" s="37">
        <v>363</v>
      </c>
      <c r="W313" s="52">
        <f t="shared" si="563"/>
        <v>1028</v>
      </c>
      <c r="X313" s="6">
        <f t="shared" si="564"/>
        <v>1.9063443436463843E-3</v>
      </c>
      <c r="Y313" s="21">
        <f t="shared" si="565"/>
        <v>539252</v>
      </c>
      <c r="Z313" s="52">
        <v>1461</v>
      </c>
      <c r="AA313" s="4"/>
      <c r="AB313" s="36"/>
      <c r="AC313" s="35">
        <v>109</v>
      </c>
      <c r="AD313" s="4"/>
      <c r="AE313" s="36"/>
      <c r="AF313" s="4">
        <v>11</v>
      </c>
      <c r="AG313" s="4"/>
      <c r="AH313" s="37"/>
      <c r="AI313" s="34"/>
      <c r="AJ313" s="4"/>
      <c r="AK313" s="37"/>
      <c r="AL313" s="34"/>
      <c r="AM313" s="4"/>
      <c r="AN313" s="4"/>
      <c r="AO313" s="37"/>
      <c r="AP313" s="52">
        <v>3048</v>
      </c>
      <c r="AR313" s="4"/>
      <c r="AS313" s="4"/>
      <c r="AT313" s="37"/>
      <c r="AU313" s="4"/>
      <c r="AV313" s="4"/>
      <c r="AW313" s="4"/>
      <c r="AX313" s="4"/>
    </row>
    <row r="314" spans="1:50" x14ac:dyDescent="0.2">
      <c r="A314" s="110">
        <v>36770</v>
      </c>
      <c r="B314" s="3"/>
      <c r="C314" s="4"/>
      <c r="D314" s="36"/>
      <c r="E314" s="47"/>
      <c r="F314" s="4"/>
      <c r="G314" s="36"/>
      <c r="H314" s="4"/>
      <c r="I314" s="4"/>
      <c r="J314" s="4"/>
      <c r="K314" s="34"/>
      <c r="L314" s="4"/>
      <c r="M314" s="37"/>
      <c r="N314" s="52">
        <v>40</v>
      </c>
      <c r="O314" s="6">
        <f t="shared" si="560"/>
        <v>7.5903344680883358E-5</v>
      </c>
      <c r="P314" s="3">
        <f>482511+44062+413</f>
        <v>526986</v>
      </c>
      <c r="Q314" s="55">
        <v>425</v>
      </c>
      <c r="R314" s="6">
        <f t="shared" si="561"/>
        <v>3.8041532402434658E-2</v>
      </c>
      <c r="S314" s="33">
        <v>11172</v>
      </c>
      <c r="T314" s="3">
        <v>98</v>
      </c>
      <c r="U314" s="6">
        <f t="shared" si="562"/>
        <v>0.26775956284153007</v>
      </c>
      <c r="V314" s="37">
        <v>366</v>
      </c>
      <c r="W314" s="52">
        <f t="shared" si="563"/>
        <v>563</v>
      </c>
      <c r="X314" s="6">
        <f t="shared" si="564"/>
        <v>1.0454501563532915E-3</v>
      </c>
      <c r="Y314" s="21">
        <f t="shared" si="565"/>
        <v>538524</v>
      </c>
      <c r="Z314" s="52"/>
      <c r="AA314" s="4"/>
      <c r="AB314" s="36"/>
      <c r="AC314" s="35"/>
      <c r="AD314" s="4"/>
      <c r="AE314" s="36"/>
      <c r="AF314" s="4"/>
      <c r="AG314" s="4"/>
      <c r="AH314" s="37"/>
      <c r="AI314" s="34"/>
      <c r="AJ314" s="4"/>
      <c r="AK314" s="37"/>
      <c r="AL314" s="34"/>
      <c r="AM314" s="4"/>
      <c r="AN314" s="4"/>
      <c r="AO314" s="37"/>
      <c r="AP314" s="52">
        <v>2694</v>
      </c>
      <c r="AR314" s="4"/>
      <c r="AS314" s="4"/>
      <c r="AT314" s="37"/>
      <c r="AU314" s="4"/>
      <c r="AV314" s="4"/>
      <c r="AW314" s="4"/>
      <c r="AX314" s="4"/>
    </row>
    <row r="315" spans="1:50" x14ac:dyDescent="0.2">
      <c r="A315" s="110">
        <v>36739</v>
      </c>
      <c r="B315" s="3">
        <v>35</v>
      </c>
      <c r="C315" s="4"/>
      <c r="D315" s="36"/>
      <c r="E315" s="47">
        <v>29</v>
      </c>
      <c r="F315" s="4"/>
      <c r="G315" s="36"/>
      <c r="H315" s="4">
        <v>6</v>
      </c>
      <c r="I315" s="4"/>
      <c r="J315" s="4"/>
      <c r="K315" s="34"/>
      <c r="L315" s="4"/>
      <c r="M315" s="37"/>
      <c r="N315" s="52">
        <v>74</v>
      </c>
      <c r="O315" s="6">
        <f t="shared" si="560"/>
        <v>1.4066676044450696E-4</v>
      </c>
      <c r="P315" s="3">
        <f>481665+43988+413</f>
        <v>526066</v>
      </c>
      <c r="Q315" s="55">
        <v>420</v>
      </c>
      <c r="R315" s="6">
        <f t="shared" si="561"/>
        <v>3.7691824463788923E-2</v>
      </c>
      <c r="S315" s="33">
        <v>11143</v>
      </c>
      <c r="T315" s="3">
        <v>98</v>
      </c>
      <c r="U315" s="6">
        <f t="shared" si="562"/>
        <v>0.26630434782608697</v>
      </c>
      <c r="V315" s="37">
        <v>368</v>
      </c>
      <c r="W315" s="52">
        <f t="shared" si="563"/>
        <v>592</v>
      </c>
      <c r="X315" s="6">
        <f t="shared" si="564"/>
        <v>1.1012375901498762E-3</v>
      </c>
      <c r="Y315" s="21">
        <f t="shared" si="565"/>
        <v>537577</v>
      </c>
      <c r="Z315" s="52">
        <v>867</v>
      </c>
      <c r="AA315" s="4"/>
      <c r="AB315" s="36"/>
      <c r="AC315" s="35">
        <v>69</v>
      </c>
      <c r="AD315" s="4"/>
      <c r="AE315" s="36"/>
      <c r="AF315" s="4">
        <v>10</v>
      </c>
      <c r="AG315" s="4"/>
      <c r="AH315" s="37"/>
      <c r="AI315" s="34"/>
      <c r="AJ315" s="4"/>
      <c r="AK315" s="37"/>
      <c r="AL315" s="34"/>
      <c r="AM315" s="4"/>
      <c r="AN315" s="4"/>
      <c r="AO315" s="37"/>
      <c r="AP315" s="52">
        <v>1611</v>
      </c>
      <c r="AR315" s="4"/>
      <c r="AS315" s="4"/>
      <c r="AT315" s="37"/>
      <c r="AU315" s="4"/>
      <c r="AV315" s="4"/>
      <c r="AW315" s="4"/>
      <c r="AX315" s="4"/>
    </row>
    <row r="316" spans="1:50" x14ac:dyDescent="0.2">
      <c r="A316" s="110">
        <v>36708</v>
      </c>
      <c r="B316" s="3"/>
      <c r="C316" s="4"/>
      <c r="D316" s="36"/>
      <c r="E316" s="42"/>
      <c r="F316" s="4"/>
      <c r="G316" s="36"/>
      <c r="H316" s="4"/>
      <c r="I316" s="4"/>
      <c r="J316" s="4"/>
      <c r="K316" s="34"/>
      <c r="L316" s="4"/>
      <c r="M316" s="37"/>
      <c r="N316" s="52">
        <v>70</v>
      </c>
      <c r="O316" s="6">
        <f t="shared" si="560"/>
        <v>1.3291206537754621E-4</v>
      </c>
      <c r="P316" s="3">
        <f>482344+43906+414</f>
        <v>526664</v>
      </c>
      <c r="Q316" s="55">
        <v>420</v>
      </c>
      <c r="R316" s="6">
        <f t="shared" si="561"/>
        <v>3.7678299093926615E-2</v>
      </c>
      <c r="S316" s="33">
        <v>11147</v>
      </c>
      <c r="T316" s="3">
        <v>102</v>
      </c>
      <c r="U316" s="6">
        <f t="shared" si="562"/>
        <v>0.27493261455525608</v>
      </c>
      <c r="V316" s="37">
        <v>371</v>
      </c>
      <c r="W316" s="52">
        <f t="shared" si="563"/>
        <v>592</v>
      </c>
      <c r="X316" s="6">
        <f t="shared" si="564"/>
        <v>1.0999996283785039E-3</v>
      </c>
      <c r="Y316" s="21">
        <f t="shared" si="565"/>
        <v>538182</v>
      </c>
      <c r="Z316" s="52">
        <v>536</v>
      </c>
      <c r="AA316" s="4"/>
      <c r="AB316" s="36"/>
      <c r="AC316" s="35">
        <v>63</v>
      </c>
      <c r="AD316" s="4"/>
      <c r="AE316" s="36"/>
      <c r="AF316" s="4">
        <v>3</v>
      </c>
      <c r="AG316" s="4"/>
      <c r="AH316" s="37"/>
      <c r="AI316" s="34"/>
      <c r="AJ316" s="4"/>
      <c r="AK316" s="37"/>
      <c r="AL316" s="34"/>
      <c r="AM316" s="4"/>
      <c r="AN316" s="4"/>
      <c r="AO316" s="37"/>
      <c r="AP316" s="52"/>
      <c r="AR316" s="4"/>
      <c r="AS316" s="4"/>
      <c r="AT316" s="37"/>
      <c r="AU316" s="4"/>
      <c r="AV316" s="4"/>
      <c r="AW316" s="4"/>
      <c r="AX316" s="4"/>
    </row>
    <row r="317" spans="1:50" ht="13.5" thickBot="1" x14ac:dyDescent="0.25">
      <c r="A317" s="111">
        <v>36678</v>
      </c>
      <c r="B317" s="3"/>
      <c r="C317" s="45"/>
      <c r="D317" s="51"/>
      <c r="E317" s="108"/>
      <c r="F317" s="45"/>
      <c r="G317" s="51"/>
      <c r="H317" s="45"/>
      <c r="I317" s="45"/>
      <c r="J317" s="45"/>
      <c r="K317" s="44"/>
      <c r="L317" s="45"/>
      <c r="M317" s="46"/>
      <c r="N317" s="78">
        <v>61</v>
      </c>
      <c r="O317" s="77">
        <f t="shared" si="560"/>
        <v>1.1609229527789831E-4</v>
      </c>
      <c r="P317" s="81">
        <f>481289+43742+413</f>
        <v>525444</v>
      </c>
      <c r="Q317" s="82">
        <v>412</v>
      </c>
      <c r="R317" s="77">
        <f t="shared" si="561"/>
        <v>3.7073697471429856E-2</v>
      </c>
      <c r="S317" s="80">
        <v>11113</v>
      </c>
      <c r="T317" s="81">
        <v>99</v>
      </c>
      <c r="U317" s="77">
        <f t="shared" si="562"/>
        <v>0.26470588235294118</v>
      </c>
      <c r="V317" s="46">
        <v>374</v>
      </c>
      <c r="W317" s="78">
        <f t="shared" si="563"/>
        <v>572</v>
      </c>
      <c r="X317" s="77">
        <f t="shared" si="564"/>
        <v>1.0653137926474724E-3</v>
      </c>
      <c r="Y317" s="79">
        <f t="shared" si="565"/>
        <v>536931</v>
      </c>
      <c r="Z317" s="78"/>
      <c r="AA317" s="45"/>
      <c r="AB317" s="51"/>
      <c r="AC317" s="50"/>
      <c r="AD317" s="45"/>
      <c r="AE317" s="51"/>
      <c r="AF317" s="45"/>
      <c r="AG317" s="45"/>
      <c r="AH317" s="46"/>
      <c r="AI317" s="44"/>
      <c r="AJ317" s="45"/>
      <c r="AK317" s="46"/>
      <c r="AL317" s="44"/>
      <c r="AM317" s="45"/>
      <c r="AN317" s="45"/>
      <c r="AO317" s="46"/>
      <c r="AP317" s="78"/>
      <c r="AQ317" s="24"/>
      <c r="AR317" s="45"/>
      <c r="AS317" s="45"/>
      <c r="AT317" s="46"/>
      <c r="AU317" s="4"/>
      <c r="AV317" s="4"/>
      <c r="AW317" s="4"/>
      <c r="AX317" s="4"/>
    </row>
    <row r="318" spans="1:50" x14ac:dyDescent="0.2">
      <c r="G318" s="12"/>
      <c r="J318" s="12"/>
      <c r="K318" s="12"/>
      <c r="L318" s="12"/>
      <c r="M318" s="12"/>
    </row>
    <row r="319" spans="1:50" ht="15.75" x14ac:dyDescent="0.25">
      <c r="A319" s="114"/>
      <c r="B319" s="112"/>
      <c r="C319" s="112"/>
      <c r="D319" s="112"/>
      <c r="E319" s="86"/>
      <c r="F319" s="86"/>
      <c r="G319" s="86"/>
      <c r="H319" s="86"/>
      <c r="I319" s="86"/>
      <c r="J319" s="86"/>
      <c r="K319" s="86"/>
      <c r="L319" s="86"/>
      <c r="M319" s="86"/>
      <c r="N319" s="86"/>
      <c r="O319" s="86"/>
      <c r="P319" s="86"/>
      <c r="Q319" s="86"/>
      <c r="R319" s="86"/>
      <c r="S319" s="86"/>
      <c r="T319" s="86"/>
      <c r="U319" s="86"/>
      <c r="V319" s="86"/>
      <c r="W319" s="86"/>
      <c r="X319" s="86"/>
      <c r="Y319" s="86"/>
      <c r="Z319" s="86"/>
      <c r="AA319" s="86"/>
      <c r="AB319" s="86"/>
      <c r="AC319" s="86"/>
      <c r="AD319" s="86"/>
      <c r="AE319" s="86"/>
      <c r="AF319" s="86"/>
      <c r="AG319" s="86"/>
      <c r="AH319" s="86"/>
      <c r="AI319" s="86"/>
      <c r="AJ319" s="86"/>
      <c r="AK319" s="86"/>
      <c r="AL319" s="86"/>
      <c r="AM319" s="86"/>
      <c r="AN319" s="86"/>
      <c r="AO319" s="86"/>
      <c r="AP319" s="86"/>
      <c r="AQ319" s="86"/>
      <c r="AR319" s="86"/>
      <c r="AS319" s="86"/>
    </row>
    <row r="320" spans="1:50" ht="15" x14ac:dyDescent="0.2">
      <c r="A320" s="112"/>
      <c r="B320" s="115"/>
      <c r="C320" s="115"/>
      <c r="D320" s="115"/>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2"/>
      <c r="AI320" s="72"/>
      <c r="AJ320" s="72"/>
      <c r="AK320" s="72"/>
      <c r="AL320" s="72"/>
      <c r="AM320" s="72"/>
      <c r="AN320" s="72"/>
      <c r="AO320" s="72"/>
      <c r="AP320" s="72"/>
      <c r="AQ320" s="72"/>
      <c r="AR320" s="72"/>
      <c r="AS320" s="72"/>
    </row>
    <row r="321" spans="1:45" ht="15" x14ac:dyDescent="0.2">
      <c r="A321" s="113"/>
      <c r="B321" s="74"/>
      <c r="C321" s="74"/>
      <c r="D321" s="74"/>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2"/>
      <c r="AI321" s="72"/>
      <c r="AJ321" s="72"/>
      <c r="AK321" s="72"/>
      <c r="AL321" s="72"/>
      <c r="AM321" s="72"/>
      <c r="AN321" s="72"/>
      <c r="AO321" s="72"/>
      <c r="AP321" s="72"/>
      <c r="AQ321" s="72"/>
      <c r="AR321" s="72"/>
      <c r="AS321" s="72"/>
    </row>
    <row r="322" spans="1:45" ht="15" x14ac:dyDescent="0.2">
      <c r="A322" s="113"/>
      <c r="B322" s="74"/>
      <c r="C322" s="74"/>
      <c r="D322" s="74"/>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2"/>
      <c r="AI322" s="72"/>
      <c r="AJ322" s="72"/>
      <c r="AK322" s="72"/>
      <c r="AL322" s="72"/>
      <c r="AM322" s="72"/>
      <c r="AN322" s="72"/>
      <c r="AO322" s="72"/>
      <c r="AP322" s="72"/>
      <c r="AQ322" s="72"/>
      <c r="AR322" s="72"/>
      <c r="AS322" s="72"/>
    </row>
    <row r="323" spans="1:45" ht="15" x14ac:dyDescent="0.2">
      <c r="A323" s="113"/>
      <c r="B323" s="74"/>
      <c r="C323" s="74"/>
      <c r="D323" s="74"/>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2"/>
      <c r="AI323" s="72"/>
      <c r="AJ323" s="72"/>
      <c r="AK323" s="72"/>
      <c r="AL323" s="72"/>
      <c r="AM323" s="72"/>
      <c r="AN323" s="72"/>
      <c r="AO323" s="72"/>
      <c r="AP323" s="72"/>
      <c r="AQ323" s="72"/>
      <c r="AR323" s="72"/>
      <c r="AS323" s="72"/>
    </row>
    <row r="324" spans="1:45" ht="15" x14ac:dyDescent="0.2">
      <c r="B324" s="73"/>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2"/>
      <c r="AI324" s="72"/>
      <c r="AJ324" s="72"/>
      <c r="AK324" s="72"/>
      <c r="AL324" s="72"/>
      <c r="AM324" s="72"/>
      <c r="AN324" s="72"/>
      <c r="AO324" s="72"/>
      <c r="AP324" s="72"/>
      <c r="AQ324" s="72"/>
      <c r="AR324" s="72"/>
      <c r="AS324" s="72"/>
    </row>
  </sheetData>
  <mergeCells count="19">
    <mergeCell ref="AL2:AT2"/>
    <mergeCell ref="AI3:AK3"/>
    <mergeCell ref="Z2:AK2"/>
    <mergeCell ref="Z3:AB3"/>
    <mergeCell ref="AC3:AE3"/>
    <mergeCell ref="AF3:AH3"/>
    <mergeCell ref="AQ3:AT3"/>
    <mergeCell ref="AL3:AO3"/>
    <mergeCell ref="A2:A4"/>
    <mergeCell ref="Q3:S3"/>
    <mergeCell ref="N3:P3"/>
    <mergeCell ref="K3:M3"/>
    <mergeCell ref="H3:J3"/>
    <mergeCell ref="E3:G3"/>
    <mergeCell ref="B3:D3"/>
    <mergeCell ref="B2:M2"/>
    <mergeCell ref="N2:Y2"/>
    <mergeCell ref="W3:Y3"/>
    <mergeCell ref="T3:V3"/>
  </mergeCells>
  <phoneticPr fontId="3" type="noConversion"/>
  <pageMargins left="0.75" right="0.75" top="1" bottom="1" header="0.5" footer="0.5"/>
  <pageSetup scale="63" pageOrder="overThenDown" orientation="landscape" r:id="rId1"/>
  <headerFooter alignWithMargins="0"/>
  <colBreaks count="3" manualBreakCount="3">
    <brk id="13" max="1048575" man="1"/>
    <brk id="25" max="1048575" man="1"/>
    <brk id="37" max="1048575" man="1"/>
  </colBreaks>
  <ignoredErrors>
    <ignoredError sqref="L214:L250"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L38"/>
  <sheetViews>
    <sheetView workbookViewId="0">
      <selection activeCell="H38" sqref="H38"/>
    </sheetView>
  </sheetViews>
  <sheetFormatPr defaultRowHeight="12.75" x14ac:dyDescent="0.2"/>
  <sheetData>
    <row r="1" spans="1:38" x14ac:dyDescent="0.2">
      <c r="B1" t="s">
        <v>61</v>
      </c>
      <c r="U1" t="s">
        <v>63</v>
      </c>
    </row>
    <row r="3" spans="1:38" x14ac:dyDescent="0.2">
      <c r="B3" t="s">
        <v>59</v>
      </c>
      <c r="F3" t="s">
        <v>31</v>
      </c>
      <c r="J3" t="s">
        <v>60</v>
      </c>
      <c r="O3" t="s">
        <v>65</v>
      </c>
      <c r="Q3" t="s">
        <v>26</v>
      </c>
      <c r="U3" t="s">
        <v>59</v>
      </c>
      <c r="Y3" t="s">
        <v>31</v>
      </c>
      <c r="AC3" t="s">
        <v>60</v>
      </c>
      <c r="AH3" t="s">
        <v>65</v>
      </c>
      <c r="AJ3" t="s">
        <v>26</v>
      </c>
    </row>
    <row r="4" spans="1:38" x14ac:dyDescent="0.2">
      <c r="B4" t="s">
        <v>26</v>
      </c>
      <c r="C4" t="s">
        <v>25</v>
      </c>
      <c r="D4" t="s">
        <v>21</v>
      </c>
      <c r="E4" t="s">
        <v>62</v>
      </c>
      <c r="F4" t="s">
        <v>26</v>
      </c>
      <c r="G4" t="s">
        <v>25</v>
      </c>
      <c r="H4" t="s">
        <v>21</v>
      </c>
      <c r="I4" t="s">
        <v>62</v>
      </c>
      <c r="J4" t="s">
        <v>26</v>
      </c>
      <c r="K4" t="s">
        <v>25</v>
      </c>
      <c r="L4" t="s">
        <v>21</v>
      </c>
      <c r="M4" t="s">
        <v>62</v>
      </c>
      <c r="O4" t="s">
        <v>26</v>
      </c>
      <c r="Q4" t="s">
        <v>66</v>
      </c>
      <c r="R4" t="s">
        <v>31</v>
      </c>
      <c r="S4" t="s">
        <v>67</v>
      </c>
      <c r="U4" t="s">
        <v>26</v>
      </c>
      <c r="V4" t="s">
        <v>25</v>
      </c>
      <c r="W4" t="s">
        <v>21</v>
      </c>
      <c r="X4" t="s">
        <v>62</v>
      </c>
      <c r="Y4" t="s">
        <v>26</v>
      </c>
      <c r="Z4" t="s">
        <v>25</v>
      </c>
      <c r="AA4" t="s">
        <v>21</v>
      </c>
      <c r="AB4" t="s">
        <v>62</v>
      </c>
      <c r="AC4" t="s">
        <v>26</v>
      </c>
      <c r="AD4" t="s">
        <v>25</v>
      </c>
      <c r="AE4" t="s">
        <v>21</v>
      </c>
      <c r="AF4" t="s">
        <v>62</v>
      </c>
      <c r="AH4" t="s">
        <v>26</v>
      </c>
      <c r="AJ4" t="s">
        <v>66</v>
      </c>
      <c r="AK4" t="s">
        <v>31</v>
      </c>
      <c r="AL4" t="s">
        <v>67</v>
      </c>
    </row>
    <row r="5" spans="1:38" x14ac:dyDescent="0.2">
      <c r="A5" s="109">
        <v>45291</v>
      </c>
      <c r="B5" s="12">
        <f>Load!D36</f>
        <v>2432</v>
      </c>
      <c r="C5" s="12">
        <f>Load!G36</f>
        <v>1131</v>
      </c>
      <c r="D5" s="12">
        <f>Load!J36</f>
        <v>575</v>
      </c>
      <c r="E5" s="12">
        <f>SUM(B5:D5)</f>
        <v>4138</v>
      </c>
      <c r="F5" s="12">
        <f>Load!P36</f>
        <v>14016.99477419355</v>
      </c>
      <c r="G5" s="12">
        <f>Load!S36</f>
        <v>5490.0290967741939</v>
      </c>
      <c r="H5" s="12">
        <f>Load!V36</f>
        <v>6394.9742903225806</v>
      </c>
      <c r="I5" s="12">
        <f>SUM(F5:H5)</f>
        <v>25901.998161290325</v>
      </c>
      <c r="J5" s="12">
        <f>Load!AB36</f>
        <v>927</v>
      </c>
      <c r="K5" s="12">
        <f>Load!AE36</f>
        <v>217</v>
      </c>
      <c r="L5" s="12">
        <f>Load!AH36</f>
        <v>393</v>
      </c>
      <c r="M5" s="12">
        <f>SUM(J5:L5)</f>
        <v>1537</v>
      </c>
      <c r="N5" s="12"/>
      <c r="O5" s="12">
        <f>B5+F5+J5</f>
        <v>17375.99477419355</v>
      </c>
      <c r="Q5" s="184">
        <f>B5/$O5</f>
        <v>0.13996320968120649</v>
      </c>
      <c r="R5" s="184">
        <f>F5/$O5</f>
        <v>0.8066873267602086</v>
      </c>
      <c r="S5" s="184">
        <f>J5/$O5</f>
        <v>5.3349463558584873E-2</v>
      </c>
      <c r="U5" s="12">
        <f>Customers!D35</f>
        <v>127678</v>
      </c>
      <c r="V5" s="12">
        <f>Customers!G35</f>
        <v>1701</v>
      </c>
      <c r="W5" s="12">
        <f>Customers!J35</f>
        <v>56</v>
      </c>
      <c r="X5" s="12">
        <f>SUM(U5:W5)</f>
        <v>129435</v>
      </c>
      <c r="Y5" s="12">
        <f>Customers!P35</f>
        <v>650903</v>
      </c>
      <c r="Z5" s="12">
        <f>Customers!S35</f>
        <v>10777</v>
      </c>
      <c r="AA5" s="12">
        <f>Customers!V35</f>
        <v>380</v>
      </c>
      <c r="AB5" s="12">
        <f>SUM(Y5:AA5)</f>
        <v>662060</v>
      </c>
      <c r="AC5" s="12">
        <f>Customers!AB35</f>
        <v>36237</v>
      </c>
      <c r="AD5" s="12">
        <f>Customers!AE35</f>
        <v>205</v>
      </c>
      <c r="AE5" s="12">
        <f>Customers!AH35</f>
        <v>16</v>
      </c>
      <c r="AF5" s="12">
        <f>SUM(AC5:AE5)</f>
        <v>36458</v>
      </c>
      <c r="AH5" s="12">
        <f>U5+Y5+AC5</f>
        <v>814818</v>
      </c>
      <c r="AJ5" s="184">
        <f>U5/$AH5</f>
        <v>0.15669511473727876</v>
      </c>
      <c r="AK5" s="184">
        <f>Y5/$AH5</f>
        <v>0.79883237729161605</v>
      </c>
      <c r="AL5" s="184">
        <f>AC5/$AH5</f>
        <v>4.4472507971105205E-2</v>
      </c>
    </row>
    <row r="6" spans="1:38" x14ac:dyDescent="0.2">
      <c r="A6" s="109">
        <v>45260</v>
      </c>
      <c r="B6" s="12">
        <f>Load!D37</f>
        <v>1971</v>
      </c>
      <c r="C6" s="12">
        <f>Load!G37</f>
        <v>997</v>
      </c>
      <c r="D6" s="12">
        <f>Load!J37</f>
        <v>812</v>
      </c>
      <c r="E6" s="12">
        <f t="shared" ref="E6:E16" si="0">SUM(B6:D6)</f>
        <v>3780</v>
      </c>
      <c r="F6" s="12">
        <f>Load!P37</f>
        <v>11293.607133333333</v>
      </c>
      <c r="G6" s="12">
        <f>Load!S37</f>
        <v>4646.2884333333341</v>
      </c>
      <c r="H6" s="12">
        <f>Load!V37</f>
        <v>3968.4079666666667</v>
      </c>
      <c r="I6" s="12">
        <f t="shared" ref="I6:I16" si="1">SUM(F6:H6)</f>
        <v>19908.303533333332</v>
      </c>
      <c r="J6" s="12">
        <f>Load!AB37</f>
        <v>771</v>
      </c>
      <c r="K6" s="12">
        <f>Load!AE37</f>
        <v>166</v>
      </c>
      <c r="L6" s="12">
        <f>Load!AH37</f>
        <v>265</v>
      </c>
      <c r="M6" s="12">
        <f t="shared" ref="M6:M16" si="2">SUM(J6:L6)</f>
        <v>1202</v>
      </c>
      <c r="N6" s="12"/>
      <c r="O6" s="12">
        <f t="shared" ref="O6:O16" si="3">B6+F6+J6</f>
        <v>14035.607133333333</v>
      </c>
      <c r="Q6" s="184">
        <f t="shared" ref="Q6:Q16" si="4">B6/$O6</f>
        <v>0.14042855298500401</v>
      </c>
      <c r="R6" s="184">
        <f t="shared" ref="R6:R16" si="5">F6/$O6</f>
        <v>0.8046397299417144</v>
      </c>
      <c r="S6" s="184">
        <f t="shared" ref="S6:S16" si="6">J6/$O6</f>
        <v>5.4931717073281622E-2</v>
      </c>
      <c r="U6" s="12">
        <f>Customers!D36</f>
        <v>127724</v>
      </c>
      <c r="V6" s="12">
        <f>Customers!G36</f>
        <v>1712</v>
      </c>
      <c r="W6" s="12">
        <f>Customers!J36</f>
        <v>56</v>
      </c>
      <c r="X6" s="12">
        <f t="shared" ref="X6:X16" si="7">SUM(U6:W6)</f>
        <v>129492</v>
      </c>
      <c r="Y6" s="12">
        <f>Customers!P36</f>
        <v>627160</v>
      </c>
      <c r="Z6" s="12">
        <f>Customers!S36</f>
        <v>10294</v>
      </c>
      <c r="AA6" s="12">
        <f>Customers!V36</f>
        <v>319</v>
      </c>
      <c r="AB6" s="12">
        <f t="shared" ref="AB6:AB16" si="8">SUM(Y6:AA6)</f>
        <v>637773</v>
      </c>
      <c r="AC6" s="12">
        <f>Customers!AB36</f>
        <v>36218</v>
      </c>
      <c r="AD6" s="12">
        <f>Customers!AE36</f>
        <v>201</v>
      </c>
      <c r="AE6" s="12">
        <f>Customers!AH36</f>
        <v>16</v>
      </c>
      <c r="AF6" s="12">
        <f t="shared" ref="AF6:AF16" si="9">SUM(AC6:AE6)</f>
        <v>36435</v>
      </c>
      <c r="AH6" s="12">
        <f t="shared" ref="AH6:AH16" si="10">U6+Y6+AC6</f>
        <v>791102</v>
      </c>
      <c r="AJ6" s="184">
        <f t="shared" ref="AJ6:AJ16" si="11">U6/$AH6</f>
        <v>0.16145073580903602</v>
      </c>
      <c r="AK6" s="184">
        <f t="shared" ref="AK6:AK16" si="12">Y6/$AH6</f>
        <v>0.79276755715445035</v>
      </c>
      <c r="AL6" s="184">
        <f t="shared" ref="AL6:AL17" si="13">AC6/$AH6</f>
        <v>4.5781707036513623E-2</v>
      </c>
    </row>
    <row r="7" spans="1:38" x14ac:dyDescent="0.2">
      <c r="A7" s="109">
        <v>45230</v>
      </c>
      <c r="B7" s="12">
        <f>Load!D38</f>
        <v>2040</v>
      </c>
      <c r="C7" s="12">
        <f>Load!G38</f>
        <v>1182</v>
      </c>
      <c r="D7" s="12">
        <f>Load!J38</f>
        <v>657</v>
      </c>
      <c r="E7" s="12">
        <f t="shared" si="0"/>
        <v>3879</v>
      </c>
      <c r="F7" s="12">
        <f>Load!P38</f>
        <v>10890.228225806452</v>
      </c>
      <c r="G7" s="12">
        <f>Load!S38</f>
        <v>5330.0385806451613</v>
      </c>
      <c r="H7" s="12">
        <f>Load!V38</f>
        <v>6604.2718709677429</v>
      </c>
      <c r="I7" s="12">
        <f t="shared" si="1"/>
        <v>22824.538677419354</v>
      </c>
      <c r="J7" s="12">
        <f>Load!AB38</f>
        <v>646</v>
      </c>
      <c r="K7" s="12">
        <f>Load!AE38</f>
        <v>246</v>
      </c>
      <c r="L7" s="12">
        <f>Load!AH38</f>
        <v>599</v>
      </c>
      <c r="M7" s="12">
        <f t="shared" si="2"/>
        <v>1491</v>
      </c>
      <c r="N7" s="12"/>
      <c r="O7" s="12">
        <f t="shared" si="3"/>
        <v>13576.228225806452</v>
      </c>
      <c r="Q7" s="184">
        <f t="shared" si="4"/>
        <v>0.15026264777445728</v>
      </c>
      <c r="R7" s="184">
        <f t="shared" si="5"/>
        <v>0.80215418043029796</v>
      </c>
      <c r="S7" s="184">
        <f t="shared" si="6"/>
        <v>4.7583171795244808E-2</v>
      </c>
      <c r="U7" s="12">
        <f>Customers!D37</f>
        <v>127854</v>
      </c>
      <c r="V7" s="12">
        <f>Customers!G37</f>
        <v>1738</v>
      </c>
      <c r="W7" s="12">
        <f>Customers!J37</f>
        <v>56</v>
      </c>
      <c r="X7" s="12">
        <f t="shared" si="7"/>
        <v>129648</v>
      </c>
      <c r="Y7" s="12">
        <f>Customers!P37</f>
        <v>654828</v>
      </c>
      <c r="Z7" s="12">
        <f>Customers!S37</f>
        <v>11048</v>
      </c>
      <c r="AA7" s="12">
        <f>Customers!V37</f>
        <v>374</v>
      </c>
      <c r="AB7" s="12">
        <f t="shared" si="8"/>
        <v>666250</v>
      </c>
      <c r="AC7" s="12">
        <f>Customers!AB37</f>
        <v>36166</v>
      </c>
      <c r="AD7" s="12">
        <f>Customers!AE37</f>
        <v>201</v>
      </c>
      <c r="AE7" s="12">
        <f>Customers!AH37</f>
        <v>16</v>
      </c>
      <c r="AF7" s="12">
        <f t="shared" si="9"/>
        <v>36383</v>
      </c>
      <c r="AH7" s="12">
        <f t="shared" si="10"/>
        <v>818848</v>
      </c>
      <c r="AJ7" s="184">
        <f t="shared" si="11"/>
        <v>0.15613886826370707</v>
      </c>
      <c r="AK7" s="184">
        <f t="shared" si="12"/>
        <v>0.7996942045410137</v>
      </c>
      <c r="AL7" s="184">
        <f t="shared" si="13"/>
        <v>4.4166927195279225E-2</v>
      </c>
    </row>
    <row r="8" spans="1:38" x14ac:dyDescent="0.2">
      <c r="A8" s="109">
        <v>45199</v>
      </c>
      <c r="B8" s="12">
        <f>Load!D39</f>
        <v>2199.7142857142858</v>
      </c>
      <c r="C8" s="12">
        <f>Load!G39</f>
        <v>1238.4285714285713</v>
      </c>
      <c r="D8" s="12">
        <f>Load!J39</f>
        <v>824.28571428571433</v>
      </c>
      <c r="E8" s="12">
        <f t="shared" si="0"/>
        <v>4262.4285714285716</v>
      </c>
      <c r="F8" s="12">
        <f>Load!P39</f>
        <v>12532.774290322581</v>
      </c>
      <c r="G8" s="12">
        <f>Load!S39</f>
        <v>5856.01070967742</v>
      </c>
      <c r="H8" s="12">
        <f>Load!V39</f>
        <v>7621.121322580645</v>
      </c>
      <c r="I8" s="12">
        <f t="shared" si="1"/>
        <v>26009.906322580646</v>
      </c>
      <c r="J8" s="12">
        <f>Load!AB39</f>
        <v>684.66666666666663</v>
      </c>
      <c r="K8" s="12">
        <f>Load!AE39</f>
        <v>132.13333333333333</v>
      </c>
      <c r="L8" s="12">
        <f>Load!AH39</f>
        <v>321.96666666666664</v>
      </c>
      <c r="M8" s="12">
        <f t="shared" si="2"/>
        <v>1138.7666666666667</v>
      </c>
      <c r="N8" s="12"/>
      <c r="O8" s="12">
        <f t="shared" si="3"/>
        <v>15417.155242703533</v>
      </c>
      <c r="Q8" s="184">
        <f t="shared" si="4"/>
        <v>0.14267964816371315</v>
      </c>
      <c r="R8" s="184">
        <f t="shared" si="5"/>
        <v>0.81291094842246969</v>
      </c>
      <c r="S8" s="184">
        <f t="shared" si="6"/>
        <v>4.4409403413817113E-2</v>
      </c>
      <c r="U8" s="12">
        <f>Customers!D38</f>
        <v>128243</v>
      </c>
      <c r="V8" s="12">
        <f>Customers!G38</f>
        <v>1738</v>
      </c>
      <c r="W8" s="12">
        <f>Customers!J38</f>
        <v>56</v>
      </c>
      <c r="X8" s="12">
        <f t="shared" si="7"/>
        <v>130037</v>
      </c>
      <c r="Y8" s="12">
        <f>Customers!P38</f>
        <v>623625</v>
      </c>
      <c r="Z8" s="12">
        <f>Customers!S38</f>
        <v>10528</v>
      </c>
      <c r="AA8" s="12">
        <f>Customers!V38</f>
        <v>354</v>
      </c>
      <c r="AB8" s="12">
        <f t="shared" si="8"/>
        <v>634507</v>
      </c>
      <c r="AC8" s="12">
        <f>Customers!AB38</f>
        <v>36259</v>
      </c>
      <c r="AD8" s="12">
        <f>Customers!AE38</f>
        <v>201</v>
      </c>
      <c r="AE8" s="12">
        <f>Customers!AH38</f>
        <v>16</v>
      </c>
      <c r="AF8" s="12">
        <f t="shared" si="9"/>
        <v>36476</v>
      </c>
      <c r="AH8" s="12">
        <f t="shared" si="10"/>
        <v>788127</v>
      </c>
      <c r="AJ8" s="184">
        <f t="shared" si="11"/>
        <v>0.16271869888989973</v>
      </c>
      <c r="AK8" s="184">
        <f t="shared" si="12"/>
        <v>0.79127475647960288</v>
      </c>
      <c r="AL8" s="184">
        <f t="shared" si="13"/>
        <v>4.6006544630497366E-2</v>
      </c>
    </row>
    <row r="9" spans="1:38" x14ac:dyDescent="0.2">
      <c r="A9" s="109">
        <v>45169</v>
      </c>
      <c r="B9" s="12">
        <f>Load!D40</f>
        <v>2378.2857142857142</v>
      </c>
      <c r="C9" s="12">
        <f>Load!G40</f>
        <v>1224.8571428571429</v>
      </c>
      <c r="D9" s="12">
        <f>Load!J40</f>
        <v>715.85714285714289</v>
      </c>
      <c r="E9" s="12">
        <f t="shared" si="0"/>
        <v>4319</v>
      </c>
      <c r="F9" s="12">
        <f>Load!P40</f>
        <v>13769.367645161288</v>
      </c>
      <c r="G9" s="12">
        <f>Load!S40</f>
        <v>6342.4110322580636</v>
      </c>
      <c r="H9" s="12">
        <f>Load!V40</f>
        <v>6393.3329032258071</v>
      </c>
      <c r="I9" s="12">
        <f t="shared" si="1"/>
        <v>26505.11158064516</v>
      </c>
      <c r="J9" s="12">
        <f>Load!AB40</f>
        <v>726.32258064516134</v>
      </c>
      <c r="K9" s="12">
        <f>Load!AE40</f>
        <v>256.09677419354841</v>
      </c>
      <c r="L9" s="12">
        <f>Load!AH40</f>
        <v>527.09677419354841</v>
      </c>
      <c r="M9" s="12">
        <f t="shared" si="2"/>
        <v>1509.516129032258</v>
      </c>
      <c r="N9" s="12"/>
      <c r="O9" s="12">
        <f t="shared" si="3"/>
        <v>16873.975940092165</v>
      </c>
      <c r="Q9" s="184">
        <f t="shared" si="4"/>
        <v>0.14094400292671772</v>
      </c>
      <c r="R9" s="184">
        <f t="shared" si="5"/>
        <v>0.81601204683749717</v>
      </c>
      <c r="S9" s="184">
        <f t="shared" si="6"/>
        <v>4.3043950235785049E-2</v>
      </c>
      <c r="U9" s="12">
        <f>Customers!D39</f>
        <v>128297</v>
      </c>
      <c r="V9" s="12">
        <f>Customers!G39</f>
        <v>1736</v>
      </c>
      <c r="W9" s="12">
        <f>Customers!J39</f>
        <v>57</v>
      </c>
      <c r="X9" s="12">
        <f t="shared" si="7"/>
        <v>130090</v>
      </c>
      <c r="Y9" s="12">
        <f>Customers!P39</f>
        <v>653576</v>
      </c>
      <c r="Z9" s="12">
        <f>Customers!S39</f>
        <v>11180</v>
      </c>
      <c r="AA9" s="12">
        <f>Customers!V39</f>
        <v>391</v>
      </c>
      <c r="AB9" s="12">
        <f t="shared" si="8"/>
        <v>665147</v>
      </c>
      <c r="AC9" s="12">
        <f>Customers!AB39</f>
        <v>36286</v>
      </c>
      <c r="AD9" s="12">
        <f>Customers!AE39</f>
        <v>200</v>
      </c>
      <c r="AE9" s="12">
        <f>Customers!AH39</f>
        <v>16</v>
      </c>
      <c r="AF9" s="12">
        <f t="shared" si="9"/>
        <v>36502</v>
      </c>
      <c r="AH9" s="12">
        <f t="shared" si="10"/>
        <v>818159</v>
      </c>
      <c r="AJ9" s="184">
        <f t="shared" si="11"/>
        <v>0.15681181775180619</v>
      </c>
      <c r="AK9" s="184">
        <f t="shared" si="12"/>
        <v>0.79883738979831553</v>
      </c>
      <c r="AL9" s="184">
        <f t="shared" si="13"/>
        <v>4.4350792449878322E-2</v>
      </c>
    </row>
    <row r="10" spans="1:38" x14ac:dyDescent="0.2">
      <c r="A10" s="109">
        <v>45138</v>
      </c>
      <c r="B10" s="12">
        <f>Load!D41</f>
        <v>2176.2857142857142</v>
      </c>
      <c r="C10" s="12">
        <f>Load!G41</f>
        <v>1153</v>
      </c>
      <c r="D10" s="12">
        <f>Load!J41</f>
        <v>579.57142857142856</v>
      </c>
      <c r="E10" s="12">
        <f t="shared" si="0"/>
        <v>3908.8571428571427</v>
      </c>
      <c r="F10" s="12">
        <f>Load!P41</f>
        <v>13017.650161290323</v>
      </c>
      <c r="G10" s="12">
        <f>Load!S41</f>
        <v>5761.5780000000004</v>
      </c>
      <c r="H10" s="12">
        <f>Load!V41</f>
        <v>6006.7908064516123</v>
      </c>
      <c r="I10" s="12">
        <f t="shared" si="1"/>
        <v>24786.018967741937</v>
      </c>
      <c r="J10" s="12">
        <f>Load!AB41</f>
        <v>716.67741935483866</v>
      </c>
      <c r="K10" s="12">
        <f>Load!AE41</f>
        <v>193.25806451612902</v>
      </c>
      <c r="L10" s="12">
        <f>Load!AH41</f>
        <v>405.22580645161293</v>
      </c>
      <c r="M10" s="12">
        <f t="shared" si="2"/>
        <v>1315.1612903225805</v>
      </c>
      <c r="N10" s="12"/>
      <c r="O10" s="12">
        <f t="shared" si="3"/>
        <v>15910.613294930876</v>
      </c>
      <c r="Q10" s="184">
        <f t="shared" si="4"/>
        <v>0.13678201298369053</v>
      </c>
      <c r="R10" s="184">
        <f t="shared" si="5"/>
        <v>0.81817400247152938</v>
      </c>
      <c r="S10" s="184">
        <f t="shared" si="6"/>
        <v>4.504398454478007E-2</v>
      </c>
      <c r="U10" s="12">
        <f>Customers!D40</f>
        <v>128179</v>
      </c>
      <c r="V10" s="12">
        <f>Customers!G40</f>
        <v>1726</v>
      </c>
      <c r="W10" s="12">
        <f>Customers!J40</f>
        <v>57</v>
      </c>
      <c r="X10" s="12">
        <f t="shared" si="7"/>
        <v>129962</v>
      </c>
      <c r="Y10" s="12">
        <f>Customers!P40</f>
        <v>625370</v>
      </c>
      <c r="Z10" s="12">
        <f>Customers!S40</f>
        <v>10457</v>
      </c>
      <c r="AA10" s="12">
        <f>Customers!V40</f>
        <v>356</v>
      </c>
      <c r="AB10" s="12">
        <f t="shared" si="8"/>
        <v>636183</v>
      </c>
      <c r="AC10" s="12">
        <f>Customers!AB40</f>
        <v>36238</v>
      </c>
      <c r="AD10" s="12">
        <f>Customers!AE40</f>
        <v>203</v>
      </c>
      <c r="AE10" s="12">
        <f>Customers!AH40</f>
        <v>16</v>
      </c>
      <c r="AF10" s="12">
        <f t="shared" si="9"/>
        <v>36457</v>
      </c>
      <c r="AH10" s="12">
        <f t="shared" si="10"/>
        <v>789787</v>
      </c>
      <c r="AJ10" s="184">
        <f t="shared" si="11"/>
        <v>0.16229565693028628</v>
      </c>
      <c r="AK10" s="184">
        <f t="shared" si="12"/>
        <v>0.79182108593836065</v>
      </c>
      <c r="AL10" s="184">
        <f t="shared" si="13"/>
        <v>4.588325713135314E-2</v>
      </c>
    </row>
    <row r="11" spans="1:38" x14ac:dyDescent="0.2">
      <c r="A11" s="109">
        <v>45107</v>
      </c>
      <c r="B11" s="12">
        <f>Load!D42</f>
        <v>2027</v>
      </c>
      <c r="C11" s="12">
        <f>Load!G42</f>
        <v>1122</v>
      </c>
      <c r="D11" s="12">
        <f>Load!J42</f>
        <v>571</v>
      </c>
      <c r="E11" s="12">
        <f t="shared" si="0"/>
        <v>3720</v>
      </c>
      <c r="F11" s="12">
        <f>Load!P42</f>
        <v>11070.510066666666</v>
      </c>
      <c r="G11" s="12">
        <f>Load!S42</f>
        <v>5479.7486000000008</v>
      </c>
      <c r="H11" s="12">
        <f>Load!V42</f>
        <v>7037.124233333333</v>
      </c>
      <c r="I11" s="12">
        <f t="shared" si="1"/>
        <v>23587.382900000001</v>
      </c>
      <c r="J11" s="12">
        <f>Load!AB42</f>
        <v>682</v>
      </c>
      <c r="K11" s="12">
        <f>Load!AE42</f>
        <v>208</v>
      </c>
      <c r="L11" s="12">
        <f>Load!AH42</f>
        <v>430</v>
      </c>
      <c r="M11" s="12">
        <f t="shared" si="2"/>
        <v>1320</v>
      </c>
      <c r="N11" s="12"/>
      <c r="O11" s="12">
        <f t="shared" si="3"/>
        <v>13779.510066666666</v>
      </c>
      <c r="Q11" s="184">
        <f t="shared" si="4"/>
        <v>0.14710247245316913</v>
      </c>
      <c r="R11" s="184">
        <f t="shared" si="5"/>
        <v>0.80340375043135903</v>
      </c>
      <c r="S11" s="184">
        <f t="shared" si="6"/>
        <v>4.9493777115471808E-2</v>
      </c>
      <c r="U11" s="12">
        <f>Customers!D41</f>
        <v>128042</v>
      </c>
      <c r="V11" s="12">
        <f>Customers!G41</f>
        <v>1728</v>
      </c>
      <c r="W11" s="12">
        <f>Customers!J41</f>
        <v>57</v>
      </c>
      <c r="X11" s="12">
        <f t="shared" si="7"/>
        <v>129827</v>
      </c>
      <c r="Y11" s="12">
        <f>Customers!P41</f>
        <v>651384</v>
      </c>
      <c r="Z11" s="12">
        <f>Customers!S41</f>
        <v>11077</v>
      </c>
      <c r="AA11" s="12">
        <f>Customers!V41</f>
        <v>399</v>
      </c>
      <c r="AB11" s="12">
        <f t="shared" si="8"/>
        <v>662860</v>
      </c>
      <c r="AC11" s="12">
        <f>Customers!AB41</f>
        <v>36222</v>
      </c>
      <c r="AD11" s="12">
        <f>Customers!AE41</f>
        <v>204</v>
      </c>
      <c r="AE11" s="12">
        <f>Customers!AH41</f>
        <v>16</v>
      </c>
      <c r="AF11" s="12">
        <f t="shared" si="9"/>
        <v>36442</v>
      </c>
      <c r="AH11" s="12">
        <f t="shared" si="10"/>
        <v>815648</v>
      </c>
      <c r="AJ11" s="184">
        <f t="shared" si="11"/>
        <v>0.15698193338302796</v>
      </c>
      <c r="AK11" s="184">
        <f t="shared" si="12"/>
        <v>0.79860920397034019</v>
      </c>
      <c r="AL11" s="184">
        <f t="shared" si="13"/>
        <v>4.440886264663188E-2</v>
      </c>
    </row>
    <row r="12" spans="1:38" x14ac:dyDescent="0.2">
      <c r="A12" s="109">
        <v>45077</v>
      </c>
      <c r="B12" s="12">
        <f>Load!D43</f>
        <v>1999.8571428571429</v>
      </c>
      <c r="C12" s="12">
        <f>Load!G43</f>
        <v>1022</v>
      </c>
      <c r="D12" s="12">
        <f>Load!J43</f>
        <v>622.28571428571433</v>
      </c>
      <c r="E12" s="12">
        <f t="shared" si="0"/>
        <v>3644.1428571428573</v>
      </c>
      <c r="F12" s="12">
        <f>Load!P43</f>
        <v>11103.495999999999</v>
      </c>
      <c r="G12" s="12">
        <f>Load!S43</f>
        <v>5230.7679677419355</v>
      </c>
      <c r="H12" s="12">
        <f>Load!V43</f>
        <v>6305.7241612903226</v>
      </c>
      <c r="I12" s="12">
        <f t="shared" si="1"/>
        <v>22639.988129032259</v>
      </c>
      <c r="J12" s="12">
        <f>Load!AB43</f>
        <v>661.74193548387098</v>
      </c>
      <c r="K12" s="12">
        <f>Load!AE43</f>
        <v>193.58064516129033</v>
      </c>
      <c r="L12" s="12">
        <f>Load!AH43</f>
        <v>381.80645161290323</v>
      </c>
      <c r="M12" s="12">
        <f t="shared" si="2"/>
        <v>1237.1290322580646</v>
      </c>
      <c r="N12" s="12"/>
      <c r="O12" s="12">
        <f t="shared" si="3"/>
        <v>13765.095078341014</v>
      </c>
      <c r="Q12" s="184">
        <f t="shared" si="4"/>
        <v>0.14528465887633871</v>
      </c>
      <c r="R12" s="184">
        <f t="shared" si="5"/>
        <v>0.80664143159250934</v>
      </c>
      <c r="S12" s="184">
        <f t="shared" si="6"/>
        <v>4.8073909531151961E-2</v>
      </c>
      <c r="U12" s="12">
        <f>Customers!D42</f>
        <v>127786</v>
      </c>
      <c r="V12" s="12">
        <f>Customers!G42</f>
        <v>1728</v>
      </c>
      <c r="W12" s="12">
        <f>Customers!J42</f>
        <v>56</v>
      </c>
      <c r="X12" s="12">
        <f t="shared" si="7"/>
        <v>129570</v>
      </c>
      <c r="Y12" s="12">
        <f>Customers!P42</f>
        <v>652394</v>
      </c>
      <c r="Z12" s="12">
        <f>Customers!S42</f>
        <v>11145</v>
      </c>
      <c r="AA12" s="12">
        <f>Customers!V42</f>
        <v>407</v>
      </c>
      <c r="AB12" s="12">
        <f t="shared" si="8"/>
        <v>663946</v>
      </c>
      <c r="AC12" s="12">
        <f>Customers!AB42</f>
        <v>36228</v>
      </c>
      <c r="AD12" s="12">
        <f>Customers!AE42</f>
        <v>204</v>
      </c>
      <c r="AE12" s="12">
        <f>Customers!AH42</f>
        <v>16</v>
      </c>
      <c r="AF12" s="12">
        <f t="shared" si="9"/>
        <v>36448</v>
      </c>
      <c r="AH12" s="12">
        <f t="shared" si="10"/>
        <v>816408</v>
      </c>
      <c r="AJ12" s="184">
        <f t="shared" si="11"/>
        <v>0.15652222908153765</v>
      </c>
      <c r="AK12" s="184">
        <f t="shared" si="12"/>
        <v>0.79910289953062685</v>
      </c>
      <c r="AL12" s="184">
        <f t="shared" si="13"/>
        <v>4.4374871387835496E-2</v>
      </c>
    </row>
    <row r="13" spans="1:38" x14ac:dyDescent="0.2">
      <c r="A13" s="109">
        <v>45046</v>
      </c>
      <c r="B13" s="12">
        <f>Load!D44</f>
        <v>2085.5714285714284</v>
      </c>
      <c r="C13" s="12">
        <f>Load!G44</f>
        <v>1064.7142857142858</v>
      </c>
      <c r="D13" s="12">
        <f>Load!J44</f>
        <v>702.14285714285711</v>
      </c>
      <c r="E13" s="12">
        <f t="shared" si="0"/>
        <v>3852.4285714285716</v>
      </c>
      <c r="F13" s="12">
        <f>Load!P44</f>
        <v>11384.939967741935</v>
      </c>
      <c r="G13" s="12">
        <f>Load!S44</f>
        <v>4719.0083225806447</v>
      </c>
      <c r="H13" s="12">
        <f>Load!V44</f>
        <v>4857.1274838709687</v>
      </c>
      <c r="I13" s="12">
        <f t="shared" si="1"/>
        <v>20961.075774193549</v>
      </c>
      <c r="J13" s="12">
        <f>Load!AB44</f>
        <v>815.16666666666663</v>
      </c>
      <c r="K13" s="12">
        <f>Load!AE44</f>
        <v>175</v>
      </c>
      <c r="L13" s="12">
        <f>Load!AH44</f>
        <v>148.80000000000001</v>
      </c>
      <c r="M13" s="12">
        <f t="shared" si="2"/>
        <v>1138.9666666666667</v>
      </c>
      <c r="N13" s="12"/>
      <c r="O13" s="12">
        <f t="shared" si="3"/>
        <v>14285.678062980029</v>
      </c>
      <c r="Q13" s="184">
        <f t="shared" si="4"/>
        <v>0.14599037017192679</v>
      </c>
      <c r="R13" s="184">
        <f t="shared" si="5"/>
        <v>0.79694781847596863</v>
      </c>
      <c r="S13" s="184">
        <f t="shared" si="6"/>
        <v>5.7061811352104683E-2</v>
      </c>
      <c r="U13" s="12">
        <f>Customers!D43</f>
        <v>127396</v>
      </c>
      <c r="V13" s="12">
        <f>Customers!G43</f>
        <v>1717</v>
      </c>
      <c r="W13" s="12">
        <f>Customers!J43</f>
        <v>55</v>
      </c>
      <c r="X13" s="12">
        <f t="shared" si="7"/>
        <v>129168</v>
      </c>
      <c r="Y13" s="12">
        <f>Customers!P43</f>
        <v>585226</v>
      </c>
      <c r="Z13" s="12">
        <f>Customers!S43</f>
        <v>9936</v>
      </c>
      <c r="AA13" s="12">
        <f>Customers!V43</f>
        <v>351</v>
      </c>
      <c r="AB13" s="12">
        <f t="shared" si="8"/>
        <v>595513</v>
      </c>
      <c r="AC13" s="12">
        <f>Customers!AB43</f>
        <v>36160</v>
      </c>
      <c r="AD13" s="12">
        <f>Customers!AE43</f>
        <v>212</v>
      </c>
      <c r="AE13" s="12">
        <f>Customers!AH43</f>
        <v>16</v>
      </c>
      <c r="AF13" s="12">
        <f t="shared" si="9"/>
        <v>36388</v>
      </c>
      <c r="AH13" s="12">
        <f t="shared" si="10"/>
        <v>748782</v>
      </c>
      <c r="AJ13" s="184">
        <f t="shared" si="11"/>
        <v>0.1701376368555868</v>
      </c>
      <c r="AK13" s="184">
        <f t="shared" si="12"/>
        <v>0.78157060399421996</v>
      </c>
      <c r="AL13" s="184">
        <f t="shared" si="13"/>
        <v>4.829175915019325E-2</v>
      </c>
    </row>
    <row r="14" spans="1:38" x14ac:dyDescent="0.2">
      <c r="A14" s="109">
        <v>45016</v>
      </c>
      <c r="B14" s="12">
        <f>Load!D45</f>
        <v>2751.5714285714284</v>
      </c>
      <c r="C14" s="12">
        <f>Load!G45</f>
        <v>1148.1428571428571</v>
      </c>
      <c r="D14" s="12">
        <f>Load!J45</f>
        <v>836.14285714285711</v>
      </c>
      <c r="E14" s="12">
        <f t="shared" si="0"/>
        <v>4735.8571428571422</v>
      </c>
      <c r="F14" s="12">
        <f>Load!P45</f>
        <v>14782.516322580646</v>
      </c>
      <c r="G14" s="12">
        <f>Load!S45</f>
        <v>5615.6031612903234</v>
      </c>
      <c r="H14" s="12">
        <f>Load!V45</f>
        <v>6700.494419354839</v>
      </c>
      <c r="I14" s="12">
        <f t="shared" si="1"/>
        <v>27098.613903225811</v>
      </c>
      <c r="J14" s="12">
        <f>Load!AB45</f>
        <v>902.9677419354839</v>
      </c>
      <c r="K14" s="12">
        <f>Load!AE45</f>
        <v>261.19354838709677</v>
      </c>
      <c r="L14" s="12">
        <f>Load!AH45</f>
        <v>696.93548387096769</v>
      </c>
      <c r="M14" s="12">
        <f t="shared" si="2"/>
        <v>1861.0967741935483</v>
      </c>
      <c r="N14" s="12"/>
      <c r="O14" s="12">
        <f t="shared" si="3"/>
        <v>18437.055493087559</v>
      </c>
      <c r="Q14" s="184">
        <f t="shared" si="4"/>
        <v>0.14924137043483168</v>
      </c>
      <c r="R14" s="184">
        <f t="shared" si="5"/>
        <v>0.80178292722083111</v>
      </c>
      <c r="S14" s="184">
        <f t="shared" si="6"/>
        <v>4.8975702344337228E-2</v>
      </c>
      <c r="U14" s="12">
        <f>Customers!D44</f>
        <v>126984</v>
      </c>
      <c r="V14" s="12">
        <f>Customers!G44</f>
        <v>1686</v>
      </c>
      <c r="W14" s="12">
        <f>Customers!J44</f>
        <v>55</v>
      </c>
      <c r="X14" s="12">
        <f t="shared" si="7"/>
        <v>128725</v>
      </c>
      <c r="Y14" s="12">
        <f>Customers!P44</f>
        <v>651450</v>
      </c>
      <c r="Z14" s="12">
        <f>Customers!S44</f>
        <v>11220</v>
      </c>
      <c r="AA14" s="12">
        <f>Customers!V44</f>
        <v>405</v>
      </c>
      <c r="AB14" s="12">
        <f t="shared" si="8"/>
        <v>663075</v>
      </c>
      <c r="AC14" s="12">
        <f>Customers!AB44</f>
        <v>36140</v>
      </c>
      <c r="AD14" s="12">
        <f>Customers!AE44</f>
        <v>206</v>
      </c>
      <c r="AE14" s="12">
        <f>Customers!AH44</f>
        <v>16</v>
      </c>
      <c r="AF14" s="12">
        <f t="shared" si="9"/>
        <v>36362</v>
      </c>
      <c r="AH14" s="12">
        <f t="shared" si="10"/>
        <v>814574</v>
      </c>
      <c r="AJ14" s="184">
        <f t="shared" si="11"/>
        <v>0.1558900726023664</v>
      </c>
      <c r="AK14" s="184">
        <f t="shared" si="12"/>
        <v>0.79974317864306987</v>
      </c>
      <c r="AL14" s="184">
        <f t="shared" si="13"/>
        <v>4.4366748754563735E-2</v>
      </c>
    </row>
    <row r="15" spans="1:38" x14ac:dyDescent="0.2">
      <c r="A15" s="109">
        <v>44985</v>
      </c>
      <c r="B15" s="12">
        <f>Load!D46</f>
        <v>2701.7142857142858</v>
      </c>
      <c r="C15" s="12">
        <f>Load!G46</f>
        <v>1108.4285714285713</v>
      </c>
      <c r="D15" s="12">
        <f>Load!J46</f>
        <v>499.57142857142856</v>
      </c>
      <c r="E15" s="12">
        <f t="shared" si="0"/>
        <v>4309.7142857142853</v>
      </c>
      <c r="F15" s="12">
        <f>Load!P46</f>
        <v>14641.513999999999</v>
      </c>
      <c r="G15" s="12">
        <f>Load!S46</f>
        <v>5441.1680714285721</v>
      </c>
      <c r="H15" s="12">
        <f>Load!V46</f>
        <v>7583.3791785714284</v>
      </c>
      <c r="I15" s="12">
        <f t="shared" si="1"/>
        <v>27666.061249999999</v>
      </c>
      <c r="J15" s="12">
        <f>Load!AB46</f>
        <v>1022.7857142857143</v>
      </c>
      <c r="K15" s="12">
        <f>Load!AE46</f>
        <v>252.57142857142858</v>
      </c>
      <c r="L15" s="12">
        <f>Load!AH46</f>
        <v>512.92857142857144</v>
      </c>
      <c r="M15" s="12">
        <f t="shared" si="2"/>
        <v>1788.2857142857142</v>
      </c>
      <c r="N15" s="12"/>
      <c r="O15" s="12">
        <f t="shared" si="3"/>
        <v>18366.013999999999</v>
      </c>
      <c r="Q15" s="184">
        <f t="shared" si="4"/>
        <v>0.14710400883470337</v>
      </c>
      <c r="R15" s="184">
        <f t="shared" si="5"/>
        <v>0.79720694974968442</v>
      </c>
      <c r="S15" s="184">
        <f t="shared" si="6"/>
        <v>5.5689041415612248E-2</v>
      </c>
      <c r="U15" s="12">
        <f>Customers!D45</f>
        <v>126899</v>
      </c>
      <c r="V15" s="12">
        <f>Customers!G45</f>
        <v>1666</v>
      </c>
      <c r="W15" s="12">
        <f>Customers!J45</f>
        <v>55</v>
      </c>
      <c r="X15" s="12">
        <f t="shared" si="7"/>
        <v>128620</v>
      </c>
      <c r="Y15" s="12">
        <f>Customers!P45</f>
        <v>590424</v>
      </c>
      <c r="Z15" s="12">
        <f>Customers!S45</f>
        <v>10104</v>
      </c>
      <c r="AA15" s="12">
        <f>Customers!V45</f>
        <v>363</v>
      </c>
      <c r="AB15" s="12">
        <f t="shared" si="8"/>
        <v>600891</v>
      </c>
      <c r="AC15" s="12">
        <f>Customers!AB45</f>
        <v>36137</v>
      </c>
      <c r="AD15" s="12">
        <f>Customers!AE45</f>
        <v>210</v>
      </c>
      <c r="AE15" s="12">
        <f>Customers!AH45</f>
        <v>16</v>
      </c>
      <c r="AF15" s="12">
        <f t="shared" si="9"/>
        <v>36363</v>
      </c>
      <c r="AH15" s="12">
        <f t="shared" si="10"/>
        <v>753460</v>
      </c>
      <c r="AJ15" s="184">
        <f t="shared" si="11"/>
        <v>0.16842168131022217</v>
      </c>
      <c r="AK15" s="184">
        <f t="shared" si="12"/>
        <v>0.78361691397021738</v>
      </c>
      <c r="AL15" s="184">
        <f t="shared" si="13"/>
        <v>4.7961404719560431E-2</v>
      </c>
    </row>
    <row r="16" spans="1:38" x14ac:dyDescent="0.2">
      <c r="A16" s="109">
        <v>44957</v>
      </c>
      <c r="B16" s="12">
        <f>Load!D47</f>
        <v>2679.8571428571427</v>
      </c>
      <c r="C16" s="12">
        <f>Load!G47</f>
        <v>1099.4285714285713</v>
      </c>
      <c r="D16" s="12">
        <f>Load!J47</f>
        <v>489.14285714285717</v>
      </c>
      <c r="E16" s="12">
        <f t="shared" si="0"/>
        <v>4268.4285714285706</v>
      </c>
      <c r="F16" s="12">
        <f>Load!P47</f>
        <v>15239.056580645161</v>
      </c>
      <c r="G16" s="12">
        <f>Load!S47</f>
        <v>5221.6906129032259</v>
      </c>
      <c r="H16" s="12">
        <f>Load!V47</f>
        <v>6445.5487741935485</v>
      </c>
      <c r="I16" s="12">
        <f t="shared" si="1"/>
        <v>26906.295967741935</v>
      </c>
      <c r="J16" s="12">
        <f>Load!AB47</f>
        <v>972.54838709677415</v>
      </c>
      <c r="K16" s="12">
        <f>Load!AE47</f>
        <v>203</v>
      </c>
      <c r="L16" s="12">
        <f>Load!AH47</f>
        <v>405.80645161290323</v>
      </c>
      <c r="M16" s="12">
        <f t="shared" si="2"/>
        <v>1581.3548387096773</v>
      </c>
      <c r="N16" s="12"/>
      <c r="O16" s="12">
        <f t="shared" si="3"/>
        <v>18891.462110599077</v>
      </c>
      <c r="Q16" s="184">
        <f t="shared" si="4"/>
        <v>0.14185546503325466</v>
      </c>
      <c r="R16" s="184">
        <f t="shared" si="5"/>
        <v>0.80666369238277591</v>
      </c>
      <c r="S16" s="184">
        <f t="shared" si="6"/>
        <v>5.1480842583969441E-2</v>
      </c>
      <c r="U16" s="12">
        <f>Customers!D46</f>
        <v>126865</v>
      </c>
      <c r="V16" s="12">
        <f>Customers!G46</f>
        <v>1665</v>
      </c>
      <c r="W16" s="12">
        <f>Customers!J46</f>
        <v>55</v>
      </c>
      <c r="X16" s="12">
        <f t="shared" si="7"/>
        <v>128585</v>
      </c>
      <c r="Y16" s="12">
        <f>Customers!P46</f>
        <v>649765</v>
      </c>
      <c r="Z16" s="12">
        <f>Customers!S46</f>
        <v>11150</v>
      </c>
      <c r="AA16" s="12">
        <f>Customers!V46</f>
        <v>389</v>
      </c>
      <c r="AB16" s="12">
        <f t="shared" si="8"/>
        <v>661304</v>
      </c>
      <c r="AC16" s="12">
        <f>Customers!AB46</f>
        <v>36149</v>
      </c>
      <c r="AD16" s="12">
        <f>Customers!AE46</f>
        <v>211</v>
      </c>
      <c r="AE16" s="12">
        <f>Customers!AH46</f>
        <v>16</v>
      </c>
      <c r="AF16" s="12">
        <f t="shared" si="9"/>
        <v>36376</v>
      </c>
      <c r="AH16" s="12">
        <f t="shared" si="10"/>
        <v>812779</v>
      </c>
      <c r="AJ16" s="184">
        <f t="shared" si="11"/>
        <v>0.15608794026420467</v>
      </c>
      <c r="AK16" s="184">
        <f t="shared" si="12"/>
        <v>0.79943625511978045</v>
      </c>
      <c r="AL16" s="184">
        <f t="shared" si="13"/>
        <v>4.4475804616014934E-2</v>
      </c>
    </row>
    <row r="17" spans="1:38" x14ac:dyDescent="0.2">
      <c r="B17" s="12">
        <f>SUM(B5:B16)</f>
        <v>27442.857142857138</v>
      </c>
      <c r="C17" s="12">
        <f t="shared" ref="C17:M17" si="14">SUM(C5:C16)</f>
        <v>13490.999999999998</v>
      </c>
      <c r="D17" s="12">
        <f t="shared" si="14"/>
        <v>7883.9999999999991</v>
      </c>
      <c r="E17" s="12">
        <f t="shared" si="14"/>
        <v>48817.857142857145</v>
      </c>
      <c r="F17" s="12">
        <f t="shared" si="14"/>
        <v>153742.65516774193</v>
      </c>
      <c r="G17" s="12">
        <f t="shared" si="14"/>
        <v>65134.342588632877</v>
      </c>
      <c r="H17" s="12">
        <f t="shared" si="14"/>
        <v>75918.297410829502</v>
      </c>
      <c r="I17" s="12">
        <f t="shared" si="14"/>
        <v>294795.29516720428</v>
      </c>
      <c r="J17" s="12">
        <f t="shared" si="14"/>
        <v>9528.8771121351783</v>
      </c>
      <c r="K17" s="12">
        <f t="shared" si="14"/>
        <v>2503.8337941628261</v>
      </c>
      <c r="L17" s="12">
        <f t="shared" si="14"/>
        <v>5087.5662058371745</v>
      </c>
      <c r="M17" s="12">
        <f t="shared" si="14"/>
        <v>17120.277112135176</v>
      </c>
      <c r="O17" s="12">
        <f>B17+F17+J17</f>
        <v>190714.38942273424</v>
      </c>
      <c r="Q17" s="184">
        <f>B17/$O17</f>
        <v>0.14389505283750653</v>
      </c>
      <c r="R17" s="184">
        <f>F17/$O17</f>
        <v>0.80614082468081949</v>
      </c>
      <c r="S17" s="184">
        <f>J17/$O17</f>
        <v>4.9964122481674068E-2</v>
      </c>
      <c r="U17" s="12">
        <f>SUM(U5:U16)</f>
        <v>1531947</v>
      </c>
      <c r="V17" s="12">
        <f t="shared" ref="V17:AF17" si="15">SUM(V5:V16)</f>
        <v>20541</v>
      </c>
      <c r="W17" s="12">
        <f t="shared" si="15"/>
        <v>671</v>
      </c>
      <c r="X17" s="12">
        <f t="shared" si="15"/>
        <v>1553159</v>
      </c>
      <c r="Y17" s="12">
        <f t="shared" si="15"/>
        <v>7616105</v>
      </c>
      <c r="Z17" s="12">
        <f t="shared" si="15"/>
        <v>128916</v>
      </c>
      <c r="AA17" s="12">
        <f t="shared" si="15"/>
        <v>4488</v>
      </c>
      <c r="AB17" s="12">
        <f t="shared" si="15"/>
        <v>7749509</v>
      </c>
      <c r="AC17" s="12">
        <f t="shared" si="15"/>
        <v>434440</v>
      </c>
      <c r="AD17" s="12">
        <f t="shared" si="15"/>
        <v>2458</v>
      </c>
      <c r="AE17" s="12">
        <f t="shared" si="15"/>
        <v>192</v>
      </c>
      <c r="AF17" s="12">
        <f t="shared" si="15"/>
        <v>437090</v>
      </c>
      <c r="AH17" s="12">
        <f>SUM(AH5:AH16)</f>
        <v>9582492</v>
      </c>
      <c r="AJ17" s="184">
        <f>U17/$AH17</f>
        <v>0.15986937427132733</v>
      </c>
      <c r="AK17" s="184">
        <f>Y17/$AH17</f>
        <v>0.79479377598228107</v>
      </c>
      <c r="AL17" s="184">
        <f t="shared" si="13"/>
        <v>4.5336849746391648E-2</v>
      </c>
    </row>
    <row r="21" spans="1:38" x14ac:dyDescent="0.2">
      <c r="A21" t="s">
        <v>64</v>
      </c>
    </row>
    <row r="22" spans="1:38" x14ac:dyDescent="0.2">
      <c r="B22" t="s">
        <v>59</v>
      </c>
      <c r="F22" t="s">
        <v>31</v>
      </c>
      <c r="J22" t="s">
        <v>60</v>
      </c>
    </row>
    <row r="23" spans="1:38" x14ac:dyDescent="0.2">
      <c r="B23" t="s">
        <v>26</v>
      </c>
      <c r="C23" t="s">
        <v>25</v>
      </c>
      <c r="D23" t="s">
        <v>21</v>
      </c>
      <c r="F23" t="s">
        <v>26</v>
      </c>
      <c r="G23" t="s">
        <v>25</v>
      </c>
      <c r="H23" t="s">
        <v>21</v>
      </c>
      <c r="J23" t="s">
        <v>26</v>
      </c>
      <c r="K23" t="s">
        <v>25</v>
      </c>
      <c r="L23" t="s">
        <v>21</v>
      </c>
    </row>
    <row r="24" spans="1:38" x14ac:dyDescent="0.2">
      <c r="A24" s="109">
        <v>45291</v>
      </c>
      <c r="B24" s="12">
        <f t="shared" ref="B24:B35" si="16">(B5/U5)*1000</f>
        <v>19.047917417252776</v>
      </c>
      <c r="C24" s="12">
        <f t="shared" ref="C24:C35" si="17">(C5/V5)*1000</f>
        <v>664.90299823633154</v>
      </c>
      <c r="D24" s="12">
        <f t="shared" ref="D24:D35" si="18">(D5/W5)*1000</f>
        <v>10267.857142857143</v>
      </c>
      <c r="F24" s="12">
        <f t="shared" ref="F24:F35" si="19">(F5/Y5)*1000</f>
        <v>21.53469069000074</v>
      </c>
      <c r="G24" s="12">
        <f t="shared" ref="G24:G35" si="20">(G5/Z5)*1000</f>
        <v>509.42090533304207</v>
      </c>
      <c r="H24" s="12">
        <f t="shared" ref="H24:H35" si="21">(H5/AA5)*1000</f>
        <v>16828.879711375212</v>
      </c>
      <c r="J24" s="12">
        <f t="shared" ref="J24:J35" si="22">(J5/AC5)*1000</f>
        <v>25.581587879791375</v>
      </c>
      <c r="K24" s="12">
        <f t="shared" ref="K24:K35" si="23">(K5/AD5)*1000</f>
        <v>1058.5365853658536</v>
      </c>
      <c r="L24" s="12">
        <f t="shared" ref="L24:L35" si="24">(L5/AE5)*1000</f>
        <v>24562.5</v>
      </c>
    </row>
    <row r="25" spans="1:38" x14ac:dyDescent="0.2">
      <c r="A25" s="109">
        <v>45260</v>
      </c>
      <c r="B25" s="12">
        <f t="shared" si="16"/>
        <v>15.431712129278758</v>
      </c>
      <c r="C25" s="12">
        <f t="shared" si="17"/>
        <v>582.35981308411215</v>
      </c>
      <c r="D25" s="12">
        <f t="shared" si="18"/>
        <v>14500</v>
      </c>
      <c r="F25" s="12">
        <f t="shared" si="19"/>
        <v>18.007537364202648</v>
      </c>
      <c r="G25" s="12">
        <f t="shared" si="20"/>
        <v>451.35889191114569</v>
      </c>
      <c r="H25" s="12">
        <f t="shared" si="21"/>
        <v>12440.150365726227</v>
      </c>
      <c r="J25" s="12">
        <f t="shared" si="22"/>
        <v>21.287757468661994</v>
      </c>
      <c r="K25" s="12">
        <f t="shared" si="23"/>
        <v>825.87064676616922</v>
      </c>
      <c r="L25" s="12">
        <f t="shared" si="24"/>
        <v>16562.5</v>
      </c>
    </row>
    <row r="26" spans="1:38" x14ac:dyDescent="0.2">
      <c r="A26" s="109">
        <v>45230</v>
      </c>
      <c r="B26" s="12">
        <f t="shared" si="16"/>
        <v>15.955699469707634</v>
      </c>
      <c r="C26" s="12">
        <f t="shared" si="17"/>
        <v>680.09205983889535</v>
      </c>
      <c r="D26" s="12">
        <f t="shared" si="18"/>
        <v>11732.142857142857</v>
      </c>
      <c r="F26" s="12">
        <f t="shared" si="19"/>
        <v>16.630669772530268</v>
      </c>
      <c r="G26" s="12">
        <f t="shared" si="20"/>
        <v>482.44375277381982</v>
      </c>
      <c r="H26" s="12">
        <f t="shared" si="21"/>
        <v>17658.480938416425</v>
      </c>
      <c r="J26" s="12">
        <f t="shared" si="22"/>
        <v>17.862080407012112</v>
      </c>
      <c r="K26" s="12">
        <f t="shared" si="23"/>
        <v>1223.8805970149253</v>
      </c>
      <c r="L26" s="12">
        <f t="shared" si="24"/>
        <v>37437.5</v>
      </c>
    </row>
    <row r="27" spans="1:38" x14ac:dyDescent="0.2">
      <c r="A27" s="109">
        <v>45199</v>
      </c>
      <c r="B27" s="12">
        <f t="shared" si="16"/>
        <v>17.152704519656321</v>
      </c>
      <c r="C27" s="12">
        <f t="shared" si="17"/>
        <v>712.5595923064277</v>
      </c>
      <c r="D27" s="12">
        <f t="shared" si="18"/>
        <v>14719.387755102043</v>
      </c>
      <c r="F27" s="12">
        <f t="shared" si="19"/>
        <v>20.096651497811312</v>
      </c>
      <c r="G27" s="12">
        <f t="shared" si="20"/>
        <v>556.23202029610752</v>
      </c>
      <c r="H27" s="12">
        <f t="shared" si="21"/>
        <v>21528.591306724986</v>
      </c>
      <c r="J27" s="12">
        <f t="shared" si="22"/>
        <v>18.882668211110804</v>
      </c>
      <c r="K27" s="12">
        <f t="shared" si="23"/>
        <v>657.37976782752889</v>
      </c>
      <c r="L27" s="12">
        <f t="shared" si="24"/>
        <v>20122.916666666664</v>
      </c>
    </row>
    <row r="28" spans="1:38" x14ac:dyDescent="0.2">
      <c r="A28" s="109">
        <v>45169</v>
      </c>
      <c r="B28" s="12">
        <f t="shared" si="16"/>
        <v>18.537344710209236</v>
      </c>
      <c r="C28" s="12">
        <f t="shared" si="17"/>
        <v>705.56287030941417</v>
      </c>
      <c r="D28" s="12">
        <f t="shared" si="18"/>
        <v>12558.897243107771</v>
      </c>
      <c r="F28" s="12">
        <f t="shared" si="19"/>
        <v>21.067737562519564</v>
      </c>
      <c r="G28" s="12">
        <f t="shared" si="20"/>
        <v>567.29973454902188</v>
      </c>
      <c r="H28" s="12">
        <f t="shared" si="21"/>
        <v>16351.235046613319</v>
      </c>
      <c r="J28" s="12">
        <f t="shared" si="22"/>
        <v>20.016606422453876</v>
      </c>
      <c r="K28" s="12">
        <f t="shared" si="23"/>
        <v>1280.483870967742</v>
      </c>
      <c r="L28" s="12">
        <f t="shared" si="24"/>
        <v>32943.548387096773</v>
      </c>
    </row>
    <row r="29" spans="1:38" x14ac:dyDescent="0.2">
      <c r="A29" s="109">
        <v>45138</v>
      </c>
      <c r="B29" s="12">
        <f t="shared" si="16"/>
        <v>16.97848878744345</v>
      </c>
      <c r="C29" s="12">
        <f t="shared" si="17"/>
        <v>668.01853997682508</v>
      </c>
      <c r="D29" s="12">
        <f t="shared" si="18"/>
        <v>10167.919799498746</v>
      </c>
      <c r="F29" s="12">
        <f t="shared" si="19"/>
        <v>20.815917235061359</v>
      </c>
      <c r="G29" s="12">
        <f t="shared" si="20"/>
        <v>550.97810079372675</v>
      </c>
      <c r="H29" s="12">
        <f t="shared" si="21"/>
        <v>16873.007883291044</v>
      </c>
      <c r="J29" s="12">
        <f t="shared" si="22"/>
        <v>19.776958423611642</v>
      </c>
      <c r="K29" s="12">
        <f t="shared" si="23"/>
        <v>952.01017003019228</v>
      </c>
      <c r="L29" s="12">
        <f t="shared" si="24"/>
        <v>25326.612903225807</v>
      </c>
    </row>
    <row r="30" spans="1:38" x14ac:dyDescent="0.2">
      <c r="A30" s="109">
        <v>45107</v>
      </c>
      <c r="B30" s="12">
        <f t="shared" si="16"/>
        <v>15.83074303744084</v>
      </c>
      <c r="C30" s="12">
        <f t="shared" si="17"/>
        <v>649.30555555555554</v>
      </c>
      <c r="D30" s="12">
        <f t="shared" si="18"/>
        <v>10017.543859649124</v>
      </c>
      <c r="F30" s="12">
        <f t="shared" si="19"/>
        <v>16.995366890600117</v>
      </c>
      <c r="G30" s="12">
        <f t="shared" si="20"/>
        <v>494.6960909993681</v>
      </c>
      <c r="H30" s="12">
        <f t="shared" si="21"/>
        <v>17636.902840434421</v>
      </c>
      <c r="J30" s="12">
        <f t="shared" si="22"/>
        <v>18.828336370161782</v>
      </c>
      <c r="K30" s="12">
        <f t="shared" si="23"/>
        <v>1019.6078431372548</v>
      </c>
      <c r="L30" s="12">
        <f t="shared" si="24"/>
        <v>26875</v>
      </c>
    </row>
    <row r="31" spans="1:38" x14ac:dyDescent="0.2">
      <c r="A31" s="109">
        <v>45077</v>
      </c>
      <c r="B31" s="12">
        <f t="shared" si="16"/>
        <v>15.650048853999207</v>
      </c>
      <c r="C31" s="12">
        <f t="shared" si="17"/>
        <v>591.43518518518522</v>
      </c>
      <c r="D31" s="12">
        <f t="shared" si="18"/>
        <v>11112.244897959185</v>
      </c>
      <c r="F31" s="12">
        <f t="shared" si="19"/>
        <v>17.019616979923175</v>
      </c>
      <c r="G31" s="12">
        <f t="shared" si="20"/>
        <v>469.33763730300007</v>
      </c>
      <c r="H31" s="12">
        <f t="shared" si="21"/>
        <v>15493.179757470081</v>
      </c>
      <c r="J31" s="12">
        <f t="shared" si="22"/>
        <v>18.266035538364552</v>
      </c>
      <c r="K31" s="12">
        <f t="shared" si="23"/>
        <v>948.92473118279577</v>
      </c>
      <c r="L31" s="12">
        <f t="shared" si="24"/>
        <v>23862.903225806451</v>
      </c>
    </row>
    <row r="32" spans="1:38" x14ac:dyDescent="0.2">
      <c r="A32" s="109">
        <v>45046</v>
      </c>
      <c r="B32" s="12">
        <f t="shared" si="16"/>
        <v>16.370776386789448</v>
      </c>
      <c r="C32" s="12">
        <f t="shared" si="17"/>
        <v>620.10150594891422</v>
      </c>
      <c r="D32" s="12">
        <f t="shared" si="18"/>
        <v>12766.233766233767</v>
      </c>
      <c r="F32" s="12">
        <f t="shared" si="19"/>
        <v>19.453920310686701</v>
      </c>
      <c r="G32" s="12">
        <f t="shared" si="20"/>
        <v>474.940451145395</v>
      </c>
      <c r="H32" s="12">
        <f t="shared" si="21"/>
        <v>13837.97003951843</v>
      </c>
      <c r="J32" s="12">
        <f t="shared" si="22"/>
        <v>22.543325958702066</v>
      </c>
      <c r="K32" s="12">
        <f t="shared" si="23"/>
        <v>825.47169811320748</v>
      </c>
      <c r="L32" s="12">
        <f t="shared" si="24"/>
        <v>9300</v>
      </c>
    </row>
    <row r="33" spans="1:14" x14ac:dyDescent="0.2">
      <c r="A33" s="109">
        <v>45016</v>
      </c>
      <c r="B33" s="12">
        <f t="shared" si="16"/>
        <v>21.668646668646669</v>
      </c>
      <c r="C33" s="12">
        <f t="shared" si="17"/>
        <v>680.98627351296398</v>
      </c>
      <c r="D33" s="12">
        <f t="shared" si="18"/>
        <v>15202.597402597401</v>
      </c>
      <c r="F33" s="12">
        <f t="shared" si="19"/>
        <v>22.6917128291974</v>
      </c>
      <c r="G33" s="12">
        <f t="shared" si="20"/>
        <v>500.49939048933368</v>
      </c>
      <c r="H33" s="12">
        <f t="shared" si="21"/>
        <v>16544.430665073676</v>
      </c>
      <c r="J33" s="12">
        <f t="shared" si="22"/>
        <v>24.985272328043273</v>
      </c>
      <c r="K33" s="12">
        <f t="shared" si="23"/>
        <v>1267.9298465393047</v>
      </c>
      <c r="L33" s="12">
        <f t="shared" si="24"/>
        <v>43558.467741935478</v>
      </c>
    </row>
    <row r="34" spans="1:14" x14ac:dyDescent="0.2">
      <c r="A34" s="109">
        <v>44985</v>
      </c>
      <c r="B34" s="12">
        <f t="shared" si="16"/>
        <v>21.290272466404666</v>
      </c>
      <c r="C34" s="12">
        <f t="shared" si="17"/>
        <v>665.32327216600913</v>
      </c>
      <c r="D34" s="12">
        <f t="shared" si="18"/>
        <v>9083.1168831168834</v>
      </c>
      <c r="F34" s="12">
        <f t="shared" si="19"/>
        <v>24.798304269474137</v>
      </c>
      <c r="G34" s="12">
        <f t="shared" si="20"/>
        <v>538.5162382649022</v>
      </c>
      <c r="H34" s="12">
        <f t="shared" si="21"/>
        <v>20890.851731601731</v>
      </c>
      <c r="J34" s="12">
        <f t="shared" si="22"/>
        <v>28.303005625417562</v>
      </c>
      <c r="K34" s="12">
        <f t="shared" si="23"/>
        <v>1202.7210884353742</v>
      </c>
      <c r="L34" s="12">
        <f t="shared" si="24"/>
        <v>32058.035714285714</v>
      </c>
    </row>
    <row r="35" spans="1:14" x14ac:dyDescent="0.2">
      <c r="A35" s="109">
        <v>44957</v>
      </c>
      <c r="B35" s="12">
        <f t="shared" si="16"/>
        <v>21.123691663241576</v>
      </c>
      <c r="C35" s="12">
        <f t="shared" si="17"/>
        <v>660.31746031746036</v>
      </c>
      <c r="D35" s="12">
        <f t="shared" si="18"/>
        <v>8893.5064935064947</v>
      </c>
      <c r="F35" s="12">
        <f t="shared" si="19"/>
        <v>23.453181658976956</v>
      </c>
      <c r="G35" s="12">
        <f t="shared" si="20"/>
        <v>468.31305945320412</v>
      </c>
      <c r="H35" s="12">
        <f t="shared" si="21"/>
        <v>16569.534123890873</v>
      </c>
      <c r="J35" s="12">
        <f t="shared" si="22"/>
        <v>26.903880801592688</v>
      </c>
      <c r="K35" s="12">
        <f t="shared" si="23"/>
        <v>962.08530805687212</v>
      </c>
      <c r="L35" s="12">
        <f t="shared" si="24"/>
        <v>25362.903225806451</v>
      </c>
    </row>
    <row r="36" spans="1:14" x14ac:dyDescent="0.2">
      <c r="B36" s="12">
        <f>AVERAGE(B24:B35)</f>
        <v>17.919837175839216</v>
      </c>
      <c r="F36" s="12">
        <f>AVERAGE(F24:F35)</f>
        <v>20.213775588415363</v>
      </c>
      <c r="J36" s="12">
        <f>AVERAGE(J24:J35)</f>
        <v>21.936459619576979</v>
      </c>
    </row>
    <row r="38" spans="1:14" x14ac:dyDescent="0.2">
      <c r="B38">
        <f>B36*30</f>
        <v>537.59511527517645</v>
      </c>
      <c r="F38">
        <f>F36*30</f>
        <v>606.41326765246083</v>
      </c>
      <c r="H38" s="184">
        <f>(F38-B38)/B38</f>
        <v>0.12801111918968744</v>
      </c>
      <c r="J38">
        <f>J36*30</f>
        <v>658.0937885873094</v>
      </c>
      <c r="M38" s="184">
        <f>(J38-B38)/B38</f>
        <v>0.2241439140503608</v>
      </c>
      <c r="N38" s="184">
        <f>(J38-F38)/F38</f>
        <v>8.522326883597639E-2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D5"/>
  <sheetViews>
    <sheetView workbookViewId="0">
      <selection activeCell="A6" sqref="A6"/>
    </sheetView>
  </sheetViews>
  <sheetFormatPr defaultRowHeight="12.75" x14ac:dyDescent="0.2"/>
  <cols>
    <col min="2" max="2" width="16.140625" bestFit="1" customWidth="1"/>
    <col min="3" max="3" width="10" bestFit="1" customWidth="1"/>
    <col min="4" max="4" width="8.5703125" bestFit="1" customWidth="1"/>
  </cols>
  <sheetData>
    <row r="1" spans="1:4" ht="15.75" x14ac:dyDescent="0.25">
      <c r="A1" s="112" t="s">
        <v>30</v>
      </c>
      <c r="B1" s="86"/>
      <c r="C1" s="86"/>
      <c r="D1" s="112"/>
    </row>
    <row r="2" spans="1:4" x14ac:dyDescent="0.2">
      <c r="A2" s="112" t="s">
        <v>42</v>
      </c>
      <c r="B2" s="115" t="s">
        <v>32</v>
      </c>
      <c r="C2" s="115" t="s">
        <v>20</v>
      </c>
      <c r="D2" s="115" t="s">
        <v>21</v>
      </c>
    </row>
    <row r="3" spans="1:4" x14ac:dyDescent="0.2">
      <c r="A3" s="114" t="s">
        <v>51</v>
      </c>
      <c r="B3" s="9" t="s">
        <v>33</v>
      </c>
      <c r="C3" s="9" t="s">
        <v>38</v>
      </c>
      <c r="D3" s="9" t="s">
        <v>36</v>
      </c>
    </row>
    <row r="4" spans="1:4" x14ac:dyDescent="0.2">
      <c r="A4" s="114" t="s">
        <v>31</v>
      </c>
      <c r="B4" s="9" t="s">
        <v>34</v>
      </c>
      <c r="C4" s="9" t="s">
        <v>39</v>
      </c>
      <c r="D4" s="9" t="s">
        <v>37</v>
      </c>
    </row>
    <row r="5" spans="1:4" x14ac:dyDescent="0.2">
      <c r="A5" s="114" t="s">
        <v>52</v>
      </c>
      <c r="B5" s="9" t="s">
        <v>35</v>
      </c>
      <c r="C5" s="9" t="s">
        <v>40</v>
      </c>
      <c r="D5" s="9" t="s">
        <v>36</v>
      </c>
    </row>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Graphs</vt:lpstr>
      <vt:lpstr>Load</vt:lpstr>
      <vt:lpstr>Customers</vt:lpstr>
      <vt:lpstr>Sheet1</vt:lpstr>
      <vt:lpstr>Class Definitions</vt:lpstr>
      <vt:lpstr>BHD_ALL_LD_PCT</vt:lpstr>
      <vt:lpstr>BHD_LG_LD_PCT</vt:lpstr>
      <vt:lpstr>BHD_MD_LD_PCT</vt:lpstr>
      <vt:lpstr>BHD_SM_LD_PCT</vt:lpstr>
      <vt:lpstr>CMP_ALL_LD_PCT</vt:lpstr>
      <vt:lpstr>CMP_LG_LD_PCT</vt:lpstr>
      <vt:lpstr>CMP_MD_LD_PCT</vt:lpstr>
      <vt:lpstr>CMP_SM_LD_PCT</vt:lpstr>
      <vt:lpstr>MPD_ALL_LD_PCT</vt:lpstr>
      <vt:lpstr>MPD_LG_LD_PCT</vt:lpstr>
      <vt:lpstr>MPD_MD_LD_PCT</vt:lpstr>
      <vt:lpstr>MPD_SM_LD_PCT</vt:lpstr>
      <vt:lpstr>Customers!Print_Titles</vt:lpstr>
    </vt:vector>
  </TitlesOfParts>
  <Company>Maine Public Utilities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Lotte Schlegel</dc:creator>
  <cp:lastModifiedBy>Littlefield, Briana</cp:lastModifiedBy>
  <cp:lastPrinted>2016-09-19T19:00:55Z</cp:lastPrinted>
  <dcterms:created xsi:type="dcterms:W3CDTF">2007-03-19T19:38:53Z</dcterms:created>
  <dcterms:modified xsi:type="dcterms:W3CDTF">2026-07-17T13:39:47Z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{B4796284-75C0-4DE9-9749-E3FEBE74B608}</vt:lpwstr>
  </property>
</Properties>
</file>