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7.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985" windowHeight="8130" tabRatio="770" activeTab="3"/>
  </bookViews>
  <sheets>
    <sheet name="EM-MPD - graph" sheetId="1" r:id="rId1"/>
    <sheet name="EM-BHD - graph" sheetId="2" r:id="rId2"/>
    <sheet name="CMP - graph" sheetId="3" r:id="rId3"/>
    <sheet name="Class - graph" sheetId="4" r:id="rId4"/>
    <sheet name="State - graph" sheetId="5" r:id="rId5"/>
    <sheet name="Customers" sheetId="6" r:id="rId6"/>
    <sheet name="Load" sheetId="7" r:id="rId7"/>
    <sheet name="Class Definition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5">'Customers'!$A:$A</definedName>
  </definedNames>
  <calcPr fullCalcOnLoad="1"/>
</workbook>
</file>

<file path=xl/comments6.xml><?xml version="1.0" encoding="utf-8"?>
<comments xmlns="http://schemas.openxmlformats.org/spreadsheetml/2006/main">
  <authors>
    <author>State of Maine</author>
  </authors>
  <commentList>
    <comment ref="Y130" authorId="0">
      <text>
        <r>
          <rPr>
            <b/>
            <sz val="8"/>
            <rFont val="Tahoma"/>
            <family val="2"/>
          </rPr>
          <t>State of Maine:</t>
        </r>
        <r>
          <rPr>
            <sz val="8"/>
            <rFont val="Tahoma"/>
            <family val="2"/>
          </rPr>
          <t xml:space="preserve">
Note that as of January 2012, CMP customer count (and load) data are based upon billed accounts, rather than active accounts as was done previously. This change in reporting is the reason for the large increase in total customer count from December 2011.</t>
        </r>
      </text>
    </comment>
  </commentList>
</comments>
</file>

<file path=xl/comments7.xml><?xml version="1.0" encoding="utf-8"?>
<comments xmlns="http://schemas.openxmlformats.org/spreadsheetml/2006/main">
  <authors>
    <author>Lotte Schlegel</author>
  </authors>
  <commentList>
    <comment ref="N188" authorId="0">
      <text>
        <r>
          <rPr>
            <b/>
            <sz val="8"/>
            <rFont val="Tahoma"/>
            <family val="2"/>
          </rPr>
          <t>Prior to this date, % represented % residential customers on CEP
As of this date, % represents all small customers on CEPs</t>
        </r>
      </text>
    </comment>
  </commentList>
</comments>
</file>

<file path=xl/sharedStrings.xml><?xml version="1.0" encoding="utf-8"?>
<sst xmlns="http://schemas.openxmlformats.org/spreadsheetml/2006/main" count="143" uniqueCount="54">
  <si>
    <t>Date</t>
  </si>
  <si>
    <t>Small class</t>
  </si>
  <si>
    <t>Statewide</t>
  </si>
  <si>
    <t>Medium class</t>
  </si>
  <si>
    <t>Large class</t>
  </si>
  <si>
    <t>Small Class</t>
  </si>
  <si>
    <t>Medium Class</t>
  </si>
  <si>
    <t>Large Class</t>
  </si>
  <si>
    <t>% CEP</t>
  </si>
  <si>
    <t># customers in class</t>
  </si>
  <si>
    <t># CEP</t>
  </si>
  <si>
    <t>Percentage of Load served by Competitive Electric Providers (CEPs) for each of Maine's three largest electric utilities</t>
  </si>
  <si>
    <t>Central Maine Power Company</t>
  </si>
  <si>
    <t>% Load CEP</t>
  </si>
  <si>
    <t>Central Maine Power</t>
  </si>
  <si>
    <t>Total customers</t>
  </si>
  <si>
    <t>load CEP</t>
  </si>
  <si>
    <t>All CMP</t>
  </si>
  <si>
    <t>Load CEP</t>
  </si>
  <si>
    <t>Res/sm. Com</t>
  </si>
  <si>
    <t>Med</t>
  </si>
  <si>
    <t>Large</t>
  </si>
  <si>
    <t xml:space="preserve">All CMP </t>
  </si>
  <si>
    <t>Number of Customers served by Competitive Electric Providers (CEPs) for each of Maine's three largest electric utilities</t>
  </si>
  <si>
    <t xml:space="preserve">Small </t>
  </si>
  <si>
    <t>Medium</t>
  </si>
  <si>
    <t>Small</t>
  </si>
  <si>
    <t>ALL</t>
  </si>
  <si>
    <t>Percentage of customers enrolled with CEPs</t>
  </si>
  <si>
    <t>Total Number of Customers by class</t>
  </si>
  <si>
    <t xml:space="preserve">Class definitions:  </t>
  </si>
  <si>
    <t>CMP</t>
  </si>
  <si>
    <t>Res./Sm. Comm.</t>
  </si>
  <si>
    <t>&lt;25 kW</t>
  </si>
  <si>
    <t>&lt;20 kW</t>
  </si>
  <si>
    <t>&lt;50 kW</t>
  </si>
  <si>
    <t>&gt;500 kW</t>
  </si>
  <si>
    <t>&gt;400 kW</t>
  </si>
  <si>
    <t>25-500kW</t>
  </si>
  <si>
    <t>20-400 kW</t>
  </si>
  <si>
    <t>50-500 kW</t>
  </si>
  <si>
    <t>Load data is expressed in MWhs and represents one day's electric use</t>
  </si>
  <si>
    <t>Utility</t>
  </si>
  <si>
    <t>Total Class Load (MWh)</t>
  </si>
  <si>
    <t>Total Load (MWh)</t>
  </si>
  <si>
    <t>Load CEP (MWh)</t>
  </si>
  <si>
    <t>EM-BHD</t>
  </si>
  <si>
    <t>EM-MPD</t>
  </si>
  <si>
    <t>Emera Maine - Bangor Hydro District</t>
  </si>
  <si>
    <t>Emera Maine - Maine Public District</t>
  </si>
  <si>
    <t xml:space="preserve">All EM-BHD </t>
  </si>
  <si>
    <t>All EM-MPD</t>
  </si>
  <si>
    <t>All EM-BHD</t>
  </si>
  <si>
    <t>Avg Daily Load CEP (MWh)</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</si>
</sst>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0.0%"/>
    <numFmt numFmtId="170" formatCode="[$-409]dddd\,\ mmmm\ dd\,\ yyyy"/>
    <numFmt numFmtId="171" formatCode="[$-409]h:mm:ss\ AM/PM"/>
    <numFmt numFmtId="172" formatCode="mm/dd/yy_)"/>
    <numFmt numFmtId="173" formatCode="0.0"/>
    <numFmt numFmtId="174" formatCode="mmm\-yyyy"/>
    <numFmt numFmtId="175" formatCode="_(* #,##0.0_);_(* \(#,##0.0\);_(* &quot;-&quot;??_);_(@_)"/>
    <numFmt numFmtId="176" formatCode="_(* #,##0_);_(* \(#,##0\);_(* &quot;-&quot;??_);_(@_)"/>
    <numFmt numFmtId="177" formatCode="0.0000000"/>
    <numFmt numFmtId="178" formatCode="0.000000"/>
    <numFmt numFmtId="179" formatCode="0.00000"/>
    <numFmt numFmtId="180" formatCode="0.0000"/>
    <numFmt numFmtId="181" formatCode="0.000"/>
    <numFmt numFmtId="182" formatCode="0.000000000"/>
    <numFmt numFmtId="183" formatCode="0.0000000000"/>
    <numFmt numFmtId="184" formatCode="0.00000000000"/>
    <numFmt numFmtId="185" formatCode="0.00000000"/>
    <numFmt numFmtId="186" formatCode="[$-409]mmmm\-yy;@"/>
    <numFmt numFmtId="187" formatCode="[$-409]mmm\-yy;@"/>
  </numFmts>
  <fonts count="5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4"/>
      <name val="Arial"/>
      <family val="2"/>
    </font>
    <font>
      <b/>
      <sz val="8"/>
      <name val="Tahoma"/>
      <family val="2"/>
    </font>
    <font>
      <sz val="12"/>
      <name val="Arial"/>
      <family val="2"/>
    </font>
    <font>
      <i/>
      <sz val="12"/>
      <name val="Arial"/>
      <family val="2"/>
    </font>
    <font>
      <i/>
      <sz val="10"/>
      <name val="Arial"/>
      <family val="2"/>
    </font>
    <font>
      <b/>
      <sz val="12"/>
      <name val="Arial"/>
      <family val="2"/>
    </font>
    <font>
      <sz val="8"/>
      <name val="Tahoma"/>
      <family val="2"/>
    </font>
    <font>
      <sz val="10"/>
      <color indexed="8"/>
      <name val="Arial"/>
      <family val="2"/>
    </font>
    <font>
      <sz val="4.2"/>
      <color indexed="8"/>
      <name val="Arial"/>
      <family val="2"/>
    </font>
    <font>
      <sz val="5.4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thin"/>
    </border>
    <border>
      <left>
        <color indexed="63"/>
      </left>
      <right style="thick"/>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0">
    <xf numFmtId="0" fontId="0" fillId="0" borderId="0" xfId="0" applyAlignment="1">
      <alignment/>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3" fontId="0" fillId="0" borderId="0" xfId="0" applyNumberFormat="1" applyBorder="1" applyAlignment="1">
      <alignment horizontal="center"/>
    </xf>
    <xf numFmtId="3" fontId="0" fillId="0" borderId="0" xfId="0" applyNumberFormat="1" applyFill="1" applyBorder="1" applyAlignment="1">
      <alignment horizontal="center"/>
    </xf>
    <xf numFmtId="0" fontId="0" fillId="0" borderId="0" xfId="0" applyAlignment="1">
      <alignment horizontal="center"/>
    </xf>
    <xf numFmtId="3" fontId="0" fillId="0" borderId="0" xfId="0" applyNumberFormat="1" applyFont="1" applyBorder="1" applyAlignment="1">
      <alignment horizontal="center"/>
    </xf>
    <xf numFmtId="169" fontId="0" fillId="0" borderId="0" xfId="0" applyNumberFormat="1" applyBorder="1" applyAlignment="1">
      <alignment horizontal="center"/>
    </xf>
    <xf numFmtId="169" fontId="0" fillId="0" borderId="0" xfId="0" applyNumberFormat="1" applyFont="1" applyBorder="1" applyAlignment="1">
      <alignment horizontal="center"/>
    </xf>
    <xf numFmtId="9" fontId="4" fillId="0" borderId="0" xfId="0" applyNumberFormat="1"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Fill="1" applyBorder="1" applyAlignment="1">
      <alignment horizontal="center" vertical="center"/>
    </xf>
    <xf numFmtId="3" fontId="0" fillId="0" borderId="0" xfId="0" applyNumberFormat="1" applyAlignment="1">
      <alignment horizontal="center"/>
    </xf>
    <xf numFmtId="0" fontId="0" fillId="0" borderId="0" xfId="0" applyBorder="1" applyAlignment="1">
      <alignment horizontal="center"/>
    </xf>
    <xf numFmtId="169" fontId="0" fillId="0" borderId="0" xfId="0" applyNumberFormat="1" applyFont="1" applyBorder="1" applyAlignment="1">
      <alignment horizontal="center" vertical="center"/>
    </xf>
    <xf numFmtId="0" fontId="0" fillId="0" borderId="0" xfId="0" applyBorder="1" applyAlignment="1">
      <alignment/>
    </xf>
    <xf numFmtId="3" fontId="0" fillId="0" borderId="0" xfId="0" applyNumberFormat="1" applyAlignment="1">
      <alignment/>
    </xf>
    <xf numFmtId="3" fontId="0" fillId="0" borderId="0" xfId="0" applyNumberFormat="1" applyFont="1" applyBorder="1" applyAlignment="1">
      <alignment horizontal="center" vertical="center"/>
    </xf>
    <xf numFmtId="0" fontId="0" fillId="0" borderId="10" xfId="0" applyBorder="1" applyAlignment="1">
      <alignment/>
    </xf>
    <xf numFmtId="0" fontId="0" fillId="0" borderId="11" xfId="0" applyBorder="1" applyAlignment="1">
      <alignment/>
    </xf>
    <xf numFmtId="9" fontId="4"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169" fontId="0" fillId="0" borderId="10" xfId="0" applyNumberFormat="1" applyFont="1" applyBorder="1" applyAlignment="1">
      <alignment horizontal="center" vertical="center"/>
    </xf>
    <xf numFmtId="3" fontId="0" fillId="0" borderId="11" xfId="0" applyNumberFormat="1" applyFont="1" applyBorder="1" applyAlignment="1">
      <alignment horizontal="center"/>
    </xf>
    <xf numFmtId="3" fontId="0" fillId="0" borderId="11" xfId="0" applyNumberFormat="1" applyFont="1" applyBorder="1" applyAlignment="1">
      <alignment horizontal="center" vertical="center"/>
    </xf>
    <xf numFmtId="169" fontId="0" fillId="0" borderId="10" xfId="0" applyNumberFormat="1" applyBorder="1" applyAlignment="1">
      <alignment horizontal="center"/>
    </xf>
    <xf numFmtId="3" fontId="0" fillId="0" borderId="11" xfId="0" applyNumberFormat="1" applyBorder="1" applyAlignment="1">
      <alignment horizontal="center"/>
    </xf>
    <xf numFmtId="3" fontId="0" fillId="0" borderId="11" xfId="0" applyNumberFormat="1" applyFont="1" applyBorder="1" applyAlignment="1">
      <alignment horizontal="center"/>
    </xf>
    <xf numFmtId="1" fontId="4" fillId="0" borderId="10" xfId="0" applyNumberFormat="1" applyFont="1" applyBorder="1" applyAlignment="1">
      <alignment horizontal="center" vertical="center"/>
    </xf>
    <xf numFmtId="0" fontId="0" fillId="0" borderId="12" xfId="0" applyBorder="1" applyAlignment="1">
      <alignment/>
    </xf>
    <xf numFmtId="169" fontId="0" fillId="0" borderId="0"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9"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69" fontId="0" fillId="0" borderId="13" xfId="0" applyNumberFormat="1" applyFont="1" applyBorder="1" applyAlignment="1">
      <alignment horizontal="center" vertical="center"/>
    </xf>
    <xf numFmtId="3" fontId="0" fillId="0" borderId="14" xfId="0" applyNumberFormat="1" applyFont="1" applyBorder="1" applyAlignment="1">
      <alignment horizontal="center"/>
    </xf>
    <xf numFmtId="3" fontId="0" fillId="0" borderId="14" xfId="0" applyNumberFormat="1" applyFont="1" applyBorder="1" applyAlignment="1">
      <alignment horizontal="center" vertical="center"/>
    </xf>
    <xf numFmtId="3" fontId="0" fillId="0" borderId="14" xfId="0" applyNumberFormat="1" applyFont="1" applyBorder="1" applyAlignment="1">
      <alignment horizontal="center"/>
    </xf>
    <xf numFmtId="169" fontId="0" fillId="0" borderId="13" xfId="0" applyNumberFormat="1" applyBorder="1" applyAlignment="1">
      <alignment horizontal="center"/>
    </xf>
    <xf numFmtId="3" fontId="0" fillId="0" borderId="14" xfId="0" applyNumberForma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169" fontId="0" fillId="0" borderId="10" xfId="0" applyNumberFormat="1" applyFill="1" applyBorder="1" applyAlignment="1">
      <alignment horizontal="center"/>
    </xf>
    <xf numFmtId="169" fontId="0" fillId="0" borderId="13" xfId="0" applyNumberFormat="1" applyFont="1" applyFill="1" applyBorder="1" applyAlignment="1">
      <alignment horizontal="center" vertical="center"/>
    </xf>
    <xf numFmtId="0" fontId="4" fillId="0" borderId="14" xfId="0" applyFont="1" applyBorder="1" applyAlignment="1">
      <alignment horizontal="center" vertical="center"/>
    </xf>
    <xf numFmtId="169" fontId="0" fillId="0" borderId="13" xfId="62" applyNumberFormat="1" applyFont="1" applyFill="1" applyBorder="1" applyAlignment="1">
      <alignment horizontal="center"/>
    </xf>
    <xf numFmtId="169" fontId="0" fillId="0" borderId="13" xfId="62" applyNumberFormat="1" applyFont="1" applyBorder="1" applyAlignment="1">
      <alignment horizontal="center"/>
    </xf>
    <xf numFmtId="3" fontId="0" fillId="0" borderId="11" xfId="0" applyNumberFormat="1" applyFont="1" applyFill="1" applyBorder="1" applyAlignment="1">
      <alignment horizontal="center"/>
    </xf>
    <xf numFmtId="1" fontId="0" fillId="0" borderId="0" xfId="0" applyNumberFormat="1" applyBorder="1" applyAlignment="1">
      <alignment horizontal="center"/>
    </xf>
    <xf numFmtId="0" fontId="4" fillId="0" borderId="13" xfId="0" applyFont="1" applyBorder="1" applyAlignment="1">
      <alignment horizontal="center" vertical="center"/>
    </xf>
    <xf numFmtId="1" fontId="0" fillId="0" borderId="14" xfId="0" applyNumberFormat="1" applyFont="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37" fontId="0" fillId="0" borderId="14" xfId="0" applyNumberFormat="1" applyFont="1" applyBorder="1" applyAlignment="1" applyProtection="1">
      <alignment horizontal="center"/>
      <protection/>
    </xf>
    <xf numFmtId="3" fontId="0" fillId="0" borderId="13" xfId="0" applyNumberFormat="1"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3" fontId="0" fillId="0" borderId="10" xfId="0" applyNumberFormat="1" applyBorder="1" applyAlignment="1">
      <alignment horizontal="center"/>
    </xf>
    <xf numFmtId="3" fontId="0" fillId="0" borderId="10" xfId="0" applyNumberFormat="1" applyBorder="1" applyAlignment="1">
      <alignment/>
    </xf>
    <xf numFmtId="3" fontId="0" fillId="0" borderId="10" xfId="62" applyNumberFormat="1" applyFont="1" applyBorder="1" applyAlignment="1">
      <alignment/>
    </xf>
    <xf numFmtId="3" fontId="0" fillId="0" borderId="10" xfId="0" applyNumberFormat="1" applyFill="1" applyBorder="1" applyAlignment="1">
      <alignment horizontal="center"/>
    </xf>
    <xf numFmtId="169" fontId="0" fillId="0" borderId="0" xfId="0" applyNumberFormat="1" applyFill="1" applyBorder="1" applyAlignment="1">
      <alignment horizontal="center"/>
    </xf>
    <xf numFmtId="3" fontId="0" fillId="0" borderId="13" xfId="0" applyNumberFormat="1" applyBorder="1" applyAlignment="1">
      <alignment horizont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xf>
    <xf numFmtId="0" fontId="0" fillId="0" borderId="11" xfId="0" applyFill="1" applyBorder="1" applyAlignment="1">
      <alignment horizontal="center"/>
    </xf>
    <xf numFmtId="3" fontId="0" fillId="0" borderId="0" xfId="0" applyNumberFormat="1" applyFont="1" applyBorder="1" applyAlignment="1">
      <alignment horizontal="center"/>
    </xf>
    <xf numFmtId="169" fontId="0" fillId="0" borderId="0" xfId="0" applyNumberFormat="1" applyFont="1" applyFill="1" applyBorder="1" applyAlignment="1">
      <alignment horizontal="center" vertical="center"/>
    </xf>
    <xf numFmtId="3" fontId="0" fillId="0" borderId="0" xfId="62" applyNumberFormat="1" applyFont="1" applyBorder="1" applyAlignment="1">
      <alignment horizontal="center"/>
    </xf>
    <xf numFmtId="3" fontId="0" fillId="0" borderId="0" xfId="62" applyNumberFormat="1" applyFont="1" applyFill="1" applyBorder="1" applyAlignment="1">
      <alignment horizontal="center"/>
    </xf>
    <xf numFmtId="3" fontId="0" fillId="0" borderId="0" xfId="0" applyNumberFormat="1" applyFont="1" applyAlignment="1">
      <alignment horizontal="center"/>
    </xf>
    <xf numFmtId="1" fontId="0" fillId="0" borderId="0" xfId="0" applyNumberFormat="1" applyFont="1" applyFill="1" applyBorder="1" applyAlignment="1">
      <alignment horizontal="center" vertical="center"/>
    </xf>
    <xf numFmtId="0" fontId="0" fillId="0" borderId="13" xfId="0" applyFill="1" applyBorder="1" applyAlignment="1">
      <alignment horizontal="center"/>
    </xf>
    <xf numFmtId="169" fontId="0" fillId="0" borderId="10" xfId="0" applyNumberFormat="1" applyFont="1" applyFill="1" applyBorder="1" applyAlignment="1">
      <alignment horizontal="center" vertical="center"/>
    </xf>
    <xf numFmtId="169" fontId="0" fillId="0" borderId="13"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14" xfId="0" applyFont="1" applyFill="1" applyBorder="1" applyAlignment="1">
      <alignment horizontal="center" vertical="center"/>
    </xf>
    <xf numFmtId="169" fontId="4" fillId="0" borderId="10" xfId="0" applyNumberFormat="1" applyFont="1" applyBorder="1" applyAlignment="1">
      <alignment horizontal="center" vertical="center"/>
    </xf>
    <xf numFmtId="1" fontId="0" fillId="0" borderId="0" xfId="0" applyNumberFormat="1" applyFill="1" applyBorder="1" applyAlignment="1">
      <alignment horizontal="center"/>
    </xf>
    <xf numFmtId="3" fontId="0" fillId="0" borderId="11" xfId="0" applyNumberFormat="1" applyFill="1" applyBorder="1" applyAlignment="1">
      <alignment horizontal="center"/>
    </xf>
    <xf numFmtId="1" fontId="0" fillId="0" borderId="11" xfId="0" applyNumberFormat="1" applyFont="1" applyFill="1" applyBorder="1" applyAlignment="1">
      <alignment horizontal="center"/>
    </xf>
    <xf numFmtId="9" fontId="0" fillId="0" borderId="0" xfId="0" applyNumberForma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horizontal="center" vertical="center"/>
    </xf>
    <xf numFmtId="0" fontId="0" fillId="0" borderId="19" xfId="0" applyBorder="1" applyAlignment="1">
      <alignment horizontal="center"/>
    </xf>
    <xf numFmtId="0" fontId="0" fillId="0" borderId="20" xfId="0" applyBorder="1" applyAlignment="1">
      <alignment/>
    </xf>
    <xf numFmtId="0" fontId="0" fillId="0" borderId="19" xfId="0" applyBorder="1" applyAlignment="1">
      <alignment/>
    </xf>
    <xf numFmtId="3" fontId="0" fillId="0" borderId="19" xfId="0" applyNumberFormat="1" applyBorder="1" applyAlignment="1">
      <alignment horizontal="center"/>
    </xf>
    <xf numFmtId="169" fontId="0" fillId="0" borderId="20" xfId="0" applyNumberFormat="1" applyBorder="1" applyAlignment="1">
      <alignment horizontal="center"/>
    </xf>
    <xf numFmtId="37" fontId="0" fillId="0" borderId="0" xfId="0" applyNumberFormat="1" applyBorder="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xf>
    <xf numFmtId="0" fontId="7" fillId="0" borderId="0" xfId="0" applyFont="1" applyAlignment="1">
      <alignment/>
    </xf>
    <xf numFmtId="169" fontId="0" fillId="0" borderId="0" xfId="0" applyNumberFormat="1" applyAlignment="1">
      <alignment horizontal="center"/>
    </xf>
    <xf numFmtId="0" fontId="9" fillId="0" borderId="0" xfId="0" applyFont="1" applyAlignment="1">
      <alignment/>
    </xf>
    <xf numFmtId="0" fontId="0" fillId="0" borderId="0" xfId="0" applyFont="1" applyAlignment="1">
      <alignment horizontal="center"/>
    </xf>
    <xf numFmtId="1" fontId="0" fillId="0" borderId="11" xfId="0" applyNumberFormat="1" applyFill="1" applyBorder="1" applyAlignment="1">
      <alignment horizontal="center"/>
    </xf>
    <xf numFmtId="1" fontId="0" fillId="0" borderId="11" xfId="0" applyNumberFormat="1" applyBorder="1" applyAlignment="1">
      <alignment horizontal="center"/>
    </xf>
    <xf numFmtId="1" fontId="0" fillId="0" borderId="0" xfId="0" applyNumberFormat="1" applyFont="1" applyBorder="1" applyAlignment="1">
      <alignment horizontal="center" vertical="center"/>
    </xf>
    <xf numFmtId="3" fontId="0" fillId="0" borderId="0" xfId="0" applyNumberFormat="1" applyFill="1" applyAlignment="1">
      <alignment horizontal="center"/>
    </xf>
    <xf numFmtId="3" fontId="0" fillId="0" borderId="0" xfId="0" applyNumberFormat="1" applyFont="1" applyBorder="1" applyAlignment="1" applyProtection="1">
      <alignment horizontal="center"/>
      <protection/>
    </xf>
    <xf numFmtId="169" fontId="0" fillId="0" borderId="12"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8" xfId="0" applyNumberFormat="1" applyBorder="1" applyAlignment="1">
      <alignment horizontal="center"/>
    </xf>
    <xf numFmtId="169" fontId="0" fillId="0" borderId="12" xfId="0" applyNumberFormat="1" applyFill="1" applyBorder="1" applyAlignment="1">
      <alignment horizontal="center"/>
    </xf>
    <xf numFmtId="3" fontId="0" fillId="0" borderId="12" xfId="0" applyNumberFormat="1" applyBorder="1" applyAlignment="1">
      <alignment horizontal="center"/>
    </xf>
    <xf numFmtId="3" fontId="0" fillId="0" borderId="17" xfId="0" applyNumberFormat="1" applyBorder="1" applyAlignment="1">
      <alignment horizontal="center"/>
    </xf>
    <xf numFmtId="169" fontId="0" fillId="0" borderId="0" xfId="62" applyNumberFormat="1" applyFont="1" applyBorder="1" applyAlignment="1">
      <alignment horizontal="center"/>
    </xf>
    <xf numFmtId="3" fontId="0" fillId="0" borderId="0" xfId="0" applyNumberFormat="1" applyBorder="1" applyAlignment="1">
      <alignment/>
    </xf>
    <xf numFmtId="169" fontId="0" fillId="0" borderId="10" xfId="62" applyNumberFormat="1" applyFont="1" applyBorder="1" applyAlignment="1">
      <alignment horizontal="center"/>
    </xf>
    <xf numFmtId="1" fontId="0" fillId="0" borderId="0" xfId="0" applyNumberFormat="1" applyAlignment="1">
      <alignment/>
    </xf>
    <xf numFmtId="0" fontId="10" fillId="0" borderId="0" xfId="0" applyFont="1" applyAlignment="1">
      <alignment/>
    </xf>
    <xf numFmtId="9" fontId="4" fillId="0" borderId="15" xfId="0" applyNumberFormat="1" applyFont="1" applyBorder="1" applyAlignment="1">
      <alignment horizontal="center" vertical="center"/>
    </xf>
    <xf numFmtId="9" fontId="4" fillId="0" borderId="12" xfId="0" applyNumberFormat="1" applyFont="1" applyBorder="1" applyAlignment="1">
      <alignment horizontal="center" vertical="center"/>
    </xf>
    <xf numFmtId="1" fontId="4" fillId="0" borderId="12" xfId="0" applyNumberFormat="1" applyFont="1" applyBorder="1" applyAlignment="1">
      <alignment horizontal="center" vertical="center"/>
    </xf>
    <xf numFmtId="9"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0" fillId="0" borderId="16" xfId="0" applyBorder="1" applyAlignment="1">
      <alignment/>
    </xf>
    <xf numFmtId="169" fontId="0" fillId="0" borderId="15" xfId="0" applyNumberFormat="1" applyFont="1" applyBorder="1" applyAlignment="1">
      <alignment horizontal="center" vertical="center"/>
    </xf>
    <xf numFmtId="169" fontId="0" fillId="0" borderId="12" xfId="0" applyNumberFormat="1" applyFont="1" applyBorder="1" applyAlignment="1">
      <alignment horizontal="center" vertical="center"/>
    </xf>
    <xf numFmtId="0" fontId="4" fillId="0" borderId="18" xfId="0" applyFont="1" applyBorder="1" applyAlignment="1">
      <alignment horizontal="center" vertical="center"/>
    </xf>
    <xf numFmtId="169" fontId="0" fillId="0" borderId="17" xfId="0" applyNumberFormat="1" applyFont="1" applyFill="1" applyBorder="1" applyAlignment="1">
      <alignment horizontal="center" vertical="center"/>
    </xf>
    <xf numFmtId="169" fontId="0" fillId="0" borderId="12" xfId="0" applyNumberFormat="1" applyFont="1" applyFill="1" applyBorder="1" applyAlignment="1">
      <alignment horizontal="center" vertical="center"/>
    </xf>
    <xf numFmtId="169" fontId="0" fillId="0" borderId="17"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1" fontId="0" fillId="0" borderId="14" xfId="0" applyNumberFormat="1" applyBorder="1" applyAlignment="1">
      <alignment horizontal="center"/>
    </xf>
    <xf numFmtId="0" fontId="0" fillId="0" borderId="15" xfId="0" applyBorder="1" applyAlignment="1">
      <alignment/>
    </xf>
    <xf numFmtId="9" fontId="0" fillId="0" borderId="12" xfId="0" applyNumberFormat="1" applyBorder="1" applyAlignment="1">
      <alignment horizontal="center"/>
    </xf>
    <xf numFmtId="0" fontId="0" fillId="0" borderId="21" xfId="0" applyBorder="1" applyAlignment="1">
      <alignment/>
    </xf>
    <xf numFmtId="9" fontId="0" fillId="0" borderId="22" xfId="0" applyNumberFormat="1" applyBorder="1" applyAlignment="1">
      <alignment horizontal="center"/>
    </xf>
    <xf numFmtId="0" fontId="0" fillId="0" borderId="22" xfId="0" applyBorder="1" applyAlignment="1">
      <alignment horizontal="center"/>
    </xf>
    <xf numFmtId="0" fontId="0" fillId="0" borderId="22" xfId="0" applyBorder="1" applyAlignment="1">
      <alignment/>
    </xf>
    <xf numFmtId="0" fontId="0" fillId="0" borderId="23" xfId="0" applyBorder="1" applyAlignment="1">
      <alignment/>
    </xf>
    <xf numFmtId="0" fontId="4" fillId="0" borderId="17" xfId="0" applyFont="1" applyBorder="1" applyAlignment="1">
      <alignment horizontal="center" vertical="center"/>
    </xf>
    <xf numFmtId="187" fontId="0" fillId="0" borderId="24" xfId="0" applyNumberFormat="1" applyBorder="1" applyAlignment="1">
      <alignment horizontal="left"/>
    </xf>
    <xf numFmtId="187" fontId="0" fillId="0" borderId="24" xfId="0" applyNumberFormat="1" applyFont="1" applyBorder="1" applyAlignment="1">
      <alignment horizontal="left" vertical="center"/>
    </xf>
    <xf numFmtId="187" fontId="0" fillId="0" borderId="25" xfId="0" applyNumberFormat="1" applyFont="1" applyBorder="1" applyAlignment="1">
      <alignment horizontal="left" vertical="center"/>
    </xf>
    <xf numFmtId="0" fontId="3"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wrapText="1"/>
    </xf>
    <xf numFmtId="0" fontId="0" fillId="0" borderId="27" xfId="0" applyBorder="1" applyAlignment="1">
      <alignment horizontal="center" wrapText="1"/>
    </xf>
    <xf numFmtId="0" fontId="0" fillId="0" borderId="29" xfId="0" applyFill="1" applyBorder="1" applyAlignment="1">
      <alignment horizontal="center"/>
    </xf>
    <xf numFmtId="0" fontId="0" fillId="0" borderId="30" xfId="0" applyBorder="1" applyAlignment="1">
      <alignment horizontal="center"/>
    </xf>
    <xf numFmtId="0" fontId="0" fillId="0" borderId="26" xfId="0" applyBorder="1" applyAlignment="1">
      <alignment/>
    </xf>
    <xf numFmtId="0" fontId="0" fillId="0" borderId="31" xfId="0" applyBorder="1" applyAlignment="1">
      <alignment/>
    </xf>
    <xf numFmtId="0" fontId="0" fillId="0" borderId="28"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32" xfId="0" applyFill="1" applyBorder="1" applyAlignment="1">
      <alignment horizontal="center"/>
    </xf>
    <xf numFmtId="169" fontId="0" fillId="0" borderId="11" xfId="0" applyNumberFormat="1" applyBorder="1" applyAlignment="1">
      <alignment horizontal="center"/>
    </xf>
    <xf numFmtId="0" fontId="0" fillId="0" borderId="33" xfId="0" applyBorder="1" applyAlignment="1">
      <alignment/>
    </xf>
    <xf numFmtId="1" fontId="0" fillId="0" borderId="0" xfId="0" applyNumberFormat="1" applyBorder="1" applyAlignment="1">
      <alignment horizontal="center" wrapText="1"/>
    </xf>
    <xf numFmtId="3" fontId="0" fillId="0" borderId="0" xfId="0" applyNumberFormat="1" applyBorder="1" applyAlignment="1">
      <alignment horizontal="center" wrapText="1"/>
    </xf>
    <xf numFmtId="3" fontId="0" fillId="0" borderId="14" xfId="0" applyNumberFormat="1" applyBorder="1" applyAlignment="1">
      <alignment horizontal="center" wrapText="1"/>
    </xf>
    <xf numFmtId="1" fontId="0" fillId="0" borderId="14" xfId="0" applyNumberFormat="1" applyBorder="1" applyAlignment="1">
      <alignment horizontal="center" wrapText="1"/>
    </xf>
    <xf numFmtId="17" fontId="0" fillId="0" borderId="24" xfId="0" applyNumberFormat="1" applyFont="1" applyBorder="1" applyAlignment="1">
      <alignment horizontal="left"/>
    </xf>
    <xf numFmtId="1" fontId="0" fillId="0" borderId="13" xfId="0" applyNumberFormat="1" applyBorder="1" applyAlignment="1">
      <alignment horizontal="center"/>
    </xf>
    <xf numFmtId="0" fontId="0" fillId="0" borderId="14" xfId="0" applyBorder="1" applyAlignment="1">
      <alignment horizontal="center" wrapText="1"/>
    </xf>
    <xf numFmtId="3" fontId="0" fillId="0" borderId="0" xfId="0" applyNumberFormat="1" applyBorder="1" applyAlignment="1">
      <alignment horizontal="right"/>
    </xf>
    <xf numFmtId="3" fontId="0" fillId="0" borderId="0" xfId="0" applyNumberFormat="1" applyFill="1" applyBorder="1" applyAlignment="1">
      <alignment horizontal="center" wrapText="1"/>
    </xf>
    <xf numFmtId="3" fontId="0" fillId="0" borderId="0" xfId="0" applyNumberFormat="1" applyFill="1" applyBorder="1" applyAlignment="1">
      <alignment horizontal="right"/>
    </xf>
    <xf numFmtId="0" fontId="7" fillId="0" borderId="0" xfId="0" applyFont="1" applyFill="1" applyAlignment="1">
      <alignment/>
    </xf>
    <xf numFmtId="0" fontId="0" fillId="0" borderId="0" xfId="0" applyFill="1" applyAlignment="1">
      <alignment/>
    </xf>
    <xf numFmtId="0" fontId="0" fillId="0" borderId="0" xfId="0" applyBorder="1" applyAlignment="1">
      <alignment horizontal="center" wrapText="1"/>
    </xf>
    <xf numFmtId="169" fontId="0" fillId="0" borderId="0" xfId="62" applyNumberFormat="1" applyFont="1" applyFill="1" applyBorder="1" applyAlignment="1">
      <alignment horizontal="center"/>
    </xf>
    <xf numFmtId="1" fontId="0" fillId="0" borderId="13" xfId="0" applyNumberFormat="1" applyFill="1" applyBorder="1" applyAlignment="1">
      <alignment horizontal="center"/>
    </xf>
    <xf numFmtId="169" fontId="0" fillId="0" borderId="0" xfId="62" applyNumberFormat="1" applyFont="1" applyFill="1" applyBorder="1" applyAlignment="1">
      <alignment horizontal="center"/>
    </xf>
    <xf numFmtId="17" fontId="0" fillId="0" borderId="24"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center" wrapText="1"/>
    </xf>
    <xf numFmtId="169" fontId="0" fillId="0" borderId="13" xfId="0" applyNumberFormat="1" applyFill="1" applyBorder="1" applyAlignment="1">
      <alignment horizontal="center"/>
    </xf>
    <xf numFmtId="3" fontId="0" fillId="0" borderId="19" xfId="0" applyNumberFormat="1" applyFill="1" applyBorder="1" applyAlignment="1">
      <alignment horizontal="center"/>
    </xf>
    <xf numFmtId="169" fontId="0" fillId="0" borderId="20" xfId="0" applyNumberFormat="1" applyFill="1" applyBorder="1" applyAlignment="1">
      <alignment horizontal="center"/>
    </xf>
    <xf numFmtId="176" fontId="0" fillId="0" borderId="10" xfId="42" applyNumberFormat="1" applyFont="1" applyBorder="1" applyAlignment="1">
      <alignment horizontal="center"/>
    </xf>
    <xf numFmtId="176" fontId="0" fillId="0" borderId="10" xfId="42" applyNumberFormat="1" applyFont="1" applyBorder="1" applyAlignment="1">
      <alignment horizontal="center"/>
    </xf>
    <xf numFmtId="1" fontId="0" fillId="0" borderId="0" xfId="0" applyNumberFormat="1" applyFill="1" applyBorder="1" applyAlignment="1">
      <alignment horizontal="center" wrapText="1"/>
    </xf>
    <xf numFmtId="3" fontId="0" fillId="0" borderId="11" xfId="0" applyNumberFormat="1" applyFont="1" applyFill="1" applyBorder="1" applyAlignment="1">
      <alignment horizontal="center" vertical="center"/>
    </xf>
    <xf numFmtId="169" fontId="0" fillId="0" borderId="15" xfId="0" applyNumberFormat="1" applyFill="1" applyBorder="1" applyAlignment="1" applyProtection="1">
      <alignment horizontal="center"/>
      <protection/>
    </xf>
    <xf numFmtId="3" fontId="0" fillId="0" borderId="12" xfId="0" applyNumberFormat="1" applyFill="1" applyBorder="1" applyAlignment="1" applyProtection="1">
      <alignment horizontal="center" wrapText="1"/>
      <protection/>
    </xf>
    <xf numFmtId="3" fontId="0" fillId="0" borderId="15" xfId="0" applyNumberFormat="1" applyFill="1" applyBorder="1" applyAlignment="1" applyProtection="1">
      <alignment horizontal="center"/>
      <protection/>
    </xf>
    <xf numFmtId="169" fontId="0" fillId="0" borderId="12" xfId="0" applyNumberFormat="1" applyFill="1" applyBorder="1" applyAlignment="1" applyProtection="1">
      <alignment horizontal="center"/>
      <protection/>
    </xf>
    <xf numFmtId="3" fontId="0" fillId="0" borderId="16" xfId="0" applyNumberFormat="1" applyFill="1" applyBorder="1" applyAlignment="1" applyProtection="1">
      <alignment horizontal="center"/>
      <protection/>
    </xf>
    <xf numFmtId="3" fontId="0" fillId="0" borderId="12" xfId="0" applyNumberFormat="1" applyFill="1" applyBorder="1" applyAlignment="1" applyProtection="1">
      <alignment horizontal="center"/>
      <protection/>
    </xf>
    <xf numFmtId="169" fontId="0" fillId="0" borderId="17" xfId="0" applyNumberFormat="1" applyFill="1" applyBorder="1" applyAlignment="1" applyProtection="1">
      <alignment horizontal="center"/>
      <protection/>
    </xf>
    <xf numFmtId="169" fontId="0" fillId="0" borderId="0" xfId="64" applyNumberFormat="1" applyFont="1" applyBorder="1" applyAlignment="1">
      <alignment horizontal="center"/>
    </xf>
    <xf numFmtId="176" fontId="0" fillId="0" borderId="10" xfId="44" applyNumberFormat="1" applyFont="1" applyBorder="1" applyAlignment="1">
      <alignment horizontal="center"/>
    </xf>
    <xf numFmtId="187" fontId="0" fillId="0" borderId="0" xfId="0" applyNumberFormat="1" applyBorder="1" applyAlignment="1">
      <alignment horizontal="left"/>
    </xf>
    <xf numFmtId="176" fontId="0" fillId="0" borderId="10" xfId="42" applyNumberFormat="1" applyFont="1" applyFill="1" applyBorder="1" applyAlignment="1">
      <alignment horizontal="center"/>
    </xf>
    <xf numFmtId="169" fontId="0" fillId="33" borderId="13" xfId="0" applyNumberFormat="1" applyFill="1" applyBorder="1" applyAlignment="1">
      <alignment horizontal="center"/>
    </xf>
    <xf numFmtId="0" fontId="3" fillId="0" borderId="13"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0" fillId="0" borderId="34" xfId="0" applyBorder="1" applyAlignment="1">
      <alignment/>
    </xf>
    <xf numFmtId="0" fontId="0" fillId="0" borderId="35"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5" fillId="0" borderId="36" xfId="0" applyFont="1"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0" borderId="40" xfId="0" applyFont="1" applyBorder="1" applyAlignment="1">
      <alignment horizontal="center"/>
    </xf>
    <xf numFmtId="0" fontId="0" fillId="0" borderId="34" xfId="0" applyBorder="1" applyAlignment="1">
      <alignment horizontal="center"/>
    </xf>
    <xf numFmtId="0" fontId="0" fillId="0" borderId="39" xfId="0" applyBorder="1" applyAlignment="1">
      <alignment horizontal="center"/>
    </xf>
    <xf numFmtId="0" fontId="0" fillId="0" borderId="35" xfId="0" applyBorder="1" applyAlignment="1">
      <alignment horizontal="center"/>
    </xf>
    <xf numFmtId="0" fontId="0" fillId="0" borderId="41" xfId="0" applyBorder="1" applyAlignment="1">
      <alignment/>
    </xf>
    <xf numFmtId="0" fontId="0" fillId="0" borderId="24" xfId="0" applyBorder="1" applyAlignment="1">
      <alignment/>
    </xf>
    <xf numFmtId="0" fontId="0" fillId="0" borderId="42" xfId="0" applyBorder="1" applyAlignment="1">
      <alignment/>
    </xf>
    <xf numFmtId="0" fontId="0" fillId="0" borderId="14" xfId="0" applyBorder="1" applyAlignment="1">
      <alignment horizontal="center"/>
    </xf>
    <xf numFmtId="0" fontId="3" fillId="0" borderId="10" xfId="0" applyFont="1" applyBorder="1" applyAlignment="1">
      <alignment horizontal="center"/>
    </xf>
    <xf numFmtId="0" fontId="0" fillId="0" borderId="0" xfId="0" applyBorder="1" applyAlignment="1">
      <alignment/>
    </xf>
    <xf numFmtId="0" fontId="0" fillId="0" borderId="14" xfId="0" applyBorder="1" applyAlignment="1">
      <alignment/>
    </xf>
    <xf numFmtId="0" fontId="3" fillId="0" borderId="0" xfId="0" applyFont="1" applyBorder="1" applyAlignment="1">
      <alignment horizontal="center"/>
    </xf>
    <xf numFmtId="0" fontId="5" fillId="0" borderId="37"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43" xfId="0" applyFont="1" applyBorder="1" applyAlignment="1">
      <alignment horizontal="center"/>
    </xf>
    <xf numFmtId="0" fontId="3" fillId="0" borderId="44" xfId="0" applyFont="1" applyBorder="1" applyAlignment="1">
      <alignment/>
    </xf>
    <xf numFmtId="0" fontId="3" fillId="0" borderId="45" xfId="0" applyFont="1" applyBorder="1" applyAlignment="1">
      <alignment/>
    </xf>
    <xf numFmtId="0" fontId="3" fillId="0" borderId="39" xfId="0" applyFont="1" applyBorder="1" applyAlignment="1">
      <alignment horizontal="center"/>
    </xf>
    <xf numFmtId="0" fontId="0" fillId="0" borderId="41" xfId="0" applyFont="1" applyBorder="1" applyAlignment="1">
      <alignment horizontal="center"/>
    </xf>
    <xf numFmtId="0" fontId="0" fillId="0" borderId="24" xfId="0" applyFont="1" applyBorder="1" applyAlignment="1">
      <alignment/>
    </xf>
    <xf numFmtId="0" fontId="0" fillId="0" borderId="42" xfId="0" applyFont="1" applyBorder="1" applyAlignment="1">
      <alignment/>
    </xf>
    <xf numFmtId="169" fontId="0" fillId="0" borderId="0" xfId="62" applyNumberFormat="1" applyFont="1" applyFill="1" applyBorder="1" applyAlignment="1">
      <alignment horizontal="center"/>
    </xf>
    <xf numFmtId="3" fontId="0" fillId="0" borderId="14" xfId="0" applyNumberFormat="1" applyFill="1" applyBorder="1" applyAlignment="1">
      <alignment horizontal="center"/>
    </xf>
    <xf numFmtId="0" fontId="0" fillId="0" borderId="10" xfId="0"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Emera Maine - Maine Public District 
June 2000-July 2021
 Presented by the Maine PUC</a:t>
            </a:r>
          </a:p>
        </c:rich>
      </c:tx>
      <c:layout>
        <c:manualLayout>
          <c:xMode val="factor"/>
          <c:yMode val="factor"/>
          <c:x val="-0.00225"/>
          <c:y val="0.005"/>
        </c:manualLayout>
      </c:layout>
      <c:spPr>
        <a:noFill/>
        <a:ln>
          <a:noFill/>
        </a:ln>
      </c:spPr>
    </c:title>
    <c:plotArea>
      <c:layout>
        <c:manualLayout>
          <c:xMode val="edge"/>
          <c:yMode val="edge"/>
          <c:x val="0.05475"/>
          <c:y val="0.301"/>
          <c:w val="0.89125"/>
          <c:h val="0.63925"/>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Load!$A$15:$A$268</c:f>
              <c:strCache>
                <c:ptCount val="254"/>
                <c:pt idx="0">
                  <c:v>44378</c:v>
                </c:pt>
                <c:pt idx="1">
                  <c:v>44348</c:v>
                </c:pt>
                <c:pt idx="2">
                  <c:v>44317</c:v>
                </c:pt>
                <c:pt idx="3">
                  <c:v>44287</c:v>
                </c:pt>
                <c:pt idx="4">
                  <c:v>44256</c:v>
                </c:pt>
                <c:pt idx="5">
                  <c:v>44228</c:v>
                </c:pt>
                <c:pt idx="6">
                  <c:v>44197</c:v>
                </c:pt>
                <c:pt idx="7">
                  <c:v>44196</c:v>
                </c:pt>
                <c:pt idx="8">
                  <c:v>44165</c:v>
                </c:pt>
                <c:pt idx="9">
                  <c:v>44135</c:v>
                </c:pt>
                <c:pt idx="10">
                  <c:v>44075</c:v>
                </c:pt>
                <c:pt idx="11">
                  <c:v>44044</c:v>
                </c:pt>
                <c:pt idx="12">
                  <c:v>44013</c:v>
                </c:pt>
                <c:pt idx="13">
                  <c:v>43983</c:v>
                </c:pt>
                <c:pt idx="14">
                  <c:v>43952</c:v>
                </c:pt>
                <c:pt idx="15">
                  <c:v>43922</c:v>
                </c:pt>
                <c:pt idx="16">
                  <c:v>43891</c:v>
                </c:pt>
                <c:pt idx="17">
                  <c:v>43862</c:v>
                </c:pt>
                <c:pt idx="18">
                  <c:v>43831</c:v>
                </c:pt>
                <c:pt idx="19">
                  <c:v>43800</c:v>
                </c:pt>
                <c:pt idx="20">
                  <c:v>43770</c:v>
                </c:pt>
                <c:pt idx="21">
                  <c:v>43739</c:v>
                </c:pt>
                <c:pt idx="22">
                  <c:v>43709</c:v>
                </c:pt>
                <c:pt idx="23">
                  <c:v>43678</c:v>
                </c:pt>
                <c:pt idx="24">
                  <c:v>43647</c:v>
                </c:pt>
                <c:pt idx="25">
                  <c:v>43617</c:v>
                </c:pt>
                <c:pt idx="26">
                  <c:v>43586</c:v>
                </c:pt>
                <c:pt idx="27">
                  <c:v>43556</c:v>
                </c:pt>
                <c:pt idx="28">
                  <c:v>43525</c:v>
                </c:pt>
                <c:pt idx="29">
                  <c:v>43497</c:v>
                </c:pt>
                <c:pt idx="30">
                  <c:v>43466</c:v>
                </c:pt>
                <c:pt idx="31">
                  <c:v>43435</c:v>
                </c:pt>
                <c:pt idx="32">
                  <c:v>43405</c:v>
                </c:pt>
                <c:pt idx="33">
                  <c:v>43404</c:v>
                </c:pt>
                <c:pt idx="34">
                  <c:v>43361</c:v>
                </c:pt>
                <c:pt idx="35">
                  <c:v>43330</c:v>
                </c:pt>
                <c:pt idx="36">
                  <c:v>43282</c:v>
                </c:pt>
                <c:pt idx="37">
                  <c:v>43252</c:v>
                </c:pt>
                <c:pt idx="38">
                  <c:v>43221</c:v>
                </c:pt>
                <c:pt idx="39">
                  <c:v>43191</c:v>
                </c:pt>
                <c:pt idx="40">
                  <c:v>43160</c:v>
                </c:pt>
                <c:pt idx="41">
                  <c:v>43149</c:v>
                </c:pt>
                <c:pt idx="42">
                  <c:v>43101</c:v>
                </c:pt>
                <c:pt idx="43">
                  <c:v>43070</c:v>
                </c:pt>
                <c:pt idx="44">
                  <c:v>43040</c:v>
                </c:pt>
                <c:pt idx="45">
                  <c:v>43009</c:v>
                </c:pt>
                <c:pt idx="46">
                  <c:v>42979</c:v>
                </c:pt>
                <c:pt idx="47">
                  <c:v>42948</c:v>
                </c:pt>
                <c:pt idx="48">
                  <c:v>42917</c:v>
                </c:pt>
                <c:pt idx="49">
                  <c:v>42887</c:v>
                </c:pt>
                <c:pt idx="50">
                  <c:v>42856</c:v>
                </c:pt>
                <c:pt idx="51">
                  <c:v>42826</c:v>
                </c:pt>
                <c:pt idx="52">
                  <c:v>42795</c:v>
                </c:pt>
                <c:pt idx="53">
                  <c:v>42767</c:v>
                </c:pt>
                <c:pt idx="54">
                  <c:v>42736</c:v>
                </c:pt>
                <c:pt idx="55">
                  <c:v>42705</c:v>
                </c:pt>
                <c:pt idx="56">
                  <c:v>42675</c:v>
                </c:pt>
                <c:pt idx="57">
                  <c:v>42644</c:v>
                </c:pt>
                <c:pt idx="58">
                  <c:v>42614</c:v>
                </c:pt>
                <c:pt idx="59">
                  <c:v>42583</c:v>
                </c:pt>
                <c:pt idx="60">
                  <c:v>42552</c:v>
                </c:pt>
                <c:pt idx="61">
                  <c:v>42522</c:v>
                </c:pt>
                <c:pt idx="62">
                  <c:v>42491</c:v>
                </c:pt>
                <c:pt idx="63">
                  <c:v>42461</c:v>
                </c:pt>
                <c:pt idx="64">
                  <c:v>42430</c:v>
                </c:pt>
                <c:pt idx="65">
                  <c:v>42401</c:v>
                </c:pt>
                <c:pt idx="66">
                  <c:v>42370</c:v>
                </c:pt>
                <c:pt idx="67">
                  <c:v>42339</c:v>
                </c:pt>
                <c:pt idx="68">
                  <c:v>42309</c:v>
                </c:pt>
                <c:pt idx="69">
                  <c:v>42278</c:v>
                </c:pt>
                <c:pt idx="70">
                  <c:v>42248</c:v>
                </c:pt>
                <c:pt idx="71">
                  <c:v>42217</c:v>
                </c:pt>
                <c:pt idx="72">
                  <c:v>42186</c:v>
                </c:pt>
                <c:pt idx="73">
                  <c:v>42156</c:v>
                </c:pt>
                <c:pt idx="74">
                  <c:v>42125</c:v>
                </c:pt>
                <c:pt idx="75">
                  <c:v>42095</c:v>
                </c:pt>
                <c:pt idx="76">
                  <c:v>42064</c:v>
                </c:pt>
                <c:pt idx="77">
                  <c:v>42036</c:v>
                </c:pt>
                <c:pt idx="78">
                  <c:v>42005</c:v>
                </c:pt>
                <c:pt idx="79">
                  <c:v>41974</c:v>
                </c:pt>
                <c:pt idx="80">
                  <c:v>41944</c:v>
                </c:pt>
                <c:pt idx="81">
                  <c:v>41926</c:v>
                </c:pt>
                <c:pt idx="82">
                  <c:v>41883</c:v>
                </c:pt>
                <c:pt idx="83">
                  <c:v>41852</c:v>
                </c:pt>
                <c:pt idx="84">
                  <c:v>41821</c:v>
                </c:pt>
                <c:pt idx="85">
                  <c:v>41791</c:v>
                </c:pt>
                <c:pt idx="86">
                  <c:v>41760</c:v>
                </c:pt>
                <c:pt idx="87">
                  <c:v>41730</c:v>
                </c:pt>
                <c:pt idx="88">
                  <c:v>41699</c:v>
                </c:pt>
                <c:pt idx="89">
                  <c:v>41671</c:v>
                </c:pt>
                <c:pt idx="90">
                  <c:v>41640</c:v>
                </c:pt>
                <c:pt idx="91">
                  <c:v>41609</c:v>
                </c:pt>
                <c:pt idx="92">
                  <c:v>41579</c:v>
                </c:pt>
                <c:pt idx="93">
                  <c:v>41548</c:v>
                </c:pt>
                <c:pt idx="94">
                  <c:v>41518</c:v>
                </c:pt>
                <c:pt idx="95">
                  <c:v>41487</c:v>
                </c:pt>
                <c:pt idx="96">
                  <c:v>41456</c:v>
                </c:pt>
                <c:pt idx="97">
                  <c:v>41426</c:v>
                </c:pt>
                <c:pt idx="98">
                  <c:v>41395</c:v>
                </c:pt>
                <c:pt idx="99">
                  <c:v>41365</c:v>
                </c:pt>
                <c:pt idx="100">
                  <c:v>41334</c:v>
                </c:pt>
                <c:pt idx="101">
                  <c:v>41306</c:v>
                </c:pt>
                <c:pt idx="102">
                  <c:v>41275</c:v>
                </c:pt>
                <c:pt idx="103">
                  <c:v>41244</c:v>
                </c:pt>
                <c:pt idx="104">
                  <c:v>41214</c:v>
                </c:pt>
                <c:pt idx="105">
                  <c:v>41183</c:v>
                </c:pt>
                <c:pt idx="106">
                  <c:v>41153</c:v>
                </c:pt>
                <c:pt idx="107">
                  <c:v>41122</c:v>
                </c:pt>
                <c:pt idx="108">
                  <c:v>41091</c:v>
                </c:pt>
                <c:pt idx="109">
                  <c:v>41061</c:v>
                </c:pt>
                <c:pt idx="110">
                  <c:v>41030</c:v>
                </c:pt>
                <c:pt idx="111">
                  <c:v>41000</c:v>
                </c:pt>
                <c:pt idx="112">
                  <c:v>40969</c:v>
                </c:pt>
                <c:pt idx="113">
                  <c:v>40940</c:v>
                </c:pt>
                <c:pt idx="114">
                  <c:v>40909</c:v>
                </c:pt>
                <c:pt idx="115">
                  <c:v>40878</c:v>
                </c:pt>
                <c:pt idx="116">
                  <c:v>40848</c:v>
                </c:pt>
                <c:pt idx="117">
                  <c:v>40817</c:v>
                </c:pt>
                <c:pt idx="118">
                  <c:v>40797</c:v>
                </c:pt>
                <c:pt idx="119">
                  <c:v>40756</c:v>
                </c:pt>
                <c:pt idx="120">
                  <c:v>40725</c:v>
                </c:pt>
                <c:pt idx="121">
                  <c:v>40695</c:v>
                </c:pt>
                <c:pt idx="122">
                  <c:v>40664</c:v>
                </c:pt>
                <c:pt idx="123">
                  <c:v>40634</c:v>
                </c:pt>
                <c:pt idx="124">
                  <c:v>40603</c:v>
                </c:pt>
                <c:pt idx="125">
                  <c:v>40575</c:v>
                </c:pt>
                <c:pt idx="126">
                  <c:v>40544</c:v>
                </c:pt>
                <c:pt idx="127">
                  <c:v>40513</c:v>
                </c:pt>
                <c:pt idx="128">
                  <c:v>40483</c:v>
                </c:pt>
                <c:pt idx="129">
                  <c:v>40452</c:v>
                </c:pt>
                <c:pt idx="130">
                  <c:v>40422</c:v>
                </c:pt>
                <c:pt idx="131">
                  <c:v>40391</c:v>
                </c:pt>
                <c:pt idx="132">
                  <c:v>40360</c:v>
                </c:pt>
                <c:pt idx="133">
                  <c:v>40330</c:v>
                </c:pt>
                <c:pt idx="134">
                  <c:v>40299</c:v>
                </c:pt>
                <c:pt idx="135">
                  <c:v>40269</c:v>
                </c:pt>
                <c:pt idx="136">
                  <c:v>40238</c:v>
                </c:pt>
                <c:pt idx="137">
                  <c:v>40210</c:v>
                </c:pt>
                <c:pt idx="138">
                  <c:v>40179</c:v>
                </c:pt>
                <c:pt idx="139">
                  <c:v>40148</c:v>
                </c:pt>
                <c:pt idx="140">
                  <c:v>40118</c:v>
                </c:pt>
                <c:pt idx="141">
                  <c:v>40087</c:v>
                </c:pt>
                <c:pt idx="142">
                  <c:v>40057</c:v>
                </c:pt>
                <c:pt idx="143">
                  <c:v>40026</c:v>
                </c:pt>
                <c:pt idx="144">
                  <c:v>39995</c:v>
                </c:pt>
                <c:pt idx="145">
                  <c:v>39965</c:v>
                </c:pt>
                <c:pt idx="146">
                  <c:v>39934</c:v>
                </c:pt>
                <c:pt idx="147">
                  <c:v>39904</c:v>
                </c:pt>
                <c:pt idx="148">
                  <c:v>39873</c:v>
                </c:pt>
                <c:pt idx="149">
                  <c:v>39845</c:v>
                </c:pt>
                <c:pt idx="150">
                  <c:v>39814</c:v>
                </c:pt>
                <c:pt idx="151">
                  <c:v>39783</c:v>
                </c:pt>
                <c:pt idx="152">
                  <c:v>39753</c:v>
                </c:pt>
                <c:pt idx="153">
                  <c:v>39722</c:v>
                </c:pt>
                <c:pt idx="154">
                  <c:v>39692</c:v>
                </c:pt>
                <c:pt idx="155">
                  <c:v>39661</c:v>
                </c:pt>
                <c:pt idx="156">
                  <c:v>39630</c:v>
                </c:pt>
                <c:pt idx="157">
                  <c:v>39600</c:v>
                </c:pt>
                <c:pt idx="158">
                  <c:v>39569</c:v>
                </c:pt>
                <c:pt idx="159">
                  <c:v>39539</c:v>
                </c:pt>
                <c:pt idx="160">
                  <c:v>39508</c:v>
                </c:pt>
                <c:pt idx="161">
                  <c:v>39479</c:v>
                </c:pt>
                <c:pt idx="162">
                  <c:v>39448</c:v>
                </c:pt>
                <c:pt idx="163">
                  <c:v>39417</c:v>
                </c:pt>
                <c:pt idx="164">
                  <c:v>39387</c:v>
                </c:pt>
                <c:pt idx="165">
                  <c:v>39356</c:v>
                </c:pt>
                <c:pt idx="166">
                  <c:v>39326</c:v>
                </c:pt>
                <c:pt idx="167">
                  <c:v>39295</c:v>
                </c:pt>
                <c:pt idx="168">
                  <c:v>39264</c:v>
                </c:pt>
                <c:pt idx="169">
                  <c:v>39234</c:v>
                </c:pt>
                <c:pt idx="170">
                  <c:v>39203</c:v>
                </c:pt>
                <c:pt idx="171">
                  <c:v>39173</c:v>
                </c:pt>
                <c:pt idx="172">
                  <c:v>39142</c:v>
                </c:pt>
                <c:pt idx="173">
                  <c:v>39114</c:v>
                </c:pt>
                <c:pt idx="174">
                  <c:v>39083</c:v>
                </c:pt>
                <c:pt idx="175">
                  <c:v>39052</c:v>
                </c:pt>
                <c:pt idx="176">
                  <c:v>39022</c:v>
                </c:pt>
                <c:pt idx="177">
                  <c:v>38991</c:v>
                </c:pt>
                <c:pt idx="178">
                  <c:v>38961</c:v>
                </c:pt>
                <c:pt idx="179">
                  <c:v>38930</c:v>
                </c:pt>
                <c:pt idx="180">
                  <c:v>38899</c:v>
                </c:pt>
                <c:pt idx="181">
                  <c:v>38869</c:v>
                </c:pt>
                <c:pt idx="182">
                  <c:v>38838</c:v>
                </c:pt>
                <c:pt idx="183">
                  <c:v>38808</c:v>
                </c:pt>
                <c:pt idx="184">
                  <c:v>38777</c:v>
                </c:pt>
                <c:pt idx="185">
                  <c:v>38749</c:v>
                </c:pt>
                <c:pt idx="186">
                  <c:v>38718</c:v>
                </c:pt>
                <c:pt idx="187">
                  <c:v>38687</c:v>
                </c:pt>
                <c:pt idx="188">
                  <c:v>38657</c:v>
                </c:pt>
                <c:pt idx="189">
                  <c:v>38626</c:v>
                </c:pt>
                <c:pt idx="190">
                  <c:v>38596</c:v>
                </c:pt>
                <c:pt idx="191">
                  <c:v>38565</c:v>
                </c:pt>
                <c:pt idx="192">
                  <c:v>38534</c:v>
                </c:pt>
                <c:pt idx="193">
                  <c:v>38504</c:v>
                </c:pt>
                <c:pt idx="194">
                  <c:v>38473</c:v>
                </c:pt>
                <c:pt idx="195">
                  <c:v>38443</c:v>
                </c:pt>
                <c:pt idx="196">
                  <c:v>38412</c:v>
                </c:pt>
                <c:pt idx="197">
                  <c:v>38384</c:v>
                </c:pt>
                <c:pt idx="198">
                  <c:v>38353</c:v>
                </c:pt>
                <c:pt idx="199">
                  <c:v>38322</c:v>
                </c:pt>
                <c:pt idx="200">
                  <c:v>38292</c:v>
                </c:pt>
                <c:pt idx="201">
                  <c:v>38261</c:v>
                </c:pt>
                <c:pt idx="202">
                  <c:v>38231</c:v>
                </c:pt>
                <c:pt idx="203">
                  <c:v>38200</c:v>
                </c:pt>
                <c:pt idx="204">
                  <c:v>38169</c:v>
                </c:pt>
                <c:pt idx="205">
                  <c:v>38139</c:v>
                </c:pt>
                <c:pt idx="206">
                  <c:v>38108</c:v>
                </c:pt>
                <c:pt idx="207">
                  <c:v>38078</c:v>
                </c:pt>
                <c:pt idx="208">
                  <c:v>38047</c:v>
                </c:pt>
                <c:pt idx="209">
                  <c:v>38018</c:v>
                </c:pt>
                <c:pt idx="210">
                  <c:v>37987</c:v>
                </c:pt>
                <c:pt idx="211">
                  <c:v>37956</c:v>
                </c:pt>
                <c:pt idx="212">
                  <c:v>37926</c:v>
                </c:pt>
                <c:pt idx="213">
                  <c:v>37895</c:v>
                </c:pt>
                <c:pt idx="214">
                  <c:v>37865</c:v>
                </c:pt>
                <c:pt idx="215">
                  <c:v>37834</c:v>
                </c:pt>
                <c:pt idx="216">
                  <c:v>37803</c:v>
                </c:pt>
                <c:pt idx="217">
                  <c:v>37773</c:v>
                </c:pt>
                <c:pt idx="218">
                  <c:v>37742</c:v>
                </c:pt>
                <c:pt idx="219">
                  <c:v>37712</c:v>
                </c:pt>
                <c:pt idx="220">
                  <c:v>37681</c:v>
                </c:pt>
                <c:pt idx="221">
                  <c:v>37653</c:v>
                </c:pt>
                <c:pt idx="222">
                  <c:v>37622</c:v>
                </c:pt>
                <c:pt idx="223">
                  <c:v>37591</c:v>
                </c:pt>
                <c:pt idx="224">
                  <c:v>37561</c:v>
                </c:pt>
                <c:pt idx="225">
                  <c:v>37530</c:v>
                </c:pt>
                <c:pt idx="226">
                  <c:v>37500</c:v>
                </c:pt>
                <c:pt idx="227">
                  <c:v>37469</c:v>
                </c:pt>
                <c:pt idx="228">
                  <c:v>37438</c:v>
                </c:pt>
                <c:pt idx="229">
                  <c:v>37408</c:v>
                </c:pt>
                <c:pt idx="230">
                  <c:v>37377</c:v>
                </c:pt>
                <c:pt idx="231">
                  <c:v>37347</c:v>
                </c:pt>
                <c:pt idx="232">
                  <c:v>37316</c:v>
                </c:pt>
                <c:pt idx="233">
                  <c:v>37288</c:v>
                </c:pt>
                <c:pt idx="234">
                  <c:v>37257</c:v>
                </c:pt>
                <c:pt idx="235">
                  <c:v>37226</c:v>
                </c:pt>
                <c:pt idx="236">
                  <c:v>37196</c:v>
                </c:pt>
                <c:pt idx="237">
                  <c:v>37165</c:v>
                </c:pt>
                <c:pt idx="238">
                  <c:v>37135</c:v>
                </c:pt>
                <c:pt idx="239">
                  <c:v>37104</c:v>
                </c:pt>
                <c:pt idx="240">
                  <c:v>37073</c:v>
                </c:pt>
                <c:pt idx="241">
                  <c:v>37043</c:v>
                </c:pt>
                <c:pt idx="242">
                  <c:v>37012</c:v>
                </c:pt>
                <c:pt idx="243">
                  <c:v>36982</c:v>
                </c:pt>
                <c:pt idx="244">
                  <c:v>36951</c:v>
                </c:pt>
                <c:pt idx="245">
                  <c:v>36923</c:v>
                </c:pt>
                <c:pt idx="246">
                  <c:v>36892</c:v>
                </c:pt>
                <c:pt idx="247">
                  <c:v>36861</c:v>
                </c:pt>
                <c:pt idx="248">
                  <c:v>36831</c:v>
                </c:pt>
                <c:pt idx="249">
                  <c:v>36800</c:v>
                </c:pt>
                <c:pt idx="250">
                  <c:v>36770</c:v>
                </c:pt>
                <c:pt idx="251">
                  <c:v>36739</c:v>
                </c:pt>
                <c:pt idx="252">
                  <c:v>36708</c:v>
                </c:pt>
                <c:pt idx="253">
                  <c:v>36678</c:v>
                </c:pt>
              </c:strCache>
            </c:strRef>
          </c:cat>
          <c:val>
            <c:numRef>
              <c:f>Load!$Z$12:$Z$268</c:f>
              <c:numCache>
                <c:ptCount val="257"/>
                <c:pt idx="0">
                  <c:v>0.03009304128707114</c:v>
                </c:pt>
                <c:pt idx="1">
                  <c:v>0.030680488212673464</c:v>
                </c:pt>
                <c:pt idx="2">
                  <c:v>0.029</c:v>
                </c:pt>
                <c:pt idx="3">
                  <c:v>0.025577488671189537</c:v>
                </c:pt>
                <c:pt idx="4">
                  <c:v>0.02559945668793333</c:v>
                </c:pt>
                <c:pt idx="5">
                  <c:v>0.02551199513429912</c:v>
                </c:pt>
                <c:pt idx="6">
                  <c:v>0.0250835884702731</c:v>
                </c:pt>
                <c:pt idx="7">
                  <c:v>0.025207547010353798</c:v>
                </c:pt>
                <c:pt idx="8">
                  <c:v>0.025263064551419155</c:v>
                </c:pt>
                <c:pt idx="9">
                  <c:v>0.02439846033869181</c:v>
                </c:pt>
                <c:pt idx="10">
                  <c:v>0.022778645121623108</c:v>
                </c:pt>
                <c:pt idx="11">
                  <c:v>0.02432212713025685</c:v>
                </c:pt>
                <c:pt idx="12">
                  <c:v>0.024594927780627548</c:v>
                </c:pt>
                <c:pt idx="13">
                  <c:v>0.021</c:v>
                </c:pt>
                <c:pt idx="14">
                  <c:v>0.023095412358928816</c:v>
                </c:pt>
                <c:pt idx="15">
                  <c:v>0.023931739227426634</c:v>
                </c:pt>
                <c:pt idx="16">
                  <c:v>0.026</c:v>
                </c:pt>
                <c:pt idx="17">
                  <c:v>0.025</c:v>
                </c:pt>
                <c:pt idx="18">
                  <c:v>0.026425720199937937</c:v>
                </c:pt>
                <c:pt idx="19">
                  <c:v>0.028</c:v>
                </c:pt>
                <c:pt idx="20">
                  <c:v>0.029687512152787515</c:v>
                </c:pt>
                <c:pt idx="21">
                  <c:v>0.034030280736783734</c:v>
                </c:pt>
                <c:pt idx="22">
                  <c:v>0.03408747332309103</c:v>
                </c:pt>
                <c:pt idx="23">
                  <c:v>0.03</c:v>
                </c:pt>
                <c:pt idx="24">
                  <c:v>0.031</c:v>
                </c:pt>
                <c:pt idx="25">
                  <c:v>0.031</c:v>
                </c:pt>
                <c:pt idx="26">
                  <c:v>0.029</c:v>
                </c:pt>
                <c:pt idx="27">
                  <c:v>0.03094780006010485</c:v>
                </c:pt>
                <c:pt idx="28">
                  <c:v>0.038</c:v>
                </c:pt>
                <c:pt idx="29">
                  <c:v>0.02947785619727252</c:v>
                </c:pt>
                <c:pt idx="30">
                  <c:v>0.0357129363948641</c:v>
                </c:pt>
                <c:pt idx="31">
                  <c:v>0.034</c:v>
                </c:pt>
                <c:pt idx="32">
                  <c:v>0.03166798977121302</c:v>
                </c:pt>
                <c:pt idx="33">
                  <c:v>0.02887930489067942</c:v>
                </c:pt>
                <c:pt idx="34">
                  <c:v>0.029545330315179495</c:v>
                </c:pt>
                <c:pt idx="35">
                  <c:v>0.02993044670899839</c:v>
                </c:pt>
                <c:pt idx="36">
                  <c:v>0.03242294083716366</c:v>
                </c:pt>
                <c:pt idx="37">
                  <c:v>0.03117306763258665</c:v>
                </c:pt>
                <c:pt idx="38">
                  <c:v>0.029790417530241597</c:v>
                </c:pt>
                <c:pt idx="39">
                  <c:v>0.033737275811924386</c:v>
                </c:pt>
                <c:pt idx="40">
                  <c:v>0.03389914878789387</c:v>
                </c:pt>
                <c:pt idx="41">
                  <c:v>0.03487289319303473</c:v>
                </c:pt>
                <c:pt idx="42">
                  <c:v>0.03397227451651549</c:v>
                </c:pt>
                <c:pt idx="43">
                  <c:v>0.03206726005638366</c:v>
                </c:pt>
                <c:pt idx="44">
                  <c:v>0.03043878976503566</c:v>
                </c:pt>
                <c:pt idx="45">
                  <c:v>0.029368505116450724</c:v>
                </c:pt>
                <c:pt idx="46">
                  <c:v>0.030743735922530154</c:v>
                </c:pt>
                <c:pt idx="47">
                  <c:v>0.03228741607493883</c:v>
                </c:pt>
                <c:pt idx="48">
                  <c:v>0.03307166493910526</c:v>
                </c:pt>
                <c:pt idx="49">
                  <c:v>0.034049427359617544</c:v>
                </c:pt>
                <c:pt idx="50">
                  <c:v>0.034431360342421294</c:v>
                </c:pt>
                <c:pt idx="51">
                  <c:v>0.03445755379690383</c:v>
                </c:pt>
                <c:pt idx="52">
                  <c:v>0.03455712036634666</c:v>
                </c:pt>
                <c:pt idx="53">
                  <c:v>0.037462322376919766</c:v>
                </c:pt>
                <c:pt idx="54">
                  <c:v>0.03344021988089785</c:v>
                </c:pt>
                <c:pt idx="55">
                  <c:v>0.03233149427061229</c:v>
                </c:pt>
                <c:pt idx="56">
                  <c:v>0.032593109328372664</c:v>
                </c:pt>
                <c:pt idx="57">
                  <c:v>0.03068114119282452</c:v>
                </c:pt>
                <c:pt idx="58">
                  <c:v>0.02850609278576575</c:v>
                </c:pt>
                <c:pt idx="59">
                  <c:v>0.033868426974720575</c:v>
                </c:pt>
                <c:pt idx="60">
                  <c:v>0.04518508145451151</c:v>
                </c:pt>
                <c:pt idx="61">
                  <c:v>0.03235675876135731</c:v>
                </c:pt>
                <c:pt idx="62">
                  <c:v>0.03543141220087631</c:v>
                </c:pt>
                <c:pt idx="63">
                  <c:v>0.02004230755440823</c:v>
                </c:pt>
                <c:pt idx="64">
                  <c:v>0.023679952934255042</c:v>
                </c:pt>
                <c:pt idx="65">
                  <c:v>0.024978089395267307</c:v>
                </c:pt>
                <c:pt idx="66">
                  <c:v>0.0220524824442528</c:v>
                </c:pt>
                <c:pt idx="67">
                  <c:v>0.021260834135861915</c:v>
                </c:pt>
                <c:pt idx="68">
                  <c:v>0.02184231852738008</c:v>
                </c:pt>
                <c:pt idx="69">
                  <c:v>0.02005502171673048</c:v>
                </c:pt>
                <c:pt idx="70">
                  <c:v>0.02153796419768053</c:v>
                </c:pt>
                <c:pt idx="71">
                  <c:v>0.019984291823021208</c:v>
                </c:pt>
                <c:pt idx="72">
                  <c:v>0.016843681280119777</c:v>
                </c:pt>
                <c:pt idx="73">
                  <c:v>0.010740505755460891</c:v>
                </c:pt>
                <c:pt idx="74">
                  <c:v>0.007876482434549118</c:v>
                </c:pt>
                <c:pt idx="75">
                  <c:v>0.008170808812800934</c:v>
                </c:pt>
                <c:pt idx="76">
                  <c:v>0.009073873163033831</c:v>
                </c:pt>
                <c:pt idx="77">
                  <c:v>0.007001281924859482</c:v>
                </c:pt>
                <c:pt idx="78">
                  <c:v>0.006232447197322357</c:v>
                </c:pt>
                <c:pt idx="79">
                  <c:v>0.006387964922890838</c:v>
                </c:pt>
                <c:pt idx="80">
                  <c:v>0.0057319530327242406</c:v>
                </c:pt>
                <c:pt idx="81">
                  <c:v>0.005904710194108864</c:v>
                </c:pt>
                <c:pt idx="82">
                  <c:v>0.0076251110453064855</c:v>
                </c:pt>
                <c:pt idx="83">
                  <c:v>0.009583406266409942</c:v>
                </c:pt>
                <c:pt idx="84">
                  <c:v>0.010914051841746248</c:v>
                </c:pt>
                <c:pt idx="85">
                  <c:v>0.0115868305779285</c:v>
                </c:pt>
                <c:pt idx="86">
                  <c:v>0.012026745397707537</c:v>
                </c:pt>
                <c:pt idx="87">
                  <c:v>0.012795693847679304</c:v>
                </c:pt>
                <c:pt idx="88">
                  <c:v>0.01310148836761235</c:v>
                </c:pt>
                <c:pt idx="89">
                  <c:v>0.011858063934352315</c:v>
                </c:pt>
                <c:pt idx="90">
                  <c:v>0.009869108852925187</c:v>
                </c:pt>
                <c:pt idx="91">
                  <c:v>0.009242695289206918</c:v>
                </c:pt>
                <c:pt idx="92">
                  <c:v>0.010163880152292666</c:v>
                </c:pt>
                <c:pt idx="93">
                  <c:v>0.008377667706231271</c:v>
                </c:pt>
                <c:pt idx="94">
                  <c:v>0.0076989847907310265</c:v>
                </c:pt>
                <c:pt idx="95">
                  <c:v>0.007788414733084537</c:v>
                </c:pt>
                <c:pt idx="96">
                  <c:v>0.008765522279035792</c:v>
                </c:pt>
                <c:pt idx="97">
                  <c:v>0.009811429118407197</c:v>
                </c:pt>
                <c:pt idx="98">
                  <c:v>0.008721192950745594</c:v>
                </c:pt>
                <c:pt idx="99">
                  <c:v>0.00883861513097637</c:v>
                </c:pt>
                <c:pt idx="100">
                  <c:v>0.009206042419002086</c:v>
                </c:pt>
                <c:pt idx="101">
                  <c:v>0.008809963099630997</c:v>
                </c:pt>
                <c:pt idx="102">
                  <c:v>0.008809004760421764</c:v>
                </c:pt>
                <c:pt idx="103">
                  <c:v>0.00906183368869936</c:v>
                </c:pt>
                <c:pt idx="104">
                  <c:v>0.007144756081350525</c:v>
                </c:pt>
                <c:pt idx="105">
                  <c:v>0.004339389663079909</c:v>
                </c:pt>
                <c:pt idx="106">
                  <c:v>0.003922177779503709</c:v>
                </c:pt>
                <c:pt idx="107">
                  <c:v>0.00367662961200744</c:v>
                </c:pt>
                <c:pt idx="108">
                  <c:v>0.0037937654264558</c:v>
                </c:pt>
                <c:pt idx="109">
                  <c:v>0.0037556922210224873</c:v>
                </c:pt>
                <c:pt idx="110">
                  <c:v>0.004310157168357352</c:v>
                </c:pt>
                <c:pt idx="111">
                  <c:v>0.0043387050634118435</c:v>
                </c:pt>
                <c:pt idx="112">
                  <c:v>0.0042352488208682254</c:v>
                </c:pt>
                <c:pt idx="113">
                  <c:v>0.004071022169903865</c:v>
                </c:pt>
                <c:pt idx="114">
                  <c:v>0.003536416133219929</c:v>
                </c:pt>
                <c:pt idx="115">
                  <c:v>0.0029152190407731324</c:v>
                </c:pt>
                <c:pt idx="116">
                  <c:v>0.0024444274692536857</c:v>
                </c:pt>
                <c:pt idx="117">
                  <c:v>0.00258825965420851</c:v>
                </c:pt>
                <c:pt idx="118">
                  <c:v>0.0031228730431997437</c:v>
                </c:pt>
                <c:pt idx="119">
                  <c:v>0.00442303481497701</c:v>
                </c:pt>
                <c:pt idx="120">
                  <c:v>0.005</c:v>
                </c:pt>
                <c:pt idx="121">
                  <c:v>0.003962951016082208</c:v>
                </c:pt>
                <c:pt idx="122">
                  <c:v>0.005878510777269759</c:v>
                </c:pt>
                <c:pt idx="123">
                  <c:v>0.0040731174249950325</c:v>
                </c:pt>
                <c:pt idx="124">
                  <c:v>0.0042963528737827005</c:v>
                </c:pt>
                <c:pt idx="125">
                  <c:v>0.0033925364198762716</c:v>
                </c:pt>
                <c:pt idx="126">
                  <c:v>0.0029255558556125663</c:v>
                </c:pt>
                <c:pt idx="127">
                  <c:v>0.0028382581648522553</c:v>
                </c:pt>
                <c:pt idx="128">
                  <c:v>0.002802303262955854</c:v>
                </c:pt>
                <c:pt idx="129">
                  <c:v>0.003171709806780897</c:v>
                </c:pt>
                <c:pt idx="130">
                  <c:v>0.003241362953593169</c:v>
                </c:pt>
                <c:pt idx="131">
                  <c:v>0.004564793476333983</c:v>
                </c:pt>
                <c:pt idx="132">
                  <c:v>0.004923047509798299</c:v>
                </c:pt>
                <c:pt idx="133">
                  <c:v>0.0024398411711237626</c:v>
                </c:pt>
                <c:pt idx="134">
                  <c:v>0.0018169429934135816</c:v>
                </c:pt>
                <c:pt idx="135">
                  <c:v>0.0016331935555065108</c:v>
                </c:pt>
                <c:pt idx="136">
                  <c:v>0.0023534333978348413</c:v>
                </c:pt>
                <c:pt idx="137">
                  <c:v>0.0024178198466999327</c:v>
                </c:pt>
                <c:pt idx="138">
                  <c:v>0.002289812494599499</c:v>
                </c:pt>
                <c:pt idx="139">
                  <c:v>0.001957883745214062</c:v>
                </c:pt>
                <c:pt idx="140">
                  <c:v>0.0021339382983562986</c:v>
                </c:pt>
                <c:pt idx="141">
                  <c:v>0.001447126923619935</c:v>
                </c:pt>
                <c:pt idx="142">
                  <c:v>0.001159180293935003</c:v>
                </c:pt>
                <c:pt idx="143">
                  <c:v>0.0019274281404508507</c:v>
                </c:pt>
                <c:pt idx="144">
                  <c:v>0.002754572138180176</c:v>
                </c:pt>
                <c:pt idx="145">
                  <c:v>0.0008830022075055188</c:v>
                </c:pt>
                <c:pt idx="146">
                  <c:v>0.0005782296535440659</c:v>
                </c:pt>
                <c:pt idx="147">
                  <c:v>0.0005559158713981284</c:v>
                </c:pt>
                <c:pt idx="148">
                  <c:v>0.000635997456010176</c:v>
                </c:pt>
                <c:pt idx="149">
                  <c:v>0.0005494231057389741</c:v>
                </c:pt>
                <c:pt idx="150">
                  <c:v>0.000805405163541993</c:v>
                </c:pt>
                <c:pt idx="151">
                  <c:v>0.004398129804263413</c:v>
                </c:pt>
                <c:pt idx="152">
                  <c:v>0.0029682741605951968</c:v>
                </c:pt>
                <c:pt idx="153">
                  <c:v>0.0030120481927710845</c:v>
                </c:pt>
                <c:pt idx="154">
                  <c:v>0.0049504950495049506</c:v>
                </c:pt>
                <c:pt idx="155">
                  <c:v>0.004779653584740189</c:v>
                </c:pt>
                <c:pt idx="156">
                  <c:v>0.0038935124349053388</c:v>
                </c:pt>
                <c:pt idx="157">
                  <c:v>0.004379562043795621</c:v>
                </c:pt>
                <c:pt idx="158">
                  <c:v>0.0027359781121751026</c:v>
                </c:pt>
                <c:pt idx="159">
                  <c:v>0.0030349013657056147</c:v>
                </c:pt>
                <c:pt idx="160">
                  <c:v>0.0043767932694645725</c:v>
                </c:pt>
                <c:pt idx="161">
                  <c:v>0.0046726950201185485</c:v>
                </c:pt>
                <c:pt idx="162">
                  <c:v>0.004527296937416777</c:v>
                </c:pt>
                <c:pt idx="163">
                  <c:v>0.0054525627044711015</c:v>
                </c:pt>
                <c:pt idx="164">
                  <c:v>0.003355704697986577</c:v>
                </c:pt>
                <c:pt idx="165">
                  <c:v>0.0034883720930232558</c:v>
                </c:pt>
                <c:pt idx="166">
                  <c:v>0.004271434233123431</c:v>
                </c:pt>
                <c:pt idx="167">
                  <c:v>0.004636022884198066</c:v>
                </c:pt>
                <c:pt idx="168">
                  <c:v>0.004939811040237878</c:v>
                </c:pt>
                <c:pt idx="169">
                  <c:v>0.003950972028913932</c:v>
                </c:pt>
                <c:pt idx="170">
                  <c:v>0.0038203919622922353</c:v>
                </c:pt>
                <c:pt idx="171">
                  <c:v>0.005709861608438982</c:v>
                </c:pt>
                <c:pt idx="172">
                  <c:v>0.006050211995617169</c:v>
                </c:pt>
                <c:pt idx="173">
                  <c:v>0.007822685788787484</c:v>
                </c:pt>
                <c:pt idx="174">
                  <c:v>0.00802587446094873</c:v>
                </c:pt>
                <c:pt idx="175">
                  <c:v>0.010395010395010396</c:v>
                </c:pt>
                <c:pt idx="176">
                  <c:v>0.014746678347203973</c:v>
                </c:pt>
                <c:pt idx="177">
                  <c:v>0.014953420494982208</c:v>
                </c:pt>
                <c:pt idx="178">
                  <c:v>0.01573302605920936</c:v>
                </c:pt>
                <c:pt idx="179">
                  <c:v>0.018080798568603444</c:v>
                </c:pt>
                <c:pt idx="180">
                  <c:v>0.017050912584053796</c:v>
                </c:pt>
                <c:pt idx="181">
                  <c:v>0.01634233893822029</c:v>
                </c:pt>
                <c:pt idx="182">
                  <c:v>0.015813788201847902</c:v>
                </c:pt>
                <c:pt idx="183">
                  <c:v>0.017408033033033034</c:v>
                </c:pt>
                <c:pt idx="184">
                  <c:v>0.018538379040907</c:v>
                </c:pt>
                <c:pt idx="185">
                  <c:v>0.048665414354986676</c:v>
                </c:pt>
                <c:pt idx="186">
                  <c:v>0.06674212717791163</c:v>
                </c:pt>
                <c:pt idx="187">
                  <c:v>0.0694391614893707</c:v>
                </c:pt>
                <c:pt idx="188">
                  <c:v>0.07013005421878876</c:v>
                </c:pt>
                <c:pt idx="189">
                  <c:v>0.07333833576872952</c:v>
                </c:pt>
                <c:pt idx="190">
                  <c:v>0.07</c:v>
                </c:pt>
                <c:pt idx="191">
                  <c:v>0.07</c:v>
                </c:pt>
                <c:pt idx="192">
                  <c:v>0.07</c:v>
                </c:pt>
                <c:pt idx="193">
                  <c:v>0.07</c:v>
                </c:pt>
                <c:pt idx="194">
                  <c:v>0.07</c:v>
                </c:pt>
                <c:pt idx="195">
                  <c:v>0.1</c:v>
                </c:pt>
                <c:pt idx="196">
                  <c:v>0.11</c:v>
                </c:pt>
                <c:pt idx="197">
                  <c:v>0.11</c:v>
                </c:pt>
                <c:pt idx="198">
                  <c:v>0.13</c:v>
                </c:pt>
                <c:pt idx="199">
                  <c:v>0.13</c:v>
                </c:pt>
                <c:pt idx="200">
                  <c:v>0.13</c:v>
                </c:pt>
                <c:pt idx="201">
                  <c:v>0.14</c:v>
                </c:pt>
                <c:pt idx="202">
                  <c:v>0.14</c:v>
                </c:pt>
                <c:pt idx="203">
                  <c:v>0.13</c:v>
                </c:pt>
                <c:pt idx="204">
                  <c:v>0.13</c:v>
                </c:pt>
                <c:pt idx="205">
                  <c:v>0.13</c:v>
                </c:pt>
                <c:pt idx="206">
                  <c:v>0.13</c:v>
                </c:pt>
                <c:pt idx="207">
                  <c:v>0.13</c:v>
                </c:pt>
                <c:pt idx="208">
                  <c:v>0.13</c:v>
                </c:pt>
                <c:pt idx="209">
                  <c:v>0.12</c:v>
                </c:pt>
                <c:pt idx="210">
                  <c:v>0.13</c:v>
                </c:pt>
                <c:pt idx="211">
                  <c:v>0.15</c:v>
                </c:pt>
                <c:pt idx="212">
                  <c:v>0.15</c:v>
                </c:pt>
                <c:pt idx="213">
                  <c:v>0.17</c:v>
                </c:pt>
                <c:pt idx="214">
                  <c:v>0.16</c:v>
                </c:pt>
                <c:pt idx="215">
                  <c:v>0.28</c:v>
                </c:pt>
                <c:pt idx="216">
                  <c:v>0.27</c:v>
                </c:pt>
                <c:pt idx="217">
                  <c:v>0.28</c:v>
                </c:pt>
                <c:pt idx="218">
                  <c:v>0.36</c:v>
                </c:pt>
                <c:pt idx="219">
                  <c:v>0.34</c:v>
                </c:pt>
                <c:pt idx="220">
                  <c:v>0.33</c:v>
                </c:pt>
                <c:pt idx="221">
                  <c:v>0.31</c:v>
                </c:pt>
                <c:pt idx="222">
                  <c:v>0.31</c:v>
                </c:pt>
                <c:pt idx="224">
                  <c:v>0.31</c:v>
                </c:pt>
                <c:pt idx="225">
                  <c:v>0.33</c:v>
                </c:pt>
                <c:pt idx="226">
                  <c:v>0.33</c:v>
                </c:pt>
                <c:pt idx="227">
                  <c:v>0.32</c:v>
                </c:pt>
                <c:pt idx="228">
                  <c:v>0.33</c:v>
                </c:pt>
                <c:pt idx="229">
                  <c:v>0.31</c:v>
                </c:pt>
                <c:pt idx="230">
                  <c:v>0.31</c:v>
                </c:pt>
                <c:pt idx="231">
                  <c:v>0.29</c:v>
                </c:pt>
                <c:pt idx="232">
                  <c:v>0.2</c:v>
                </c:pt>
                <c:pt idx="233">
                  <c:v>0.14</c:v>
                </c:pt>
                <c:pt idx="234">
                  <c:v>0.12</c:v>
                </c:pt>
                <c:pt idx="235">
                  <c:v>0.12</c:v>
                </c:pt>
                <c:pt idx="236">
                  <c:v>0.1</c:v>
                </c:pt>
                <c:pt idx="237">
                  <c:v>0.07</c:v>
                </c:pt>
                <c:pt idx="238">
                  <c:v>0.06</c:v>
                </c:pt>
                <c:pt idx="239">
                  <c:v>0.04</c:v>
                </c:pt>
                <c:pt idx="240">
                  <c:v>0.05</c:v>
                </c:pt>
                <c:pt idx="241">
                  <c:v>0.09</c:v>
                </c:pt>
                <c:pt idx="242">
                  <c:v>0.09</c:v>
                </c:pt>
                <c:pt idx="243">
                  <c:v>0.09</c:v>
                </c:pt>
                <c:pt idx="244">
                  <c:v>0.1</c:v>
                </c:pt>
                <c:pt idx="245">
                  <c:v>0.09</c:v>
                </c:pt>
                <c:pt idx="246">
                  <c:v>0.1</c:v>
                </c:pt>
                <c:pt idx="247">
                  <c:v>0.09</c:v>
                </c:pt>
                <c:pt idx="248">
                  <c:v>0.09</c:v>
                </c:pt>
                <c:pt idx="249">
                  <c:v>0.08</c:v>
                </c:pt>
                <c:pt idx="250">
                  <c:v>0.1</c:v>
                </c:pt>
                <c:pt idx="251">
                  <c:v>0.09</c:v>
                </c:pt>
                <c:pt idx="252">
                  <c:v>0.07</c:v>
                </c:pt>
                <c:pt idx="254">
                  <c:v>0.04</c:v>
                </c:pt>
              </c:numCache>
            </c:numRef>
          </c:val>
          <c:smooth val="0"/>
        </c:ser>
        <c:ser>
          <c:idx val="1"/>
          <c:order val="1"/>
          <c:tx>
            <c:v>Medium C&amp;I</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Load!$A$15:$A$268</c:f>
              <c:strCache>
                <c:ptCount val="254"/>
                <c:pt idx="0">
                  <c:v>44378</c:v>
                </c:pt>
                <c:pt idx="1">
                  <c:v>44348</c:v>
                </c:pt>
                <c:pt idx="2">
                  <c:v>44317</c:v>
                </c:pt>
                <c:pt idx="3">
                  <c:v>44287</c:v>
                </c:pt>
                <c:pt idx="4">
                  <c:v>44256</c:v>
                </c:pt>
                <c:pt idx="5">
                  <c:v>44228</c:v>
                </c:pt>
                <c:pt idx="6">
                  <c:v>44197</c:v>
                </c:pt>
                <c:pt idx="7">
                  <c:v>44196</c:v>
                </c:pt>
                <c:pt idx="8">
                  <c:v>44165</c:v>
                </c:pt>
                <c:pt idx="9">
                  <c:v>44135</c:v>
                </c:pt>
                <c:pt idx="10">
                  <c:v>44075</c:v>
                </c:pt>
                <c:pt idx="11">
                  <c:v>44044</c:v>
                </c:pt>
                <c:pt idx="12">
                  <c:v>44013</c:v>
                </c:pt>
                <c:pt idx="13">
                  <c:v>43983</c:v>
                </c:pt>
                <c:pt idx="14">
                  <c:v>43952</c:v>
                </c:pt>
                <c:pt idx="15">
                  <c:v>43922</c:v>
                </c:pt>
                <c:pt idx="16">
                  <c:v>43891</c:v>
                </c:pt>
                <c:pt idx="17">
                  <c:v>43862</c:v>
                </c:pt>
                <c:pt idx="18">
                  <c:v>43831</c:v>
                </c:pt>
                <c:pt idx="19">
                  <c:v>43800</c:v>
                </c:pt>
                <c:pt idx="20">
                  <c:v>43770</c:v>
                </c:pt>
                <c:pt idx="21">
                  <c:v>43739</c:v>
                </c:pt>
                <c:pt idx="22">
                  <c:v>43709</c:v>
                </c:pt>
                <c:pt idx="23">
                  <c:v>43678</c:v>
                </c:pt>
                <c:pt idx="24">
                  <c:v>43647</c:v>
                </c:pt>
                <c:pt idx="25">
                  <c:v>43617</c:v>
                </c:pt>
                <c:pt idx="26">
                  <c:v>43586</c:v>
                </c:pt>
                <c:pt idx="27">
                  <c:v>43556</c:v>
                </c:pt>
                <c:pt idx="28">
                  <c:v>43525</c:v>
                </c:pt>
                <c:pt idx="29">
                  <c:v>43497</c:v>
                </c:pt>
                <c:pt idx="30">
                  <c:v>43466</c:v>
                </c:pt>
                <c:pt idx="31">
                  <c:v>43435</c:v>
                </c:pt>
                <c:pt idx="32">
                  <c:v>43405</c:v>
                </c:pt>
                <c:pt idx="33">
                  <c:v>43404</c:v>
                </c:pt>
                <c:pt idx="34">
                  <c:v>43361</c:v>
                </c:pt>
                <c:pt idx="35">
                  <c:v>43330</c:v>
                </c:pt>
                <c:pt idx="36">
                  <c:v>43282</c:v>
                </c:pt>
                <c:pt idx="37">
                  <c:v>43252</c:v>
                </c:pt>
                <c:pt idx="38">
                  <c:v>43221</c:v>
                </c:pt>
                <c:pt idx="39">
                  <c:v>43191</c:v>
                </c:pt>
                <c:pt idx="40">
                  <c:v>43160</c:v>
                </c:pt>
                <c:pt idx="41">
                  <c:v>43149</c:v>
                </c:pt>
                <c:pt idx="42">
                  <c:v>43101</c:v>
                </c:pt>
                <c:pt idx="43">
                  <c:v>43070</c:v>
                </c:pt>
                <c:pt idx="44">
                  <c:v>43040</c:v>
                </c:pt>
                <c:pt idx="45">
                  <c:v>43009</c:v>
                </c:pt>
                <c:pt idx="46">
                  <c:v>42979</c:v>
                </c:pt>
                <c:pt idx="47">
                  <c:v>42948</c:v>
                </c:pt>
                <c:pt idx="48">
                  <c:v>42917</c:v>
                </c:pt>
                <c:pt idx="49">
                  <c:v>42887</c:v>
                </c:pt>
                <c:pt idx="50">
                  <c:v>42856</c:v>
                </c:pt>
                <c:pt idx="51">
                  <c:v>42826</c:v>
                </c:pt>
                <c:pt idx="52">
                  <c:v>42795</c:v>
                </c:pt>
                <c:pt idx="53">
                  <c:v>42767</c:v>
                </c:pt>
                <c:pt idx="54">
                  <c:v>42736</c:v>
                </c:pt>
                <c:pt idx="55">
                  <c:v>42705</c:v>
                </c:pt>
                <c:pt idx="56">
                  <c:v>42675</c:v>
                </c:pt>
                <c:pt idx="57">
                  <c:v>42644</c:v>
                </c:pt>
                <c:pt idx="58">
                  <c:v>42614</c:v>
                </c:pt>
                <c:pt idx="59">
                  <c:v>42583</c:v>
                </c:pt>
                <c:pt idx="60">
                  <c:v>42552</c:v>
                </c:pt>
                <c:pt idx="61">
                  <c:v>42522</c:v>
                </c:pt>
                <c:pt idx="62">
                  <c:v>42491</c:v>
                </c:pt>
                <c:pt idx="63">
                  <c:v>42461</c:v>
                </c:pt>
                <c:pt idx="64">
                  <c:v>42430</c:v>
                </c:pt>
                <c:pt idx="65">
                  <c:v>42401</c:v>
                </c:pt>
                <c:pt idx="66">
                  <c:v>42370</c:v>
                </c:pt>
                <c:pt idx="67">
                  <c:v>42339</c:v>
                </c:pt>
                <c:pt idx="68">
                  <c:v>42309</c:v>
                </c:pt>
                <c:pt idx="69">
                  <c:v>42278</c:v>
                </c:pt>
                <c:pt idx="70">
                  <c:v>42248</c:v>
                </c:pt>
                <c:pt idx="71">
                  <c:v>42217</c:v>
                </c:pt>
                <c:pt idx="72">
                  <c:v>42186</c:v>
                </c:pt>
                <c:pt idx="73">
                  <c:v>42156</c:v>
                </c:pt>
                <c:pt idx="74">
                  <c:v>42125</c:v>
                </c:pt>
                <c:pt idx="75">
                  <c:v>42095</c:v>
                </c:pt>
                <c:pt idx="76">
                  <c:v>42064</c:v>
                </c:pt>
                <c:pt idx="77">
                  <c:v>42036</c:v>
                </c:pt>
                <c:pt idx="78">
                  <c:v>42005</c:v>
                </c:pt>
                <c:pt idx="79">
                  <c:v>41974</c:v>
                </c:pt>
                <c:pt idx="80">
                  <c:v>41944</c:v>
                </c:pt>
                <c:pt idx="81">
                  <c:v>41926</c:v>
                </c:pt>
                <c:pt idx="82">
                  <c:v>41883</c:v>
                </c:pt>
                <c:pt idx="83">
                  <c:v>41852</c:v>
                </c:pt>
                <c:pt idx="84">
                  <c:v>41821</c:v>
                </c:pt>
                <c:pt idx="85">
                  <c:v>41791</c:v>
                </c:pt>
                <c:pt idx="86">
                  <c:v>41760</c:v>
                </c:pt>
                <c:pt idx="87">
                  <c:v>41730</c:v>
                </c:pt>
                <c:pt idx="88">
                  <c:v>41699</c:v>
                </c:pt>
                <c:pt idx="89">
                  <c:v>41671</c:v>
                </c:pt>
                <c:pt idx="90">
                  <c:v>41640</c:v>
                </c:pt>
                <c:pt idx="91">
                  <c:v>41609</c:v>
                </c:pt>
                <c:pt idx="92">
                  <c:v>41579</c:v>
                </c:pt>
                <c:pt idx="93">
                  <c:v>41548</c:v>
                </c:pt>
                <c:pt idx="94">
                  <c:v>41518</c:v>
                </c:pt>
                <c:pt idx="95">
                  <c:v>41487</c:v>
                </c:pt>
                <c:pt idx="96">
                  <c:v>41456</c:v>
                </c:pt>
                <c:pt idx="97">
                  <c:v>41426</c:v>
                </c:pt>
                <c:pt idx="98">
                  <c:v>41395</c:v>
                </c:pt>
                <c:pt idx="99">
                  <c:v>41365</c:v>
                </c:pt>
                <c:pt idx="100">
                  <c:v>41334</c:v>
                </c:pt>
                <c:pt idx="101">
                  <c:v>41306</c:v>
                </c:pt>
                <c:pt idx="102">
                  <c:v>41275</c:v>
                </c:pt>
                <c:pt idx="103">
                  <c:v>41244</c:v>
                </c:pt>
                <c:pt idx="104">
                  <c:v>41214</c:v>
                </c:pt>
                <c:pt idx="105">
                  <c:v>41183</c:v>
                </c:pt>
                <c:pt idx="106">
                  <c:v>41153</c:v>
                </c:pt>
                <c:pt idx="107">
                  <c:v>41122</c:v>
                </c:pt>
                <c:pt idx="108">
                  <c:v>41091</c:v>
                </c:pt>
                <c:pt idx="109">
                  <c:v>41061</c:v>
                </c:pt>
                <c:pt idx="110">
                  <c:v>41030</c:v>
                </c:pt>
                <c:pt idx="111">
                  <c:v>41000</c:v>
                </c:pt>
                <c:pt idx="112">
                  <c:v>40969</c:v>
                </c:pt>
                <c:pt idx="113">
                  <c:v>40940</c:v>
                </c:pt>
                <c:pt idx="114">
                  <c:v>40909</c:v>
                </c:pt>
                <c:pt idx="115">
                  <c:v>40878</c:v>
                </c:pt>
                <c:pt idx="116">
                  <c:v>40848</c:v>
                </c:pt>
                <c:pt idx="117">
                  <c:v>40817</c:v>
                </c:pt>
                <c:pt idx="118">
                  <c:v>40797</c:v>
                </c:pt>
                <c:pt idx="119">
                  <c:v>40756</c:v>
                </c:pt>
                <c:pt idx="120">
                  <c:v>40725</c:v>
                </c:pt>
                <c:pt idx="121">
                  <c:v>40695</c:v>
                </c:pt>
                <c:pt idx="122">
                  <c:v>40664</c:v>
                </c:pt>
                <c:pt idx="123">
                  <c:v>40634</c:v>
                </c:pt>
                <c:pt idx="124">
                  <c:v>40603</c:v>
                </c:pt>
                <c:pt idx="125">
                  <c:v>40575</c:v>
                </c:pt>
                <c:pt idx="126">
                  <c:v>40544</c:v>
                </c:pt>
                <c:pt idx="127">
                  <c:v>40513</c:v>
                </c:pt>
                <c:pt idx="128">
                  <c:v>40483</c:v>
                </c:pt>
                <c:pt idx="129">
                  <c:v>40452</c:v>
                </c:pt>
                <c:pt idx="130">
                  <c:v>40422</c:v>
                </c:pt>
                <c:pt idx="131">
                  <c:v>40391</c:v>
                </c:pt>
                <c:pt idx="132">
                  <c:v>40360</c:v>
                </c:pt>
                <c:pt idx="133">
                  <c:v>40330</c:v>
                </c:pt>
                <c:pt idx="134">
                  <c:v>40299</c:v>
                </c:pt>
                <c:pt idx="135">
                  <c:v>40269</c:v>
                </c:pt>
                <c:pt idx="136">
                  <c:v>40238</c:v>
                </c:pt>
                <c:pt idx="137">
                  <c:v>40210</c:v>
                </c:pt>
                <c:pt idx="138">
                  <c:v>40179</c:v>
                </c:pt>
                <c:pt idx="139">
                  <c:v>40148</c:v>
                </c:pt>
                <c:pt idx="140">
                  <c:v>40118</c:v>
                </c:pt>
                <c:pt idx="141">
                  <c:v>40087</c:v>
                </c:pt>
                <c:pt idx="142">
                  <c:v>40057</c:v>
                </c:pt>
                <c:pt idx="143">
                  <c:v>40026</c:v>
                </c:pt>
                <c:pt idx="144">
                  <c:v>39995</c:v>
                </c:pt>
                <c:pt idx="145">
                  <c:v>39965</c:v>
                </c:pt>
                <c:pt idx="146">
                  <c:v>39934</c:v>
                </c:pt>
                <c:pt idx="147">
                  <c:v>39904</c:v>
                </c:pt>
                <c:pt idx="148">
                  <c:v>39873</c:v>
                </c:pt>
                <c:pt idx="149">
                  <c:v>39845</c:v>
                </c:pt>
                <c:pt idx="150">
                  <c:v>39814</c:v>
                </c:pt>
                <c:pt idx="151">
                  <c:v>39783</c:v>
                </c:pt>
                <c:pt idx="152">
                  <c:v>39753</c:v>
                </c:pt>
                <c:pt idx="153">
                  <c:v>39722</c:v>
                </c:pt>
                <c:pt idx="154">
                  <c:v>39692</c:v>
                </c:pt>
                <c:pt idx="155">
                  <c:v>39661</c:v>
                </c:pt>
                <c:pt idx="156">
                  <c:v>39630</c:v>
                </c:pt>
                <c:pt idx="157">
                  <c:v>39600</c:v>
                </c:pt>
                <c:pt idx="158">
                  <c:v>39569</c:v>
                </c:pt>
                <c:pt idx="159">
                  <c:v>39539</c:v>
                </c:pt>
                <c:pt idx="160">
                  <c:v>39508</c:v>
                </c:pt>
                <c:pt idx="161">
                  <c:v>39479</c:v>
                </c:pt>
                <c:pt idx="162">
                  <c:v>39448</c:v>
                </c:pt>
                <c:pt idx="163">
                  <c:v>39417</c:v>
                </c:pt>
                <c:pt idx="164">
                  <c:v>39387</c:v>
                </c:pt>
                <c:pt idx="165">
                  <c:v>39356</c:v>
                </c:pt>
                <c:pt idx="166">
                  <c:v>39326</c:v>
                </c:pt>
                <c:pt idx="167">
                  <c:v>39295</c:v>
                </c:pt>
                <c:pt idx="168">
                  <c:v>39264</c:v>
                </c:pt>
                <c:pt idx="169">
                  <c:v>39234</c:v>
                </c:pt>
                <c:pt idx="170">
                  <c:v>39203</c:v>
                </c:pt>
                <c:pt idx="171">
                  <c:v>39173</c:v>
                </c:pt>
                <c:pt idx="172">
                  <c:v>39142</c:v>
                </c:pt>
                <c:pt idx="173">
                  <c:v>39114</c:v>
                </c:pt>
                <c:pt idx="174">
                  <c:v>39083</c:v>
                </c:pt>
                <c:pt idx="175">
                  <c:v>39052</c:v>
                </c:pt>
                <c:pt idx="176">
                  <c:v>39022</c:v>
                </c:pt>
                <c:pt idx="177">
                  <c:v>38991</c:v>
                </c:pt>
                <c:pt idx="178">
                  <c:v>38961</c:v>
                </c:pt>
                <c:pt idx="179">
                  <c:v>38930</c:v>
                </c:pt>
                <c:pt idx="180">
                  <c:v>38899</c:v>
                </c:pt>
                <c:pt idx="181">
                  <c:v>38869</c:v>
                </c:pt>
                <c:pt idx="182">
                  <c:v>38838</c:v>
                </c:pt>
                <c:pt idx="183">
                  <c:v>38808</c:v>
                </c:pt>
                <c:pt idx="184">
                  <c:v>38777</c:v>
                </c:pt>
                <c:pt idx="185">
                  <c:v>38749</c:v>
                </c:pt>
                <c:pt idx="186">
                  <c:v>38718</c:v>
                </c:pt>
                <c:pt idx="187">
                  <c:v>38687</c:v>
                </c:pt>
                <c:pt idx="188">
                  <c:v>38657</c:v>
                </c:pt>
                <c:pt idx="189">
                  <c:v>38626</c:v>
                </c:pt>
                <c:pt idx="190">
                  <c:v>38596</c:v>
                </c:pt>
                <c:pt idx="191">
                  <c:v>38565</c:v>
                </c:pt>
                <c:pt idx="192">
                  <c:v>38534</c:v>
                </c:pt>
                <c:pt idx="193">
                  <c:v>38504</c:v>
                </c:pt>
                <c:pt idx="194">
                  <c:v>38473</c:v>
                </c:pt>
                <c:pt idx="195">
                  <c:v>38443</c:v>
                </c:pt>
                <c:pt idx="196">
                  <c:v>38412</c:v>
                </c:pt>
                <c:pt idx="197">
                  <c:v>38384</c:v>
                </c:pt>
                <c:pt idx="198">
                  <c:v>38353</c:v>
                </c:pt>
                <c:pt idx="199">
                  <c:v>38322</c:v>
                </c:pt>
                <c:pt idx="200">
                  <c:v>38292</c:v>
                </c:pt>
                <c:pt idx="201">
                  <c:v>38261</c:v>
                </c:pt>
                <c:pt idx="202">
                  <c:v>38231</c:v>
                </c:pt>
                <c:pt idx="203">
                  <c:v>38200</c:v>
                </c:pt>
                <c:pt idx="204">
                  <c:v>38169</c:v>
                </c:pt>
                <c:pt idx="205">
                  <c:v>38139</c:v>
                </c:pt>
                <c:pt idx="206">
                  <c:v>38108</c:v>
                </c:pt>
                <c:pt idx="207">
                  <c:v>38078</c:v>
                </c:pt>
                <c:pt idx="208">
                  <c:v>38047</c:v>
                </c:pt>
                <c:pt idx="209">
                  <c:v>38018</c:v>
                </c:pt>
                <c:pt idx="210">
                  <c:v>37987</c:v>
                </c:pt>
                <c:pt idx="211">
                  <c:v>37956</c:v>
                </c:pt>
                <c:pt idx="212">
                  <c:v>37926</c:v>
                </c:pt>
                <c:pt idx="213">
                  <c:v>37895</c:v>
                </c:pt>
                <c:pt idx="214">
                  <c:v>37865</c:v>
                </c:pt>
                <c:pt idx="215">
                  <c:v>37834</c:v>
                </c:pt>
                <c:pt idx="216">
                  <c:v>37803</c:v>
                </c:pt>
                <c:pt idx="217">
                  <c:v>37773</c:v>
                </c:pt>
                <c:pt idx="218">
                  <c:v>37742</c:v>
                </c:pt>
                <c:pt idx="219">
                  <c:v>37712</c:v>
                </c:pt>
                <c:pt idx="220">
                  <c:v>37681</c:v>
                </c:pt>
                <c:pt idx="221">
                  <c:v>37653</c:v>
                </c:pt>
                <c:pt idx="222">
                  <c:v>37622</c:v>
                </c:pt>
                <c:pt idx="223">
                  <c:v>37591</c:v>
                </c:pt>
                <c:pt idx="224">
                  <c:v>37561</c:v>
                </c:pt>
                <c:pt idx="225">
                  <c:v>37530</c:v>
                </c:pt>
                <c:pt idx="226">
                  <c:v>37500</c:v>
                </c:pt>
                <c:pt idx="227">
                  <c:v>37469</c:v>
                </c:pt>
                <c:pt idx="228">
                  <c:v>37438</c:v>
                </c:pt>
                <c:pt idx="229">
                  <c:v>37408</c:v>
                </c:pt>
                <c:pt idx="230">
                  <c:v>37377</c:v>
                </c:pt>
                <c:pt idx="231">
                  <c:v>37347</c:v>
                </c:pt>
                <c:pt idx="232">
                  <c:v>37316</c:v>
                </c:pt>
                <c:pt idx="233">
                  <c:v>37288</c:v>
                </c:pt>
                <c:pt idx="234">
                  <c:v>37257</c:v>
                </c:pt>
                <c:pt idx="235">
                  <c:v>37226</c:v>
                </c:pt>
                <c:pt idx="236">
                  <c:v>37196</c:v>
                </c:pt>
                <c:pt idx="237">
                  <c:v>37165</c:v>
                </c:pt>
                <c:pt idx="238">
                  <c:v>37135</c:v>
                </c:pt>
                <c:pt idx="239">
                  <c:v>37104</c:v>
                </c:pt>
                <c:pt idx="240">
                  <c:v>37073</c:v>
                </c:pt>
                <c:pt idx="241">
                  <c:v>37043</c:v>
                </c:pt>
                <c:pt idx="242">
                  <c:v>37012</c:v>
                </c:pt>
                <c:pt idx="243">
                  <c:v>36982</c:v>
                </c:pt>
                <c:pt idx="244">
                  <c:v>36951</c:v>
                </c:pt>
                <c:pt idx="245">
                  <c:v>36923</c:v>
                </c:pt>
                <c:pt idx="246">
                  <c:v>36892</c:v>
                </c:pt>
                <c:pt idx="247">
                  <c:v>36861</c:v>
                </c:pt>
                <c:pt idx="248">
                  <c:v>36831</c:v>
                </c:pt>
                <c:pt idx="249">
                  <c:v>36800</c:v>
                </c:pt>
                <c:pt idx="250">
                  <c:v>36770</c:v>
                </c:pt>
                <c:pt idx="251">
                  <c:v>36739</c:v>
                </c:pt>
                <c:pt idx="252">
                  <c:v>36708</c:v>
                </c:pt>
                <c:pt idx="253">
                  <c:v>36678</c:v>
                </c:pt>
              </c:strCache>
            </c:strRef>
          </c:cat>
          <c:val>
            <c:numRef>
              <c:f>Load!$AC$12:$AC$268</c:f>
              <c:numCache>
                <c:ptCount val="257"/>
                <c:pt idx="0">
                  <c:v>0.4909502262443439</c:v>
                </c:pt>
                <c:pt idx="1">
                  <c:v>0.5068904352571973</c:v>
                </c:pt>
                <c:pt idx="2">
                  <c:v>0.821</c:v>
                </c:pt>
                <c:pt idx="3">
                  <c:v>0.5555640531882566</c:v>
                </c:pt>
                <c:pt idx="4">
                  <c:v>0.5336321436020953</c:v>
                </c:pt>
                <c:pt idx="5">
                  <c:v>0.48500233093910294</c:v>
                </c:pt>
                <c:pt idx="6">
                  <c:v>0.4832770461688368</c:v>
                </c:pt>
                <c:pt idx="7">
                  <c:v>0.5286433798628051</c:v>
                </c:pt>
                <c:pt idx="8">
                  <c:v>0.5193614257491662</c:v>
                </c:pt>
                <c:pt idx="9">
                  <c:v>0.5156207043177677</c:v>
                </c:pt>
                <c:pt idx="10">
                  <c:v>0.48176922193225385</c:v>
                </c:pt>
                <c:pt idx="11">
                  <c:v>0.5243338502428464</c:v>
                </c:pt>
                <c:pt idx="12">
                  <c:v>0.5523207601629182</c:v>
                </c:pt>
                <c:pt idx="13">
                  <c:v>0.574</c:v>
                </c:pt>
                <c:pt idx="14">
                  <c:v>0.49307886223754643</c:v>
                </c:pt>
                <c:pt idx="15">
                  <c:v>0.5170652210713252</c:v>
                </c:pt>
                <c:pt idx="16">
                  <c:v>0.489</c:v>
                </c:pt>
                <c:pt idx="17">
                  <c:v>0.507</c:v>
                </c:pt>
                <c:pt idx="18">
                  <c:v>0.5125836217111016</c:v>
                </c:pt>
                <c:pt idx="19">
                  <c:v>0.527</c:v>
                </c:pt>
                <c:pt idx="20">
                  <c:v>0.5377415759542029</c:v>
                </c:pt>
                <c:pt idx="21">
                  <c:v>0.5553187784560177</c:v>
                </c:pt>
                <c:pt idx="22">
                  <c:v>0.541601035798185</c:v>
                </c:pt>
                <c:pt idx="23">
                  <c:v>0.531</c:v>
                </c:pt>
                <c:pt idx="24">
                  <c:v>0.551</c:v>
                </c:pt>
                <c:pt idx="25">
                  <c:v>0.555</c:v>
                </c:pt>
                <c:pt idx="26">
                  <c:v>0.572</c:v>
                </c:pt>
                <c:pt idx="27">
                  <c:v>0.5500734032081354</c:v>
                </c:pt>
                <c:pt idx="28">
                  <c:v>0.543</c:v>
                </c:pt>
                <c:pt idx="29">
                  <c:v>0.5330058714749175</c:v>
                </c:pt>
                <c:pt idx="30">
                  <c:v>0.5310579597882117</c:v>
                </c:pt>
                <c:pt idx="31">
                  <c:v>0.535</c:v>
                </c:pt>
                <c:pt idx="32">
                  <c:v>0.5148638473331185</c:v>
                </c:pt>
                <c:pt idx="33">
                  <c:v>0.5198350538783757</c:v>
                </c:pt>
                <c:pt idx="34">
                  <c:v>0.5117911804618052</c:v>
                </c:pt>
                <c:pt idx="35">
                  <c:v>0.5137429959433254</c:v>
                </c:pt>
                <c:pt idx="36">
                  <c:v>0.5302394016928044</c:v>
                </c:pt>
                <c:pt idx="37">
                  <c:v>0.5330866675206967</c:v>
                </c:pt>
                <c:pt idx="38">
                  <c:v>0.5348027794850643</c:v>
                </c:pt>
                <c:pt idx="39">
                  <c:v>0.5415430267062314</c:v>
                </c:pt>
                <c:pt idx="40">
                  <c:v>0.5317128139085641</c:v>
                </c:pt>
                <c:pt idx="41">
                  <c:v>0.4794108330693696</c:v>
                </c:pt>
                <c:pt idx="42">
                  <c:v>0.47291079115333234</c:v>
                </c:pt>
                <c:pt idx="43">
                  <c:v>0.49205032235164725</c:v>
                </c:pt>
                <c:pt idx="44">
                  <c:v>0.45607703424562435</c:v>
                </c:pt>
                <c:pt idx="45">
                  <c:v>0.38461972488768065</c:v>
                </c:pt>
                <c:pt idx="46">
                  <c:v>0.5097292925729101</c:v>
                </c:pt>
                <c:pt idx="47">
                  <c:v>0.5162317628966953</c:v>
                </c:pt>
                <c:pt idx="48">
                  <c:v>0.5316062543118216</c:v>
                </c:pt>
                <c:pt idx="49">
                  <c:v>0.5373732142176391</c:v>
                </c:pt>
                <c:pt idx="50">
                  <c:v>0.5403675723617078</c:v>
                </c:pt>
                <c:pt idx="51">
                  <c:v>0.5349561710827074</c:v>
                </c:pt>
                <c:pt idx="52">
                  <c:v>0.5257436946696664</c:v>
                </c:pt>
                <c:pt idx="53">
                  <c:v>0.5125934971760037</c:v>
                </c:pt>
                <c:pt idx="54">
                  <c:v>0.5104540023894863</c:v>
                </c:pt>
                <c:pt idx="55">
                  <c:v>0.5062215477996964</c:v>
                </c:pt>
                <c:pt idx="56">
                  <c:v>0.5105735805330243</c:v>
                </c:pt>
                <c:pt idx="57">
                  <c:v>0.5013174317015671</c:v>
                </c:pt>
                <c:pt idx="58">
                  <c:v>0.49151529636711283</c:v>
                </c:pt>
                <c:pt idx="59">
                  <c:v>0.5212578616352201</c:v>
                </c:pt>
                <c:pt idx="60">
                  <c:v>0.53528340541771</c:v>
                </c:pt>
                <c:pt idx="61">
                  <c:v>0.5300276283263051</c:v>
                </c:pt>
                <c:pt idx="62">
                  <c:v>0.5069065583284968</c:v>
                </c:pt>
                <c:pt idx="63">
                  <c:v>0.4359124087591241</c:v>
                </c:pt>
                <c:pt idx="64">
                  <c:v>0.5024220405691796</c:v>
                </c:pt>
                <c:pt idx="65">
                  <c:v>0.4621897810218978</c:v>
                </c:pt>
                <c:pt idx="66">
                  <c:v>0.4749458483754513</c:v>
                </c:pt>
                <c:pt idx="67">
                  <c:v>0.468028543444802</c:v>
                </c:pt>
                <c:pt idx="68">
                  <c:v>0.47762832830085095</c:v>
                </c:pt>
                <c:pt idx="69">
                  <c:v>0.43584070861054186</c:v>
                </c:pt>
                <c:pt idx="70">
                  <c:v>0.4623829039812647</c:v>
                </c:pt>
                <c:pt idx="71">
                  <c:v>0.3797148797148797</c:v>
                </c:pt>
                <c:pt idx="72">
                  <c:v>0.22841357537490137</c:v>
                </c:pt>
                <c:pt idx="73">
                  <c:v>0.1775389738156501</c:v>
                </c:pt>
                <c:pt idx="74">
                  <c:v>0.16930260581412865</c:v>
                </c:pt>
                <c:pt idx="75">
                  <c:v>0.15796000620058903</c:v>
                </c:pt>
                <c:pt idx="76">
                  <c:v>0.1641410352588147</c:v>
                </c:pt>
                <c:pt idx="77">
                  <c:v>0.15875587234731897</c:v>
                </c:pt>
                <c:pt idx="78">
                  <c:v>0.15939222404290182</c:v>
                </c:pt>
                <c:pt idx="79">
                  <c:v>0.15823037066560383</c:v>
                </c:pt>
                <c:pt idx="80">
                  <c:v>0.1532960603302561</c:v>
                </c:pt>
                <c:pt idx="81">
                  <c:v>0.14822629566134773</c:v>
                </c:pt>
                <c:pt idx="82">
                  <c:v>0.153042233357194</c:v>
                </c:pt>
                <c:pt idx="83">
                  <c:v>0.2861344537815126</c:v>
                </c:pt>
                <c:pt idx="84">
                  <c:v>0.5080645161290323</c:v>
                </c:pt>
                <c:pt idx="85">
                  <c:v>0.415375</c:v>
                </c:pt>
                <c:pt idx="86">
                  <c:v>0.4789160440673673</c:v>
                </c:pt>
                <c:pt idx="87">
                  <c:v>0.4780494048380904</c:v>
                </c:pt>
                <c:pt idx="88">
                  <c:v>0.47901028634973586</c:v>
                </c:pt>
                <c:pt idx="89">
                  <c:v>0.4704384724186705</c:v>
                </c:pt>
                <c:pt idx="90">
                  <c:v>0.3385853167951726</c:v>
                </c:pt>
                <c:pt idx="91">
                  <c:v>0.45777233782129745</c:v>
                </c:pt>
                <c:pt idx="92">
                  <c:v>0.5340835317030945</c:v>
                </c:pt>
                <c:pt idx="93">
                  <c:v>0.44954245043213015</c:v>
                </c:pt>
                <c:pt idx="94">
                  <c:v>0.44496244496244497</c:v>
                </c:pt>
                <c:pt idx="95">
                  <c:v>0.46357334842269066</c:v>
                </c:pt>
                <c:pt idx="96">
                  <c:v>0.4685093509350935</c:v>
                </c:pt>
                <c:pt idx="97">
                  <c:v>0.46601682467619177</c:v>
                </c:pt>
                <c:pt idx="98">
                  <c:v>0.4515948517067711</c:v>
                </c:pt>
                <c:pt idx="99">
                  <c:v>0.47474619289340103</c:v>
                </c:pt>
                <c:pt idx="100">
                  <c:v>0.4545849002024877</c:v>
                </c:pt>
                <c:pt idx="101">
                  <c:v>0.46675066498670026</c:v>
                </c:pt>
                <c:pt idx="102">
                  <c:v>0.45891702586206895</c:v>
                </c:pt>
                <c:pt idx="103">
                  <c:v>0.45699305653960604</c:v>
                </c:pt>
                <c:pt idx="104">
                  <c:v>0.445237151539173</c:v>
                </c:pt>
                <c:pt idx="105">
                  <c:v>0.43995899013200046</c:v>
                </c:pt>
                <c:pt idx="106">
                  <c:v>0.4420955882352941</c:v>
                </c:pt>
                <c:pt idx="107">
                  <c:v>0.4475091942494149</c:v>
                </c:pt>
                <c:pt idx="108">
                  <c:v>0.44580534703015934</c:v>
                </c:pt>
                <c:pt idx="109">
                  <c:v>0.4612092766427388</c:v>
                </c:pt>
                <c:pt idx="110">
                  <c:v>0.45293818366827776</c:v>
                </c:pt>
                <c:pt idx="111">
                  <c:v>0.46180728906640045</c:v>
                </c:pt>
                <c:pt idx="112">
                  <c:v>0.4508621898219543</c:v>
                </c:pt>
                <c:pt idx="113">
                  <c:v>0.47542475728155337</c:v>
                </c:pt>
                <c:pt idx="114">
                  <c:v>0.444</c:v>
                </c:pt>
                <c:pt idx="115">
                  <c:v>0.42579694615590674</c:v>
                </c:pt>
                <c:pt idx="116">
                  <c:v>0.4218378663850013</c:v>
                </c:pt>
                <c:pt idx="117">
                  <c:v>0.4167373137943563</c:v>
                </c:pt>
                <c:pt idx="118">
                  <c:v>0.4213023991563406</c:v>
                </c:pt>
                <c:pt idx="119">
                  <c:v>0.4261785762528705</c:v>
                </c:pt>
                <c:pt idx="120">
                  <c:v>0.4385845060800656</c:v>
                </c:pt>
                <c:pt idx="121">
                  <c:v>0.4159715407262021</c:v>
                </c:pt>
                <c:pt idx="122">
                  <c:v>0.413823758195355</c:v>
                </c:pt>
                <c:pt idx="123">
                  <c:v>0.3736815024440442</c:v>
                </c:pt>
                <c:pt idx="124">
                  <c:v>0.38187399893219437</c:v>
                </c:pt>
                <c:pt idx="125">
                  <c:v>0.3795697505609081</c:v>
                </c:pt>
                <c:pt idx="126">
                  <c:v>0.39021447721179625</c:v>
                </c:pt>
                <c:pt idx="127">
                  <c:v>0.39172625127681304</c:v>
                </c:pt>
                <c:pt idx="128">
                  <c:v>0.4266170806215964</c:v>
                </c:pt>
                <c:pt idx="129">
                  <c:v>0.39733671528218134</c:v>
                </c:pt>
                <c:pt idx="130">
                  <c:v>0.4274099883855982</c:v>
                </c:pt>
                <c:pt idx="131">
                  <c:v>0.423665546845838</c:v>
                </c:pt>
                <c:pt idx="132">
                  <c:v>0.4032834635244274</c:v>
                </c:pt>
                <c:pt idx="133">
                  <c:v>0.37733617222616517</c:v>
                </c:pt>
                <c:pt idx="134">
                  <c:v>0.40774640026788705</c:v>
                </c:pt>
                <c:pt idx="135">
                  <c:v>0.4143917761279269</c:v>
                </c:pt>
                <c:pt idx="136">
                  <c:v>0.43045970288922686</c:v>
                </c:pt>
                <c:pt idx="137">
                  <c:v>0.41597106288258207</c:v>
                </c:pt>
                <c:pt idx="138">
                  <c:v>0.4197580109028055</c:v>
                </c:pt>
                <c:pt idx="139">
                  <c:v>0.41877900749732233</c:v>
                </c:pt>
                <c:pt idx="140">
                  <c:v>0.40902021772939345</c:v>
                </c:pt>
                <c:pt idx="141">
                  <c:v>0.407348045863642</c:v>
                </c:pt>
                <c:pt idx="142">
                  <c:v>0.3993109927967428</c:v>
                </c:pt>
                <c:pt idx="143">
                  <c:v>0.4090202177293935</c:v>
                </c:pt>
                <c:pt idx="144">
                  <c:v>0.40022491565662877</c:v>
                </c:pt>
                <c:pt idx="145">
                  <c:v>0.4017135862913097</c:v>
                </c:pt>
                <c:pt idx="146">
                  <c:v>0.39287689414887733</c:v>
                </c:pt>
                <c:pt idx="147">
                  <c:v>0.41157670454545453</c:v>
                </c:pt>
                <c:pt idx="148">
                  <c:v>0.39791026429010445</c:v>
                </c:pt>
                <c:pt idx="149">
                  <c:v>0.3974621367171511</c:v>
                </c:pt>
                <c:pt idx="150">
                  <c:v>0.3275862068965517</c:v>
                </c:pt>
                <c:pt idx="151">
                  <c:v>0.23935985155978196</c:v>
                </c:pt>
                <c:pt idx="152">
                  <c:v>0.24529027297193387</c:v>
                </c:pt>
                <c:pt idx="153">
                  <c:v>0.24232081911262798</c:v>
                </c:pt>
                <c:pt idx="154">
                  <c:v>0.24210526315789474</c:v>
                </c:pt>
                <c:pt idx="155">
                  <c:v>0.24382249117498742</c:v>
                </c:pt>
                <c:pt idx="156">
                  <c:v>0.2240315357150228</c:v>
                </c:pt>
                <c:pt idx="157">
                  <c:v>0.2413793103448276</c:v>
                </c:pt>
                <c:pt idx="158">
                  <c:v>0.250814332247557</c:v>
                </c:pt>
                <c:pt idx="159">
                  <c:v>0.26353790613718414</c:v>
                </c:pt>
                <c:pt idx="160">
                  <c:v>0.24764810577167554</c:v>
                </c:pt>
                <c:pt idx="161">
                  <c:v>0.23614840126922138</c:v>
                </c:pt>
                <c:pt idx="162">
                  <c:v>0.23591549295774647</c:v>
                </c:pt>
                <c:pt idx="163">
                  <c:v>0.2734375</c:v>
                </c:pt>
                <c:pt idx="164">
                  <c:v>0.23768877216021012</c:v>
                </c:pt>
                <c:pt idx="165">
                  <c:v>0.24295774647887325</c:v>
                </c:pt>
                <c:pt idx="166">
                  <c:v>0.23217874453245066</c:v>
                </c:pt>
                <c:pt idx="167">
                  <c:v>0.2284988892415106</c:v>
                </c:pt>
                <c:pt idx="168">
                  <c:v>0.21733595648651774</c:v>
                </c:pt>
                <c:pt idx="169">
                  <c:v>0.2296164326137078</c:v>
                </c:pt>
                <c:pt idx="170">
                  <c:v>0.23710685163613254</c:v>
                </c:pt>
                <c:pt idx="171">
                  <c:v>0.25894481503941785</c:v>
                </c:pt>
                <c:pt idx="172">
                  <c:v>0.24348837209302324</c:v>
                </c:pt>
                <c:pt idx="173">
                  <c:v>0.23958333333333334</c:v>
                </c:pt>
                <c:pt idx="174">
                  <c:v>0.24441215914170766</c:v>
                </c:pt>
                <c:pt idx="175">
                  <c:v>0.3052365640790078</c:v>
                </c:pt>
                <c:pt idx="176">
                  <c:v>0.33104799216454456</c:v>
                </c:pt>
                <c:pt idx="177">
                  <c:v>0.3549047963364666</c:v>
                </c:pt>
                <c:pt idx="178">
                  <c:v>0.31557734204793025</c:v>
                </c:pt>
                <c:pt idx="179">
                  <c:v>0.319677350880917</c:v>
                </c:pt>
                <c:pt idx="180">
                  <c:v>0.30677379756723583</c:v>
                </c:pt>
                <c:pt idx="181">
                  <c:v>0.32748600947051226</c:v>
                </c:pt>
                <c:pt idx="182">
                  <c:v>0.33033636555955154</c:v>
                </c:pt>
                <c:pt idx="183">
                  <c:v>0.3582443653618031</c:v>
                </c:pt>
                <c:pt idx="184">
                  <c:v>0.35787923416789397</c:v>
                </c:pt>
                <c:pt idx="185">
                  <c:v>0.346555883141249</c:v>
                </c:pt>
                <c:pt idx="186">
                  <c:v>0.4622018143129129</c:v>
                </c:pt>
                <c:pt idx="187">
                  <c:v>0.4620581493545663</c:v>
                </c:pt>
                <c:pt idx="188">
                  <c:v>0.4594305287946906</c:v>
                </c:pt>
                <c:pt idx="189">
                  <c:v>0.46385474230292095</c:v>
                </c:pt>
                <c:pt idx="190">
                  <c:v>0.45</c:v>
                </c:pt>
                <c:pt idx="191">
                  <c:v>0.45</c:v>
                </c:pt>
                <c:pt idx="192">
                  <c:v>0.47</c:v>
                </c:pt>
                <c:pt idx="193">
                  <c:v>0.49</c:v>
                </c:pt>
                <c:pt idx="194">
                  <c:v>0.5</c:v>
                </c:pt>
                <c:pt idx="195">
                  <c:v>0.54</c:v>
                </c:pt>
                <c:pt idx="196">
                  <c:v>0.66</c:v>
                </c:pt>
                <c:pt idx="197">
                  <c:v>0.62</c:v>
                </c:pt>
                <c:pt idx="198">
                  <c:v>0.65</c:v>
                </c:pt>
                <c:pt idx="199">
                  <c:v>0.65</c:v>
                </c:pt>
                <c:pt idx="200">
                  <c:v>0.64</c:v>
                </c:pt>
                <c:pt idx="201">
                  <c:v>0.65</c:v>
                </c:pt>
                <c:pt idx="202">
                  <c:v>0.61</c:v>
                </c:pt>
                <c:pt idx="203">
                  <c:v>0.61</c:v>
                </c:pt>
                <c:pt idx="204">
                  <c:v>0.6</c:v>
                </c:pt>
                <c:pt idx="205">
                  <c:v>0.64</c:v>
                </c:pt>
                <c:pt idx="206">
                  <c:v>0.64</c:v>
                </c:pt>
                <c:pt idx="207">
                  <c:v>0.63</c:v>
                </c:pt>
                <c:pt idx="208">
                  <c:v>0.64</c:v>
                </c:pt>
                <c:pt idx="209">
                  <c:v>0.63</c:v>
                </c:pt>
                <c:pt idx="210">
                  <c:v>0.77</c:v>
                </c:pt>
                <c:pt idx="211">
                  <c:v>0.73</c:v>
                </c:pt>
                <c:pt idx="212">
                  <c:v>0.73</c:v>
                </c:pt>
                <c:pt idx="213">
                  <c:v>0.75</c:v>
                </c:pt>
                <c:pt idx="214">
                  <c:v>0.73</c:v>
                </c:pt>
                <c:pt idx="215">
                  <c:v>0.6</c:v>
                </c:pt>
                <c:pt idx="216">
                  <c:v>0.43</c:v>
                </c:pt>
                <c:pt idx="217">
                  <c:v>0.54</c:v>
                </c:pt>
                <c:pt idx="218">
                  <c:v>0.58</c:v>
                </c:pt>
                <c:pt idx="219">
                  <c:v>0.68</c:v>
                </c:pt>
                <c:pt idx="220">
                  <c:v>0.67</c:v>
                </c:pt>
                <c:pt idx="221">
                  <c:v>0.65</c:v>
                </c:pt>
                <c:pt idx="222">
                  <c:v>0.63</c:v>
                </c:pt>
                <c:pt idx="224">
                  <c:v>0.63</c:v>
                </c:pt>
                <c:pt idx="225">
                  <c:v>0.65</c:v>
                </c:pt>
                <c:pt idx="226">
                  <c:v>0.65</c:v>
                </c:pt>
                <c:pt idx="227">
                  <c:v>0.64</c:v>
                </c:pt>
                <c:pt idx="228">
                  <c:v>0.59</c:v>
                </c:pt>
                <c:pt idx="229">
                  <c:v>0.65</c:v>
                </c:pt>
                <c:pt idx="230">
                  <c:v>0.69</c:v>
                </c:pt>
                <c:pt idx="231">
                  <c:v>0.65</c:v>
                </c:pt>
                <c:pt idx="232">
                  <c:v>0.65</c:v>
                </c:pt>
                <c:pt idx="233">
                  <c:v>0.65</c:v>
                </c:pt>
                <c:pt idx="234">
                  <c:v>0.65</c:v>
                </c:pt>
                <c:pt idx="235">
                  <c:v>0.63</c:v>
                </c:pt>
                <c:pt idx="236">
                  <c:v>0.56</c:v>
                </c:pt>
                <c:pt idx="237">
                  <c:v>0.56</c:v>
                </c:pt>
                <c:pt idx="238">
                  <c:v>0.4</c:v>
                </c:pt>
                <c:pt idx="239">
                  <c:v>0.37</c:v>
                </c:pt>
                <c:pt idx="240">
                  <c:v>0.28</c:v>
                </c:pt>
                <c:pt idx="241">
                  <c:v>0.54</c:v>
                </c:pt>
                <c:pt idx="242">
                  <c:v>0.52</c:v>
                </c:pt>
                <c:pt idx="243">
                  <c:v>0.58</c:v>
                </c:pt>
                <c:pt idx="244">
                  <c:v>0.63</c:v>
                </c:pt>
                <c:pt idx="245">
                  <c:v>0.63</c:v>
                </c:pt>
                <c:pt idx="246">
                  <c:v>0.63</c:v>
                </c:pt>
                <c:pt idx="247">
                  <c:v>0.64</c:v>
                </c:pt>
                <c:pt idx="248">
                  <c:v>0.65</c:v>
                </c:pt>
                <c:pt idx="249">
                  <c:v>0.64</c:v>
                </c:pt>
                <c:pt idx="250">
                  <c:v>0.64</c:v>
                </c:pt>
                <c:pt idx="251">
                  <c:v>0.76</c:v>
                </c:pt>
                <c:pt idx="252">
                  <c:v>0.67</c:v>
                </c:pt>
                <c:pt idx="254">
                  <c:v>0.43</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Load!$A$15:$A$268</c:f>
              <c:strCache>
                <c:ptCount val="254"/>
                <c:pt idx="0">
                  <c:v>44378</c:v>
                </c:pt>
                <c:pt idx="1">
                  <c:v>44348</c:v>
                </c:pt>
                <c:pt idx="2">
                  <c:v>44317</c:v>
                </c:pt>
                <c:pt idx="3">
                  <c:v>44287</c:v>
                </c:pt>
                <c:pt idx="4">
                  <c:v>44256</c:v>
                </c:pt>
                <c:pt idx="5">
                  <c:v>44228</c:v>
                </c:pt>
                <c:pt idx="6">
                  <c:v>44197</c:v>
                </c:pt>
                <c:pt idx="7">
                  <c:v>44196</c:v>
                </c:pt>
                <c:pt idx="8">
                  <c:v>44165</c:v>
                </c:pt>
                <c:pt idx="9">
                  <c:v>44135</c:v>
                </c:pt>
                <c:pt idx="10">
                  <c:v>44075</c:v>
                </c:pt>
                <c:pt idx="11">
                  <c:v>44044</c:v>
                </c:pt>
                <c:pt idx="12">
                  <c:v>44013</c:v>
                </c:pt>
                <c:pt idx="13">
                  <c:v>43983</c:v>
                </c:pt>
                <c:pt idx="14">
                  <c:v>43952</c:v>
                </c:pt>
                <c:pt idx="15">
                  <c:v>43922</c:v>
                </c:pt>
                <c:pt idx="16">
                  <c:v>43891</c:v>
                </c:pt>
                <c:pt idx="17">
                  <c:v>43862</c:v>
                </c:pt>
                <c:pt idx="18">
                  <c:v>43831</c:v>
                </c:pt>
                <c:pt idx="19">
                  <c:v>43800</c:v>
                </c:pt>
                <c:pt idx="20">
                  <c:v>43770</c:v>
                </c:pt>
                <c:pt idx="21">
                  <c:v>43739</c:v>
                </c:pt>
                <c:pt idx="22">
                  <c:v>43709</c:v>
                </c:pt>
                <c:pt idx="23">
                  <c:v>43678</c:v>
                </c:pt>
                <c:pt idx="24">
                  <c:v>43647</c:v>
                </c:pt>
                <c:pt idx="25">
                  <c:v>43617</c:v>
                </c:pt>
                <c:pt idx="26">
                  <c:v>43586</c:v>
                </c:pt>
                <c:pt idx="27">
                  <c:v>43556</c:v>
                </c:pt>
                <c:pt idx="28">
                  <c:v>43525</c:v>
                </c:pt>
                <c:pt idx="29">
                  <c:v>43497</c:v>
                </c:pt>
                <c:pt idx="30">
                  <c:v>43466</c:v>
                </c:pt>
                <c:pt idx="31">
                  <c:v>43435</c:v>
                </c:pt>
                <c:pt idx="32">
                  <c:v>43405</c:v>
                </c:pt>
                <c:pt idx="33">
                  <c:v>43404</c:v>
                </c:pt>
                <c:pt idx="34">
                  <c:v>43361</c:v>
                </c:pt>
                <c:pt idx="35">
                  <c:v>43330</c:v>
                </c:pt>
                <c:pt idx="36">
                  <c:v>43282</c:v>
                </c:pt>
                <c:pt idx="37">
                  <c:v>43252</c:v>
                </c:pt>
                <c:pt idx="38">
                  <c:v>43221</c:v>
                </c:pt>
                <c:pt idx="39">
                  <c:v>43191</c:v>
                </c:pt>
                <c:pt idx="40">
                  <c:v>43160</c:v>
                </c:pt>
                <c:pt idx="41">
                  <c:v>43149</c:v>
                </c:pt>
                <c:pt idx="42">
                  <c:v>43101</c:v>
                </c:pt>
                <c:pt idx="43">
                  <c:v>43070</c:v>
                </c:pt>
                <c:pt idx="44">
                  <c:v>43040</c:v>
                </c:pt>
                <c:pt idx="45">
                  <c:v>43009</c:v>
                </c:pt>
                <c:pt idx="46">
                  <c:v>42979</c:v>
                </c:pt>
                <c:pt idx="47">
                  <c:v>42948</c:v>
                </c:pt>
                <c:pt idx="48">
                  <c:v>42917</c:v>
                </c:pt>
                <c:pt idx="49">
                  <c:v>42887</c:v>
                </c:pt>
                <c:pt idx="50">
                  <c:v>42856</c:v>
                </c:pt>
                <c:pt idx="51">
                  <c:v>42826</c:v>
                </c:pt>
                <c:pt idx="52">
                  <c:v>42795</c:v>
                </c:pt>
                <c:pt idx="53">
                  <c:v>42767</c:v>
                </c:pt>
                <c:pt idx="54">
                  <c:v>42736</c:v>
                </c:pt>
                <c:pt idx="55">
                  <c:v>42705</c:v>
                </c:pt>
                <c:pt idx="56">
                  <c:v>42675</c:v>
                </c:pt>
                <c:pt idx="57">
                  <c:v>42644</c:v>
                </c:pt>
                <c:pt idx="58">
                  <c:v>42614</c:v>
                </c:pt>
                <c:pt idx="59">
                  <c:v>42583</c:v>
                </c:pt>
                <c:pt idx="60">
                  <c:v>42552</c:v>
                </c:pt>
                <c:pt idx="61">
                  <c:v>42522</c:v>
                </c:pt>
                <c:pt idx="62">
                  <c:v>42491</c:v>
                </c:pt>
                <c:pt idx="63">
                  <c:v>42461</c:v>
                </c:pt>
                <c:pt idx="64">
                  <c:v>42430</c:v>
                </c:pt>
                <c:pt idx="65">
                  <c:v>42401</c:v>
                </c:pt>
                <c:pt idx="66">
                  <c:v>42370</c:v>
                </c:pt>
                <c:pt idx="67">
                  <c:v>42339</c:v>
                </c:pt>
                <c:pt idx="68">
                  <c:v>42309</c:v>
                </c:pt>
                <c:pt idx="69">
                  <c:v>42278</c:v>
                </c:pt>
                <c:pt idx="70">
                  <c:v>42248</c:v>
                </c:pt>
                <c:pt idx="71">
                  <c:v>42217</c:v>
                </c:pt>
                <c:pt idx="72">
                  <c:v>42186</c:v>
                </c:pt>
                <c:pt idx="73">
                  <c:v>42156</c:v>
                </c:pt>
                <c:pt idx="74">
                  <c:v>42125</c:v>
                </c:pt>
                <c:pt idx="75">
                  <c:v>42095</c:v>
                </c:pt>
                <c:pt idx="76">
                  <c:v>42064</c:v>
                </c:pt>
                <c:pt idx="77">
                  <c:v>42036</c:v>
                </c:pt>
                <c:pt idx="78">
                  <c:v>42005</c:v>
                </c:pt>
                <c:pt idx="79">
                  <c:v>41974</c:v>
                </c:pt>
                <c:pt idx="80">
                  <c:v>41944</c:v>
                </c:pt>
                <c:pt idx="81">
                  <c:v>41926</c:v>
                </c:pt>
                <c:pt idx="82">
                  <c:v>41883</c:v>
                </c:pt>
                <c:pt idx="83">
                  <c:v>41852</c:v>
                </c:pt>
                <c:pt idx="84">
                  <c:v>41821</c:v>
                </c:pt>
                <c:pt idx="85">
                  <c:v>41791</c:v>
                </c:pt>
                <c:pt idx="86">
                  <c:v>41760</c:v>
                </c:pt>
                <c:pt idx="87">
                  <c:v>41730</c:v>
                </c:pt>
                <c:pt idx="88">
                  <c:v>41699</c:v>
                </c:pt>
                <c:pt idx="89">
                  <c:v>41671</c:v>
                </c:pt>
                <c:pt idx="90">
                  <c:v>41640</c:v>
                </c:pt>
                <c:pt idx="91">
                  <c:v>41609</c:v>
                </c:pt>
                <c:pt idx="92">
                  <c:v>41579</c:v>
                </c:pt>
                <c:pt idx="93">
                  <c:v>41548</c:v>
                </c:pt>
                <c:pt idx="94">
                  <c:v>41518</c:v>
                </c:pt>
                <c:pt idx="95">
                  <c:v>41487</c:v>
                </c:pt>
                <c:pt idx="96">
                  <c:v>41456</c:v>
                </c:pt>
                <c:pt idx="97">
                  <c:v>41426</c:v>
                </c:pt>
                <c:pt idx="98">
                  <c:v>41395</c:v>
                </c:pt>
                <c:pt idx="99">
                  <c:v>41365</c:v>
                </c:pt>
                <c:pt idx="100">
                  <c:v>41334</c:v>
                </c:pt>
                <c:pt idx="101">
                  <c:v>41306</c:v>
                </c:pt>
                <c:pt idx="102">
                  <c:v>41275</c:v>
                </c:pt>
                <c:pt idx="103">
                  <c:v>41244</c:v>
                </c:pt>
                <c:pt idx="104">
                  <c:v>41214</c:v>
                </c:pt>
                <c:pt idx="105">
                  <c:v>41183</c:v>
                </c:pt>
                <c:pt idx="106">
                  <c:v>41153</c:v>
                </c:pt>
                <c:pt idx="107">
                  <c:v>41122</c:v>
                </c:pt>
                <c:pt idx="108">
                  <c:v>41091</c:v>
                </c:pt>
                <c:pt idx="109">
                  <c:v>41061</c:v>
                </c:pt>
                <c:pt idx="110">
                  <c:v>41030</c:v>
                </c:pt>
                <c:pt idx="111">
                  <c:v>41000</c:v>
                </c:pt>
                <c:pt idx="112">
                  <c:v>40969</c:v>
                </c:pt>
                <c:pt idx="113">
                  <c:v>40940</c:v>
                </c:pt>
                <c:pt idx="114">
                  <c:v>40909</c:v>
                </c:pt>
                <c:pt idx="115">
                  <c:v>40878</c:v>
                </c:pt>
                <c:pt idx="116">
                  <c:v>40848</c:v>
                </c:pt>
                <c:pt idx="117">
                  <c:v>40817</c:v>
                </c:pt>
                <c:pt idx="118">
                  <c:v>40797</c:v>
                </c:pt>
                <c:pt idx="119">
                  <c:v>40756</c:v>
                </c:pt>
                <c:pt idx="120">
                  <c:v>40725</c:v>
                </c:pt>
                <c:pt idx="121">
                  <c:v>40695</c:v>
                </c:pt>
                <c:pt idx="122">
                  <c:v>40664</c:v>
                </c:pt>
                <c:pt idx="123">
                  <c:v>40634</c:v>
                </c:pt>
                <c:pt idx="124">
                  <c:v>40603</c:v>
                </c:pt>
                <c:pt idx="125">
                  <c:v>40575</c:v>
                </c:pt>
                <c:pt idx="126">
                  <c:v>40544</c:v>
                </c:pt>
                <c:pt idx="127">
                  <c:v>40513</c:v>
                </c:pt>
                <c:pt idx="128">
                  <c:v>40483</c:v>
                </c:pt>
                <c:pt idx="129">
                  <c:v>40452</c:v>
                </c:pt>
                <c:pt idx="130">
                  <c:v>40422</c:v>
                </c:pt>
                <c:pt idx="131">
                  <c:v>40391</c:v>
                </c:pt>
                <c:pt idx="132">
                  <c:v>40360</c:v>
                </c:pt>
                <c:pt idx="133">
                  <c:v>40330</c:v>
                </c:pt>
                <c:pt idx="134">
                  <c:v>40299</c:v>
                </c:pt>
                <c:pt idx="135">
                  <c:v>40269</c:v>
                </c:pt>
                <c:pt idx="136">
                  <c:v>40238</c:v>
                </c:pt>
                <c:pt idx="137">
                  <c:v>40210</c:v>
                </c:pt>
                <c:pt idx="138">
                  <c:v>40179</c:v>
                </c:pt>
                <c:pt idx="139">
                  <c:v>40148</c:v>
                </c:pt>
                <c:pt idx="140">
                  <c:v>40118</c:v>
                </c:pt>
                <c:pt idx="141">
                  <c:v>40087</c:v>
                </c:pt>
                <c:pt idx="142">
                  <c:v>40057</c:v>
                </c:pt>
                <c:pt idx="143">
                  <c:v>40026</c:v>
                </c:pt>
                <c:pt idx="144">
                  <c:v>39995</c:v>
                </c:pt>
                <c:pt idx="145">
                  <c:v>39965</c:v>
                </c:pt>
                <c:pt idx="146">
                  <c:v>39934</c:v>
                </c:pt>
                <c:pt idx="147">
                  <c:v>39904</c:v>
                </c:pt>
                <c:pt idx="148">
                  <c:v>39873</c:v>
                </c:pt>
                <c:pt idx="149">
                  <c:v>39845</c:v>
                </c:pt>
                <c:pt idx="150">
                  <c:v>39814</c:v>
                </c:pt>
                <c:pt idx="151">
                  <c:v>39783</c:v>
                </c:pt>
                <c:pt idx="152">
                  <c:v>39753</c:v>
                </c:pt>
                <c:pt idx="153">
                  <c:v>39722</c:v>
                </c:pt>
                <c:pt idx="154">
                  <c:v>39692</c:v>
                </c:pt>
                <c:pt idx="155">
                  <c:v>39661</c:v>
                </c:pt>
                <c:pt idx="156">
                  <c:v>39630</c:v>
                </c:pt>
                <c:pt idx="157">
                  <c:v>39600</c:v>
                </c:pt>
                <c:pt idx="158">
                  <c:v>39569</c:v>
                </c:pt>
                <c:pt idx="159">
                  <c:v>39539</c:v>
                </c:pt>
                <c:pt idx="160">
                  <c:v>39508</c:v>
                </c:pt>
                <c:pt idx="161">
                  <c:v>39479</c:v>
                </c:pt>
                <c:pt idx="162">
                  <c:v>39448</c:v>
                </c:pt>
                <c:pt idx="163">
                  <c:v>39417</c:v>
                </c:pt>
                <c:pt idx="164">
                  <c:v>39387</c:v>
                </c:pt>
                <c:pt idx="165">
                  <c:v>39356</c:v>
                </c:pt>
                <c:pt idx="166">
                  <c:v>39326</c:v>
                </c:pt>
                <c:pt idx="167">
                  <c:v>39295</c:v>
                </c:pt>
                <c:pt idx="168">
                  <c:v>39264</c:v>
                </c:pt>
                <c:pt idx="169">
                  <c:v>39234</c:v>
                </c:pt>
                <c:pt idx="170">
                  <c:v>39203</c:v>
                </c:pt>
                <c:pt idx="171">
                  <c:v>39173</c:v>
                </c:pt>
                <c:pt idx="172">
                  <c:v>39142</c:v>
                </c:pt>
                <c:pt idx="173">
                  <c:v>39114</c:v>
                </c:pt>
                <c:pt idx="174">
                  <c:v>39083</c:v>
                </c:pt>
                <c:pt idx="175">
                  <c:v>39052</c:v>
                </c:pt>
                <c:pt idx="176">
                  <c:v>39022</c:v>
                </c:pt>
                <c:pt idx="177">
                  <c:v>38991</c:v>
                </c:pt>
                <c:pt idx="178">
                  <c:v>38961</c:v>
                </c:pt>
                <c:pt idx="179">
                  <c:v>38930</c:v>
                </c:pt>
                <c:pt idx="180">
                  <c:v>38899</c:v>
                </c:pt>
                <c:pt idx="181">
                  <c:v>38869</c:v>
                </c:pt>
                <c:pt idx="182">
                  <c:v>38838</c:v>
                </c:pt>
                <c:pt idx="183">
                  <c:v>38808</c:v>
                </c:pt>
                <c:pt idx="184">
                  <c:v>38777</c:v>
                </c:pt>
                <c:pt idx="185">
                  <c:v>38749</c:v>
                </c:pt>
                <c:pt idx="186">
                  <c:v>38718</c:v>
                </c:pt>
                <c:pt idx="187">
                  <c:v>38687</c:v>
                </c:pt>
                <c:pt idx="188">
                  <c:v>38657</c:v>
                </c:pt>
                <c:pt idx="189">
                  <c:v>38626</c:v>
                </c:pt>
                <c:pt idx="190">
                  <c:v>38596</c:v>
                </c:pt>
                <c:pt idx="191">
                  <c:v>38565</c:v>
                </c:pt>
                <c:pt idx="192">
                  <c:v>38534</c:v>
                </c:pt>
                <c:pt idx="193">
                  <c:v>38504</c:v>
                </c:pt>
                <c:pt idx="194">
                  <c:v>38473</c:v>
                </c:pt>
                <c:pt idx="195">
                  <c:v>38443</c:v>
                </c:pt>
                <c:pt idx="196">
                  <c:v>38412</c:v>
                </c:pt>
                <c:pt idx="197">
                  <c:v>38384</c:v>
                </c:pt>
                <c:pt idx="198">
                  <c:v>38353</c:v>
                </c:pt>
                <c:pt idx="199">
                  <c:v>38322</c:v>
                </c:pt>
                <c:pt idx="200">
                  <c:v>38292</c:v>
                </c:pt>
                <c:pt idx="201">
                  <c:v>38261</c:v>
                </c:pt>
                <c:pt idx="202">
                  <c:v>38231</c:v>
                </c:pt>
                <c:pt idx="203">
                  <c:v>38200</c:v>
                </c:pt>
                <c:pt idx="204">
                  <c:v>38169</c:v>
                </c:pt>
                <c:pt idx="205">
                  <c:v>38139</c:v>
                </c:pt>
                <c:pt idx="206">
                  <c:v>38108</c:v>
                </c:pt>
                <c:pt idx="207">
                  <c:v>38078</c:v>
                </c:pt>
                <c:pt idx="208">
                  <c:v>38047</c:v>
                </c:pt>
                <c:pt idx="209">
                  <c:v>38018</c:v>
                </c:pt>
                <c:pt idx="210">
                  <c:v>37987</c:v>
                </c:pt>
                <c:pt idx="211">
                  <c:v>37956</c:v>
                </c:pt>
                <c:pt idx="212">
                  <c:v>37926</c:v>
                </c:pt>
                <c:pt idx="213">
                  <c:v>37895</c:v>
                </c:pt>
                <c:pt idx="214">
                  <c:v>37865</c:v>
                </c:pt>
                <c:pt idx="215">
                  <c:v>37834</c:v>
                </c:pt>
                <c:pt idx="216">
                  <c:v>37803</c:v>
                </c:pt>
                <c:pt idx="217">
                  <c:v>37773</c:v>
                </c:pt>
                <c:pt idx="218">
                  <c:v>37742</c:v>
                </c:pt>
                <c:pt idx="219">
                  <c:v>37712</c:v>
                </c:pt>
                <c:pt idx="220">
                  <c:v>37681</c:v>
                </c:pt>
                <c:pt idx="221">
                  <c:v>37653</c:v>
                </c:pt>
                <c:pt idx="222">
                  <c:v>37622</c:v>
                </c:pt>
                <c:pt idx="223">
                  <c:v>37591</c:v>
                </c:pt>
                <c:pt idx="224">
                  <c:v>37561</c:v>
                </c:pt>
                <c:pt idx="225">
                  <c:v>37530</c:v>
                </c:pt>
                <c:pt idx="226">
                  <c:v>37500</c:v>
                </c:pt>
                <c:pt idx="227">
                  <c:v>37469</c:v>
                </c:pt>
                <c:pt idx="228">
                  <c:v>37438</c:v>
                </c:pt>
                <c:pt idx="229">
                  <c:v>37408</c:v>
                </c:pt>
                <c:pt idx="230">
                  <c:v>37377</c:v>
                </c:pt>
                <c:pt idx="231">
                  <c:v>37347</c:v>
                </c:pt>
                <c:pt idx="232">
                  <c:v>37316</c:v>
                </c:pt>
                <c:pt idx="233">
                  <c:v>37288</c:v>
                </c:pt>
                <c:pt idx="234">
                  <c:v>37257</c:v>
                </c:pt>
                <c:pt idx="235">
                  <c:v>37226</c:v>
                </c:pt>
                <c:pt idx="236">
                  <c:v>37196</c:v>
                </c:pt>
                <c:pt idx="237">
                  <c:v>37165</c:v>
                </c:pt>
                <c:pt idx="238">
                  <c:v>37135</c:v>
                </c:pt>
                <c:pt idx="239">
                  <c:v>37104</c:v>
                </c:pt>
                <c:pt idx="240">
                  <c:v>37073</c:v>
                </c:pt>
                <c:pt idx="241">
                  <c:v>37043</c:v>
                </c:pt>
                <c:pt idx="242">
                  <c:v>37012</c:v>
                </c:pt>
                <c:pt idx="243">
                  <c:v>36982</c:v>
                </c:pt>
                <c:pt idx="244">
                  <c:v>36951</c:v>
                </c:pt>
                <c:pt idx="245">
                  <c:v>36923</c:v>
                </c:pt>
                <c:pt idx="246">
                  <c:v>36892</c:v>
                </c:pt>
                <c:pt idx="247">
                  <c:v>36861</c:v>
                </c:pt>
                <c:pt idx="248">
                  <c:v>36831</c:v>
                </c:pt>
                <c:pt idx="249">
                  <c:v>36800</c:v>
                </c:pt>
                <c:pt idx="250">
                  <c:v>36770</c:v>
                </c:pt>
                <c:pt idx="251">
                  <c:v>36739</c:v>
                </c:pt>
                <c:pt idx="252">
                  <c:v>36708</c:v>
                </c:pt>
                <c:pt idx="253">
                  <c:v>36678</c:v>
                </c:pt>
              </c:strCache>
            </c:strRef>
          </c:cat>
          <c:val>
            <c:numRef>
              <c:f>Load!$AF$12:$AF$268</c:f>
              <c:numCache>
                <c:ptCount val="257"/>
                <c:pt idx="0">
                  <c:v>0.9276125743415463</c:v>
                </c:pt>
                <c:pt idx="1">
                  <c:v>0.9913544668587896</c:v>
                </c:pt>
                <c:pt idx="2">
                  <c:v>0.995</c:v>
                </c:pt>
                <c:pt idx="3">
                  <c:v>0.9209702653074157</c:v>
                </c:pt>
                <c:pt idx="4">
                  <c:v>0.9907857596781284</c:v>
                </c:pt>
                <c:pt idx="5">
                  <c:v>0.9960797036183338</c:v>
                </c:pt>
                <c:pt idx="6">
                  <c:v>0.9945002314658106</c:v>
                </c:pt>
                <c:pt idx="7">
                  <c:v>0.9820419318641995</c:v>
                </c:pt>
                <c:pt idx="8">
                  <c:v>0.9887856974410425</c:v>
                </c:pt>
                <c:pt idx="9">
                  <c:v>0.937054466825303</c:v>
                </c:pt>
                <c:pt idx="10">
                  <c:v>0.9284634465887177</c:v>
                </c:pt>
                <c:pt idx="11">
                  <c:v>0.9372669068886176</c:v>
                </c:pt>
                <c:pt idx="12">
                  <c:v>0.9458431272785077</c:v>
                </c:pt>
                <c:pt idx="13">
                  <c:v>0.884</c:v>
                </c:pt>
                <c:pt idx="14">
                  <c:v>0.9976390143176016</c:v>
                </c:pt>
                <c:pt idx="15">
                  <c:v>0.9977230690778824</c:v>
                </c:pt>
                <c:pt idx="16">
                  <c:v>0.989</c:v>
                </c:pt>
                <c:pt idx="17">
                  <c:v>0.999</c:v>
                </c:pt>
                <c:pt idx="18">
                  <c:v>0.9969710379988396</c:v>
                </c:pt>
                <c:pt idx="19">
                  <c:v>0.993</c:v>
                </c:pt>
                <c:pt idx="20">
                  <c:v>0.9893796977950139</c:v>
                </c:pt>
                <c:pt idx="21">
                  <c:v>0.9936558542271607</c:v>
                </c:pt>
                <c:pt idx="22">
                  <c:v>0.990493153118779</c:v>
                </c:pt>
                <c:pt idx="23">
                  <c:v>0.995</c:v>
                </c:pt>
                <c:pt idx="24">
                  <c:v>0.997</c:v>
                </c:pt>
                <c:pt idx="25">
                  <c:v>0.988</c:v>
                </c:pt>
                <c:pt idx="26">
                  <c:v>0.989</c:v>
                </c:pt>
                <c:pt idx="27">
                  <c:v>0.9892004990212674</c:v>
                </c:pt>
                <c:pt idx="28">
                  <c:v>0.988</c:v>
                </c:pt>
                <c:pt idx="29">
                  <c:v>0.98705733778162</c:v>
                </c:pt>
                <c:pt idx="30">
                  <c:v>0.9854929720725865</c:v>
                </c:pt>
                <c:pt idx="31">
                  <c:v>0.984</c:v>
                </c:pt>
                <c:pt idx="32">
                  <c:v>0.9822951953282926</c:v>
                </c:pt>
                <c:pt idx="33">
                  <c:v>0.9813327957813258</c:v>
                </c:pt>
                <c:pt idx="34">
                  <c:v>0.9845770900031693</c:v>
                </c:pt>
                <c:pt idx="35">
                  <c:v>0.9865273417187841</c:v>
                </c:pt>
                <c:pt idx="36">
                  <c:v>0.9741823701233023</c:v>
                </c:pt>
                <c:pt idx="37">
                  <c:v>0.9889486022639195</c:v>
                </c:pt>
                <c:pt idx="38">
                  <c:v>0.9878484208966242</c:v>
                </c:pt>
                <c:pt idx="39">
                  <c:v>0.9892161829630166</c:v>
                </c:pt>
                <c:pt idx="40">
                  <c:v>0.9884612406102377</c:v>
                </c:pt>
                <c:pt idx="41">
                  <c:v>0.9887623270392173</c:v>
                </c:pt>
                <c:pt idx="42">
                  <c:v>0.9906440887651743</c:v>
                </c:pt>
                <c:pt idx="43">
                  <c:v>0.9910056065969445</c:v>
                </c:pt>
                <c:pt idx="44">
                  <c:v>0.9917582664214523</c:v>
                </c:pt>
                <c:pt idx="45">
                  <c:v>0.9917293977124777</c:v>
                </c:pt>
                <c:pt idx="46">
                  <c:v>0.9999172729972271</c:v>
                </c:pt>
                <c:pt idx="47">
                  <c:v>1</c:v>
                </c:pt>
                <c:pt idx="48">
                  <c:v>0.9998570996808321</c:v>
                </c:pt>
                <c:pt idx="49">
                  <c:v>0.9989981782706704</c:v>
                </c:pt>
                <c:pt idx="50">
                  <c:v>0.9973226421476217</c:v>
                </c:pt>
                <c:pt idx="51">
                  <c:v>1</c:v>
                </c:pt>
                <c:pt idx="52">
                  <c:v>0.9972749793371524</c:v>
                </c:pt>
                <c:pt idx="53">
                  <c:v>1</c:v>
                </c:pt>
                <c:pt idx="54">
                  <c:v>0.9982760036121828</c:v>
                </c:pt>
                <c:pt idx="55">
                  <c:v>0.9999251665045275</c:v>
                </c:pt>
                <c:pt idx="56">
                  <c:v>0.9999179924553059</c:v>
                </c:pt>
                <c:pt idx="57">
                  <c:v>1</c:v>
                </c:pt>
                <c:pt idx="58">
                  <c:v>1</c:v>
                </c:pt>
                <c:pt idx="59">
                  <c:v>0.9949043521844457</c:v>
                </c:pt>
                <c:pt idx="60">
                  <c:v>0.9909374535730203</c:v>
                </c:pt>
                <c:pt idx="61">
                  <c:v>0.9889164598842018</c:v>
                </c:pt>
                <c:pt idx="62">
                  <c:v>0.9994926862264311</c:v>
                </c:pt>
                <c:pt idx="63">
                  <c:v>0.9662845583277142</c:v>
                </c:pt>
                <c:pt idx="64">
                  <c:v>0.971743295019157</c:v>
                </c:pt>
                <c:pt idx="65">
                  <c:v>0.9624918988982502</c:v>
                </c:pt>
                <c:pt idx="66">
                  <c:v>0.9664575491426182</c:v>
                </c:pt>
                <c:pt idx="67">
                  <c:v>0.9646484223583223</c:v>
                </c:pt>
                <c:pt idx="68">
                  <c:v>0.965048993133246</c:v>
                </c:pt>
                <c:pt idx="69">
                  <c:v>0.9662430656050216</c:v>
                </c:pt>
                <c:pt idx="70">
                  <c:v>0.9100705481045042</c:v>
                </c:pt>
                <c:pt idx="71">
                  <c:v>0.9676037483266399</c:v>
                </c:pt>
                <c:pt idx="72">
                  <c:v>0.9427477669076989</c:v>
                </c:pt>
                <c:pt idx="73">
                  <c:v>0.9644421540839989</c:v>
                </c:pt>
                <c:pt idx="74">
                  <c:v>0.9356609574000879</c:v>
                </c:pt>
                <c:pt idx="75">
                  <c:v>0.9406114266622119</c:v>
                </c:pt>
                <c:pt idx="76">
                  <c:v>0.9314716981132074</c:v>
                </c:pt>
                <c:pt idx="77">
                  <c:v>0.9180078683834049</c:v>
                </c:pt>
                <c:pt idx="78">
                  <c:v>0.9250639597260049</c:v>
                </c:pt>
                <c:pt idx="79">
                  <c:v>0.9734097603693974</c:v>
                </c:pt>
                <c:pt idx="80">
                  <c:v>0.9600250963520659</c:v>
                </c:pt>
                <c:pt idx="81">
                  <c:v>0.9566346403531549</c:v>
                </c:pt>
                <c:pt idx="82">
                  <c:v>0.9527688787185353</c:v>
                </c:pt>
                <c:pt idx="83">
                  <c:v>0.9532802291237806</c:v>
                </c:pt>
                <c:pt idx="84">
                  <c:v>0.9402597402597402</c:v>
                </c:pt>
                <c:pt idx="85">
                  <c:v>0.9478353442157558</c:v>
                </c:pt>
                <c:pt idx="86">
                  <c:v>0.9544277576385292</c:v>
                </c:pt>
                <c:pt idx="87">
                  <c:v>0.9676355206847361</c:v>
                </c:pt>
                <c:pt idx="88">
                  <c:v>0.9583895030106947</c:v>
                </c:pt>
                <c:pt idx="89">
                  <c:v>0.9563343328335833</c:v>
                </c:pt>
                <c:pt idx="90">
                  <c:v>0.955710102489019</c:v>
                </c:pt>
                <c:pt idx="91">
                  <c:v>0.9535622317596567</c:v>
                </c:pt>
                <c:pt idx="92">
                  <c:v>0.9469589145080178</c:v>
                </c:pt>
                <c:pt idx="93">
                  <c:v>0.949311197456729</c:v>
                </c:pt>
                <c:pt idx="94">
                  <c:v>0.9523551215984088</c:v>
                </c:pt>
                <c:pt idx="95">
                  <c:v>0.9553839983958292</c:v>
                </c:pt>
                <c:pt idx="96">
                  <c:v>0.9518479033404407</c:v>
                </c:pt>
                <c:pt idx="97">
                  <c:v>0.9437168524732115</c:v>
                </c:pt>
                <c:pt idx="98">
                  <c:v>0.9465505944023214</c:v>
                </c:pt>
                <c:pt idx="99">
                  <c:v>0.9552712912087912</c:v>
                </c:pt>
                <c:pt idx="100">
                  <c:v>0.9814777121921431</c:v>
                </c:pt>
                <c:pt idx="101">
                  <c:v>0.9422883754908228</c:v>
                </c:pt>
                <c:pt idx="102">
                  <c:v>0.9477327795084804</c:v>
                </c:pt>
                <c:pt idx="103">
                  <c:v>0.9175211769950959</c:v>
                </c:pt>
                <c:pt idx="104">
                  <c:v>0.9470326696307753</c:v>
                </c:pt>
                <c:pt idx="105">
                  <c:v>0.9468199784405318</c:v>
                </c:pt>
                <c:pt idx="106">
                  <c:v>0.9524990083300277</c:v>
                </c:pt>
                <c:pt idx="107">
                  <c:v>0.9517409249656048</c:v>
                </c:pt>
                <c:pt idx="108">
                  <c:v>0.9606355228835666</c:v>
                </c:pt>
                <c:pt idx="109">
                  <c:v>0.9567907600288749</c:v>
                </c:pt>
                <c:pt idx="110">
                  <c:v>0.943630214205186</c:v>
                </c:pt>
                <c:pt idx="111">
                  <c:v>0.9676832043695948</c:v>
                </c:pt>
                <c:pt idx="112">
                  <c:v>0.9532445451969397</c:v>
                </c:pt>
                <c:pt idx="113">
                  <c:v>0.9405874499332443</c:v>
                </c:pt>
                <c:pt idx="114">
                  <c:v>0.9539216577297102</c:v>
                </c:pt>
                <c:pt idx="115">
                  <c:v>0.9545330792267902</c:v>
                </c:pt>
                <c:pt idx="116">
                  <c:v>0.7135362997658079</c:v>
                </c:pt>
                <c:pt idx="117">
                  <c:v>0.7316485086622612</c:v>
                </c:pt>
                <c:pt idx="118">
                  <c:v>0.7191288267926854</c:v>
                </c:pt>
                <c:pt idx="119">
                  <c:v>0.7501329645782363</c:v>
                </c:pt>
                <c:pt idx="120">
                  <c:v>0.7651961228372135</c:v>
                </c:pt>
                <c:pt idx="121">
                  <c:v>0.6258809710258417</c:v>
                </c:pt>
                <c:pt idx="122">
                  <c:v>0.6695061020558605</c:v>
                </c:pt>
                <c:pt idx="123">
                  <c:v>0.6746396155899625</c:v>
                </c:pt>
                <c:pt idx="124">
                  <c:v>0.691816330309202</c:v>
                </c:pt>
                <c:pt idx="125">
                  <c:v>0.700243987452074</c:v>
                </c:pt>
                <c:pt idx="126">
                  <c:v>0.6557869249394673</c:v>
                </c:pt>
                <c:pt idx="127">
                  <c:v>0.6444034637588197</c:v>
                </c:pt>
                <c:pt idx="128">
                  <c:v>0.6198507050041471</c:v>
                </c:pt>
                <c:pt idx="129">
                  <c:v>0.6204136690647483</c:v>
                </c:pt>
                <c:pt idx="130">
                  <c:v>0.6108649585821615</c:v>
                </c:pt>
                <c:pt idx="131">
                  <c:v>0.668642951251647</c:v>
                </c:pt>
                <c:pt idx="132">
                  <c:v>0.6573556797020484</c:v>
                </c:pt>
                <c:pt idx="133">
                  <c:v>0.5996595897160262</c:v>
                </c:pt>
                <c:pt idx="134">
                  <c:v>0.6189247669773635</c:v>
                </c:pt>
                <c:pt idx="135">
                  <c:v>0.634976976208749</c:v>
                </c:pt>
                <c:pt idx="136">
                  <c:v>0.6166789789050315</c:v>
                </c:pt>
                <c:pt idx="137">
                  <c:v>0.6345988333173951</c:v>
                </c:pt>
                <c:pt idx="138">
                  <c:v>0.6282290279627164</c:v>
                </c:pt>
                <c:pt idx="139">
                  <c:v>0.6162829219811164</c:v>
                </c:pt>
                <c:pt idx="140">
                  <c:v>0.591471939285001</c:v>
                </c:pt>
                <c:pt idx="141">
                  <c:v>0.5989578212565136</c:v>
                </c:pt>
                <c:pt idx="142">
                  <c:v>0.5782191916197252</c:v>
                </c:pt>
                <c:pt idx="143">
                  <c:v>0.591471939285001</c:v>
                </c:pt>
                <c:pt idx="144">
                  <c:v>0.5424882219507939</c:v>
                </c:pt>
                <c:pt idx="145">
                  <c:v>0.6219711090400746</c:v>
                </c:pt>
                <c:pt idx="146">
                  <c:v>0.6525509175236943</c:v>
                </c:pt>
                <c:pt idx="147">
                  <c:v>0.8056444573756182</c:v>
                </c:pt>
                <c:pt idx="148">
                  <c:v>0.7469496907905733</c:v>
                </c:pt>
                <c:pt idx="149">
                  <c:v>0.7225857624429902</c:v>
                </c:pt>
                <c:pt idx="150">
                  <c:v>0.7175511026079952</c:v>
                </c:pt>
                <c:pt idx="151">
                  <c:v>0.8664783794312426</c:v>
                </c:pt>
                <c:pt idx="152">
                  <c:v>0.8954484860026662</c:v>
                </c:pt>
                <c:pt idx="153">
                  <c:v>0.6942857142857143</c:v>
                </c:pt>
                <c:pt idx="154">
                  <c:v>0.7182320441988951</c:v>
                </c:pt>
                <c:pt idx="155">
                  <c:v>0.7964239336729597</c:v>
                </c:pt>
                <c:pt idx="156">
                  <c:v>0.6896469843280039</c:v>
                </c:pt>
                <c:pt idx="157">
                  <c:v>0.7139364303178484</c:v>
                </c:pt>
                <c:pt idx="158">
                  <c:v>0.714987714987715</c:v>
                </c:pt>
                <c:pt idx="159">
                  <c:v>0.7117516629711752</c:v>
                </c:pt>
                <c:pt idx="160">
                  <c:v>0.6960134284515316</c:v>
                </c:pt>
                <c:pt idx="161">
                  <c:v>0.6926939492844588</c:v>
                </c:pt>
                <c:pt idx="162">
                  <c:v>0.6942355889724311</c:v>
                </c:pt>
                <c:pt idx="163">
                  <c:v>0.6880952380952381</c:v>
                </c:pt>
                <c:pt idx="164">
                  <c:v>0.7123114644475815</c:v>
                </c:pt>
                <c:pt idx="165">
                  <c:v>0.7191283292978208</c:v>
                </c:pt>
                <c:pt idx="166">
                  <c:v>0.7153075822603719</c:v>
                </c:pt>
                <c:pt idx="167">
                  <c:v>0.6900463833521374</c:v>
                </c:pt>
                <c:pt idx="168">
                  <c:v>0.6996214651525272</c:v>
                </c:pt>
                <c:pt idx="169">
                  <c:v>0.6977611940298507</c:v>
                </c:pt>
                <c:pt idx="170">
                  <c:v>0.6929672863525004</c:v>
                </c:pt>
                <c:pt idx="171">
                  <c:v>0.6841218587673733</c:v>
                </c:pt>
                <c:pt idx="172">
                  <c:v>0.7194419379468314</c:v>
                </c:pt>
                <c:pt idx="173">
                  <c:v>0.8957055214723927</c:v>
                </c:pt>
                <c:pt idx="174">
                  <c:v>0.8919904521946691</c:v>
                </c:pt>
                <c:pt idx="175">
                  <c:v>0.8983025386810877</c:v>
                </c:pt>
                <c:pt idx="176">
                  <c:v>0.8852401868507285</c:v>
                </c:pt>
                <c:pt idx="177">
                  <c:v>0.8913059137074121</c:v>
                </c:pt>
                <c:pt idx="178">
                  <c:v>0.883275663206459</c:v>
                </c:pt>
                <c:pt idx="179">
                  <c:v>0.8882496277243807</c:v>
                </c:pt>
                <c:pt idx="180">
                  <c:v>0.8868440502586843</c:v>
                </c:pt>
                <c:pt idx="181">
                  <c:v>0.8459821428571429</c:v>
                </c:pt>
                <c:pt idx="182">
                  <c:v>0.9043696275071633</c:v>
                </c:pt>
                <c:pt idx="183">
                  <c:v>0.8956485297199134</c:v>
                </c:pt>
                <c:pt idx="184">
                  <c:v>0.8904334142023475</c:v>
                </c:pt>
                <c:pt idx="185">
                  <c:v>0.9065735982204495</c:v>
                </c:pt>
                <c:pt idx="186">
                  <c:v>0.9086970372730169</c:v>
                </c:pt>
                <c:pt idx="187">
                  <c:v>0.9021691658174407</c:v>
                </c:pt>
                <c:pt idx="188">
                  <c:v>0.893647738209817</c:v>
                </c:pt>
                <c:pt idx="189">
                  <c:v>0.902500174106832</c:v>
                </c:pt>
                <c:pt idx="190">
                  <c:v>0.87</c:v>
                </c:pt>
                <c:pt idx="191">
                  <c:v>0.89</c:v>
                </c:pt>
                <c:pt idx="192">
                  <c:v>0.89</c:v>
                </c:pt>
                <c:pt idx="193">
                  <c:v>0.9</c:v>
                </c:pt>
                <c:pt idx="194">
                  <c:v>0.87</c:v>
                </c:pt>
                <c:pt idx="195">
                  <c:v>0.88</c:v>
                </c:pt>
                <c:pt idx="196">
                  <c:v>0.89</c:v>
                </c:pt>
                <c:pt idx="197">
                  <c:v>0.93</c:v>
                </c:pt>
                <c:pt idx="198">
                  <c:v>0.92</c:v>
                </c:pt>
                <c:pt idx="199">
                  <c:v>0.93</c:v>
                </c:pt>
                <c:pt idx="200">
                  <c:v>0.93</c:v>
                </c:pt>
                <c:pt idx="201">
                  <c:v>0.91</c:v>
                </c:pt>
                <c:pt idx="202">
                  <c:v>0.91</c:v>
                </c:pt>
                <c:pt idx="203">
                  <c:v>0.89</c:v>
                </c:pt>
                <c:pt idx="204">
                  <c:v>0.91</c:v>
                </c:pt>
                <c:pt idx="205">
                  <c:v>0.93</c:v>
                </c:pt>
                <c:pt idx="206">
                  <c:v>0.93</c:v>
                </c:pt>
                <c:pt idx="207">
                  <c:v>0.93</c:v>
                </c:pt>
                <c:pt idx="208">
                  <c:v>0.93</c:v>
                </c:pt>
                <c:pt idx="209">
                  <c:v>0.93</c:v>
                </c:pt>
                <c:pt idx="210">
                  <c:v>0.99</c:v>
                </c:pt>
                <c:pt idx="211">
                  <c:v>0.98</c:v>
                </c:pt>
                <c:pt idx="212">
                  <c:v>0.98</c:v>
                </c:pt>
                <c:pt idx="213">
                  <c:v>0.99</c:v>
                </c:pt>
                <c:pt idx="214">
                  <c:v>0.98</c:v>
                </c:pt>
                <c:pt idx="215">
                  <c:v>0.98</c:v>
                </c:pt>
                <c:pt idx="216">
                  <c:v>1</c:v>
                </c:pt>
                <c:pt idx="217">
                  <c:v>1</c:v>
                </c:pt>
                <c:pt idx="218">
                  <c:v>1</c:v>
                </c:pt>
                <c:pt idx="219">
                  <c:v>1</c:v>
                </c:pt>
                <c:pt idx="220">
                  <c:v>1</c:v>
                </c:pt>
                <c:pt idx="221">
                  <c:v>0.99</c:v>
                </c:pt>
                <c:pt idx="222">
                  <c:v>1</c:v>
                </c:pt>
                <c:pt idx="224">
                  <c:v>1</c:v>
                </c:pt>
                <c:pt idx="225">
                  <c:v>1</c:v>
                </c:pt>
                <c:pt idx="226">
                  <c:v>0.99</c:v>
                </c:pt>
                <c:pt idx="227">
                  <c:v>0.98</c:v>
                </c:pt>
                <c:pt idx="228">
                  <c:v>1</c:v>
                </c:pt>
                <c:pt idx="229">
                  <c:v>0.99</c:v>
                </c:pt>
                <c:pt idx="230">
                  <c:v>0.99</c:v>
                </c:pt>
                <c:pt idx="231">
                  <c:v>1</c:v>
                </c:pt>
                <c:pt idx="232">
                  <c:v>0.99</c:v>
                </c:pt>
                <c:pt idx="233">
                  <c:v>1</c:v>
                </c:pt>
                <c:pt idx="234">
                  <c:v>0.99</c:v>
                </c:pt>
                <c:pt idx="235">
                  <c:v>0.97</c:v>
                </c:pt>
                <c:pt idx="236">
                  <c:v>0.88</c:v>
                </c:pt>
                <c:pt idx="237">
                  <c:v>0.89</c:v>
                </c:pt>
                <c:pt idx="238">
                  <c:v>0.86</c:v>
                </c:pt>
                <c:pt idx="239">
                  <c:v>0.88</c:v>
                </c:pt>
                <c:pt idx="240">
                  <c:v>0.7</c:v>
                </c:pt>
                <c:pt idx="241">
                  <c:v>0.84</c:v>
                </c:pt>
                <c:pt idx="242">
                  <c:v>0.82</c:v>
                </c:pt>
                <c:pt idx="243">
                  <c:v>0.75</c:v>
                </c:pt>
                <c:pt idx="244">
                  <c:v>0.56</c:v>
                </c:pt>
                <c:pt idx="245">
                  <c:v>0.53</c:v>
                </c:pt>
                <c:pt idx="246">
                  <c:v>0.75</c:v>
                </c:pt>
                <c:pt idx="247">
                  <c:v>0.68</c:v>
                </c:pt>
                <c:pt idx="248">
                  <c:v>0.74</c:v>
                </c:pt>
                <c:pt idx="249">
                  <c:v>0.73</c:v>
                </c:pt>
                <c:pt idx="250">
                  <c:v>0.68</c:v>
                </c:pt>
                <c:pt idx="251">
                  <c:v>0.52</c:v>
                </c:pt>
                <c:pt idx="252">
                  <c:v>0.52</c:v>
                </c:pt>
                <c:pt idx="254">
                  <c:v>0.65</c:v>
                </c:pt>
              </c:numCache>
            </c:numRef>
          </c:val>
          <c:smooth val="0"/>
        </c:ser>
        <c:marker val="1"/>
        <c:axId val="2909173"/>
        <c:axId val="26182558"/>
      </c:lineChart>
      <c:dateAx>
        <c:axId val="2909173"/>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26182558"/>
        <c:crosses val="autoZero"/>
        <c:auto val="0"/>
        <c:baseTimeUnit val="days"/>
        <c:majorUnit val="6"/>
        <c:majorTimeUnit val="months"/>
        <c:minorUnit val="3"/>
        <c:minorTimeUnit val="months"/>
        <c:noMultiLvlLbl val="0"/>
      </c:dateAx>
      <c:valAx>
        <c:axId val="26182558"/>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925"/>
              <c:y val="-0.002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2909173"/>
        <c:crossesAt val="1"/>
        <c:crossBetween val="between"/>
        <c:dispUnits/>
      </c:valAx>
      <c:spPr>
        <a:solidFill>
          <a:srgbClr val="FFFFFF"/>
        </a:solidFill>
        <a:ln w="12700">
          <a:solidFill>
            <a:srgbClr val="000000"/>
          </a:solidFill>
        </a:ln>
      </c:spPr>
    </c:plotArea>
    <c:legend>
      <c:legendPos val="r"/>
      <c:layout>
        <c:manualLayout>
          <c:xMode val="edge"/>
          <c:yMode val="edge"/>
          <c:x val="0.04"/>
          <c:y val="0.126"/>
          <c:w val="0.3145"/>
          <c:h val="0.01975"/>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Emera Maine - Bangor Hydro District
 July 2000-July 2021
Presented by the Maine PUC</a:t>
            </a:r>
          </a:p>
        </c:rich>
      </c:tx>
      <c:layout>
        <c:manualLayout>
          <c:xMode val="factor"/>
          <c:yMode val="factor"/>
          <c:x val="0"/>
          <c:y val="-0.00175"/>
        </c:manualLayout>
      </c:layout>
      <c:spPr>
        <a:noFill/>
        <a:ln>
          <a:noFill/>
        </a:ln>
      </c:spPr>
    </c:title>
    <c:plotArea>
      <c:layout>
        <c:manualLayout>
          <c:xMode val="edge"/>
          <c:yMode val="edge"/>
          <c:x val="0.06625"/>
          <c:y val="0.30425"/>
          <c:w val="0.87775"/>
          <c:h val="0.639"/>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Load!$A$12:$A$268</c:f>
              <c:strCache>
                <c:ptCount val="257"/>
                <c:pt idx="0">
                  <c:v>44500</c:v>
                </c:pt>
                <c:pt idx="1">
                  <c:v>44469</c:v>
                </c:pt>
                <c:pt idx="2">
                  <c:v>44439</c:v>
                </c:pt>
                <c:pt idx="3">
                  <c:v>44378</c:v>
                </c:pt>
                <c:pt idx="4">
                  <c:v>44348</c:v>
                </c:pt>
                <c:pt idx="5">
                  <c:v>44317</c:v>
                </c:pt>
                <c:pt idx="6">
                  <c:v>44287</c:v>
                </c:pt>
                <c:pt idx="7">
                  <c:v>44256</c:v>
                </c:pt>
                <c:pt idx="8">
                  <c:v>44228</c:v>
                </c:pt>
                <c:pt idx="9">
                  <c:v>44197</c:v>
                </c:pt>
                <c:pt idx="10">
                  <c:v>44196</c:v>
                </c:pt>
                <c:pt idx="11">
                  <c:v>44165</c:v>
                </c:pt>
                <c:pt idx="12">
                  <c:v>44135</c:v>
                </c:pt>
                <c:pt idx="13">
                  <c:v>44075</c:v>
                </c:pt>
                <c:pt idx="14">
                  <c:v>44044</c:v>
                </c:pt>
                <c:pt idx="15">
                  <c:v>44013</c:v>
                </c:pt>
                <c:pt idx="16">
                  <c:v>43983</c:v>
                </c:pt>
                <c:pt idx="17">
                  <c:v>43952</c:v>
                </c:pt>
                <c:pt idx="18">
                  <c:v>43922</c:v>
                </c:pt>
                <c:pt idx="19">
                  <c:v>43891</c:v>
                </c:pt>
                <c:pt idx="20">
                  <c:v>43862</c:v>
                </c:pt>
                <c:pt idx="21">
                  <c:v>43831</c:v>
                </c:pt>
                <c:pt idx="22">
                  <c:v>43800</c:v>
                </c:pt>
                <c:pt idx="23">
                  <c:v>43770</c:v>
                </c:pt>
                <c:pt idx="24">
                  <c:v>43739</c:v>
                </c:pt>
                <c:pt idx="25">
                  <c:v>43709</c:v>
                </c:pt>
                <c:pt idx="26">
                  <c:v>43678</c:v>
                </c:pt>
                <c:pt idx="27">
                  <c:v>43647</c:v>
                </c:pt>
                <c:pt idx="28">
                  <c:v>43617</c:v>
                </c:pt>
                <c:pt idx="29">
                  <c:v>43586</c:v>
                </c:pt>
                <c:pt idx="30">
                  <c:v>43556</c:v>
                </c:pt>
                <c:pt idx="31">
                  <c:v>43525</c:v>
                </c:pt>
                <c:pt idx="32">
                  <c:v>43497</c:v>
                </c:pt>
                <c:pt idx="33">
                  <c:v>43466</c:v>
                </c:pt>
                <c:pt idx="34">
                  <c:v>43435</c:v>
                </c:pt>
                <c:pt idx="35">
                  <c:v>43405</c:v>
                </c:pt>
                <c:pt idx="36">
                  <c:v>43404</c:v>
                </c:pt>
                <c:pt idx="37">
                  <c:v>43361</c:v>
                </c:pt>
                <c:pt idx="38">
                  <c:v>43330</c:v>
                </c:pt>
                <c:pt idx="39">
                  <c:v>43282</c:v>
                </c:pt>
                <c:pt idx="40">
                  <c:v>43252</c:v>
                </c:pt>
                <c:pt idx="41">
                  <c:v>43221</c:v>
                </c:pt>
                <c:pt idx="42">
                  <c:v>43191</c:v>
                </c:pt>
                <c:pt idx="43">
                  <c:v>43160</c:v>
                </c:pt>
                <c:pt idx="44">
                  <c:v>43149</c:v>
                </c:pt>
                <c:pt idx="45">
                  <c:v>43101</c:v>
                </c:pt>
                <c:pt idx="46">
                  <c:v>43070</c:v>
                </c:pt>
                <c:pt idx="47">
                  <c:v>43040</c:v>
                </c:pt>
                <c:pt idx="48">
                  <c:v>43009</c:v>
                </c:pt>
                <c:pt idx="49">
                  <c:v>42979</c:v>
                </c:pt>
                <c:pt idx="50">
                  <c:v>42948</c:v>
                </c:pt>
                <c:pt idx="51">
                  <c:v>42917</c:v>
                </c:pt>
                <c:pt idx="52">
                  <c:v>42887</c:v>
                </c:pt>
                <c:pt idx="53">
                  <c:v>42856</c:v>
                </c:pt>
                <c:pt idx="54">
                  <c:v>42826</c:v>
                </c:pt>
                <c:pt idx="55">
                  <c:v>42795</c:v>
                </c:pt>
                <c:pt idx="56">
                  <c:v>42767</c:v>
                </c:pt>
                <c:pt idx="57">
                  <c:v>42736</c:v>
                </c:pt>
                <c:pt idx="58">
                  <c:v>42705</c:v>
                </c:pt>
                <c:pt idx="59">
                  <c:v>42675</c:v>
                </c:pt>
                <c:pt idx="60">
                  <c:v>42644</c:v>
                </c:pt>
                <c:pt idx="61">
                  <c:v>42614</c:v>
                </c:pt>
                <c:pt idx="62">
                  <c:v>42583</c:v>
                </c:pt>
                <c:pt idx="63">
                  <c:v>42552</c:v>
                </c:pt>
                <c:pt idx="64">
                  <c:v>42522</c:v>
                </c:pt>
                <c:pt idx="65">
                  <c:v>42491</c:v>
                </c:pt>
                <c:pt idx="66">
                  <c:v>42461</c:v>
                </c:pt>
                <c:pt idx="67">
                  <c:v>42430</c:v>
                </c:pt>
                <c:pt idx="68">
                  <c:v>42401</c:v>
                </c:pt>
                <c:pt idx="69">
                  <c:v>42370</c:v>
                </c:pt>
                <c:pt idx="70">
                  <c:v>42339</c:v>
                </c:pt>
                <c:pt idx="71">
                  <c:v>42309</c:v>
                </c:pt>
                <c:pt idx="72">
                  <c:v>42278</c:v>
                </c:pt>
                <c:pt idx="73">
                  <c:v>42248</c:v>
                </c:pt>
                <c:pt idx="74">
                  <c:v>42217</c:v>
                </c:pt>
                <c:pt idx="75">
                  <c:v>42186</c:v>
                </c:pt>
                <c:pt idx="76">
                  <c:v>42156</c:v>
                </c:pt>
                <c:pt idx="77">
                  <c:v>42125</c:v>
                </c:pt>
                <c:pt idx="78">
                  <c:v>42095</c:v>
                </c:pt>
                <c:pt idx="79">
                  <c:v>42064</c:v>
                </c:pt>
                <c:pt idx="80">
                  <c:v>42036</c:v>
                </c:pt>
                <c:pt idx="81">
                  <c:v>42005</c:v>
                </c:pt>
                <c:pt idx="82">
                  <c:v>41974</c:v>
                </c:pt>
                <c:pt idx="83">
                  <c:v>41944</c:v>
                </c:pt>
                <c:pt idx="84">
                  <c:v>41926</c:v>
                </c:pt>
                <c:pt idx="85">
                  <c:v>41883</c:v>
                </c:pt>
                <c:pt idx="86">
                  <c:v>41852</c:v>
                </c:pt>
                <c:pt idx="87">
                  <c:v>41821</c:v>
                </c:pt>
                <c:pt idx="88">
                  <c:v>41791</c:v>
                </c:pt>
                <c:pt idx="89">
                  <c:v>41760</c:v>
                </c:pt>
                <c:pt idx="90">
                  <c:v>41730</c:v>
                </c:pt>
                <c:pt idx="91">
                  <c:v>41699</c:v>
                </c:pt>
                <c:pt idx="92">
                  <c:v>41671</c:v>
                </c:pt>
                <c:pt idx="93">
                  <c:v>41640</c:v>
                </c:pt>
                <c:pt idx="94">
                  <c:v>41609</c:v>
                </c:pt>
                <c:pt idx="95">
                  <c:v>41579</c:v>
                </c:pt>
                <c:pt idx="96">
                  <c:v>41548</c:v>
                </c:pt>
                <c:pt idx="97">
                  <c:v>41518</c:v>
                </c:pt>
                <c:pt idx="98">
                  <c:v>41487</c:v>
                </c:pt>
                <c:pt idx="99">
                  <c:v>41456</c:v>
                </c:pt>
                <c:pt idx="100">
                  <c:v>41426</c:v>
                </c:pt>
                <c:pt idx="101">
                  <c:v>41395</c:v>
                </c:pt>
                <c:pt idx="102">
                  <c:v>41365</c:v>
                </c:pt>
                <c:pt idx="103">
                  <c:v>41334</c:v>
                </c:pt>
                <c:pt idx="104">
                  <c:v>41306</c:v>
                </c:pt>
                <c:pt idx="105">
                  <c:v>41275</c:v>
                </c:pt>
                <c:pt idx="106">
                  <c:v>41244</c:v>
                </c:pt>
                <c:pt idx="107">
                  <c:v>41214</c:v>
                </c:pt>
                <c:pt idx="108">
                  <c:v>41183</c:v>
                </c:pt>
                <c:pt idx="109">
                  <c:v>41153</c:v>
                </c:pt>
                <c:pt idx="110">
                  <c:v>41122</c:v>
                </c:pt>
                <c:pt idx="111">
                  <c:v>41091</c:v>
                </c:pt>
                <c:pt idx="112">
                  <c:v>41061</c:v>
                </c:pt>
                <c:pt idx="113">
                  <c:v>41030</c:v>
                </c:pt>
                <c:pt idx="114">
                  <c:v>41000</c:v>
                </c:pt>
                <c:pt idx="115">
                  <c:v>40969</c:v>
                </c:pt>
                <c:pt idx="116">
                  <c:v>40940</c:v>
                </c:pt>
                <c:pt idx="117">
                  <c:v>40909</c:v>
                </c:pt>
                <c:pt idx="118">
                  <c:v>40878</c:v>
                </c:pt>
                <c:pt idx="119">
                  <c:v>40848</c:v>
                </c:pt>
                <c:pt idx="120">
                  <c:v>40817</c:v>
                </c:pt>
                <c:pt idx="121">
                  <c:v>40797</c:v>
                </c:pt>
                <c:pt idx="122">
                  <c:v>40756</c:v>
                </c:pt>
                <c:pt idx="123">
                  <c:v>40725</c:v>
                </c:pt>
                <c:pt idx="124">
                  <c:v>40695</c:v>
                </c:pt>
                <c:pt idx="125">
                  <c:v>40664</c:v>
                </c:pt>
                <c:pt idx="126">
                  <c:v>40634</c:v>
                </c:pt>
                <c:pt idx="127">
                  <c:v>40603</c:v>
                </c:pt>
                <c:pt idx="128">
                  <c:v>40575</c:v>
                </c:pt>
                <c:pt idx="129">
                  <c:v>40544</c:v>
                </c:pt>
                <c:pt idx="130">
                  <c:v>40513</c:v>
                </c:pt>
                <c:pt idx="131">
                  <c:v>40483</c:v>
                </c:pt>
                <c:pt idx="132">
                  <c:v>40452</c:v>
                </c:pt>
                <c:pt idx="133">
                  <c:v>40422</c:v>
                </c:pt>
                <c:pt idx="134">
                  <c:v>40391</c:v>
                </c:pt>
                <c:pt idx="135">
                  <c:v>40360</c:v>
                </c:pt>
                <c:pt idx="136">
                  <c:v>40330</c:v>
                </c:pt>
                <c:pt idx="137">
                  <c:v>40299</c:v>
                </c:pt>
                <c:pt idx="138">
                  <c:v>40269</c:v>
                </c:pt>
                <c:pt idx="139">
                  <c:v>40238</c:v>
                </c:pt>
                <c:pt idx="140">
                  <c:v>40210</c:v>
                </c:pt>
                <c:pt idx="141">
                  <c:v>40179</c:v>
                </c:pt>
                <c:pt idx="142">
                  <c:v>40148</c:v>
                </c:pt>
                <c:pt idx="143">
                  <c:v>40118</c:v>
                </c:pt>
                <c:pt idx="144">
                  <c:v>40087</c:v>
                </c:pt>
                <c:pt idx="145">
                  <c:v>40057</c:v>
                </c:pt>
                <c:pt idx="146">
                  <c:v>40026</c:v>
                </c:pt>
                <c:pt idx="147">
                  <c:v>39995</c:v>
                </c:pt>
                <c:pt idx="148">
                  <c:v>39965</c:v>
                </c:pt>
                <c:pt idx="149">
                  <c:v>39934</c:v>
                </c:pt>
                <c:pt idx="150">
                  <c:v>39904</c:v>
                </c:pt>
                <c:pt idx="151">
                  <c:v>39873</c:v>
                </c:pt>
                <c:pt idx="152">
                  <c:v>39845</c:v>
                </c:pt>
                <c:pt idx="153">
                  <c:v>39814</c:v>
                </c:pt>
                <c:pt idx="154">
                  <c:v>39783</c:v>
                </c:pt>
                <c:pt idx="155">
                  <c:v>39753</c:v>
                </c:pt>
                <c:pt idx="156">
                  <c:v>39722</c:v>
                </c:pt>
                <c:pt idx="157">
                  <c:v>39692</c:v>
                </c:pt>
                <c:pt idx="158">
                  <c:v>39661</c:v>
                </c:pt>
                <c:pt idx="159">
                  <c:v>39630</c:v>
                </c:pt>
                <c:pt idx="160">
                  <c:v>39600</c:v>
                </c:pt>
                <c:pt idx="161">
                  <c:v>39569</c:v>
                </c:pt>
                <c:pt idx="162">
                  <c:v>39539</c:v>
                </c:pt>
                <c:pt idx="163">
                  <c:v>39508</c:v>
                </c:pt>
                <c:pt idx="164">
                  <c:v>39479</c:v>
                </c:pt>
                <c:pt idx="165">
                  <c:v>39448</c:v>
                </c:pt>
                <c:pt idx="166">
                  <c:v>39417</c:v>
                </c:pt>
                <c:pt idx="167">
                  <c:v>39387</c:v>
                </c:pt>
                <c:pt idx="168">
                  <c:v>39356</c:v>
                </c:pt>
                <c:pt idx="169">
                  <c:v>39326</c:v>
                </c:pt>
                <c:pt idx="170">
                  <c:v>39295</c:v>
                </c:pt>
                <c:pt idx="171">
                  <c:v>39264</c:v>
                </c:pt>
                <c:pt idx="172">
                  <c:v>39234</c:v>
                </c:pt>
                <c:pt idx="173">
                  <c:v>39203</c:v>
                </c:pt>
                <c:pt idx="174">
                  <c:v>39173</c:v>
                </c:pt>
                <c:pt idx="175">
                  <c:v>39142</c:v>
                </c:pt>
                <c:pt idx="176">
                  <c:v>39114</c:v>
                </c:pt>
                <c:pt idx="177">
                  <c:v>39083</c:v>
                </c:pt>
                <c:pt idx="178">
                  <c:v>39052</c:v>
                </c:pt>
                <c:pt idx="179">
                  <c:v>39022</c:v>
                </c:pt>
                <c:pt idx="180">
                  <c:v>38991</c:v>
                </c:pt>
                <c:pt idx="181">
                  <c:v>38961</c:v>
                </c:pt>
                <c:pt idx="182">
                  <c:v>38930</c:v>
                </c:pt>
                <c:pt idx="183">
                  <c:v>38899</c:v>
                </c:pt>
                <c:pt idx="184">
                  <c:v>38869</c:v>
                </c:pt>
                <c:pt idx="185">
                  <c:v>38838</c:v>
                </c:pt>
                <c:pt idx="186">
                  <c:v>38808</c:v>
                </c:pt>
                <c:pt idx="187">
                  <c:v>38777</c:v>
                </c:pt>
                <c:pt idx="188">
                  <c:v>38749</c:v>
                </c:pt>
                <c:pt idx="189">
                  <c:v>38718</c:v>
                </c:pt>
                <c:pt idx="190">
                  <c:v>38687</c:v>
                </c:pt>
                <c:pt idx="191">
                  <c:v>38657</c:v>
                </c:pt>
                <c:pt idx="192">
                  <c:v>38626</c:v>
                </c:pt>
                <c:pt idx="193">
                  <c:v>38596</c:v>
                </c:pt>
                <c:pt idx="194">
                  <c:v>38565</c:v>
                </c:pt>
                <c:pt idx="195">
                  <c:v>38534</c:v>
                </c:pt>
                <c:pt idx="196">
                  <c:v>38504</c:v>
                </c:pt>
                <c:pt idx="197">
                  <c:v>38473</c:v>
                </c:pt>
                <c:pt idx="198">
                  <c:v>38443</c:v>
                </c:pt>
                <c:pt idx="199">
                  <c:v>38412</c:v>
                </c:pt>
                <c:pt idx="200">
                  <c:v>38384</c:v>
                </c:pt>
                <c:pt idx="201">
                  <c:v>38353</c:v>
                </c:pt>
                <c:pt idx="202">
                  <c:v>38322</c:v>
                </c:pt>
                <c:pt idx="203">
                  <c:v>38292</c:v>
                </c:pt>
                <c:pt idx="204">
                  <c:v>38261</c:v>
                </c:pt>
                <c:pt idx="205">
                  <c:v>38231</c:v>
                </c:pt>
                <c:pt idx="206">
                  <c:v>38200</c:v>
                </c:pt>
                <c:pt idx="207">
                  <c:v>38169</c:v>
                </c:pt>
                <c:pt idx="208">
                  <c:v>38139</c:v>
                </c:pt>
                <c:pt idx="209">
                  <c:v>38108</c:v>
                </c:pt>
                <c:pt idx="210">
                  <c:v>38078</c:v>
                </c:pt>
                <c:pt idx="211">
                  <c:v>38047</c:v>
                </c:pt>
                <c:pt idx="212">
                  <c:v>38018</c:v>
                </c:pt>
                <c:pt idx="213">
                  <c:v>37987</c:v>
                </c:pt>
                <c:pt idx="214">
                  <c:v>37956</c:v>
                </c:pt>
                <c:pt idx="215">
                  <c:v>37926</c:v>
                </c:pt>
                <c:pt idx="216">
                  <c:v>37895</c:v>
                </c:pt>
                <c:pt idx="217">
                  <c:v>37865</c:v>
                </c:pt>
                <c:pt idx="218">
                  <c:v>37834</c:v>
                </c:pt>
                <c:pt idx="219">
                  <c:v>37803</c:v>
                </c:pt>
                <c:pt idx="220">
                  <c:v>37773</c:v>
                </c:pt>
                <c:pt idx="221">
                  <c:v>37742</c:v>
                </c:pt>
                <c:pt idx="222">
                  <c:v>37712</c:v>
                </c:pt>
                <c:pt idx="223">
                  <c:v>37681</c:v>
                </c:pt>
                <c:pt idx="224">
                  <c:v>37653</c:v>
                </c:pt>
                <c:pt idx="225">
                  <c:v>37622</c:v>
                </c:pt>
                <c:pt idx="226">
                  <c:v>37591</c:v>
                </c:pt>
                <c:pt idx="227">
                  <c:v>37561</c:v>
                </c:pt>
                <c:pt idx="228">
                  <c:v>37530</c:v>
                </c:pt>
                <c:pt idx="229">
                  <c:v>37500</c:v>
                </c:pt>
                <c:pt idx="230">
                  <c:v>37469</c:v>
                </c:pt>
                <c:pt idx="231">
                  <c:v>37438</c:v>
                </c:pt>
                <c:pt idx="232">
                  <c:v>37408</c:v>
                </c:pt>
                <c:pt idx="233">
                  <c:v>37377</c:v>
                </c:pt>
                <c:pt idx="234">
                  <c:v>37347</c:v>
                </c:pt>
                <c:pt idx="235">
                  <c:v>37316</c:v>
                </c:pt>
                <c:pt idx="236">
                  <c:v>37288</c:v>
                </c:pt>
                <c:pt idx="237">
                  <c:v>37257</c:v>
                </c:pt>
                <c:pt idx="238">
                  <c:v>37226</c:v>
                </c:pt>
                <c:pt idx="239">
                  <c:v>37196</c:v>
                </c:pt>
                <c:pt idx="240">
                  <c:v>37165</c:v>
                </c:pt>
                <c:pt idx="241">
                  <c:v>37135</c:v>
                </c:pt>
                <c:pt idx="242">
                  <c:v>37104</c:v>
                </c:pt>
                <c:pt idx="243">
                  <c:v>37073</c:v>
                </c:pt>
                <c:pt idx="244">
                  <c:v>37043</c:v>
                </c:pt>
                <c:pt idx="245">
                  <c:v>37012</c:v>
                </c:pt>
                <c:pt idx="246">
                  <c:v>36982</c:v>
                </c:pt>
                <c:pt idx="247">
                  <c:v>36951</c:v>
                </c:pt>
                <c:pt idx="248">
                  <c:v>36923</c:v>
                </c:pt>
                <c:pt idx="249">
                  <c:v>36892</c:v>
                </c:pt>
                <c:pt idx="250">
                  <c:v>36861</c:v>
                </c:pt>
                <c:pt idx="251">
                  <c:v>36831</c:v>
                </c:pt>
                <c:pt idx="252">
                  <c:v>36800</c:v>
                </c:pt>
                <c:pt idx="253">
                  <c:v>36770</c:v>
                </c:pt>
                <c:pt idx="254">
                  <c:v>36739</c:v>
                </c:pt>
                <c:pt idx="255">
                  <c:v>36708</c:v>
                </c:pt>
                <c:pt idx="256">
                  <c:v>36678</c:v>
                </c:pt>
              </c:strCache>
            </c:strRef>
          </c:cat>
          <c:val>
            <c:numRef>
              <c:f>Load!$B$12:$B$268</c:f>
              <c:numCache>
                <c:ptCount val="257"/>
                <c:pt idx="0">
                  <c:v>0.1001621462264151</c:v>
                </c:pt>
                <c:pt idx="1">
                  <c:v>0.09763479430557113</c:v>
                </c:pt>
                <c:pt idx="2">
                  <c:v>0.098</c:v>
                </c:pt>
                <c:pt idx="3">
                  <c:v>0.09976290351997082</c:v>
                </c:pt>
                <c:pt idx="4">
                  <c:v>0.10323110624315444</c:v>
                </c:pt>
                <c:pt idx="5">
                  <c:v>0.10418094585332419</c:v>
                </c:pt>
                <c:pt idx="6">
                  <c:v>0.10187027457222443</c:v>
                </c:pt>
                <c:pt idx="7">
                  <c:v>0.09774475432996702</c:v>
                </c:pt>
                <c:pt idx="8">
                  <c:v>0.0975169779286927</c:v>
                </c:pt>
                <c:pt idx="9">
                  <c:v>0.09355980967135112</c:v>
                </c:pt>
                <c:pt idx="10">
                  <c:v>0.0954913163998416</c:v>
                </c:pt>
                <c:pt idx="11">
                  <c:v>0.09698029968814179</c:v>
                </c:pt>
                <c:pt idx="12">
                  <c:v>0.09676721027565306</c:v>
                </c:pt>
                <c:pt idx="13">
                  <c:v>0.096</c:v>
                </c:pt>
                <c:pt idx="14">
                  <c:v>0.09179733208518605</c:v>
                </c:pt>
                <c:pt idx="15">
                  <c:v>0.09382079033475962</c:v>
                </c:pt>
                <c:pt idx="16">
                  <c:v>0.097</c:v>
                </c:pt>
                <c:pt idx="17">
                  <c:v>0.095</c:v>
                </c:pt>
                <c:pt idx="18">
                  <c:v>0.0973868280259054</c:v>
                </c:pt>
                <c:pt idx="19">
                  <c:v>0.099</c:v>
                </c:pt>
                <c:pt idx="20">
                  <c:v>0.09840953615852499</c:v>
                </c:pt>
                <c:pt idx="21">
                  <c:v>0.10030031030020703</c:v>
                </c:pt>
                <c:pt idx="22">
                  <c:v>0.10037598913207252</c:v>
                </c:pt>
                <c:pt idx="23">
                  <c:v>0.101</c:v>
                </c:pt>
                <c:pt idx="24">
                  <c:v>0.1</c:v>
                </c:pt>
                <c:pt idx="25">
                  <c:v>0.103</c:v>
                </c:pt>
                <c:pt idx="26">
                  <c:v>0.104</c:v>
                </c:pt>
                <c:pt idx="27">
                  <c:v>0.10566638400490223</c:v>
                </c:pt>
                <c:pt idx="28">
                  <c:v>0.107</c:v>
                </c:pt>
                <c:pt idx="29">
                  <c:v>0.1072925341871724</c:v>
                </c:pt>
                <c:pt idx="30">
                  <c:v>0.1084008946096204</c:v>
                </c:pt>
                <c:pt idx="31">
                  <c:v>0.108</c:v>
                </c:pt>
                <c:pt idx="32">
                  <c:v>0.10627618248758666</c:v>
                </c:pt>
                <c:pt idx="33">
                  <c:v>0.10743702734558154</c:v>
                </c:pt>
                <c:pt idx="34">
                  <c:v>0.10699825456817628</c:v>
                </c:pt>
                <c:pt idx="35">
                  <c:v>0.10740958685305609</c:v>
                </c:pt>
                <c:pt idx="36">
                  <c:v>0.10476866813943123</c:v>
                </c:pt>
                <c:pt idx="37">
                  <c:v>0.10367836591937836</c:v>
                </c:pt>
                <c:pt idx="38">
                  <c:v>0.10395431691808285</c:v>
                </c:pt>
                <c:pt idx="39">
                  <c:v>0.1076925365383438</c:v>
                </c:pt>
                <c:pt idx="40">
                  <c:v>0.10672126069837237</c:v>
                </c:pt>
                <c:pt idx="41">
                  <c:v>0.09357240710017996</c:v>
                </c:pt>
                <c:pt idx="42">
                  <c:v>0.09337041268694815</c:v>
                </c:pt>
                <c:pt idx="43">
                  <c:v>0.09848542336429712</c:v>
                </c:pt>
                <c:pt idx="44">
                  <c:v>0.10135800571855343</c:v>
                </c:pt>
                <c:pt idx="45">
                  <c:v>0.10159321353367762</c:v>
                </c:pt>
                <c:pt idx="46">
                  <c:v>0.10216256524981357</c:v>
                </c:pt>
                <c:pt idx="47">
                  <c:v>0.10447380177420383</c:v>
                </c:pt>
                <c:pt idx="48">
                  <c:v>0.10484631132719964</c:v>
                </c:pt>
                <c:pt idx="49">
                  <c:v>0.11062667627696071</c:v>
                </c:pt>
                <c:pt idx="50">
                  <c:v>0.11100663435310752</c:v>
                </c:pt>
                <c:pt idx="51">
                  <c:v>0.10997180141163641</c:v>
                </c:pt>
                <c:pt idx="52">
                  <c:v>0.10740529515852681</c:v>
                </c:pt>
                <c:pt idx="53">
                  <c:v>0.09403144989242412</c:v>
                </c:pt>
                <c:pt idx="54">
                  <c:v>0.10051017741599441</c:v>
                </c:pt>
                <c:pt idx="55">
                  <c:v>0.10112359550561799</c:v>
                </c:pt>
                <c:pt idx="56">
                  <c:v>0.0991172270543944</c:v>
                </c:pt>
                <c:pt idx="57">
                  <c:v>0.10304789550072568</c:v>
                </c:pt>
                <c:pt idx="58">
                  <c:v>0.11391482879660905</c:v>
                </c:pt>
                <c:pt idx="59">
                  <c:v>0.10358565737051793</c:v>
                </c:pt>
                <c:pt idx="60">
                  <c:v>0.10320781032078104</c:v>
                </c:pt>
                <c:pt idx="61">
                  <c:v>0.10607569721115538</c:v>
                </c:pt>
                <c:pt idx="62">
                  <c:v>0.1068904593639576</c:v>
                </c:pt>
                <c:pt idx="63">
                  <c:v>0.10337552742616034</c:v>
                </c:pt>
                <c:pt idx="64">
                  <c:v>0.10346339324857519</c:v>
                </c:pt>
                <c:pt idx="65">
                  <c:v>0.10132966529115085</c:v>
                </c:pt>
                <c:pt idx="66">
                  <c:v>0.10298955800314691</c:v>
                </c:pt>
                <c:pt idx="67">
                  <c:v>0.10172047432997462</c:v>
                </c:pt>
                <c:pt idx="68">
                  <c:v>0.10053363199156728</c:v>
                </c:pt>
                <c:pt idx="69">
                  <c:v>0.10413244028813345</c:v>
                </c:pt>
                <c:pt idx="70">
                  <c:v>0.10344412331406551</c:v>
                </c:pt>
                <c:pt idx="71">
                  <c:v>0.10689397710303633</c:v>
                </c:pt>
                <c:pt idx="72">
                  <c:v>0.10795838400216187</c:v>
                </c:pt>
                <c:pt idx="73">
                  <c:v>0.11109767891682784</c:v>
                </c:pt>
                <c:pt idx="74">
                  <c:v>0.11148628278564969</c:v>
                </c:pt>
                <c:pt idx="75">
                  <c:v>0.1119298691398806</c:v>
                </c:pt>
                <c:pt idx="76">
                  <c:v>0.11152998079522015</c:v>
                </c:pt>
                <c:pt idx="77">
                  <c:v>0.10776699029126213</c:v>
                </c:pt>
                <c:pt idx="78">
                  <c:v>0.10447348406278088</c:v>
                </c:pt>
                <c:pt idx="79">
                  <c:v>0.10269805174850961</c:v>
                </c:pt>
                <c:pt idx="80">
                  <c:v>0.10442604069544233</c:v>
                </c:pt>
                <c:pt idx="81">
                  <c:v>0.11039310716208939</c:v>
                </c:pt>
                <c:pt idx="82">
                  <c:v>0.11407274895646988</c:v>
                </c:pt>
                <c:pt idx="83">
                  <c:v>0.13327674023769098</c:v>
                </c:pt>
                <c:pt idx="84">
                  <c:v>0.13827277017461068</c:v>
                </c:pt>
                <c:pt idx="85">
                  <c:v>0.1430189747946757</c:v>
                </c:pt>
                <c:pt idx="86">
                  <c:v>0.14796668299853016</c:v>
                </c:pt>
                <c:pt idx="87">
                  <c:v>0.15267953864780476</c:v>
                </c:pt>
                <c:pt idx="88">
                  <c:v>0.1555422726970844</c:v>
                </c:pt>
                <c:pt idx="89">
                  <c:v>0.15212909646690836</c:v>
                </c:pt>
                <c:pt idx="90">
                  <c:v>0.14846775837466875</c:v>
                </c:pt>
                <c:pt idx="91">
                  <c:v>0.14414252294403457</c:v>
                </c:pt>
                <c:pt idx="92">
                  <c:v>0.14351581650519435</c:v>
                </c:pt>
                <c:pt idx="93">
                  <c:v>0.14622057001239158</c:v>
                </c:pt>
                <c:pt idx="94">
                  <c:v>0.1679098382969456</c:v>
                </c:pt>
                <c:pt idx="95">
                  <c:v>0.1803109437629054</c:v>
                </c:pt>
                <c:pt idx="96">
                  <c:v>0.17975840679072805</c:v>
                </c:pt>
                <c:pt idx="97">
                  <c:v>0.1798678695744832</c:v>
                </c:pt>
                <c:pt idx="98">
                  <c:v>0.1768258161917343</c:v>
                </c:pt>
                <c:pt idx="99">
                  <c:v>0.17947600970813368</c:v>
                </c:pt>
                <c:pt idx="100">
                  <c:v>0.18367215230719589</c:v>
                </c:pt>
                <c:pt idx="101">
                  <c:v>0.18232403526521174</c:v>
                </c:pt>
                <c:pt idx="102">
                  <c:v>0.18038639227215456</c:v>
                </c:pt>
                <c:pt idx="103">
                  <c:v>0.17662237130692815</c:v>
                </c:pt>
                <c:pt idx="104">
                  <c:v>0.15643552236979008</c:v>
                </c:pt>
                <c:pt idx="105">
                  <c:v>0.1519489099317331</c:v>
                </c:pt>
                <c:pt idx="106">
                  <c:v>0.14118936694984927</c:v>
                </c:pt>
                <c:pt idx="107">
                  <c:v>0.12606733349597463</c:v>
                </c:pt>
                <c:pt idx="108">
                  <c:v>0.10998182674833411</c:v>
                </c:pt>
                <c:pt idx="109">
                  <c:v>0.10697452011749436</c:v>
                </c:pt>
                <c:pt idx="110">
                  <c:v>0.10165499287175354</c:v>
                </c:pt>
                <c:pt idx="111">
                  <c:v>0.1013338161627135</c:v>
                </c:pt>
                <c:pt idx="112">
                  <c:v>0.09552081271851706</c:v>
                </c:pt>
                <c:pt idx="113">
                  <c:v>0.089098103424751</c:v>
                </c:pt>
                <c:pt idx="114">
                  <c:v>0.0800941444975394</c:v>
                </c:pt>
                <c:pt idx="115">
                  <c:v>0.06850117096018735</c:v>
                </c:pt>
                <c:pt idx="116">
                  <c:v>0.06409543235057791</c:v>
                </c:pt>
                <c:pt idx="117">
                  <c:v>0.06192468619246862</c:v>
                </c:pt>
                <c:pt idx="118">
                  <c:v>0.05737797317100665</c:v>
                </c:pt>
                <c:pt idx="119">
                  <c:v>0.057979637709903484</c:v>
                </c:pt>
                <c:pt idx="120">
                  <c:v>0.05678295851744377</c:v>
                </c:pt>
                <c:pt idx="121">
                  <c:v>0.05662015089804367</c:v>
                </c:pt>
                <c:pt idx="122">
                  <c:v>0.05591054313099041</c:v>
                </c:pt>
                <c:pt idx="123">
                  <c:v>0.057957510249720456</c:v>
                </c:pt>
                <c:pt idx="124">
                  <c:v>0.060055581915542604</c:v>
                </c:pt>
                <c:pt idx="125">
                  <c:v>0.05529605715070751</c:v>
                </c:pt>
                <c:pt idx="126">
                  <c:v>0.05419863447596255</c:v>
                </c:pt>
                <c:pt idx="127">
                  <c:v>0.05233028436313857</c:v>
                </c:pt>
                <c:pt idx="128">
                  <c:v>0.05167973779702681</c:v>
                </c:pt>
                <c:pt idx="129">
                  <c:v>0.05192870150653937</c:v>
                </c:pt>
                <c:pt idx="130">
                  <c:v>0.048620088808948345</c:v>
                </c:pt>
                <c:pt idx="131">
                  <c:v>0.05026372944461681</c:v>
                </c:pt>
                <c:pt idx="132">
                  <c:v>0.05161929940515532</c:v>
                </c:pt>
                <c:pt idx="133">
                  <c:v>0.0519255155843289</c:v>
                </c:pt>
                <c:pt idx="134">
                  <c:v>0.04808090366077237</c:v>
                </c:pt>
                <c:pt idx="135">
                  <c:v>0.04624522698345354</c:v>
                </c:pt>
                <c:pt idx="136">
                  <c:v>0.045989304812834225</c:v>
                </c:pt>
                <c:pt idx="137">
                  <c:v>0.03877199034149707</c:v>
                </c:pt>
                <c:pt idx="138">
                  <c:v>0.03362844495216336</c:v>
                </c:pt>
                <c:pt idx="139">
                  <c:v>0.030990315526398</c:v>
                </c:pt>
                <c:pt idx="140">
                  <c:v>0.026904106079046825</c:v>
                </c:pt>
                <c:pt idx="141">
                  <c:v>0.027011225444340505</c:v>
                </c:pt>
                <c:pt idx="142">
                  <c:v>0.02195108044928445</c:v>
                </c:pt>
                <c:pt idx="143">
                  <c:v>0.015446783549501401</c:v>
                </c:pt>
                <c:pt idx="144">
                  <c:v>0.01430172016081197</c:v>
                </c:pt>
                <c:pt idx="145">
                  <c:v>0.014171413072959048</c:v>
                </c:pt>
                <c:pt idx="146">
                  <c:v>0.014005069708491762</c:v>
                </c:pt>
                <c:pt idx="147">
                  <c:v>0.013955174288648583</c:v>
                </c:pt>
                <c:pt idx="148">
                  <c:v>0.013649189579368726</c:v>
                </c:pt>
                <c:pt idx="149">
                  <c:v>0.008919722497522299</c:v>
                </c:pt>
                <c:pt idx="150">
                  <c:v>0.008531468531468531</c:v>
                </c:pt>
                <c:pt idx="151">
                  <c:v>0.008021390374331552</c:v>
                </c:pt>
                <c:pt idx="152">
                  <c:v>0.007553503986571549</c:v>
                </c:pt>
                <c:pt idx="153">
                  <c:v>0.007271335629544585</c:v>
                </c:pt>
                <c:pt idx="154">
                  <c:v>0.006843455945252352</c:v>
                </c:pt>
                <c:pt idx="155">
                  <c:v>0.005716798592788039</c:v>
                </c:pt>
                <c:pt idx="156">
                  <c:v>0.005859644285123397</c:v>
                </c:pt>
                <c:pt idx="157">
                  <c:v>0.005504587155963303</c:v>
                </c:pt>
                <c:pt idx="158">
                  <c:v>0.005538985939497231</c:v>
                </c:pt>
                <c:pt idx="159">
                  <c:v>0.005050505050505051</c:v>
                </c:pt>
                <c:pt idx="160">
                  <c:v>0.005122950819672131</c:v>
                </c:pt>
                <c:pt idx="161">
                  <c:v>0.004816955684007707</c:v>
                </c:pt>
                <c:pt idx="162">
                  <c:v>0.005691768826619965</c:v>
                </c:pt>
                <c:pt idx="163">
                  <c:v>0.006374840628984276</c:v>
                </c:pt>
                <c:pt idx="164">
                  <c:v>0.006830052229811169</c:v>
                </c:pt>
                <c:pt idx="165">
                  <c:v>0.007231820008035355</c:v>
                </c:pt>
                <c:pt idx="166">
                  <c:v>0.007271171941830625</c:v>
                </c:pt>
                <c:pt idx="167">
                  <c:v>0.005917159763313609</c:v>
                </c:pt>
                <c:pt idx="168">
                  <c:v>0.0061061531235321745</c:v>
                </c:pt>
                <c:pt idx="169">
                  <c:v>0.006636250518457071</c:v>
                </c:pt>
                <c:pt idx="170">
                  <c:v>0.006458966565349544</c:v>
                </c:pt>
                <c:pt idx="171">
                  <c:v>0.006618372572285019</c:v>
                </c:pt>
                <c:pt idx="172">
                  <c:v>0.006298449612403101</c:v>
                </c:pt>
                <c:pt idx="173">
                  <c:v>0.006378986866791745</c:v>
                </c:pt>
                <c:pt idx="174">
                  <c:v>0.006295341447328976</c:v>
                </c:pt>
                <c:pt idx="175">
                  <c:v>0.00676818950930626</c:v>
                </c:pt>
                <c:pt idx="176">
                  <c:v>0.007765131369003297</c:v>
                </c:pt>
                <c:pt idx="177">
                  <c:v>0.007707364815267922</c:v>
                </c:pt>
                <c:pt idx="178">
                  <c:v>0.008042555886264327</c:v>
                </c:pt>
                <c:pt idx="179">
                  <c:v>0.007908496732026144</c:v>
                </c:pt>
                <c:pt idx="180">
                  <c:v>0.008113590263691683</c:v>
                </c:pt>
                <c:pt idx="181">
                  <c:v>0.00974396881929978</c:v>
                </c:pt>
                <c:pt idx="182">
                  <c:v>0.007516672318299988</c:v>
                </c:pt>
                <c:pt idx="183">
                  <c:v>0.00782511489255993</c:v>
                </c:pt>
                <c:pt idx="184">
                  <c:v>0.007783977405800097</c:v>
                </c:pt>
                <c:pt idx="185">
                  <c:v>0.00851453099711491</c:v>
                </c:pt>
                <c:pt idx="186">
                  <c:v>0.00937661665804449</c:v>
                </c:pt>
                <c:pt idx="187">
                  <c:v>0.008263069139966273</c:v>
                </c:pt>
                <c:pt idx="188">
                  <c:v>0.008512049524651781</c:v>
                </c:pt>
                <c:pt idx="189">
                  <c:v>0</c:v>
                </c:pt>
                <c:pt idx="190">
                  <c:v>0</c:v>
                </c:pt>
                <c:pt idx="191">
                  <c:v>0</c:v>
                </c:pt>
                <c:pt idx="192">
                  <c:v>0</c:v>
                </c:pt>
                <c:pt idx="193">
                  <c:v>0</c:v>
                </c:pt>
                <c:pt idx="194">
                  <c:v>0</c:v>
                </c:pt>
                <c:pt idx="195">
                  <c:v>0</c:v>
                </c:pt>
                <c:pt idx="196">
                  <c:v>0</c:v>
                </c:pt>
                <c:pt idx="197">
                  <c:v>0</c:v>
                </c:pt>
                <c:pt idx="198">
                  <c:v>0</c:v>
                </c:pt>
                <c:pt idx="199">
                  <c:v>0</c:v>
                </c:pt>
                <c:pt idx="200">
                  <c:v>0.01</c:v>
                </c:pt>
                <c:pt idx="201">
                  <c:v>0.01</c:v>
                </c:pt>
                <c:pt idx="202">
                  <c:v>0.01</c:v>
                </c:pt>
                <c:pt idx="203">
                  <c:v>0.01</c:v>
                </c:pt>
                <c:pt idx="204">
                  <c:v>0.01</c:v>
                </c:pt>
                <c:pt idx="205">
                  <c:v>0.01</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numCache>
            </c:numRef>
          </c:val>
          <c:smooth val="0"/>
        </c:ser>
        <c:ser>
          <c:idx val="1"/>
          <c:order val="1"/>
          <c:tx>
            <c:v>Medium C&amp;I</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Load!$A$12:$A$268</c:f>
              <c:strCache>
                <c:ptCount val="257"/>
                <c:pt idx="0">
                  <c:v>44500</c:v>
                </c:pt>
                <c:pt idx="1">
                  <c:v>44469</c:v>
                </c:pt>
                <c:pt idx="2">
                  <c:v>44439</c:v>
                </c:pt>
                <c:pt idx="3">
                  <c:v>44378</c:v>
                </c:pt>
                <c:pt idx="4">
                  <c:v>44348</c:v>
                </c:pt>
                <c:pt idx="5">
                  <c:v>44317</c:v>
                </c:pt>
                <c:pt idx="6">
                  <c:v>44287</c:v>
                </c:pt>
                <c:pt idx="7">
                  <c:v>44256</c:v>
                </c:pt>
                <c:pt idx="8">
                  <c:v>44228</c:v>
                </c:pt>
                <c:pt idx="9">
                  <c:v>44197</c:v>
                </c:pt>
                <c:pt idx="10">
                  <c:v>44196</c:v>
                </c:pt>
                <c:pt idx="11">
                  <c:v>44165</c:v>
                </c:pt>
                <c:pt idx="12">
                  <c:v>44135</c:v>
                </c:pt>
                <c:pt idx="13">
                  <c:v>44075</c:v>
                </c:pt>
                <c:pt idx="14">
                  <c:v>44044</c:v>
                </c:pt>
                <c:pt idx="15">
                  <c:v>44013</c:v>
                </c:pt>
                <c:pt idx="16">
                  <c:v>43983</c:v>
                </c:pt>
                <c:pt idx="17">
                  <c:v>43952</c:v>
                </c:pt>
                <c:pt idx="18">
                  <c:v>43922</c:v>
                </c:pt>
                <c:pt idx="19">
                  <c:v>43891</c:v>
                </c:pt>
                <c:pt idx="20">
                  <c:v>43862</c:v>
                </c:pt>
                <c:pt idx="21">
                  <c:v>43831</c:v>
                </c:pt>
                <c:pt idx="22">
                  <c:v>43800</c:v>
                </c:pt>
                <c:pt idx="23">
                  <c:v>43770</c:v>
                </c:pt>
                <c:pt idx="24">
                  <c:v>43739</c:v>
                </c:pt>
                <c:pt idx="25">
                  <c:v>43709</c:v>
                </c:pt>
                <c:pt idx="26">
                  <c:v>43678</c:v>
                </c:pt>
                <c:pt idx="27">
                  <c:v>43647</c:v>
                </c:pt>
                <c:pt idx="28">
                  <c:v>43617</c:v>
                </c:pt>
                <c:pt idx="29">
                  <c:v>43586</c:v>
                </c:pt>
                <c:pt idx="30">
                  <c:v>43556</c:v>
                </c:pt>
                <c:pt idx="31">
                  <c:v>43525</c:v>
                </c:pt>
                <c:pt idx="32">
                  <c:v>43497</c:v>
                </c:pt>
                <c:pt idx="33">
                  <c:v>43466</c:v>
                </c:pt>
                <c:pt idx="34">
                  <c:v>43435</c:v>
                </c:pt>
                <c:pt idx="35">
                  <c:v>43405</c:v>
                </c:pt>
                <c:pt idx="36">
                  <c:v>43404</c:v>
                </c:pt>
                <c:pt idx="37">
                  <c:v>43361</c:v>
                </c:pt>
                <c:pt idx="38">
                  <c:v>43330</c:v>
                </c:pt>
                <c:pt idx="39">
                  <c:v>43282</c:v>
                </c:pt>
                <c:pt idx="40">
                  <c:v>43252</c:v>
                </c:pt>
                <c:pt idx="41">
                  <c:v>43221</c:v>
                </c:pt>
                <c:pt idx="42">
                  <c:v>43191</c:v>
                </c:pt>
                <c:pt idx="43">
                  <c:v>43160</c:v>
                </c:pt>
                <c:pt idx="44">
                  <c:v>43149</c:v>
                </c:pt>
                <c:pt idx="45">
                  <c:v>43101</c:v>
                </c:pt>
                <c:pt idx="46">
                  <c:v>43070</c:v>
                </c:pt>
                <c:pt idx="47">
                  <c:v>43040</c:v>
                </c:pt>
                <c:pt idx="48">
                  <c:v>43009</c:v>
                </c:pt>
                <c:pt idx="49">
                  <c:v>42979</c:v>
                </c:pt>
                <c:pt idx="50">
                  <c:v>42948</c:v>
                </c:pt>
                <c:pt idx="51">
                  <c:v>42917</c:v>
                </c:pt>
                <c:pt idx="52">
                  <c:v>42887</c:v>
                </c:pt>
                <c:pt idx="53">
                  <c:v>42856</c:v>
                </c:pt>
                <c:pt idx="54">
                  <c:v>42826</c:v>
                </c:pt>
                <c:pt idx="55">
                  <c:v>42795</c:v>
                </c:pt>
                <c:pt idx="56">
                  <c:v>42767</c:v>
                </c:pt>
                <c:pt idx="57">
                  <c:v>42736</c:v>
                </c:pt>
                <c:pt idx="58">
                  <c:v>42705</c:v>
                </c:pt>
                <c:pt idx="59">
                  <c:v>42675</c:v>
                </c:pt>
                <c:pt idx="60">
                  <c:v>42644</c:v>
                </c:pt>
                <c:pt idx="61">
                  <c:v>42614</c:v>
                </c:pt>
                <c:pt idx="62">
                  <c:v>42583</c:v>
                </c:pt>
                <c:pt idx="63">
                  <c:v>42552</c:v>
                </c:pt>
                <c:pt idx="64">
                  <c:v>42522</c:v>
                </c:pt>
                <c:pt idx="65">
                  <c:v>42491</c:v>
                </c:pt>
                <c:pt idx="66">
                  <c:v>42461</c:v>
                </c:pt>
                <c:pt idx="67">
                  <c:v>42430</c:v>
                </c:pt>
                <c:pt idx="68">
                  <c:v>42401</c:v>
                </c:pt>
                <c:pt idx="69">
                  <c:v>42370</c:v>
                </c:pt>
                <c:pt idx="70">
                  <c:v>42339</c:v>
                </c:pt>
                <c:pt idx="71">
                  <c:v>42309</c:v>
                </c:pt>
                <c:pt idx="72">
                  <c:v>42278</c:v>
                </c:pt>
                <c:pt idx="73">
                  <c:v>42248</c:v>
                </c:pt>
                <c:pt idx="74">
                  <c:v>42217</c:v>
                </c:pt>
                <c:pt idx="75">
                  <c:v>42186</c:v>
                </c:pt>
                <c:pt idx="76">
                  <c:v>42156</c:v>
                </c:pt>
                <c:pt idx="77">
                  <c:v>42125</c:v>
                </c:pt>
                <c:pt idx="78">
                  <c:v>42095</c:v>
                </c:pt>
                <c:pt idx="79">
                  <c:v>42064</c:v>
                </c:pt>
                <c:pt idx="80">
                  <c:v>42036</c:v>
                </c:pt>
                <c:pt idx="81">
                  <c:v>42005</c:v>
                </c:pt>
                <c:pt idx="82">
                  <c:v>41974</c:v>
                </c:pt>
                <c:pt idx="83">
                  <c:v>41944</c:v>
                </c:pt>
                <c:pt idx="84">
                  <c:v>41926</c:v>
                </c:pt>
                <c:pt idx="85">
                  <c:v>41883</c:v>
                </c:pt>
                <c:pt idx="86">
                  <c:v>41852</c:v>
                </c:pt>
                <c:pt idx="87">
                  <c:v>41821</c:v>
                </c:pt>
                <c:pt idx="88">
                  <c:v>41791</c:v>
                </c:pt>
                <c:pt idx="89">
                  <c:v>41760</c:v>
                </c:pt>
                <c:pt idx="90">
                  <c:v>41730</c:v>
                </c:pt>
                <c:pt idx="91">
                  <c:v>41699</c:v>
                </c:pt>
                <c:pt idx="92">
                  <c:v>41671</c:v>
                </c:pt>
                <c:pt idx="93">
                  <c:v>41640</c:v>
                </c:pt>
                <c:pt idx="94">
                  <c:v>41609</c:v>
                </c:pt>
                <c:pt idx="95">
                  <c:v>41579</c:v>
                </c:pt>
                <c:pt idx="96">
                  <c:v>41548</c:v>
                </c:pt>
                <c:pt idx="97">
                  <c:v>41518</c:v>
                </c:pt>
                <c:pt idx="98">
                  <c:v>41487</c:v>
                </c:pt>
                <c:pt idx="99">
                  <c:v>41456</c:v>
                </c:pt>
                <c:pt idx="100">
                  <c:v>41426</c:v>
                </c:pt>
                <c:pt idx="101">
                  <c:v>41395</c:v>
                </c:pt>
                <c:pt idx="102">
                  <c:v>41365</c:v>
                </c:pt>
                <c:pt idx="103">
                  <c:v>41334</c:v>
                </c:pt>
                <c:pt idx="104">
                  <c:v>41306</c:v>
                </c:pt>
                <c:pt idx="105">
                  <c:v>41275</c:v>
                </c:pt>
                <c:pt idx="106">
                  <c:v>41244</c:v>
                </c:pt>
                <c:pt idx="107">
                  <c:v>41214</c:v>
                </c:pt>
                <c:pt idx="108">
                  <c:v>41183</c:v>
                </c:pt>
                <c:pt idx="109">
                  <c:v>41153</c:v>
                </c:pt>
                <c:pt idx="110">
                  <c:v>41122</c:v>
                </c:pt>
                <c:pt idx="111">
                  <c:v>41091</c:v>
                </c:pt>
                <c:pt idx="112">
                  <c:v>41061</c:v>
                </c:pt>
                <c:pt idx="113">
                  <c:v>41030</c:v>
                </c:pt>
                <c:pt idx="114">
                  <c:v>41000</c:v>
                </c:pt>
                <c:pt idx="115">
                  <c:v>40969</c:v>
                </c:pt>
                <c:pt idx="116">
                  <c:v>40940</c:v>
                </c:pt>
                <c:pt idx="117">
                  <c:v>40909</c:v>
                </c:pt>
                <c:pt idx="118">
                  <c:v>40878</c:v>
                </c:pt>
                <c:pt idx="119">
                  <c:v>40848</c:v>
                </c:pt>
                <c:pt idx="120">
                  <c:v>40817</c:v>
                </c:pt>
                <c:pt idx="121">
                  <c:v>40797</c:v>
                </c:pt>
                <c:pt idx="122">
                  <c:v>40756</c:v>
                </c:pt>
                <c:pt idx="123">
                  <c:v>40725</c:v>
                </c:pt>
                <c:pt idx="124">
                  <c:v>40695</c:v>
                </c:pt>
                <c:pt idx="125">
                  <c:v>40664</c:v>
                </c:pt>
                <c:pt idx="126">
                  <c:v>40634</c:v>
                </c:pt>
                <c:pt idx="127">
                  <c:v>40603</c:v>
                </c:pt>
                <c:pt idx="128">
                  <c:v>40575</c:v>
                </c:pt>
                <c:pt idx="129">
                  <c:v>40544</c:v>
                </c:pt>
                <c:pt idx="130">
                  <c:v>40513</c:v>
                </c:pt>
                <c:pt idx="131">
                  <c:v>40483</c:v>
                </c:pt>
                <c:pt idx="132">
                  <c:v>40452</c:v>
                </c:pt>
                <c:pt idx="133">
                  <c:v>40422</c:v>
                </c:pt>
                <c:pt idx="134">
                  <c:v>40391</c:v>
                </c:pt>
                <c:pt idx="135">
                  <c:v>40360</c:v>
                </c:pt>
                <c:pt idx="136">
                  <c:v>40330</c:v>
                </c:pt>
                <c:pt idx="137">
                  <c:v>40299</c:v>
                </c:pt>
                <c:pt idx="138">
                  <c:v>40269</c:v>
                </c:pt>
                <c:pt idx="139">
                  <c:v>40238</c:v>
                </c:pt>
                <c:pt idx="140">
                  <c:v>40210</c:v>
                </c:pt>
                <c:pt idx="141">
                  <c:v>40179</c:v>
                </c:pt>
                <c:pt idx="142">
                  <c:v>40148</c:v>
                </c:pt>
                <c:pt idx="143">
                  <c:v>40118</c:v>
                </c:pt>
                <c:pt idx="144">
                  <c:v>40087</c:v>
                </c:pt>
                <c:pt idx="145">
                  <c:v>40057</c:v>
                </c:pt>
                <c:pt idx="146">
                  <c:v>40026</c:v>
                </c:pt>
                <c:pt idx="147">
                  <c:v>39995</c:v>
                </c:pt>
                <c:pt idx="148">
                  <c:v>39965</c:v>
                </c:pt>
                <c:pt idx="149">
                  <c:v>39934</c:v>
                </c:pt>
                <c:pt idx="150">
                  <c:v>39904</c:v>
                </c:pt>
                <c:pt idx="151">
                  <c:v>39873</c:v>
                </c:pt>
                <c:pt idx="152">
                  <c:v>39845</c:v>
                </c:pt>
                <c:pt idx="153">
                  <c:v>39814</c:v>
                </c:pt>
                <c:pt idx="154">
                  <c:v>39783</c:v>
                </c:pt>
                <c:pt idx="155">
                  <c:v>39753</c:v>
                </c:pt>
                <c:pt idx="156">
                  <c:v>39722</c:v>
                </c:pt>
                <c:pt idx="157">
                  <c:v>39692</c:v>
                </c:pt>
                <c:pt idx="158">
                  <c:v>39661</c:v>
                </c:pt>
                <c:pt idx="159">
                  <c:v>39630</c:v>
                </c:pt>
                <c:pt idx="160">
                  <c:v>39600</c:v>
                </c:pt>
                <c:pt idx="161">
                  <c:v>39569</c:v>
                </c:pt>
                <c:pt idx="162">
                  <c:v>39539</c:v>
                </c:pt>
                <c:pt idx="163">
                  <c:v>39508</c:v>
                </c:pt>
                <c:pt idx="164">
                  <c:v>39479</c:v>
                </c:pt>
                <c:pt idx="165">
                  <c:v>39448</c:v>
                </c:pt>
                <c:pt idx="166">
                  <c:v>39417</c:v>
                </c:pt>
                <c:pt idx="167">
                  <c:v>39387</c:v>
                </c:pt>
                <c:pt idx="168">
                  <c:v>39356</c:v>
                </c:pt>
                <c:pt idx="169">
                  <c:v>39326</c:v>
                </c:pt>
                <c:pt idx="170">
                  <c:v>39295</c:v>
                </c:pt>
                <c:pt idx="171">
                  <c:v>39264</c:v>
                </c:pt>
                <c:pt idx="172">
                  <c:v>39234</c:v>
                </c:pt>
                <c:pt idx="173">
                  <c:v>39203</c:v>
                </c:pt>
                <c:pt idx="174">
                  <c:v>39173</c:v>
                </c:pt>
                <c:pt idx="175">
                  <c:v>39142</c:v>
                </c:pt>
                <c:pt idx="176">
                  <c:v>39114</c:v>
                </c:pt>
                <c:pt idx="177">
                  <c:v>39083</c:v>
                </c:pt>
                <c:pt idx="178">
                  <c:v>39052</c:v>
                </c:pt>
                <c:pt idx="179">
                  <c:v>39022</c:v>
                </c:pt>
                <c:pt idx="180">
                  <c:v>38991</c:v>
                </c:pt>
                <c:pt idx="181">
                  <c:v>38961</c:v>
                </c:pt>
                <c:pt idx="182">
                  <c:v>38930</c:v>
                </c:pt>
                <c:pt idx="183">
                  <c:v>38899</c:v>
                </c:pt>
                <c:pt idx="184">
                  <c:v>38869</c:v>
                </c:pt>
                <c:pt idx="185">
                  <c:v>38838</c:v>
                </c:pt>
                <c:pt idx="186">
                  <c:v>38808</c:v>
                </c:pt>
                <c:pt idx="187">
                  <c:v>38777</c:v>
                </c:pt>
                <c:pt idx="188">
                  <c:v>38749</c:v>
                </c:pt>
                <c:pt idx="189">
                  <c:v>38718</c:v>
                </c:pt>
                <c:pt idx="190">
                  <c:v>38687</c:v>
                </c:pt>
                <c:pt idx="191">
                  <c:v>38657</c:v>
                </c:pt>
                <c:pt idx="192">
                  <c:v>38626</c:v>
                </c:pt>
                <c:pt idx="193">
                  <c:v>38596</c:v>
                </c:pt>
                <c:pt idx="194">
                  <c:v>38565</c:v>
                </c:pt>
                <c:pt idx="195">
                  <c:v>38534</c:v>
                </c:pt>
                <c:pt idx="196">
                  <c:v>38504</c:v>
                </c:pt>
                <c:pt idx="197">
                  <c:v>38473</c:v>
                </c:pt>
                <c:pt idx="198">
                  <c:v>38443</c:v>
                </c:pt>
                <c:pt idx="199">
                  <c:v>38412</c:v>
                </c:pt>
                <c:pt idx="200">
                  <c:v>38384</c:v>
                </c:pt>
                <c:pt idx="201">
                  <c:v>38353</c:v>
                </c:pt>
                <c:pt idx="202">
                  <c:v>38322</c:v>
                </c:pt>
                <c:pt idx="203">
                  <c:v>38292</c:v>
                </c:pt>
                <c:pt idx="204">
                  <c:v>38261</c:v>
                </c:pt>
                <c:pt idx="205">
                  <c:v>38231</c:v>
                </c:pt>
                <c:pt idx="206">
                  <c:v>38200</c:v>
                </c:pt>
                <c:pt idx="207">
                  <c:v>38169</c:v>
                </c:pt>
                <c:pt idx="208">
                  <c:v>38139</c:v>
                </c:pt>
                <c:pt idx="209">
                  <c:v>38108</c:v>
                </c:pt>
                <c:pt idx="210">
                  <c:v>38078</c:v>
                </c:pt>
                <c:pt idx="211">
                  <c:v>38047</c:v>
                </c:pt>
                <c:pt idx="212">
                  <c:v>38018</c:v>
                </c:pt>
                <c:pt idx="213">
                  <c:v>37987</c:v>
                </c:pt>
                <c:pt idx="214">
                  <c:v>37956</c:v>
                </c:pt>
                <c:pt idx="215">
                  <c:v>37926</c:v>
                </c:pt>
                <c:pt idx="216">
                  <c:v>37895</c:v>
                </c:pt>
                <c:pt idx="217">
                  <c:v>37865</c:v>
                </c:pt>
                <c:pt idx="218">
                  <c:v>37834</c:v>
                </c:pt>
                <c:pt idx="219">
                  <c:v>37803</c:v>
                </c:pt>
                <c:pt idx="220">
                  <c:v>37773</c:v>
                </c:pt>
                <c:pt idx="221">
                  <c:v>37742</c:v>
                </c:pt>
                <c:pt idx="222">
                  <c:v>37712</c:v>
                </c:pt>
                <c:pt idx="223">
                  <c:v>37681</c:v>
                </c:pt>
                <c:pt idx="224">
                  <c:v>37653</c:v>
                </c:pt>
                <c:pt idx="225">
                  <c:v>37622</c:v>
                </c:pt>
                <c:pt idx="226">
                  <c:v>37591</c:v>
                </c:pt>
                <c:pt idx="227">
                  <c:v>37561</c:v>
                </c:pt>
                <c:pt idx="228">
                  <c:v>37530</c:v>
                </c:pt>
                <c:pt idx="229">
                  <c:v>37500</c:v>
                </c:pt>
                <c:pt idx="230">
                  <c:v>37469</c:v>
                </c:pt>
                <c:pt idx="231">
                  <c:v>37438</c:v>
                </c:pt>
                <c:pt idx="232">
                  <c:v>37408</c:v>
                </c:pt>
                <c:pt idx="233">
                  <c:v>37377</c:v>
                </c:pt>
                <c:pt idx="234">
                  <c:v>37347</c:v>
                </c:pt>
                <c:pt idx="235">
                  <c:v>37316</c:v>
                </c:pt>
                <c:pt idx="236">
                  <c:v>37288</c:v>
                </c:pt>
                <c:pt idx="237">
                  <c:v>37257</c:v>
                </c:pt>
                <c:pt idx="238">
                  <c:v>37226</c:v>
                </c:pt>
                <c:pt idx="239">
                  <c:v>37196</c:v>
                </c:pt>
                <c:pt idx="240">
                  <c:v>37165</c:v>
                </c:pt>
                <c:pt idx="241">
                  <c:v>37135</c:v>
                </c:pt>
                <c:pt idx="242">
                  <c:v>37104</c:v>
                </c:pt>
                <c:pt idx="243">
                  <c:v>37073</c:v>
                </c:pt>
                <c:pt idx="244">
                  <c:v>37043</c:v>
                </c:pt>
                <c:pt idx="245">
                  <c:v>37012</c:v>
                </c:pt>
                <c:pt idx="246">
                  <c:v>36982</c:v>
                </c:pt>
                <c:pt idx="247">
                  <c:v>36951</c:v>
                </c:pt>
                <c:pt idx="248">
                  <c:v>36923</c:v>
                </c:pt>
                <c:pt idx="249">
                  <c:v>36892</c:v>
                </c:pt>
                <c:pt idx="250">
                  <c:v>36861</c:v>
                </c:pt>
                <c:pt idx="251">
                  <c:v>36831</c:v>
                </c:pt>
                <c:pt idx="252">
                  <c:v>36800</c:v>
                </c:pt>
                <c:pt idx="253">
                  <c:v>36770</c:v>
                </c:pt>
                <c:pt idx="254">
                  <c:v>36739</c:v>
                </c:pt>
                <c:pt idx="255">
                  <c:v>36708</c:v>
                </c:pt>
                <c:pt idx="256">
                  <c:v>36678</c:v>
                </c:pt>
              </c:strCache>
            </c:strRef>
          </c:cat>
          <c:val>
            <c:numRef>
              <c:f>Load!$E$12:$E$268</c:f>
              <c:numCache>
                <c:ptCount val="257"/>
                <c:pt idx="0">
                  <c:v>0.6779661016949152</c:v>
                </c:pt>
                <c:pt idx="1">
                  <c:v>0.6798341335661283</c:v>
                </c:pt>
                <c:pt idx="2">
                  <c:v>0.674</c:v>
                </c:pt>
                <c:pt idx="3">
                  <c:v>0.6786006786006786</c:v>
                </c:pt>
                <c:pt idx="4">
                  <c:v>0.684123972169513</c:v>
                </c:pt>
                <c:pt idx="5">
                  <c:v>0.6848884229444362</c:v>
                </c:pt>
                <c:pt idx="6">
                  <c:v>0.6869676320272573</c:v>
                </c:pt>
                <c:pt idx="7">
                  <c:v>0.6840950167828556</c:v>
                </c:pt>
                <c:pt idx="8">
                  <c:v>0.6781667086376227</c:v>
                </c:pt>
                <c:pt idx="9">
                  <c:v>0.6791289518562246</c:v>
                </c:pt>
                <c:pt idx="10">
                  <c:v>0.6721602434077079</c:v>
                </c:pt>
                <c:pt idx="11">
                  <c:v>0.6657734107488462</c:v>
                </c:pt>
                <c:pt idx="12">
                  <c:v>0.6636264633814322</c:v>
                </c:pt>
                <c:pt idx="13">
                  <c:v>0.662</c:v>
                </c:pt>
                <c:pt idx="14">
                  <c:v>0.6583734303485507</c:v>
                </c:pt>
                <c:pt idx="15">
                  <c:v>0.6634698143366532</c:v>
                </c:pt>
                <c:pt idx="16">
                  <c:v>0.671</c:v>
                </c:pt>
                <c:pt idx="17">
                  <c:v>0.677</c:v>
                </c:pt>
                <c:pt idx="18">
                  <c:v>0.6659627563601723</c:v>
                </c:pt>
                <c:pt idx="19">
                  <c:v>0.654</c:v>
                </c:pt>
                <c:pt idx="20">
                  <c:v>0.662987898492817</c:v>
                </c:pt>
                <c:pt idx="21">
                  <c:v>0.6588311985967189</c:v>
                </c:pt>
                <c:pt idx="22">
                  <c:v>0.6565694032818856</c:v>
                </c:pt>
                <c:pt idx="23">
                  <c:v>0.635</c:v>
                </c:pt>
                <c:pt idx="24">
                  <c:v>0.63</c:v>
                </c:pt>
                <c:pt idx="25">
                  <c:v>0.624</c:v>
                </c:pt>
                <c:pt idx="26">
                  <c:v>0.63</c:v>
                </c:pt>
                <c:pt idx="27">
                  <c:v>0.6425201488217028</c:v>
                </c:pt>
                <c:pt idx="28">
                  <c:v>0.65</c:v>
                </c:pt>
                <c:pt idx="29">
                  <c:v>0.6255446022054998</c:v>
                </c:pt>
                <c:pt idx="30">
                  <c:v>0.6426010638432587</c:v>
                </c:pt>
                <c:pt idx="31">
                  <c:v>0.642</c:v>
                </c:pt>
                <c:pt idx="32">
                  <c:v>0.6343665682546799</c:v>
                </c:pt>
                <c:pt idx="33">
                  <c:v>0.6445998150196136</c:v>
                </c:pt>
                <c:pt idx="34">
                  <c:v>0.6160130483876717</c:v>
                </c:pt>
                <c:pt idx="35">
                  <c:v>0.6199177500371084</c:v>
                </c:pt>
                <c:pt idx="36">
                  <c:v>0.632621865387127</c:v>
                </c:pt>
                <c:pt idx="37">
                  <c:v>0.6244119819767223</c:v>
                </c:pt>
                <c:pt idx="38">
                  <c:v>0.6267204188014045</c:v>
                </c:pt>
                <c:pt idx="39">
                  <c:v>0.6386989411183757</c:v>
                </c:pt>
                <c:pt idx="40">
                  <c:v>0.6510830434058568</c:v>
                </c:pt>
                <c:pt idx="41">
                  <c:v>0.6538582729065779</c:v>
                </c:pt>
                <c:pt idx="42">
                  <c:v>0.6442244633272709</c:v>
                </c:pt>
                <c:pt idx="43">
                  <c:v>0.6505723505330029</c:v>
                </c:pt>
                <c:pt idx="44">
                  <c:v>0.646145703138836</c:v>
                </c:pt>
                <c:pt idx="45">
                  <c:v>0.6519991319757809</c:v>
                </c:pt>
                <c:pt idx="46">
                  <c:v>0.6535746606334841</c:v>
                </c:pt>
                <c:pt idx="47">
                  <c:v>0.6519249125039771</c:v>
                </c:pt>
                <c:pt idx="48">
                  <c:v>0.649891591817173</c:v>
                </c:pt>
                <c:pt idx="49">
                  <c:v>0.6577904519474964</c:v>
                </c:pt>
                <c:pt idx="50">
                  <c:v>0.658598988928651</c:v>
                </c:pt>
                <c:pt idx="51">
                  <c:v>0.6636644171604644</c:v>
                </c:pt>
                <c:pt idx="52">
                  <c:v>0.6751397634900731</c:v>
                </c:pt>
                <c:pt idx="53">
                  <c:v>0.6928115228196412</c:v>
                </c:pt>
                <c:pt idx="54">
                  <c:v>0.6804108334611467</c:v>
                </c:pt>
                <c:pt idx="55">
                  <c:v>0.6708612686952037</c:v>
                </c:pt>
                <c:pt idx="56">
                  <c:v>0.6685149469623916</c:v>
                </c:pt>
                <c:pt idx="57">
                  <c:v>0.33701291533281824</c:v>
                </c:pt>
                <c:pt idx="58">
                  <c:v>0.6613149847094801</c:v>
                </c:pt>
                <c:pt idx="59">
                  <c:v>0.657347670250896</c:v>
                </c:pt>
                <c:pt idx="60">
                  <c:v>0.65600624024961</c:v>
                </c:pt>
                <c:pt idx="61">
                  <c:v>0.6435257410296412</c:v>
                </c:pt>
                <c:pt idx="62">
                  <c:v>0.6534320323014805</c:v>
                </c:pt>
                <c:pt idx="63">
                  <c:v>0.6647681041497152</c:v>
                </c:pt>
                <c:pt idx="64">
                  <c:v>0.6671418389166073</c:v>
                </c:pt>
                <c:pt idx="65">
                  <c:v>0.6605922551252847</c:v>
                </c:pt>
                <c:pt idx="66">
                  <c:v>0.6519287164448454</c:v>
                </c:pt>
                <c:pt idx="67">
                  <c:v>0.6453931605314746</c:v>
                </c:pt>
                <c:pt idx="68">
                  <c:v>0.6406995230524642</c:v>
                </c:pt>
                <c:pt idx="69">
                  <c:v>0.6227842852700322</c:v>
                </c:pt>
                <c:pt idx="70">
                  <c:v>0.6185532484929671</c:v>
                </c:pt>
                <c:pt idx="71">
                  <c:v>0.6180735079240193</c:v>
                </c:pt>
                <c:pt idx="72">
                  <c:v>0.6185567010309279</c:v>
                </c:pt>
                <c:pt idx="73">
                  <c:v>0.6193993106843919</c:v>
                </c:pt>
                <c:pt idx="74">
                  <c:v>0.6211854460093896</c:v>
                </c:pt>
                <c:pt idx="75">
                  <c:v>0.6271370688803241</c:v>
                </c:pt>
                <c:pt idx="76">
                  <c:v>0.6395059052985156</c:v>
                </c:pt>
                <c:pt idx="77">
                  <c:v>0.6382782828864082</c:v>
                </c:pt>
                <c:pt idx="78">
                  <c:v>0.6343173431734317</c:v>
                </c:pt>
                <c:pt idx="79">
                  <c:v>0.617567408454021</c:v>
                </c:pt>
                <c:pt idx="80">
                  <c:v>0.6024357518835793</c:v>
                </c:pt>
                <c:pt idx="81">
                  <c:v>0.6265291679304419</c:v>
                </c:pt>
                <c:pt idx="82">
                  <c:v>0.6144865380033357</c:v>
                </c:pt>
                <c:pt idx="83">
                  <c:v>0.5974025974025974</c:v>
                </c:pt>
                <c:pt idx="84">
                  <c:v>0.5843325339728217</c:v>
                </c:pt>
                <c:pt idx="85">
                  <c:v>0.5718763994626063</c:v>
                </c:pt>
                <c:pt idx="86">
                  <c:v>0.5745064635735043</c:v>
                </c:pt>
                <c:pt idx="87">
                  <c:v>0.5845766129032258</c:v>
                </c:pt>
                <c:pt idx="88">
                  <c:v>0.5883186557343861</c:v>
                </c:pt>
                <c:pt idx="89">
                  <c:v>0.5906121461408178</c:v>
                </c:pt>
                <c:pt idx="90">
                  <c:v>0.5603964960811434</c:v>
                </c:pt>
                <c:pt idx="91">
                  <c:v>0.5613767563446248</c:v>
                </c:pt>
                <c:pt idx="92">
                  <c:v>0.576803551609323</c:v>
                </c:pt>
                <c:pt idx="93">
                  <c:v>0.5745189807592304</c:v>
                </c:pt>
                <c:pt idx="94">
                  <c:v>0.5849967098047817</c:v>
                </c:pt>
                <c:pt idx="95">
                  <c:v>0.6158723665371242</c:v>
                </c:pt>
                <c:pt idx="96">
                  <c:v>0.6061754542414446</c:v>
                </c:pt>
                <c:pt idx="97">
                  <c:v>0.5968357271095153</c:v>
                </c:pt>
                <c:pt idx="98">
                  <c:v>0.6009925034315278</c:v>
                </c:pt>
                <c:pt idx="99">
                  <c:v>0.6077612548380525</c:v>
                </c:pt>
                <c:pt idx="100">
                  <c:v>0.6197848597567105</c:v>
                </c:pt>
                <c:pt idx="101">
                  <c:v>0.6195375862486382</c:v>
                </c:pt>
                <c:pt idx="102">
                  <c:v>0.6226255293405928</c:v>
                </c:pt>
                <c:pt idx="103">
                  <c:v>0.6260746672947827</c:v>
                </c:pt>
                <c:pt idx="104">
                  <c:v>0.5991212469923631</c:v>
                </c:pt>
                <c:pt idx="105">
                  <c:v>0.6294370562943705</c:v>
                </c:pt>
                <c:pt idx="106">
                  <c:v>0.6361669911313</c:v>
                </c:pt>
                <c:pt idx="107">
                  <c:v>0.643986534734265</c:v>
                </c:pt>
                <c:pt idx="108">
                  <c:v>0.6339449541284403</c:v>
                </c:pt>
                <c:pt idx="109">
                  <c:v>0.6262582056892778</c:v>
                </c:pt>
                <c:pt idx="110">
                  <c:v>0.6118703631393987</c:v>
                </c:pt>
                <c:pt idx="111">
                  <c:v>0.6393521180755223</c:v>
                </c:pt>
                <c:pt idx="112">
                  <c:v>0.61083349990006</c:v>
                </c:pt>
                <c:pt idx="113">
                  <c:v>0.5965528598089802</c:v>
                </c:pt>
                <c:pt idx="114">
                  <c:v>0.5778950915421768</c:v>
                </c:pt>
                <c:pt idx="115">
                  <c:v>0.5748340045716774</c:v>
                </c:pt>
                <c:pt idx="116">
                  <c:v>0.561649527370936</c:v>
                </c:pt>
                <c:pt idx="117">
                  <c:v>0.5744565217391304</c:v>
                </c:pt>
                <c:pt idx="118">
                  <c:v>0.5606599805888062</c:v>
                </c:pt>
                <c:pt idx="119">
                  <c:v>0.5500492287495898</c:v>
                </c:pt>
                <c:pt idx="120">
                  <c:v>0.5384701159678859</c:v>
                </c:pt>
                <c:pt idx="121">
                  <c:v>0.5273015873015873</c:v>
                </c:pt>
                <c:pt idx="122">
                  <c:v>0.521978021978022</c:v>
                </c:pt>
                <c:pt idx="123">
                  <c:v>0.5398662808102983</c:v>
                </c:pt>
                <c:pt idx="124">
                  <c:v>0.553290377099398</c:v>
                </c:pt>
                <c:pt idx="125">
                  <c:v>0.5560590217265016</c:v>
                </c:pt>
                <c:pt idx="126">
                  <c:v>0.54990990990991</c:v>
                </c:pt>
                <c:pt idx="127">
                  <c:v>0.5498193683719846</c:v>
                </c:pt>
                <c:pt idx="128">
                  <c:v>0.5360944251238275</c:v>
                </c:pt>
                <c:pt idx="129">
                  <c:v>0.5325847202727091</c:v>
                </c:pt>
                <c:pt idx="130">
                  <c:v>0.5414914804160212</c:v>
                </c:pt>
                <c:pt idx="131">
                  <c:v>0.5268245004344049</c:v>
                </c:pt>
                <c:pt idx="132">
                  <c:v>0.5305887764489421</c:v>
                </c:pt>
                <c:pt idx="133">
                  <c:v>0.5205790212811927</c:v>
                </c:pt>
                <c:pt idx="134">
                  <c:v>0.5217477854085797</c:v>
                </c:pt>
                <c:pt idx="135">
                  <c:v>0.5149312377210217</c:v>
                </c:pt>
                <c:pt idx="136">
                  <c:v>0.5153237264055206</c:v>
                </c:pt>
                <c:pt idx="137">
                  <c:v>0.5082474226804125</c:v>
                </c:pt>
                <c:pt idx="138">
                  <c:v>0.5090433127082341</c:v>
                </c:pt>
                <c:pt idx="139">
                  <c:v>0.5059260146055309</c:v>
                </c:pt>
                <c:pt idx="140">
                  <c:v>0.4985039538362898</c:v>
                </c:pt>
                <c:pt idx="141">
                  <c:v>0.5043460476531343</c:v>
                </c:pt>
                <c:pt idx="142">
                  <c:v>0.5094401396922406</c:v>
                </c:pt>
                <c:pt idx="143">
                  <c:v>0.49024937950596853</c:v>
                </c:pt>
                <c:pt idx="144">
                  <c:v>0.4787367460950861</c:v>
                </c:pt>
                <c:pt idx="145">
                  <c:v>0.46676480579775786</c:v>
                </c:pt>
                <c:pt idx="146">
                  <c:v>0.4502561912894962</c:v>
                </c:pt>
                <c:pt idx="147">
                  <c:v>0.45586481113320076</c:v>
                </c:pt>
                <c:pt idx="148">
                  <c:v>0.4541453428863869</c:v>
                </c:pt>
                <c:pt idx="149">
                  <c:v>0.4445357436318817</c:v>
                </c:pt>
                <c:pt idx="150">
                  <c:v>0.44165527525786</c:v>
                </c:pt>
                <c:pt idx="151">
                  <c:v>0.4400345125107852</c:v>
                </c:pt>
                <c:pt idx="152">
                  <c:v>0.419175911251981</c:v>
                </c:pt>
                <c:pt idx="153">
                  <c:v>0.4565718677940046</c:v>
                </c:pt>
                <c:pt idx="154">
                  <c:v>0.4346123727486296</c:v>
                </c:pt>
                <c:pt idx="155">
                  <c:v>0.4145785876993166</c:v>
                </c:pt>
                <c:pt idx="156">
                  <c:v>0.40507302075326673</c:v>
                </c:pt>
                <c:pt idx="157">
                  <c:v>0.3956363636363636</c:v>
                </c:pt>
                <c:pt idx="158">
                  <c:v>0.3979591836734694</c:v>
                </c:pt>
                <c:pt idx="159">
                  <c:v>0.40269886363636365</c:v>
                </c:pt>
                <c:pt idx="160">
                  <c:v>0.41253051261187956</c:v>
                </c:pt>
                <c:pt idx="161">
                  <c:v>0.41049913941480204</c:v>
                </c:pt>
                <c:pt idx="162">
                  <c:v>0.41451990632318503</c:v>
                </c:pt>
                <c:pt idx="163">
                  <c:v>0.4024130589070263</c:v>
                </c:pt>
                <c:pt idx="164">
                  <c:v>0.3857442348008386</c:v>
                </c:pt>
                <c:pt idx="165">
                  <c:v>0.4241214057507987</c:v>
                </c:pt>
                <c:pt idx="166">
                  <c:v>0.4369565217391304</c:v>
                </c:pt>
                <c:pt idx="167">
                  <c:v>0.4236734693877551</c:v>
                </c:pt>
                <c:pt idx="168">
                  <c:v>0.4024745269286754</c:v>
                </c:pt>
                <c:pt idx="169">
                  <c:v>0.4262948207171315</c:v>
                </c:pt>
                <c:pt idx="170">
                  <c:v>0.43042671614100186</c:v>
                </c:pt>
                <c:pt idx="171">
                  <c:v>0.4412171507607192</c:v>
                </c:pt>
                <c:pt idx="172">
                  <c:v>0.44280693798889015</c:v>
                </c:pt>
                <c:pt idx="173">
                  <c:v>0.4429432013769364</c:v>
                </c:pt>
                <c:pt idx="174">
                  <c:v>0.43800927667042744</c:v>
                </c:pt>
                <c:pt idx="175">
                  <c:v>0.43293591654247393</c:v>
                </c:pt>
                <c:pt idx="176">
                  <c:v>0.434</c:v>
                </c:pt>
                <c:pt idx="177">
                  <c:v>0.36260679515199684</c:v>
                </c:pt>
                <c:pt idx="178">
                  <c:v>0.411963023382273</c:v>
                </c:pt>
                <c:pt idx="179">
                  <c:v>0.4000921340550501</c:v>
                </c:pt>
                <c:pt idx="180">
                  <c:v>0.38184338184338185</c:v>
                </c:pt>
                <c:pt idx="181">
                  <c:v>0.3858336999560053</c:v>
                </c:pt>
                <c:pt idx="182">
                  <c:v>0.3813670411985019</c:v>
                </c:pt>
                <c:pt idx="183">
                  <c:v>0.36619718309859156</c:v>
                </c:pt>
                <c:pt idx="184">
                  <c:v>0.36812033582089554</c:v>
                </c:pt>
                <c:pt idx="185">
                  <c:v>0.355302220638879</c:v>
                </c:pt>
                <c:pt idx="186">
                  <c:v>0.33646548608601373</c:v>
                </c:pt>
                <c:pt idx="187">
                  <c:v>0.333089158643784</c:v>
                </c:pt>
                <c:pt idx="188">
                  <c:v>0.3114950803935685</c:v>
                </c:pt>
                <c:pt idx="189">
                  <c:v>0.33</c:v>
                </c:pt>
                <c:pt idx="190">
                  <c:v>0.35</c:v>
                </c:pt>
                <c:pt idx="191">
                  <c:v>0.33</c:v>
                </c:pt>
                <c:pt idx="192">
                  <c:v>0.33</c:v>
                </c:pt>
                <c:pt idx="193">
                  <c:v>0.33</c:v>
                </c:pt>
                <c:pt idx="194">
                  <c:v>0.34</c:v>
                </c:pt>
                <c:pt idx="195">
                  <c:v>0.34</c:v>
                </c:pt>
                <c:pt idx="196">
                  <c:v>0.34</c:v>
                </c:pt>
                <c:pt idx="197">
                  <c:v>0.32</c:v>
                </c:pt>
                <c:pt idx="198">
                  <c:v>0.32</c:v>
                </c:pt>
                <c:pt idx="199">
                  <c:v>0.33</c:v>
                </c:pt>
                <c:pt idx="200">
                  <c:v>0.32</c:v>
                </c:pt>
                <c:pt idx="201">
                  <c:v>0.31</c:v>
                </c:pt>
                <c:pt idx="202">
                  <c:v>0.26</c:v>
                </c:pt>
                <c:pt idx="203">
                  <c:v>0.26</c:v>
                </c:pt>
                <c:pt idx="204">
                  <c:v>0.26</c:v>
                </c:pt>
                <c:pt idx="205">
                  <c:v>0.27</c:v>
                </c:pt>
                <c:pt idx="206">
                  <c:v>0.28</c:v>
                </c:pt>
                <c:pt idx="207">
                  <c:v>0.28</c:v>
                </c:pt>
                <c:pt idx="208">
                  <c:v>0.29</c:v>
                </c:pt>
                <c:pt idx="209">
                  <c:v>0.27</c:v>
                </c:pt>
                <c:pt idx="210">
                  <c:v>0.26</c:v>
                </c:pt>
                <c:pt idx="211">
                  <c:v>0.27</c:v>
                </c:pt>
                <c:pt idx="212">
                  <c:v>0.28</c:v>
                </c:pt>
                <c:pt idx="213">
                  <c:v>0.29</c:v>
                </c:pt>
                <c:pt idx="214">
                  <c:v>0.27</c:v>
                </c:pt>
                <c:pt idx="215">
                  <c:v>0.24</c:v>
                </c:pt>
                <c:pt idx="216">
                  <c:v>0.25</c:v>
                </c:pt>
                <c:pt idx="217">
                  <c:v>0.24</c:v>
                </c:pt>
                <c:pt idx="218">
                  <c:v>0.26</c:v>
                </c:pt>
                <c:pt idx="219">
                  <c:v>0.27</c:v>
                </c:pt>
                <c:pt idx="220">
                  <c:v>0.27</c:v>
                </c:pt>
                <c:pt idx="221">
                  <c:v>0.28</c:v>
                </c:pt>
                <c:pt idx="222">
                  <c:v>0.27</c:v>
                </c:pt>
                <c:pt idx="224">
                  <c:v>0.3</c:v>
                </c:pt>
                <c:pt idx="225">
                  <c:v>0.32</c:v>
                </c:pt>
                <c:pt idx="226">
                  <c:v>0.32</c:v>
                </c:pt>
                <c:pt idx="227">
                  <c:v>0.34</c:v>
                </c:pt>
                <c:pt idx="228">
                  <c:v>0.31</c:v>
                </c:pt>
                <c:pt idx="229">
                  <c:v>0.32</c:v>
                </c:pt>
                <c:pt idx="230">
                  <c:v>0.35</c:v>
                </c:pt>
                <c:pt idx="231">
                  <c:v>0.35</c:v>
                </c:pt>
                <c:pt idx="232">
                  <c:v>0.35</c:v>
                </c:pt>
                <c:pt idx="233">
                  <c:v>0.35</c:v>
                </c:pt>
                <c:pt idx="234">
                  <c:v>0.32</c:v>
                </c:pt>
                <c:pt idx="235">
                  <c:v>0.33</c:v>
                </c:pt>
                <c:pt idx="236">
                  <c:v>0.28</c:v>
                </c:pt>
                <c:pt idx="237">
                  <c:v>0.22</c:v>
                </c:pt>
                <c:pt idx="238">
                  <c:v>0.21</c:v>
                </c:pt>
                <c:pt idx="239">
                  <c:v>0.2</c:v>
                </c:pt>
                <c:pt idx="240">
                  <c:v>0.18</c:v>
                </c:pt>
                <c:pt idx="241">
                  <c:v>0.18</c:v>
                </c:pt>
                <c:pt idx="242">
                  <c:v>0.09</c:v>
                </c:pt>
                <c:pt idx="243">
                  <c:v>0.08</c:v>
                </c:pt>
                <c:pt idx="244">
                  <c:v>0.09</c:v>
                </c:pt>
                <c:pt idx="245">
                  <c:v>0.07</c:v>
                </c:pt>
                <c:pt idx="246">
                  <c:v>0.04</c:v>
                </c:pt>
                <c:pt idx="247">
                  <c:v>0.04</c:v>
                </c:pt>
                <c:pt idx="248">
                  <c:v>0.03</c:v>
                </c:pt>
                <c:pt idx="249">
                  <c:v>0.03</c:v>
                </c:pt>
                <c:pt idx="250">
                  <c:v>0.03</c:v>
                </c:pt>
                <c:pt idx="251">
                  <c:v>0.03</c:v>
                </c:pt>
                <c:pt idx="252">
                  <c:v>0.02</c:v>
                </c:pt>
                <c:pt idx="253">
                  <c:v>0.02</c:v>
                </c:pt>
                <c:pt idx="254">
                  <c:v>0.02</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Load!$A$12:$A$268</c:f>
              <c:strCache>
                <c:ptCount val="257"/>
                <c:pt idx="0">
                  <c:v>44500</c:v>
                </c:pt>
                <c:pt idx="1">
                  <c:v>44469</c:v>
                </c:pt>
                <c:pt idx="2">
                  <c:v>44439</c:v>
                </c:pt>
                <c:pt idx="3">
                  <c:v>44378</c:v>
                </c:pt>
                <c:pt idx="4">
                  <c:v>44348</c:v>
                </c:pt>
                <c:pt idx="5">
                  <c:v>44317</c:v>
                </c:pt>
                <c:pt idx="6">
                  <c:v>44287</c:v>
                </c:pt>
                <c:pt idx="7">
                  <c:v>44256</c:v>
                </c:pt>
                <c:pt idx="8">
                  <c:v>44228</c:v>
                </c:pt>
                <c:pt idx="9">
                  <c:v>44197</c:v>
                </c:pt>
                <c:pt idx="10">
                  <c:v>44196</c:v>
                </c:pt>
                <c:pt idx="11">
                  <c:v>44165</c:v>
                </c:pt>
                <c:pt idx="12">
                  <c:v>44135</c:v>
                </c:pt>
                <c:pt idx="13">
                  <c:v>44075</c:v>
                </c:pt>
                <c:pt idx="14">
                  <c:v>44044</c:v>
                </c:pt>
                <c:pt idx="15">
                  <c:v>44013</c:v>
                </c:pt>
                <c:pt idx="16">
                  <c:v>43983</c:v>
                </c:pt>
                <c:pt idx="17">
                  <c:v>43952</c:v>
                </c:pt>
                <c:pt idx="18">
                  <c:v>43922</c:v>
                </c:pt>
                <c:pt idx="19">
                  <c:v>43891</c:v>
                </c:pt>
                <c:pt idx="20">
                  <c:v>43862</c:v>
                </c:pt>
                <c:pt idx="21">
                  <c:v>43831</c:v>
                </c:pt>
                <c:pt idx="22">
                  <c:v>43800</c:v>
                </c:pt>
                <c:pt idx="23">
                  <c:v>43770</c:v>
                </c:pt>
                <c:pt idx="24">
                  <c:v>43739</c:v>
                </c:pt>
                <c:pt idx="25">
                  <c:v>43709</c:v>
                </c:pt>
                <c:pt idx="26">
                  <c:v>43678</c:v>
                </c:pt>
                <c:pt idx="27">
                  <c:v>43647</c:v>
                </c:pt>
                <c:pt idx="28">
                  <c:v>43617</c:v>
                </c:pt>
                <c:pt idx="29">
                  <c:v>43586</c:v>
                </c:pt>
                <c:pt idx="30">
                  <c:v>43556</c:v>
                </c:pt>
                <c:pt idx="31">
                  <c:v>43525</c:v>
                </c:pt>
                <c:pt idx="32">
                  <c:v>43497</c:v>
                </c:pt>
                <c:pt idx="33">
                  <c:v>43466</c:v>
                </c:pt>
                <c:pt idx="34">
                  <c:v>43435</c:v>
                </c:pt>
                <c:pt idx="35">
                  <c:v>43405</c:v>
                </c:pt>
                <c:pt idx="36">
                  <c:v>43404</c:v>
                </c:pt>
                <c:pt idx="37">
                  <c:v>43361</c:v>
                </c:pt>
                <c:pt idx="38">
                  <c:v>43330</c:v>
                </c:pt>
                <c:pt idx="39">
                  <c:v>43282</c:v>
                </c:pt>
                <c:pt idx="40">
                  <c:v>43252</c:v>
                </c:pt>
                <c:pt idx="41">
                  <c:v>43221</c:v>
                </c:pt>
                <c:pt idx="42">
                  <c:v>43191</c:v>
                </c:pt>
                <c:pt idx="43">
                  <c:v>43160</c:v>
                </c:pt>
                <c:pt idx="44">
                  <c:v>43149</c:v>
                </c:pt>
                <c:pt idx="45">
                  <c:v>43101</c:v>
                </c:pt>
                <c:pt idx="46">
                  <c:v>43070</c:v>
                </c:pt>
                <c:pt idx="47">
                  <c:v>43040</c:v>
                </c:pt>
                <c:pt idx="48">
                  <c:v>43009</c:v>
                </c:pt>
                <c:pt idx="49">
                  <c:v>42979</c:v>
                </c:pt>
                <c:pt idx="50">
                  <c:v>42948</c:v>
                </c:pt>
                <c:pt idx="51">
                  <c:v>42917</c:v>
                </c:pt>
                <c:pt idx="52">
                  <c:v>42887</c:v>
                </c:pt>
                <c:pt idx="53">
                  <c:v>42856</c:v>
                </c:pt>
                <c:pt idx="54">
                  <c:v>42826</c:v>
                </c:pt>
                <c:pt idx="55">
                  <c:v>42795</c:v>
                </c:pt>
                <c:pt idx="56">
                  <c:v>42767</c:v>
                </c:pt>
                <c:pt idx="57">
                  <c:v>42736</c:v>
                </c:pt>
                <c:pt idx="58">
                  <c:v>42705</c:v>
                </c:pt>
                <c:pt idx="59">
                  <c:v>42675</c:v>
                </c:pt>
                <c:pt idx="60">
                  <c:v>42644</c:v>
                </c:pt>
                <c:pt idx="61">
                  <c:v>42614</c:v>
                </c:pt>
                <c:pt idx="62">
                  <c:v>42583</c:v>
                </c:pt>
                <c:pt idx="63">
                  <c:v>42552</c:v>
                </c:pt>
                <c:pt idx="64">
                  <c:v>42522</c:v>
                </c:pt>
                <c:pt idx="65">
                  <c:v>42491</c:v>
                </c:pt>
                <c:pt idx="66">
                  <c:v>42461</c:v>
                </c:pt>
                <c:pt idx="67">
                  <c:v>42430</c:v>
                </c:pt>
                <c:pt idx="68">
                  <c:v>42401</c:v>
                </c:pt>
                <c:pt idx="69">
                  <c:v>42370</c:v>
                </c:pt>
                <c:pt idx="70">
                  <c:v>42339</c:v>
                </c:pt>
                <c:pt idx="71">
                  <c:v>42309</c:v>
                </c:pt>
                <c:pt idx="72">
                  <c:v>42278</c:v>
                </c:pt>
                <c:pt idx="73">
                  <c:v>42248</c:v>
                </c:pt>
                <c:pt idx="74">
                  <c:v>42217</c:v>
                </c:pt>
                <c:pt idx="75">
                  <c:v>42186</c:v>
                </c:pt>
                <c:pt idx="76">
                  <c:v>42156</c:v>
                </c:pt>
                <c:pt idx="77">
                  <c:v>42125</c:v>
                </c:pt>
                <c:pt idx="78">
                  <c:v>42095</c:v>
                </c:pt>
                <c:pt idx="79">
                  <c:v>42064</c:v>
                </c:pt>
                <c:pt idx="80">
                  <c:v>42036</c:v>
                </c:pt>
                <c:pt idx="81">
                  <c:v>42005</c:v>
                </c:pt>
                <c:pt idx="82">
                  <c:v>41974</c:v>
                </c:pt>
                <c:pt idx="83">
                  <c:v>41944</c:v>
                </c:pt>
                <c:pt idx="84">
                  <c:v>41926</c:v>
                </c:pt>
                <c:pt idx="85">
                  <c:v>41883</c:v>
                </c:pt>
                <c:pt idx="86">
                  <c:v>41852</c:v>
                </c:pt>
                <c:pt idx="87">
                  <c:v>41821</c:v>
                </c:pt>
                <c:pt idx="88">
                  <c:v>41791</c:v>
                </c:pt>
                <c:pt idx="89">
                  <c:v>41760</c:v>
                </c:pt>
                <c:pt idx="90">
                  <c:v>41730</c:v>
                </c:pt>
                <c:pt idx="91">
                  <c:v>41699</c:v>
                </c:pt>
                <c:pt idx="92">
                  <c:v>41671</c:v>
                </c:pt>
                <c:pt idx="93">
                  <c:v>41640</c:v>
                </c:pt>
                <c:pt idx="94">
                  <c:v>41609</c:v>
                </c:pt>
                <c:pt idx="95">
                  <c:v>41579</c:v>
                </c:pt>
                <c:pt idx="96">
                  <c:v>41548</c:v>
                </c:pt>
                <c:pt idx="97">
                  <c:v>41518</c:v>
                </c:pt>
                <c:pt idx="98">
                  <c:v>41487</c:v>
                </c:pt>
                <c:pt idx="99">
                  <c:v>41456</c:v>
                </c:pt>
                <c:pt idx="100">
                  <c:v>41426</c:v>
                </c:pt>
                <c:pt idx="101">
                  <c:v>41395</c:v>
                </c:pt>
                <c:pt idx="102">
                  <c:v>41365</c:v>
                </c:pt>
                <c:pt idx="103">
                  <c:v>41334</c:v>
                </c:pt>
                <c:pt idx="104">
                  <c:v>41306</c:v>
                </c:pt>
                <c:pt idx="105">
                  <c:v>41275</c:v>
                </c:pt>
                <c:pt idx="106">
                  <c:v>41244</c:v>
                </c:pt>
                <c:pt idx="107">
                  <c:v>41214</c:v>
                </c:pt>
                <c:pt idx="108">
                  <c:v>41183</c:v>
                </c:pt>
                <c:pt idx="109">
                  <c:v>41153</c:v>
                </c:pt>
                <c:pt idx="110">
                  <c:v>41122</c:v>
                </c:pt>
                <c:pt idx="111">
                  <c:v>41091</c:v>
                </c:pt>
                <c:pt idx="112">
                  <c:v>41061</c:v>
                </c:pt>
                <c:pt idx="113">
                  <c:v>41030</c:v>
                </c:pt>
                <c:pt idx="114">
                  <c:v>41000</c:v>
                </c:pt>
                <c:pt idx="115">
                  <c:v>40969</c:v>
                </c:pt>
                <c:pt idx="116">
                  <c:v>40940</c:v>
                </c:pt>
                <c:pt idx="117">
                  <c:v>40909</c:v>
                </c:pt>
                <c:pt idx="118">
                  <c:v>40878</c:v>
                </c:pt>
                <c:pt idx="119">
                  <c:v>40848</c:v>
                </c:pt>
                <c:pt idx="120">
                  <c:v>40817</c:v>
                </c:pt>
                <c:pt idx="121">
                  <c:v>40797</c:v>
                </c:pt>
                <c:pt idx="122">
                  <c:v>40756</c:v>
                </c:pt>
                <c:pt idx="123">
                  <c:v>40725</c:v>
                </c:pt>
                <c:pt idx="124">
                  <c:v>40695</c:v>
                </c:pt>
                <c:pt idx="125">
                  <c:v>40664</c:v>
                </c:pt>
                <c:pt idx="126">
                  <c:v>40634</c:v>
                </c:pt>
                <c:pt idx="127">
                  <c:v>40603</c:v>
                </c:pt>
                <c:pt idx="128">
                  <c:v>40575</c:v>
                </c:pt>
                <c:pt idx="129">
                  <c:v>40544</c:v>
                </c:pt>
                <c:pt idx="130">
                  <c:v>40513</c:v>
                </c:pt>
                <c:pt idx="131">
                  <c:v>40483</c:v>
                </c:pt>
                <c:pt idx="132">
                  <c:v>40452</c:v>
                </c:pt>
                <c:pt idx="133">
                  <c:v>40422</c:v>
                </c:pt>
                <c:pt idx="134">
                  <c:v>40391</c:v>
                </c:pt>
                <c:pt idx="135">
                  <c:v>40360</c:v>
                </c:pt>
                <c:pt idx="136">
                  <c:v>40330</c:v>
                </c:pt>
                <c:pt idx="137">
                  <c:v>40299</c:v>
                </c:pt>
                <c:pt idx="138">
                  <c:v>40269</c:v>
                </c:pt>
                <c:pt idx="139">
                  <c:v>40238</c:v>
                </c:pt>
                <c:pt idx="140">
                  <c:v>40210</c:v>
                </c:pt>
                <c:pt idx="141">
                  <c:v>40179</c:v>
                </c:pt>
                <c:pt idx="142">
                  <c:v>40148</c:v>
                </c:pt>
                <c:pt idx="143">
                  <c:v>40118</c:v>
                </c:pt>
                <c:pt idx="144">
                  <c:v>40087</c:v>
                </c:pt>
                <c:pt idx="145">
                  <c:v>40057</c:v>
                </c:pt>
                <c:pt idx="146">
                  <c:v>40026</c:v>
                </c:pt>
                <c:pt idx="147">
                  <c:v>39995</c:v>
                </c:pt>
                <c:pt idx="148">
                  <c:v>39965</c:v>
                </c:pt>
                <c:pt idx="149">
                  <c:v>39934</c:v>
                </c:pt>
                <c:pt idx="150">
                  <c:v>39904</c:v>
                </c:pt>
                <c:pt idx="151">
                  <c:v>39873</c:v>
                </c:pt>
                <c:pt idx="152">
                  <c:v>39845</c:v>
                </c:pt>
                <c:pt idx="153">
                  <c:v>39814</c:v>
                </c:pt>
                <c:pt idx="154">
                  <c:v>39783</c:v>
                </c:pt>
                <c:pt idx="155">
                  <c:v>39753</c:v>
                </c:pt>
                <c:pt idx="156">
                  <c:v>39722</c:v>
                </c:pt>
                <c:pt idx="157">
                  <c:v>39692</c:v>
                </c:pt>
                <c:pt idx="158">
                  <c:v>39661</c:v>
                </c:pt>
                <c:pt idx="159">
                  <c:v>39630</c:v>
                </c:pt>
                <c:pt idx="160">
                  <c:v>39600</c:v>
                </c:pt>
                <c:pt idx="161">
                  <c:v>39569</c:v>
                </c:pt>
                <c:pt idx="162">
                  <c:v>39539</c:v>
                </c:pt>
                <c:pt idx="163">
                  <c:v>39508</c:v>
                </c:pt>
                <c:pt idx="164">
                  <c:v>39479</c:v>
                </c:pt>
                <c:pt idx="165">
                  <c:v>39448</c:v>
                </c:pt>
                <c:pt idx="166">
                  <c:v>39417</c:v>
                </c:pt>
                <c:pt idx="167">
                  <c:v>39387</c:v>
                </c:pt>
                <c:pt idx="168">
                  <c:v>39356</c:v>
                </c:pt>
                <c:pt idx="169">
                  <c:v>39326</c:v>
                </c:pt>
                <c:pt idx="170">
                  <c:v>39295</c:v>
                </c:pt>
                <c:pt idx="171">
                  <c:v>39264</c:v>
                </c:pt>
                <c:pt idx="172">
                  <c:v>39234</c:v>
                </c:pt>
                <c:pt idx="173">
                  <c:v>39203</c:v>
                </c:pt>
                <c:pt idx="174">
                  <c:v>39173</c:v>
                </c:pt>
                <c:pt idx="175">
                  <c:v>39142</c:v>
                </c:pt>
                <c:pt idx="176">
                  <c:v>39114</c:v>
                </c:pt>
                <c:pt idx="177">
                  <c:v>39083</c:v>
                </c:pt>
                <c:pt idx="178">
                  <c:v>39052</c:v>
                </c:pt>
                <c:pt idx="179">
                  <c:v>39022</c:v>
                </c:pt>
                <c:pt idx="180">
                  <c:v>38991</c:v>
                </c:pt>
                <c:pt idx="181">
                  <c:v>38961</c:v>
                </c:pt>
                <c:pt idx="182">
                  <c:v>38930</c:v>
                </c:pt>
                <c:pt idx="183">
                  <c:v>38899</c:v>
                </c:pt>
                <c:pt idx="184">
                  <c:v>38869</c:v>
                </c:pt>
                <c:pt idx="185">
                  <c:v>38838</c:v>
                </c:pt>
                <c:pt idx="186">
                  <c:v>38808</c:v>
                </c:pt>
                <c:pt idx="187">
                  <c:v>38777</c:v>
                </c:pt>
                <c:pt idx="188">
                  <c:v>38749</c:v>
                </c:pt>
                <c:pt idx="189">
                  <c:v>38718</c:v>
                </c:pt>
                <c:pt idx="190">
                  <c:v>38687</c:v>
                </c:pt>
                <c:pt idx="191">
                  <c:v>38657</c:v>
                </c:pt>
                <c:pt idx="192">
                  <c:v>38626</c:v>
                </c:pt>
                <c:pt idx="193">
                  <c:v>38596</c:v>
                </c:pt>
                <c:pt idx="194">
                  <c:v>38565</c:v>
                </c:pt>
                <c:pt idx="195">
                  <c:v>38534</c:v>
                </c:pt>
                <c:pt idx="196">
                  <c:v>38504</c:v>
                </c:pt>
                <c:pt idx="197">
                  <c:v>38473</c:v>
                </c:pt>
                <c:pt idx="198">
                  <c:v>38443</c:v>
                </c:pt>
                <c:pt idx="199">
                  <c:v>38412</c:v>
                </c:pt>
                <c:pt idx="200">
                  <c:v>38384</c:v>
                </c:pt>
                <c:pt idx="201">
                  <c:v>38353</c:v>
                </c:pt>
                <c:pt idx="202">
                  <c:v>38322</c:v>
                </c:pt>
                <c:pt idx="203">
                  <c:v>38292</c:v>
                </c:pt>
                <c:pt idx="204">
                  <c:v>38261</c:v>
                </c:pt>
                <c:pt idx="205">
                  <c:v>38231</c:v>
                </c:pt>
                <c:pt idx="206">
                  <c:v>38200</c:v>
                </c:pt>
                <c:pt idx="207">
                  <c:v>38169</c:v>
                </c:pt>
                <c:pt idx="208">
                  <c:v>38139</c:v>
                </c:pt>
                <c:pt idx="209">
                  <c:v>38108</c:v>
                </c:pt>
                <c:pt idx="210">
                  <c:v>38078</c:v>
                </c:pt>
                <c:pt idx="211">
                  <c:v>38047</c:v>
                </c:pt>
                <c:pt idx="212">
                  <c:v>38018</c:v>
                </c:pt>
                <c:pt idx="213">
                  <c:v>37987</c:v>
                </c:pt>
                <c:pt idx="214">
                  <c:v>37956</c:v>
                </c:pt>
                <c:pt idx="215">
                  <c:v>37926</c:v>
                </c:pt>
                <c:pt idx="216">
                  <c:v>37895</c:v>
                </c:pt>
                <c:pt idx="217">
                  <c:v>37865</c:v>
                </c:pt>
                <c:pt idx="218">
                  <c:v>37834</c:v>
                </c:pt>
                <c:pt idx="219">
                  <c:v>37803</c:v>
                </c:pt>
                <c:pt idx="220">
                  <c:v>37773</c:v>
                </c:pt>
                <c:pt idx="221">
                  <c:v>37742</c:v>
                </c:pt>
                <c:pt idx="222">
                  <c:v>37712</c:v>
                </c:pt>
                <c:pt idx="223">
                  <c:v>37681</c:v>
                </c:pt>
                <c:pt idx="224">
                  <c:v>37653</c:v>
                </c:pt>
                <c:pt idx="225">
                  <c:v>37622</c:v>
                </c:pt>
                <c:pt idx="226">
                  <c:v>37591</c:v>
                </c:pt>
                <c:pt idx="227">
                  <c:v>37561</c:v>
                </c:pt>
                <c:pt idx="228">
                  <c:v>37530</c:v>
                </c:pt>
                <c:pt idx="229">
                  <c:v>37500</c:v>
                </c:pt>
                <c:pt idx="230">
                  <c:v>37469</c:v>
                </c:pt>
                <c:pt idx="231">
                  <c:v>37438</c:v>
                </c:pt>
                <c:pt idx="232">
                  <c:v>37408</c:v>
                </c:pt>
                <c:pt idx="233">
                  <c:v>37377</c:v>
                </c:pt>
                <c:pt idx="234">
                  <c:v>37347</c:v>
                </c:pt>
                <c:pt idx="235">
                  <c:v>37316</c:v>
                </c:pt>
                <c:pt idx="236">
                  <c:v>37288</c:v>
                </c:pt>
                <c:pt idx="237">
                  <c:v>37257</c:v>
                </c:pt>
                <c:pt idx="238">
                  <c:v>37226</c:v>
                </c:pt>
                <c:pt idx="239">
                  <c:v>37196</c:v>
                </c:pt>
                <c:pt idx="240">
                  <c:v>37165</c:v>
                </c:pt>
                <c:pt idx="241">
                  <c:v>37135</c:v>
                </c:pt>
                <c:pt idx="242">
                  <c:v>37104</c:v>
                </c:pt>
                <c:pt idx="243">
                  <c:v>37073</c:v>
                </c:pt>
                <c:pt idx="244">
                  <c:v>37043</c:v>
                </c:pt>
                <c:pt idx="245">
                  <c:v>37012</c:v>
                </c:pt>
                <c:pt idx="246">
                  <c:v>36982</c:v>
                </c:pt>
                <c:pt idx="247">
                  <c:v>36951</c:v>
                </c:pt>
                <c:pt idx="248">
                  <c:v>36923</c:v>
                </c:pt>
                <c:pt idx="249">
                  <c:v>36892</c:v>
                </c:pt>
                <c:pt idx="250">
                  <c:v>36861</c:v>
                </c:pt>
                <c:pt idx="251">
                  <c:v>36831</c:v>
                </c:pt>
                <c:pt idx="252">
                  <c:v>36800</c:v>
                </c:pt>
                <c:pt idx="253">
                  <c:v>36770</c:v>
                </c:pt>
                <c:pt idx="254">
                  <c:v>36739</c:v>
                </c:pt>
                <c:pt idx="255">
                  <c:v>36708</c:v>
                </c:pt>
                <c:pt idx="256">
                  <c:v>36678</c:v>
                </c:pt>
              </c:strCache>
            </c:strRef>
          </c:cat>
          <c:val>
            <c:numRef>
              <c:f>Load!$H$12:$H$268</c:f>
              <c:numCache>
                <c:ptCount val="257"/>
                <c:pt idx="0">
                  <c:v>0.9329656342808655</c:v>
                </c:pt>
                <c:pt idx="1">
                  <c:v>0.8244944677603968</c:v>
                </c:pt>
                <c:pt idx="2">
                  <c:v>0.92</c:v>
                </c:pt>
                <c:pt idx="3">
                  <c:v>0.9244211446046309</c:v>
                </c:pt>
                <c:pt idx="4">
                  <c:v>0.9251040221914008</c:v>
                </c:pt>
                <c:pt idx="5">
                  <c:v>0.9273525109702584</c:v>
                </c:pt>
                <c:pt idx="6">
                  <c:v>0.9189794091316024</c:v>
                </c:pt>
                <c:pt idx="7">
                  <c:v>0.9156265601597603</c:v>
                </c:pt>
                <c:pt idx="8">
                  <c:v>0.9309138609532138</c:v>
                </c:pt>
                <c:pt idx="9">
                  <c:v>0.9346437346437346</c:v>
                </c:pt>
                <c:pt idx="10">
                  <c:v>0.9459729864932468</c:v>
                </c:pt>
                <c:pt idx="11">
                  <c:v>0.9470030085628326</c:v>
                </c:pt>
                <c:pt idx="12">
                  <c:v>0.7889494901588807</c:v>
                </c:pt>
                <c:pt idx="13">
                  <c:v>0.813</c:v>
                </c:pt>
                <c:pt idx="14">
                  <c:v>0.7131938857602573</c:v>
                </c:pt>
                <c:pt idx="15">
                  <c:v>0.6637343303276887</c:v>
                </c:pt>
                <c:pt idx="16">
                  <c:v>0.895</c:v>
                </c:pt>
                <c:pt idx="17">
                  <c:v>0.886</c:v>
                </c:pt>
                <c:pt idx="18">
                  <c:v>0.6840419788065444</c:v>
                </c:pt>
                <c:pt idx="19">
                  <c:v>0.714</c:v>
                </c:pt>
                <c:pt idx="20">
                  <c:v>0.6772399124569821</c:v>
                </c:pt>
                <c:pt idx="21">
                  <c:v>0.7092416085083785</c:v>
                </c:pt>
                <c:pt idx="22">
                  <c:v>0.6021574863746033</c:v>
                </c:pt>
                <c:pt idx="23">
                  <c:v>0.659</c:v>
                </c:pt>
                <c:pt idx="24">
                  <c:v>0.683</c:v>
                </c:pt>
                <c:pt idx="25">
                  <c:v>0.716</c:v>
                </c:pt>
                <c:pt idx="26">
                  <c:v>0.769</c:v>
                </c:pt>
                <c:pt idx="27">
                  <c:v>0.7744311610222187</c:v>
                </c:pt>
                <c:pt idx="28">
                  <c:v>0.782</c:v>
                </c:pt>
                <c:pt idx="29">
                  <c:v>0.8080377151077921</c:v>
                </c:pt>
                <c:pt idx="30">
                  <c:v>0.8785497008598193</c:v>
                </c:pt>
                <c:pt idx="31">
                  <c:v>0.78</c:v>
                </c:pt>
                <c:pt idx="32">
                  <c:v>0.7845859374718643</c:v>
                </c:pt>
                <c:pt idx="33">
                  <c:v>0.8234874336221693</c:v>
                </c:pt>
                <c:pt idx="34">
                  <c:v>0.7971709301228567</c:v>
                </c:pt>
                <c:pt idx="35">
                  <c:v>0.80899214984291</c:v>
                </c:pt>
                <c:pt idx="36">
                  <c:v>0.8733438235237774</c:v>
                </c:pt>
                <c:pt idx="37">
                  <c:v>0.8683523028276485</c:v>
                </c:pt>
                <c:pt idx="38">
                  <c:v>0.8347803441782443</c:v>
                </c:pt>
                <c:pt idx="39">
                  <c:v>0.8711777786474073</c:v>
                </c:pt>
                <c:pt idx="40">
                  <c:v>0.8710267617139348</c:v>
                </c:pt>
                <c:pt idx="41">
                  <c:v>0.9010476545816846</c:v>
                </c:pt>
                <c:pt idx="42">
                  <c:v>0.9134178354479108</c:v>
                </c:pt>
                <c:pt idx="43">
                  <c:v>0.8980080850889864</c:v>
                </c:pt>
                <c:pt idx="44">
                  <c:v>0.894016144070245</c:v>
                </c:pt>
                <c:pt idx="45">
                  <c:v>0.8842165191507905</c:v>
                </c:pt>
                <c:pt idx="46">
                  <c:v>0.8769325912183056</c:v>
                </c:pt>
                <c:pt idx="47">
                  <c:v>0.8608671011618022</c:v>
                </c:pt>
                <c:pt idx="48">
                  <c:v>0.9327446838921954</c:v>
                </c:pt>
                <c:pt idx="49">
                  <c:v>0.9362601154925636</c:v>
                </c:pt>
                <c:pt idx="50">
                  <c:v>0.9244800387709281</c:v>
                </c:pt>
                <c:pt idx="51">
                  <c:v>0.9570005976587165</c:v>
                </c:pt>
                <c:pt idx="52">
                  <c:v>0.9539632633283119</c:v>
                </c:pt>
                <c:pt idx="53">
                  <c:v>0.95563500493918</c:v>
                </c:pt>
                <c:pt idx="54">
                  <c:v>0.9522102340881158</c:v>
                </c:pt>
                <c:pt idx="55">
                  <c:v>0.9362256993835941</c:v>
                </c:pt>
                <c:pt idx="56">
                  <c:v>0.960188001105889</c:v>
                </c:pt>
                <c:pt idx="57">
                  <c:v>0.9608108108108108</c:v>
                </c:pt>
                <c:pt idx="58">
                  <c:v>0.9591836734693877</c:v>
                </c:pt>
                <c:pt idx="59">
                  <c:v>0.9718804920913884</c:v>
                </c:pt>
                <c:pt idx="60">
                  <c:v>0.9774011299435028</c:v>
                </c:pt>
                <c:pt idx="61">
                  <c:v>0.4719424460431655</c:v>
                </c:pt>
                <c:pt idx="62">
                  <c:v>0.9721166032953105</c:v>
                </c:pt>
                <c:pt idx="63">
                  <c:v>0.9531722054380665</c:v>
                </c:pt>
                <c:pt idx="64">
                  <c:v>0.9704510108864697</c:v>
                </c:pt>
                <c:pt idx="65">
                  <c:v>0.9814814814814815</c:v>
                </c:pt>
                <c:pt idx="66">
                  <c:v>0.9829268292682927</c:v>
                </c:pt>
                <c:pt idx="67">
                  <c:v>0.9720893141945766</c:v>
                </c:pt>
                <c:pt idx="68">
                  <c:v>0.9790824815783219</c:v>
                </c:pt>
                <c:pt idx="69">
                  <c:v>0.9511568123393317</c:v>
                </c:pt>
                <c:pt idx="70">
                  <c:v>0.9394542353610007</c:v>
                </c:pt>
                <c:pt idx="71">
                  <c:v>0.9020495075858399</c:v>
                </c:pt>
                <c:pt idx="72">
                  <c:v>0.9228925289652418</c:v>
                </c:pt>
                <c:pt idx="73">
                  <c:v>0.9693563009972801</c:v>
                </c:pt>
                <c:pt idx="74">
                  <c:v>0.9465284408675488</c:v>
                </c:pt>
                <c:pt idx="75">
                  <c:v>0.9658859470468433</c:v>
                </c:pt>
                <c:pt idx="76">
                  <c:v>0.8528986670949092</c:v>
                </c:pt>
                <c:pt idx="77">
                  <c:v>0.9190992493744786</c:v>
                </c:pt>
                <c:pt idx="78">
                  <c:v>0.9610132950053899</c:v>
                </c:pt>
                <c:pt idx="79">
                  <c:v>0.9107537688442212</c:v>
                </c:pt>
                <c:pt idx="80">
                  <c:v>0.9773609314359638</c:v>
                </c:pt>
                <c:pt idx="81">
                  <c:v>0.8688286544046467</c:v>
                </c:pt>
                <c:pt idx="82">
                  <c:v>0.9923963698798136</c:v>
                </c:pt>
                <c:pt idx="83">
                  <c:v>0.9505122752754688</c:v>
                </c:pt>
                <c:pt idx="84">
                  <c:v>0.9326683291770573</c:v>
                </c:pt>
                <c:pt idx="85">
                  <c:v>0.9552968960863697</c:v>
                </c:pt>
                <c:pt idx="86">
                  <c:v>0.9373483659197945</c:v>
                </c:pt>
                <c:pt idx="87">
                  <c:v>0.8365245664739884</c:v>
                </c:pt>
                <c:pt idx="88">
                  <c:v>0.824055330634278</c:v>
                </c:pt>
                <c:pt idx="89">
                  <c:v>0.9306930693069307</c:v>
                </c:pt>
                <c:pt idx="90">
                  <c:v>0.9490942028985507</c:v>
                </c:pt>
                <c:pt idx="91">
                  <c:v>0.9655293703833978</c:v>
                </c:pt>
                <c:pt idx="92">
                  <c:v>0.7939972714870396</c:v>
                </c:pt>
                <c:pt idx="93">
                  <c:v>0.8037668161434977</c:v>
                </c:pt>
                <c:pt idx="94">
                  <c:v>0.7699257825104872</c:v>
                </c:pt>
                <c:pt idx="95">
                  <c:v>0.9712622088655146</c:v>
                </c:pt>
                <c:pt idx="96">
                  <c:v>0.942682460833015</c:v>
                </c:pt>
                <c:pt idx="97">
                  <c:v>0.9135055591890124</c:v>
                </c:pt>
                <c:pt idx="98">
                  <c:v>0.9692911255411255</c:v>
                </c:pt>
                <c:pt idx="99">
                  <c:v>0.9380370872908187</c:v>
                </c:pt>
                <c:pt idx="100">
                  <c:v>0.9675210953669797</c:v>
                </c:pt>
                <c:pt idx="101">
                  <c:v>0.9561747409689162</c:v>
                </c:pt>
                <c:pt idx="102">
                  <c:v>0.8438837920489296</c:v>
                </c:pt>
                <c:pt idx="103">
                  <c:v>0.9644642857142857</c:v>
                </c:pt>
                <c:pt idx="104">
                  <c:v>0.930807818716485</c:v>
                </c:pt>
                <c:pt idx="105">
                  <c:v>0.9244777718264595</c:v>
                </c:pt>
                <c:pt idx="106">
                  <c:v>0.9891482391482391</c:v>
                </c:pt>
                <c:pt idx="107">
                  <c:v>0.9301075268817204</c:v>
                </c:pt>
                <c:pt idx="108">
                  <c:v>0.9844747283077455</c:v>
                </c:pt>
                <c:pt idx="109">
                  <c:v>0.9625577021713114</c:v>
                </c:pt>
                <c:pt idx="110">
                  <c:v>0.8481625900980739</c:v>
                </c:pt>
                <c:pt idx="111">
                  <c:v>0.9518796992481203</c:v>
                </c:pt>
                <c:pt idx="112">
                  <c:v>0.9343137254901961</c:v>
                </c:pt>
                <c:pt idx="113">
                  <c:v>0.904135663609621</c:v>
                </c:pt>
                <c:pt idx="114">
                  <c:v>0.9265252976190476</c:v>
                </c:pt>
                <c:pt idx="115">
                  <c:v>0.973805570927873</c:v>
                </c:pt>
                <c:pt idx="116">
                  <c:v>0.9734566659963804</c:v>
                </c:pt>
                <c:pt idx="117">
                  <c:v>0.9660343270099369</c:v>
                </c:pt>
                <c:pt idx="118">
                  <c:v>0.9626677036748981</c:v>
                </c:pt>
                <c:pt idx="119">
                  <c:v>0.9687778768956289</c:v>
                </c:pt>
                <c:pt idx="120">
                  <c:v>0.966162830642391</c:v>
                </c:pt>
                <c:pt idx="121">
                  <c:v>0.9324298160696999</c:v>
                </c:pt>
                <c:pt idx="122">
                  <c:v>0.9321312296518907</c:v>
                </c:pt>
                <c:pt idx="123">
                  <c:v>0.9064685314685316</c:v>
                </c:pt>
                <c:pt idx="124">
                  <c:v>0.9380032206119162</c:v>
                </c:pt>
                <c:pt idx="125">
                  <c:v>0.9255813953488372</c:v>
                </c:pt>
                <c:pt idx="126">
                  <c:v>0.9363810185989918</c:v>
                </c:pt>
                <c:pt idx="127">
                  <c:v>0.9662613461209112</c:v>
                </c:pt>
                <c:pt idx="128">
                  <c:v>0.9643931795386158</c:v>
                </c:pt>
                <c:pt idx="129">
                  <c:v>0.957670322879654</c:v>
                </c:pt>
                <c:pt idx="130">
                  <c:v>0.9680985470625394</c:v>
                </c:pt>
                <c:pt idx="131">
                  <c:v>0.9664502164502164</c:v>
                </c:pt>
                <c:pt idx="132">
                  <c:v>0.9659008813755238</c:v>
                </c:pt>
                <c:pt idx="133">
                  <c:v>0.9678720258099207</c:v>
                </c:pt>
                <c:pt idx="134">
                  <c:v>0.9480578139114724</c:v>
                </c:pt>
                <c:pt idx="135">
                  <c:v>0.9484821626412586</c:v>
                </c:pt>
                <c:pt idx="136">
                  <c:v>0.9701572075672795</c:v>
                </c:pt>
                <c:pt idx="137">
                  <c:v>0.8151745865056446</c:v>
                </c:pt>
                <c:pt idx="138">
                  <c:v>0.8715218625780806</c:v>
                </c:pt>
                <c:pt idx="139">
                  <c:v>0.8554144884241971</c:v>
                </c:pt>
                <c:pt idx="140">
                  <c:v>0.9586555152280258</c:v>
                </c:pt>
                <c:pt idx="141">
                  <c:v>0.9447393068997815</c:v>
                </c:pt>
                <c:pt idx="142">
                  <c:v>0.9631064690026954</c:v>
                </c:pt>
                <c:pt idx="143">
                  <c:v>0.9604904632152588</c:v>
                </c:pt>
                <c:pt idx="144">
                  <c:v>0.9566973662950397</c:v>
                </c:pt>
                <c:pt idx="145">
                  <c:v>0.9398028809704322</c:v>
                </c:pt>
                <c:pt idx="146">
                  <c:v>0.8237846256535767</c:v>
                </c:pt>
                <c:pt idx="147">
                  <c:v>0.9205459770114942</c:v>
                </c:pt>
                <c:pt idx="148">
                  <c:v>0.9107604407563598</c:v>
                </c:pt>
                <c:pt idx="149">
                  <c:v>0.9104477611940298</c:v>
                </c:pt>
                <c:pt idx="150">
                  <c:v>0.9004827908425478</c:v>
                </c:pt>
                <c:pt idx="151">
                  <c:v>0.9073881373569199</c:v>
                </c:pt>
                <c:pt idx="152">
                  <c:v>0.9096638655462185</c:v>
                </c:pt>
                <c:pt idx="153">
                  <c:v>0.9398563734290843</c:v>
                </c:pt>
                <c:pt idx="154">
                  <c:v>0.8957617411225659</c:v>
                </c:pt>
                <c:pt idx="155">
                  <c:v>0.9254054054054054</c:v>
                </c:pt>
                <c:pt idx="156">
                  <c:v>0.9253218884120172</c:v>
                </c:pt>
                <c:pt idx="157">
                  <c:v>0.759607522485691</c:v>
                </c:pt>
                <c:pt idx="158">
                  <c:v>0.8717948717948718</c:v>
                </c:pt>
                <c:pt idx="159">
                  <c:v>0.8736162361623616</c:v>
                </c:pt>
                <c:pt idx="160">
                  <c:v>0.9107725788900979</c:v>
                </c:pt>
                <c:pt idx="161">
                  <c:v>0.9143155694879833</c:v>
                </c:pt>
                <c:pt idx="162">
                  <c:v>0.9256900212314225</c:v>
                </c:pt>
                <c:pt idx="163">
                  <c:v>0.9449064449064449</c:v>
                </c:pt>
                <c:pt idx="164">
                  <c:v>0.8988212180746562</c:v>
                </c:pt>
                <c:pt idx="165">
                  <c:v>0.9513274336283186</c:v>
                </c:pt>
                <c:pt idx="166">
                  <c:v>0.9296435272045028</c:v>
                </c:pt>
                <c:pt idx="167">
                  <c:v>0.6657060518731989</c:v>
                </c:pt>
                <c:pt idx="168">
                  <c:v>0.8399638336347197</c:v>
                </c:pt>
                <c:pt idx="169">
                  <c:v>0.7947072975140337</c:v>
                </c:pt>
                <c:pt idx="170">
                  <c:v>0.7854961832061069</c:v>
                </c:pt>
                <c:pt idx="171">
                  <c:v>0.8962892483349191</c:v>
                </c:pt>
                <c:pt idx="172">
                  <c:v>0.940385415222515</c:v>
                </c:pt>
                <c:pt idx="173">
                  <c:v>0.9376299376299376</c:v>
                </c:pt>
                <c:pt idx="174">
                  <c:v>0.9369886608296253</c:v>
                </c:pt>
                <c:pt idx="175">
                  <c:v>0.9439918533604889</c:v>
                </c:pt>
                <c:pt idx="176">
                  <c:v>0.8584643848288621</c:v>
                </c:pt>
                <c:pt idx="177">
                  <c:v>0.9093808902421343</c:v>
                </c:pt>
                <c:pt idx="178">
                  <c:v>0.9108940646130729</c:v>
                </c:pt>
                <c:pt idx="179">
                  <c:v>0.9239179272128202</c:v>
                </c:pt>
                <c:pt idx="180">
                  <c:v>0.8706650346797226</c:v>
                </c:pt>
                <c:pt idx="181">
                  <c:v>0.5483735277621985</c:v>
                </c:pt>
                <c:pt idx="182">
                  <c:v>0.6267441860465116</c:v>
                </c:pt>
                <c:pt idx="183">
                  <c:v>0.6344636678200692</c:v>
                </c:pt>
                <c:pt idx="184">
                  <c:v>0.5664828431372549</c:v>
                </c:pt>
                <c:pt idx="185">
                  <c:v>0.5517919249962195</c:v>
                </c:pt>
                <c:pt idx="186">
                  <c:v>0.6092209415358978</c:v>
                </c:pt>
                <c:pt idx="187">
                  <c:v>0.6592463768115941</c:v>
                </c:pt>
                <c:pt idx="188">
                  <c:v>0.5738516776030704</c:v>
                </c:pt>
                <c:pt idx="189">
                  <c:v>0.53</c:v>
                </c:pt>
                <c:pt idx="190">
                  <c:v>0.62</c:v>
                </c:pt>
                <c:pt idx="191">
                  <c:v>0.61</c:v>
                </c:pt>
                <c:pt idx="192">
                  <c:v>0.81</c:v>
                </c:pt>
                <c:pt idx="193">
                  <c:v>0.86</c:v>
                </c:pt>
                <c:pt idx="194">
                  <c:v>0.78</c:v>
                </c:pt>
                <c:pt idx="195">
                  <c:v>0.84</c:v>
                </c:pt>
                <c:pt idx="196">
                  <c:v>0.83</c:v>
                </c:pt>
                <c:pt idx="197">
                  <c:v>0.85</c:v>
                </c:pt>
                <c:pt idx="198">
                  <c:v>0.86</c:v>
                </c:pt>
                <c:pt idx="199">
                  <c:v>0.87</c:v>
                </c:pt>
                <c:pt idx="200">
                  <c:v>0.87</c:v>
                </c:pt>
                <c:pt idx="201">
                  <c:v>0.78</c:v>
                </c:pt>
                <c:pt idx="202">
                  <c:v>0.8</c:v>
                </c:pt>
                <c:pt idx="203">
                  <c:v>0.87</c:v>
                </c:pt>
                <c:pt idx="204">
                  <c:v>0.71</c:v>
                </c:pt>
                <c:pt idx="205">
                  <c:v>0.67</c:v>
                </c:pt>
                <c:pt idx="206">
                  <c:v>0.6</c:v>
                </c:pt>
                <c:pt idx="207">
                  <c:v>0.63</c:v>
                </c:pt>
                <c:pt idx="208">
                  <c:v>0.48</c:v>
                </c:pt>
                <c:pt idx="209">
                  <c:v>0.55</c:v>
                </c:pt>
                <c:pt idx="210">
                  <c:v>0.55</c:v>
                </c:pt>
                <c:pt idx="211">
                  <c:v>0.51</c:v>
                </c:pt>
                <c:pt idx="212">
                  <c:v>0.65</c:v>
                </c:pt>
                <c:pt idx="213">
                  <c:v>0.57</c:v>
                </c:pt>
                <c:pt idx="214">
                  <c:v>0.56</c:v>
                </c:pt>
                <c:pt idx="215">
                  <c:v>0.54</c:v>
                </c:pt>
                <c:pt idx="216">
                  <c:v>0.31</c:v>
                </c:pt>
                <c:pt idx="217">
                  <c:v>0.34</c:v>
                </c:pt>
                <c:pt idx="218">
                  <c:v>0.29</c:v>
                </c:pt>
                <c:pt idx="219">
                  <c:v>0.36</c:v>
                </c:pt>
                <c:pt idx="220">
                  <c:v>0.37</c:v>
                </c:pt>
                <c:pt idx="221">
                  <c:v>0.19</c:v>
                </c:pt>
                <c:pt idx="222">
                  <c:v>0.36</c:v>
                </c:pt>
                <c:pt idx="224">
                  <c:v>0.31</c:v>
                </c:pt>
                <c:pt idx="225">
                  <c:v>0.48</c:v>
                </c:pt>
                <c:pt idx="226">
                  <c:v>0.53</c:v>
                </c:pt>
                <c:pt idx="227">
                  <c:v>0.48</c:v>
                </c:pt>
                <c:pt idx="228">
                  <c:v>0.44</c:v>
                </c:pt>
                <c:pt idx="229">
                  <c:v>0.43</c:v>
                </c:pt>
                <c:pt idx="230">
                  <c:v>0.43</c:v>
                </c:pt>
                <c:pt idx="231">
                  <c:v>0.49</c:v>
                </c:pt>
                <c:pt idx="232">
                  <c:v>0.45</c:v>
                </c:pt>
                <c:pt idx="233">
                  <c:v>0.86</c:v>
                </c:pt>
                <c:pt idx="234">
                  <c:v>0.84</c:v>
                </c:pt>
                <c:pt idx="235">
                  <c:v>0.74</c:v>
                </c:pt>
                <c:pt idx="236">
                  <c:v>0.74</c:v>
                </c:pt>
                <c:pt idx="237">
                  <c:v>0.73</c:v>
                </c:pt>
                <c:pt idx="238">
                  <c:v>0.7</c:v>
                </c:pt>
                <c:pt idx="239">
                  <c:v>0.69</c:v>
                </c:pt>
                <c:pt idx="240">
                  <c:v>0.68</c:v>
                </c:pt>
                <c:pt idx="241">
                  <c:v>0.68</c:v>
                </c:pt>
                <c:pt idx="242">
                  <c:v>0.41</c:v>
                </c:pt>
                <c:pt idx="243">
                  <c:v>0.4</c:v>
                </c:pt>
                <c:pt idx="244">
                  <c:v>0.38</c:v>
                </c:pt>
                <c:pt idx="245">
                  <c:v>0.31</c:v>
                </c:pt>
                <c:pt idx="246">
                  <c:v>0.22</c:v>
                </c:pt>
                <c:pt idx="247">
                  <c:v>0.25</c:v>
                </c:pt>
                <c:pt idx="248">
                  <c:v>0.29</c:v>
                </c:pt>
                <c:pt idx="249">
                  <c:v>0.29</c:v>
                </c:pt>
                <c:pt idx="250">
                  <c:v>0.29</c:v>
                </c:pt>
                <c:pt idx="251">
                  <c:v>0.28</c:v>
                </c:pt>
                <c:pt idx="252">
                  <c:v>0.43</c:v>
                </c:pt>
                <c:pt idx="253">
                  <c:v>0.47</c:v>
                </c:pt>
                <c:pt idx="254">
                  <c:v>0.47</c:v>
                </c:pt>
              </c:numCache>
            </c:numRef>
          </c:val>
          <c:smooth val="0"/>
        </c:ser>
        <c:marker val="1"/>
        <c:axId val="34316431"/>
        <c:axId val="40412424"/>
      </c:lineChart>
      <c:dateAx>
        <c:axId val="34316431"/>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40412424"/>
        <c:crosses val="autoZero"/>
        <c:auto val="0"/>
        <c:baseTimeUnit val="days"/>
        <c:majorUnit val="1"/>
        <c:majorTimeUnit val="years"/>
        <c:minorUnit val="15"/>
        <c:minorTimeUnit val="days"/>
        <c:noMultiLvlLbl val="0"/>
      </c:dateAx>
      <c:valAx>
        <c:axId val="40412424"/>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13"/>
              <c:y val="-0.002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34316431"/>
        <c:crossesAt val="1"/>
        <c:crossBetween val="between"/>
        <c:dispUnits/>
      </c:valAx>
      <c:spPr>
        <a:solidFill>
          <a:srgbClr val="FFFFFF"/>
        </a:solidFill>
        <a:ln w="12700">
          <a:solidFill>
            <a:srgbClr val="000000"/>
          </a:solidFill>
        </a:ln>
      </c:spPr>
    </c:plotArea>
    <c:legend>
      <c:legendPos val="r"/>
      <c:layout>
        <c:manualLayout>
          <c:xMode val="edge"/>
          <c:yMode val="edge"/>
          <c:x val="0"/>
          <c:y val="0.108"/>
          <c:w val="0.319"/>
          <c:h val="0.05725"/>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Central Maine Power Company 
July 2000-July 2021
Presented by the Maine PUC</a:t>
            </a:r>
          </a:p>
        </c:rich>
      </c:tx>
      <c:layout>
        <c:manualLayout>
          <c:xMode val="factor"/>
          <c:yMode val="factor"/>
          <c:x val="0"/>
          <c:y val="-0.00175"/>
        </c:manualLayout>
      </c:layout>
      <c:spPr>
        <a:noFill/>
        <a:ln>
          <a:noFill/>
        </a:ln>
      </c:spPr>
    </c:title>
    <c:plotArea>
      <c:layout>
        <c:manualLayout>
          <c:xMode val="edge"/>
          <c:yMode val="edge"/>
          <c:x val="0.05475"/>
          <c:y val="0.32125"/>
          <c:w val="0.895"/>
          <c:h val="0.63225"/>
        </c:manualLayout>
      </c:layout>
      <c:lineChart>
        <c:grouping val="standard"/>
        <c:varyColors val="0"/>
        <c:ser>
          <c:idx val="0"/>
          <c:order val="0"/>
          <c:tx>
            <c:v>CMP Small Class</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54"/>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strCache>
            </c:strRef>
          </c:cat>
          <c:val>
            <c:numRef>
              <c:f>Load!$N$15:$N$268</c:f>
              <c:numCache>
                <c:ptCount val="254"/>
                <c:pt idx="0">
                  <c:v>0.13130062108808838</c:v>
                </c:pt>
                <c:pt idx="1">
                  <c:v>0.1325640782597937</c:v>
                </c:pt>
                <c:pt idx="2">
                  <c:v>0.13101061425027033</c:v>
                </c:pt>
                <c:pt idx="3">
                  <c:v>0.12909820368693478</c:v>
                </c:pt>
                <c:pt idx="4">
                  <c:v>0.12648345831377839</c:v>
                </c:pt>
                <c:pt idx="5">
                  <c:v>0.12063785669119015</c:v>
                </c:pt>
                <c:pt idx="6">
                  <c:v>0.12866892796586032</c:v>
                </c:pt>
                <c:pt idx="7">
                  <c:v>0.13509649859991793</c:v>
                </c:pt>
                <c:pt idx="8">
                  <c:v>0.13205626677067425</c:v>
                </c:pt>
                <c:pt idx="9">
                  <c:v>0.14012967275188076</c:v>
                </c:pt>
                <c:pt idx="10">
                  <c:v>0.13802790476110036</c:v>
                </c:pt>
                <c:pt idx="11">
                  <c:v>0.13599177609615323</c:v>
                </c:pt>
                <c:pt idx="12">
                  <c:v>0.138982986169288</c:v>
                </c:pt>
                <c:pt idx="13">
                  <c:v>0.14017310221180884</c:v>
                </c:pt>
                <c:pt idx="14">
                  <c:v>0.13779067242808654</c:v>
                </c:pt>
                <c:pt idx="15">
                  <c:v>0.13682462625961211</c:v>
                </c:pt>
                <c:pt idx="16">
                  <c:v>0.13757717547050324</c:v>
                </c:pt>
                <c:pt idx="17">
                  <c:v>0.13912026549256198</c:v>
                </c:pt>
                <c:pt idx="18">
                  <c:v>0.1399942548274551</c:v>
                </c:pt>
                <c:pt idx="19">
                  <c:v>0.14502896617332053</c:v>
                </c:pt>
                <c:pt idx="20">
                  <c:v>0.15168782013103874</c:v>
                </c:pt>
                <c:pt idx="21">
                  <c:v>0.15899718884691896</c:v>
                </c:pt>
                <c:pt idx="22">
                  <c:v>0.15026373636726517</c:v>
                </c:pt>
                <c:pt idx="23">
                  <c:v>0.15749180717833478</c:v>
                </c:pt>
                <c:pt idx="24">
                  <c:v>0.15829816905875121</c:v>
                </c:pt>
                <c:pt idx="25">
                  <c:v>0.15975084866710482</c:v>
                </c:pt>
                <c:pt idx="26">
                  <c:v>0.16053418198470373</c:v>
                </c:pt>
                <c:pt idx="27">
                  <c:v>0.15502809369580595</c:v>
                </c:pt>
                <c:pt idx="28">
                  <c:v>0.15206976037587552</c:v>
                </c:pt>
                <c:pt idx="29">
                  <c:v>0.1514136340949789</c:v>
                </c:pt>
                <c:pt idx="30">
                  <c:v>0.15659275408497858</c:v>
                </c:pt>
                <c:pt idx="31">
                  <c:v>0.15770952336952074</c:v>
                </c:pt>
                <c:pt idx="32">
                  <c:v>0.1664754799908357</c:v>
                </c:pt>
                <c:pt idx="33">
                  <c:v>0.17009863678128598</c:v>
                </c:pt>
                <c:pt idx="34">
                  <c:v>0.17907177560407667</c:v>
                </c:pt>
                <c:pt idx="35">
                  <c:v>0.17221467594563714</c:v>
                </c:pt>
                <c:pt idx="36">
                  <c:v>0.1758578288153703</c:v>
                </c:pt>
                <c:pt idx="37">
                  <c:v>0.17857712401870865</c:v>
                </c:pt>
                <c:pt idx="38">
                  <c:v>0.1753327997455582</c:v>
                </c:pt>
                <c:pt idx="39">
                  <c:v>0.16962817521805093</c:v>
                </c:pt>
                <c:pt idx="40">
                  <c:v>0.16697718233005987</c:v>
                </c:pt>
                <c:pt idx="41">
                  <c:v>0.17096408797052318</c:v>
                </c:pt>
                <c:pt idx="42">
                  <c:v>0.172764146570523</c:v>
                </c:pt>
                <c:pt idx="43">
                  <c:v>0.17535086176902026</c:v>
                </c:pt>
                <c:pt idx="44">
                  <c:v>0.18964737199405957</c:v>
                </c:pt>
                <c:pt idx="45">
                  <c:v>0.18731849925346777</c:v>
                </c:pt>
                <c:pt idx="46">
                  <c:v>0.18858270432317203</c:v>
                </c:pt>
                <c:pt idx="47">
                  <c:v>0.18858270432317203</c:v>
                </c:pt>
                <c:pt idx="48">
                  <c:v>0.1956933459466662</c:v>
                </c:pt>
                <c:pt idx="49">
                  <c:v>0.1982059134736947</c:v>
                </c:pt>
                <c:pt idx="50">
                  <c:v>0.19694220969135198</c:v>
                </c:pt>
                <c:pt idx="51">
                  <c:v>0.19184937251291823</c:v>
                </c:pt>
                <c:pt idx="52">
                  <c:v>0.19008642502374334</c:v>
                </c:pt>
                <c:pt idx="53">
                  <c:v>0.15470141114723368</c:v>
                </c:pt>
                <c:pt idx="54">
                  <c:v>0.1993904565026348</c:v>
                </c:pt>
                <c:pt idx="55">
                  <c:v>0.2093431299944336</c:v>
                </c:pt>
                <c:pt idx="56">
                  <c:v>0.21483176847240212</c:v>
                </c:pt>
                <c:pt idx="57">
                  <c:v>0.269803299870359</c:v>
                </c:pt>
                <c:pt idx="58">
                  <c:v>0.20836761809520685</c:v>
                </c:pt>
                <c:pt idx="59">
                  <c:v>0.28376113863141667</c:v>
                </c:pt>
                <c:pt idx="60">
                  <c:v>0.21604522888871475</c:v>
                </c:pt>
                <c:pt idx="61">
                  <c:v>0.23397559373361057</c:v>
                </c:pt>
                <c:pt idx="62">
                  <c:v>0.22051289227848597</c:v>
                </c:pt>
                <c:pt idx="63">
                  <c:v>0.2176246668994487</c:v>
                </c:pt>
                <c:pt idx="64">
                  <c:v>0.21649455664130793</c:v>
                </c:pt>
                <c:pt idx="65">
                  <c:v>0.2166462624895372</c:v>
                </c:pt>
                <c:pt idx="66">
                  <c:v>0.22277335483343697</c:v>
                </c:pt>
                <c:pt idx="67">
                  <c:v>0.19709436528076457</c:v>
                </c:pt>
                <c:pt idx="68">
                  <c:v>0.23357357274665932</c:v>
                </c:pt>
                <c:pt idx="69">
                  <c:v>0.23953530872712564</c:v>
                </c:pt>
                <c:pt idx="70">
                  <c:v>0.24320584774428433</c:v>
                </c:pt>
                <c:pt idx="71">
                  <c:v>0.24454440100421063</c:v>
                </c:pt>
                <c:pt idx="72">
                  <c:v>0.24880677533158108</c:v>
                </c:pt>
                <c:pt idx="73">
                  <c:v>0.2529612439987247</c:v>
                </c:pt>
                <c:pt idx="74">
                  <c:v>0.24985903166794493</c:v>
                </c:pt>
                <c:pt idx="75">
                  <c:v>0.2476702846542521</c:v>
                </c:pt>
                <c:pt idx="76">
                  <c:v>0.27577634648130855</c:v>
                </c:pt>
                <c:pt idx="77">
                  <c:v>0.26247787137947315</c:v>
                </c:pt>
                <c:pt idx="78">
                  <c:v>0.2756036321577869</c:v>
                </c:pt>
                <c:pt idx="79">
                  <c:v>0.2947623154554293</c:v>
                </c:pt>
                <c:pt idx="80">
                  <c:v>0.30556968952279856</c:v>
                </c:pt>
                <c:pt idx="81">
                  <c:v>0.3136021449932969</c:v>
                </c:pt>
                <c:pt idx="82">
                  <c:v>0.3228441549577219</c:v>
                </c:pt>
                <c:pt idx="83">
                  <c:v>0.33212449626882445</c:v>
                </c:pt>
                <c:pt idx="84">
                  <c:v>0.33870146200890816</c:v>
                </c:pt>
                <c:pt idx="85">
                  <c:v>0.34194279877158323</c:v>
                </c:pt>
                <c:pt idx="86">
                  <c:v>0.33918387781841763</c:v>
                </c:pt>
                <c:pt idx="87">
                  <c:v>0.3326841938027298</c:v>
                </c:pt>
                <c:pt idx="88">
                  <c:v>0.3283299467375517</c:v>
                </c:pt>
                <c:pt idx="89">
                  <c:v>0.3308811018708604</c:v>
                </c:pt>
                <c:pt idx="90">
                  <c:v>0.3476025939471205</c:v>
                </c:pt>
                <c:pt idx="91">
                  <c:v>0.280142268429019</c:v>
                </c:pt>
                <c:pt idx="92">
                  <c:v>0.37499302389993255</c:v>
                </c:pt>
                <c:pt idx="93">
                  <c:v>0.3780551859077269</c:v>
                </c:pt>
                <c:pt idx="94">
                  <c:v>0.37734191596967465</c:v>
                </c:pt>
                <c:pt idx="95">
                  <c:v>0.3749613620069089</c:v>
                </c:pt>
                <c:pt idx="96">
                  <c:v>0.3851556217861262</c:v>
                </c:pt>
                <c:pt idx="97">
                  <c:v>0.40006194861423333</c:v>
                </c:pt>
                <c:pt idx="98">
                  <c:v>0.40053758834975955</c:v>
                </c:pt>
                <c:pt idx="99">
                  <c:v>0.3938249445322962</c:v>
                </c:pt>
                <c:pt idx="100">
                  <c:v>0.36380925841182427</c:v>
                </c:pt>
                <c:pt idx="101">
                  <c:v>0.3523924724082577</c:v>
                </c:pt>
                <c:pt idx="102">
                  <c:v>0.3578339637024582</c:v>
                </c:pt>
                <c:pt idx="103">
                  <c:v>0.3533521483367198</c:v>
                </c:pt>
                <c:pt idx="104">
                  <c:v>0.33859274075298745</c:v>
                </c:pt>
                <c:pt idx="105">
                  <c:v>0.3188631232035095</c:v>
                </c:pt>
                <c:pt idx="106">
                  <c:v>0.30403251159746614</c:v>
                </c:pt>
                <c:pt idx="107">
                  <c:v>0.29497543635885004</c:v>
                </c:pt>
                <c:pt idx="108">
                  <c:v>0.2786051187829448</c:v>
                </c:pt>
                <c:pt idx="109">
                  <c:v>0.2641287080306987</c:v>
                </c:pt>
                <c:pt idx="110">
                  <c:v>0.24922627125689836</c:v>
                </c:pt>
                <c:pt idx="111">
                  <c:v>0.2159630854261734</c:v>
                </c:pt>
                <c:pt idx="112">
                  <c:v>0.16554963980287132</c:v>
                </c:pt>
                <c:pt idx="113">
                  <c:v>0.08501189643647891</c:v>
                </c:pt>
                <c:pt idx="114">
                  <c:v>0.06717955917111827</c:v>
                </c:pt>
                <c:pt idx="115">
                  <c:v>0.06665325420737273</c:v>
                </c:pt>
                <c:pt idx="116">
                  <c:v>0.05000038516769069</c:v>
                </c:pt>
                <c:pt idx="117">
                  <c:v>0.04677594884411011</c:v>
                </c:pt>
                <c:pt idx="118">
                  <c:v>0.04373036680363631</c:v>
                </c:pt>
                <c:pt idx="119">
                  <c:v>0.03885802474878181</c:v>
                </c:pt>
                <c:pt idx="120">
                  <c:v>0.03775134532644966</c:v>
                </c:pt>
                <c:pt idx="121">
                  <c:v>0.041877253013298026</c:v>
                </c:pt>
                <c:pt idx="122">
                  <c:v>0.04074789500301255</c:v>
                </c:pt>
                <c:pt idx="123">
                  <c:v>0.040047612770436614</c:v>
                </c:pt>
                <c:pt idx="124">
                  <c:v>0.038716547857817085</c:v>
                </c:pt>
                <c:pt idx="125">
                  <c:v>0.03963622652135928</c:v>
                </c:pt>
                <c:pt idx="126">
                  <c:v>0.03608366750918614</c:v>
                </c:pt>
                <c:pt idx="127">
                  <c:v>0.037825928049017736</c:v>
                </c:pt>
                <c:pt idx="128">
                  <c:v>0.038632131948727194</c:v>
                </c:pt>
                <c:pt idx="129">
                  <c:v>0.038771897312215586</c:v>
                </c:pt>
                <c:pt idx="130">
                  <c:v>0.037891749212277934</c:v>
                </c:pt>
                <c:pt idx="131">
                  <c:v>0.03394641127110461</c:v>
                </c:pt>
                <c:pt idx="132">
                  <c:v>0.031919074898896733</c:v>
                </c:pt>
                <c:pt idx="133">
                  <c:v>0.03378422916873833</c:v>
                </c:pt>
                <c:pt idx="134">
                  <c:v>0.03228904041898438</c:v>
                </c:pt>
                <c:pt idx="135">
                  <c:v>0.03107757778104191</c:v>
                </c:pt>
                <c:pt idx="136">
                  <c:v>0.02966069899074078</c:v>
                </c:pt>
                <c:pt idx="137">
                  <c:v>0.028808789451885114</c:v>
                </c:pt>
                <c:pt idx="138">
                  <c:v>0.026374880220112033</c:v>
                </c:pt>
                <c:pt idx="139">
                  <c:v>0.021819695717336107</c:v>
                </c:pt>
                <c:pt idx="140">
                  <c:v>0.02053311377117631</c:v>
                </c:pt>
                <c:pt idx="141">
                  <c:v>0.0200132503868954</c:v>
                </c:pt>
                <c:pt idx="142">
                  <c:v>0.01712087695451726</c:v>
                </c:pt>
                <c:pt idx="143">
                  <c:v>0.015676005430802054</c:v>
                </c:pt>
                <c:pt idx="144">
                  <c:v>0.015115301297027438</c:v>
                </c:pt>
                <c:pt idx="145">
                  <c:v>0.015194472680746956</c:v>
                </c:pt>
                <c:pt idx="146">
                  <c:v>0.013229571984435798</c:v>
                </c:pt>
                <c:pt idx="147">
                  <c:v>0.012796061673336249</c:v>
                </c:pt>
                <c:pt idx="148">
                  <c:v>0.011684952279011685</c:v>
                </c:pt>
                <c:pt idx="149">
                  <c:v>0.011215864759427829</c:v>
                </c:pt>
                <c:pt idx="150">
                  <c:v>0.011060600913835629</c:v>
                </c:pt>
                <c:pt idx="151">
                  <c:v>0.011029919596740606</c:v>
                </c:pt>
                <c:pt idx="152">
                  <c:v>0.011242864609471223</c:v>
                </c:pt>
                <c:pt idx="153">
                  <c:v>0.00964945923732266</c:v>
                </c:pt>
                <c:pt idx="154">
                  <c:v>0.008566433566433567</c:v>
                </c:pt>
                <c:pt idx="155">
                  <c:v>0.008630245447347584</c:v>
                </c:pt>
                <c:pt idx="156">
                  <c:v>0.00917022792022792</c:v>
                </c:pt>
                <c:pt idx="157">
                  <c:v>0.008779806445176095</c:v>
                </c:pt>
                <c:pt idx="158">
                  <c:v>0.008992278369660834</c:v>
                </c:pt>
                <c:pt idx="159">
                  <c:v>0.009172767819574181</c:v>
                </c:pt>
                <c:pt idx="160">
                  <c:v>0.010876519513755598</c:v>
                </c:pt>
                <c:pt idx="161">
                  <c:v>0.010111524163568773</c:v>
                </c:pt>
                <c:pt idx="162">
                  <c:v>0.01006893346758578</c:v>
                </c:pt>
                <c:pt idx="163">
                  <c:v>0.010271398747390397</c:v>
                </c:pt>
                <c:pt idx="164">
                  <c:v>0.009994178148651271</c:v>
                </c:pt>
                <c:pt idx="165">
                  <c:v>0.009425244871557938</c:v>
                </c:pt>
                <c:pt idx="166">
                  <c:v>0.0085376360930524</c:v>
                </c:pt>
                <c:pt idx="167">
                  <c:v>0.008505117485944933</c:v>
                </c:pt>
                <c:pt idx="168">
                  <c:v>0.009148831890214017</c:v>
                </c:pt>
                <c:pt idx="169">
                  <c:v>0.009410314782316688</c:v>
                </c:pt>
                <c:pt idx="170">
                  <c:v>0.00939319932368965</c:v>
                </c:pt>
                <c:pt idx="171">
                  <c:v>0.009108596134505955</c:v>
                </c:pt>
                <c:pt idx="172">
                  <c:v>0.009343285846919342</c:v>
                </c:pt>
                <c:pt idx="173">
                  <c:v>0.007962707157026455</c:v>
                </c:pt>
                <c:pt idx="174">
                  <c:v>0.0036</c:v>
                </c:pt>
                <c:pt idx="175">
                  <c:v>0.0035</c:v>
                </c:pt>
                <c:pt idx="176">
                  <c:v>0.0035</c:v>
                </c:pt>
                <c:pt idx="177">
                  <c:v>0.0035</c:v>
                </c:pt>
                <c:pt idx="178">
                  <c:v>0.0034</c:v>
                </c:pt>
                <c:pt idx="179">
                  <c:v>0.0034</c:v>
                </c:pt>
                <c:pt idx="180">
                  <c:v>0.0033</c:v>
                </c:pt>
                <c:pt idx="181">
                  <c:v>0.0033</c:v>
                </c:pt>
                <c:pt idx="182">
                  <c:v>0.0032</c:v>
                </c:pt>
                <c:pt idx="183">
                  <c:v>0.0032</c:v>
                </c:pt>
                <c:pt idx="184">
                  <c:v>0.0032</c:v>
                </c:pt>
                <c:pt idx="185">
                  <c:v>0.0032</c:v>
                </c:pt>
                <c:pt idx="186">
                  <c:v>0.0032</c:v>
                </c:pt>
                <c:pt idx="187">
                  <c:v>0.003</c:v>
                </c:pt>
                <c:pt idx="188">
                  <c:v>0.003</c:v>
                </c:pt>
                <c:pt idx="189">
                  <c:v>0.003</c:v>
                </c:pt>
                <c:pt idx="190">
                  <c:v>0.002</c:v>
                </c:pt>
                <c:pt idx="191">
                  <c:v>0.002</c:v>
                </c:pt>
                <c:pt idx="192">
                  <c:v>0.002</c:v>
                </c:pt>
                <c:pt idx="193">
                  <c:v>0.002</c:v>
                </c:pt>
                <c:pt idx="194">
                  <c:v>0.002</c:v>
                </c:pt>
                <c:pt idx="195">
                  <c:v>0.002</c:v>
                </c:pt>
                <c:pt idx="196">
                  <c:v>0.002</c:v>
                </c:pt>
                <c:pt idx="197">
                  <c:v>0.003</c:v>
                </c:pt>
                <c:pt idx="198">
                  <c:v>0.003</c:v>
                </c:pt>
                <c:pt idx="199">
                  <c:v>0.003</c:v>
                </c:pt>
                <c:pt idx="200">
                  <c:v>0.002</c:v>
                </c:pt>
                <c:pt idx="201">
                  <c:v>0.002</c:v>
                </c:pt>
                <c:pt idx="202">
                  <c:v>0.002</c:v>
                </c:pt>
                <c:pt idx="203">
                  <c:v>0.002</c:v>
                </c:pt>
                <c:pt idx="204">
                  <c:v>0.002</c:v>
                </c:pt>
                <c:pt idx="205">
                  <c:v>0.002</c:v>
                </c:pt>
                <c:pt idx="206">
                  <c:v>0.002</c:v>
                </c:pt>
                <c:pt idx="207">
                  <c:v>0.002</c:v>
                </c:pt>
                <c:pt idx="208">
                  <c:v>0.002</c:v>
                </c:pt>
                <c:pt idx="209">
                  <c:v>0.002</c:v>
                </c:pt>
                <c:pt idx="210">
                  <c:v>0.002</c:v>
                </c:pt>
                <c:pt idx="211">
                  <c:v>0.002</c:v>
                </c:pt>
                <c:pt idx="212">
                  <c:v>0.002</c:v>
                </c:pt>
                <c:pt idx="213">
                  <c:v>0.002</c:v>
                </c:pt>
                <c:pt idx="214">
                  <c:v>0.001</c:v>
                </c:pt>
                <c:pt idx="215">
                  <c:v>0.001</c:v>
                </c:pt>
                <c:pt idx="216">
                  <c:v>0.001</c:v>
                </c:pt>
                <c:pt idx="217">
                  <c:v>0.001</c:v>
                </c:pt>
                <c:pt idx="218">
                  <c:v>0.001</c:v>
                </c:pt>
                <c:pt idx="219">
                  <c:v>0.001</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numCache>
            </c:numRef>
          </c:val>
          <c:smooth val="0"/>
        </c:ser>
        <c:ser>
          <c:idx val="1"/>
          <c:order val="1"/>
          <c:tx>
            <c:v>CMP Medium Class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54"/>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strCache>
            </c:strRef>
          </c:cat>
          <c:val>
            <c:numRef>
              <c:f>Load!$Q$15:$Q$268</c:f>
              <c:numCache>
                <c:ptCount val="254"/>
                <c:pt idx="0">
                  <c:v>0.6265929381761212</c:v>
                </c:pt>
                <c:pt idx="1">
                  <c:v>0.6355864132187817</c:v>
                </c:pt>
                <c:pt idx="2">
                  <c:v>0.642849447574426</c:v>
                </c:pt>
                <c:pt idx="3">
                  <c:v>0.6523870594914156</c:v>
                </c:pt>
                <c:pt idx="4">
                  <c:v>0.6521552925416738</c:v>
                </c:pt>
                <c:pt idx="5">
                  <c:v>0.6461408478264614</c:v>
                </c:pt>
                <c:pt idx="6">
                  <c:v>0.6482718661263834</c:v>
                </c:pt>
                <c:pt idx="7">
                  <c:v>0.6469572838795594</c:v>
                </c:pt>
                <c:pt idx="8">
                  <c:v>0.6334039744410774</c:v>
                </c:pt>
                <c:pt idx="9">
                  <c:v>0.6168811384290144</c:v>
                </c:pt>
                <c:pt idx="10">
                  <c:v>0.6154802870442153</c:v>
                </c:pt>
                <c:pt idx="11">
                  <c:v>0.6162842307204737</c:v>
                </c:pt>
                <c:pt idx="12">
                  <c:v>0.6240158391028968</c:v>
                </c:pt>
                <c:pt idx="13">
                  <c:v>0.6368519022193477</c:v>
                </c:pt>
                <c:pt idx="14">
                  <c:v>0.6467951602487908</c:v>
                </c:pt>
                <c:pt idx="15">
                  <c:v>0.645523760116668</c:v>
                </c:pt>
                <c:pt idx="16">
                  <c:v>0.6391782741705404</c:v>
                </c:pt>
                <c:pt idx="17">
                  <c:v>0.6421630549792741</c:v>
                </c:pt>
                <c:pt idx="18">
                  <c:v>0.631196705794402</c:v>
                </c:pt>
                <c:pt idx="19">
                  <c:v>0.6204339880562303</c:v>
                </c:pt>
                <c:pt idx="20">
                  <c:v>0.6307463705442361</c:v>
                </c:pt>
                <c:pt idx="21">
                  <c:v>0.6107032473845437</c:v>
                </c:pt>
                <c:pt idx="22">
                  <c:v>0.6017564830271851</c:v>
                </c:pt>
                <c:pt idx="23">
                  <c:v>0.5891531828802268</c:v>
                </c:pt>
                <c:pt idx="24">
                  <c:v>0.5927099735004527</c:v>
                </c:pt>
                <c:pt idx="25">
                  <c:v>0.6072667399109216</c:v>
                </c:pt>
                <c:pt idx="26">
                  <c:v>0.6174770239749161</c:v>
                </c:pt>
                <c:pt idx="27">
                  <c:v>0.613433342552447</c:v>
                </c:pt>
                <c:pt idx="28">
                  <c:v>0.6067156901312175</c:v>
                </c:pt>
                <c:pt idx="29">
                  <c:v>0.5784047423962576</c:v>
                </c:pt>
                <c:pt idx="30">
                  <c:v>0.6150267860336254</c:v>
                </c:pt>
                <c:pt idx="31">
                  <c:v>0.5938528874508695</c:v>
                </c:pt>
                <c:pt idx="32">
                  <c:v>0.630071667382699</c:v>
                </c:pt>
                <c:pt idx="33">
                  <c:v>0.5867061792707112</c:v>
                </c:pt>
                <c:pt idx="34">
                  <c:v>0.5743247079003027</c:v>
                </c:pt>
                <c:pt idx="35">
                  <c:v>0.5952406967833298</c:v>
                </c:pt>
                <c:pt idx="36">
                  <c:v>0.5899899967114677</c:v>
                </c:pt>
                <c:pt idx="37">
                  <c:v>0.5775730018237715</c:v>
                </c:pt>
                <c:pt idx="38">
                  <c:v>0.6360011252833715</c:v>
                </c:pt>
                <c:pt idx="39">
                  <c:v>0.6288107041437613</c:v>
                </c:pt>
                <c:pt idx="40">
                  <c:v>0.6245737838262341</c:v>
                </c:pt>
                <c:pt idx="41">
                  <c:v>0.6501872168864307</c:v>
                </c:pt>
                <c:pt idx="42">
                  <c:v>0.6340042176791633</c:v>
                </c:pt>
                <c:pt idx="43">
                  <c:v>0.5805751836310836</c:v>
                </c:pt>
                <c:pt idx="44">
                  <c:v>0.6292380607013418</c:v>
                </c:pt>
                <c:pt idx="45">
                  <c:v>0.6315982863875949</c:v>
                </c:pt>
                <c:pt idx="46">
                  <c:v>0.6217788537223167</c:v>
                </c:pt>
                <c:pt idx="47">
                  <c:v>0.6217788537223167</c:v>
                </c:pt>
                <c:pt idx="48">
                  <c:v>0.6197256491695139</c:v>
                </c:pt>
                <c:pt idx="49">
                  <c:v>0.63904190500251</c:v>
                </c:pt>
                <c:pt idx="50">
                  <c:v>0.6525342877642096</c:v>
                </c:pt>
                <c:pt idx="51">
                  <c:v>0.6588404567031483</c:v>
                </c:pt>
                <c:pt idx="52">
                  <c:v>0.6795132724522056</c:v>
                </c:pt>
                <c:pt idx="53">
                  <c:v>0.6140789155733679</c:v>
                </c:pt>
                <c:pt idx="54">
                  <c:v>0.6533650357592824</c:v>
                </c:pt>
                <c:pt idx="55">
                  <c:v>0.6728942494168909</c:v>
                </c:pt>
                <c:pt idx="56">
                  <c:v>0.6779630043985155</c:v>
                </c:pt>
                <c:pt idx="57">
                  <c:v>0.6677064143877752</c:v>
                </c:pt>
                <c:pt idx="58">
                  <c:v>0.65102713374117</c:v>
                </c:pt>
                <c:pt idx="59">
                  <c:v>0.6402028809185956</c:v>
                </c:pt>
                <c:pt idx="60">
                  <c:v>0.6497999037044637</c:v>
                </c:pt>
                <c:pt idx="61">
                  <c:v>0.6656315392526964</c:v>
                </c:pt>
                <c:pt idx="62">
                  <c:v>0.6753232994049851</c:v>
                </c:pt>
                <c:pt idx="63">
                  <c:v>0.6736566123001276</c:v>
                </c:pt>
                <c:pt idx="64">
                  <c:v>0.6736483157513529</c:v>
                </c:pt>
                <c:pt idx="65">
                  <c:v>0.6704027552904244</c:v>
                </c:pt>
                <c:pt idx="66">
                  <c:v>0.6684538697756393</c:v>
                </c:pt>
                <c:pt idx="67">
                  <c:v>0.6688509558965862</c:v>
                </c:pt>
                <c:pt idx="68">
                  <c:v>0.6619728575198921</c:v>
                </c:pt>
                <c:pt idx="69">
                  <c:v>0.6534441364592543</c:v>
                </c:pt>
                <c:pt idx="70">
                  <c:v>0.6375938598089549</c:v>
                </c:pt>
                <c:pt idx="71">
                  <c:v>0.6327192773742355</c:v>
                </c:pt>
                <c:pt idx="72">
                  <c:v>0.6380730906684782</c:v>
                </c:pt>
                <c:pt idx="73">
                  <c:v>0.6553581245117583</c:v>
                </c:pt>
                <c:pt idx="74">
                  <c:v>0.6557879872128076</c:v>
                </c:pt>
                <c:pt idx="75">
                  <c:v>0.6587482505893687</c:v>
                </c:pt>
                <c:pt idx="76">
                  <c:v>0.6463148913825719</c:v>
                </c:pt>
                <c:pt idx="77">
                  <c:v>0.6448346076550715</c:v>
                </c:pt>
                <c:pt idx="78">
                  <c:v>0.6360964494775274</c:v>
                </c:pt>
                <c:pt idx="79">
                  <c:v>0.6299068368602045</c:v>
                </c:pt>
                <c:pt idx="80">
                  <c:v>0.6183756718507535</c:v>
                </c:pt>
                <c:pt idx="81">
                  <c:v>0.612884834663626</c:v>
                </c:pt>
                <c:pt idx="82">
                  <c:v>0.6002672875749787</c:v>
                </c:pt>
                <c:pt idx="83">
                  <c:v>0.589283436339765</c:v>
                </c:pt>
                <c:pt idx="84">
                  <c:v>0.5970281565948851</c:v>
                </c:pt>
                <c:pt idx="85">
                  <c:v>0.613759857883768</c:v>
                </c:pt>
                <c:pt idx="86">
                  <c:v>0.6225050602896118</c:v>
                </c:pt>
                <c:pt idx="87">
                  <c:v>0.623381798126162</c:v>
                </c:pt>
                <c:pt idx="88">
                  <c:v>0.6199379780569242</c:v>
                </c:pt>
                <c:pt idx="89">
                  <c:v>0.6118459465814441</c:v>
                </c:pt>
                <c:pt idx="90">
                  <c:v>0.6218328816104188</c:v>
                </c:pt>
                <c:pt idx="91">
                  <c:v>0.6244180777658913</c:v>
                </c:pt>
                <c:pt idx="92">
                  <c:v>0.6322254427498348</c:v>
                </c:pt>
                <c:pt idx="93">
                  <c:v>0.6274223252399106</c:v>
                </c:pt>
                <c:pt idx="94">
                  <c:v>0.6095805190879005</c:v>
                </c:pt>
                <c:pt idx="95">
                  <c:v>0.6038528958610617</c:v>
                </c:pt>
                <c:pt idx="96">
                  <c:v>0.6081257678932624</c:v>
                </c:pt>
                <c:pt idx="97">
                  <c:v>0.6248973462690925</c:v>
                </c:pt>
                <c:pt idx="98">
                  <c:v>0.6334122747215243</c:v>
                </c:pt>
                <c:pt idx="99">
                  <c:v>0.6376318824708866</c:v>
                </c:pt>
                <c:pt idx="100">
                  <c:v>0.6398972452209234</c:v>
                </c:pt>
                <c:pt idx="101">
                  <c:v>0.6405570649220423</c:v>
                </c:pt>
                <c:pt idx="102">
                  <c:v>0.6370992962456866</c:v>
                </c:pt>
                <c:pt idx="103">
                  <c:v>0.6512578975352226</c:v>
                </c:pt>
                <c:pt idx="104">
                  <c:v>0.65589788735529</c:v>
                </c:pt>
                <c:pt idx="105">
                  <c:v>0.6393832713123918</c:v>
                </c:pt>
                <c:pt idx="106">
                  <c:v>0.6210477859875168</c:v>
                </c:pt>
                <c:pt idx="107">
                  <c:v>0.6092027808167518</c:v>
                </c:pt>
                <c:pt idx="108">
                  <c:v>0.608604911734381</c:v>
                </c:pt>
                <c:pt idx="109">
                  <c:v>0.617012199814318</c:v>
                </c:pt>
                <c:pt idx="110">
                  <c:v>0.6187562850235535</c:v>
                </c:pt>
                <c:pt idx="111">
                  <c:v>0.6026531675268825</c:v>
                </c:pt>
                <c:pt idx="112">
                  <c:v>0.5914747923274184</c:v>
                </c:pt>
                <c:pt idx="113">
                  <c:v>0.5740492624347028</c:v>
                </c:pt>
                <c:pt idx="114">
                  <c:v>0.5608933151099431</c:v>
                </c:pt>
                <c:pt idx="115">
                  <c:v>0.5614962530280739</c:v>
                </c:pt>
                <c:pt idx="116">
                  <c:v>0.5543301779434812</c:v>
                </c:pt>
                <c:pt idx="117">
                  <c:v>0.5440716340235681</c:v>
                </c:pt>
                <c:pt idx="118">
                  <c:v>0.5314478565202347</c:v>
                </c:pt>
                <c:pt idx="119">
                  <c:v>0.5243742257022288</c:v>
                </c:pt>
                <c:pt idx="120">
                  <c:v>0.5359755161282997</c:v>
                </c:pt>
                <c:pt idx="121">
                  <c:v>0.5505709524870284</c:v>
                </c:pt>
                <c:pt idx="122">
                  <c:v>0.5600044219810814</c:v>
                </c:pt>
                <c:pt idx="123">
                  <c:v>0.5650648085308301</c:v>
                </c:pt>
                <c:pt idx="124">
                  <c:v>0.560211201345393</c:v>
                </c:pt>
                <c:pt idx="125">
                  <c:v>0.5647026772038286</c:v>
                </c:pt>
                <c:pt idx="126">
                  <c:v>0.5515968842979305</c:v>
                </c:pt>
                <c:pt idx="127">
                  <c:v>0.5542833567267602</c:v>
                </c:pt>
                <c:pt idx="128">
                  <c:v>0.551993336419138</c:v>
                </c:pt>
                <c:pt idx="129">
                  <c:v>0.5453122807633765</c:v>
                </c:pt>
                <c:pt idx="130">
                  <c:v>0.5277352722121239</c:v>
                </c:pt>
                <c:pt idx="131">
                  <c:v>0.5159492610655267</c:v>
                </c:pt>
                <c:pt idx="132">
                  <c:v>0.5194374364425083</c:v>
                </c:pt>
                <c:pt idx="133">
                  <c:v>0.5316395260021215</c:v>
                </c:pt>
                <c:pt idx="134">
                  <c:v>0.5373310136910564</c:v>
                </c:pt>
                <c:pt idx="135">
                  <c:v>0.5345725376892975</c:v>
                </c:pt>
                <c:pt idx="136">
                  <c:v>0.5298010189596641</c:v>
                </c:pt>
                <c:pt idx="137">
                  <c:v>0.5262221525228741</c:v>
                </c:pt>
                <c:pt idx="138">
                  <c:v>0.5255360384116374</c:v>
                </c:pt>
                <c:pt idx="139">
                  <c:v>0.5265096158507978</c:v>
                </c:pt>
                <c:pt idx="140">
                  <c:v>0.5163245801353751</c:v>
                </c:pt>
                <c:pt idx="141">
                  <c:v>0.4953374622249406</c:v>
                </c:pt>
                <c:pt idx="142">
                  <c:v>0.47146099775320327</c:v>
                </c:pt>
                <c:pt idx="143">
                  <c:v>0.4594718908816912</c:v>
                </c:pt>
                <c:pt idx="144">
                  <c:v>0.4677544067252944</c:v>
                </c:pt>
                <c:pt idx="145">
                  <c:v>0.4726162036825946</c:v>
                </c:pt>
                <c:pt idx="146">
                  <c:v>0.4722275982194697</c:v>
                </c:pt>
                <c:pt idx="147">
                  <c:v>0.4809917355371901</c:v>
                </c:pt>
                <c:pt idx="148">
                  <c:v>0.4739984591679507</c:v>
                </c:pt>
                <c:pt idx="149">
                  <c:v>0.4580896686159844</c:v>
                </c:pt>
                <c:pt idx="150">
                  <c:v>0.44767371395814337</c:v>
                </c:pt>
                <c:pt idx="151">
                  <c:v>0.4314963243370746</c:v>
                </c:pt>
                <c:pt idx="152">
                  <c:v>0.4162457089126664</c:v>
                </c:pt>
                <c:pt idx="153">
                  <c:v>0.37765577629927966</c:v>
                </c:pt>
                <c:pt idx="154">
                  <c:v>0.36538134873449973</c:v>
                </c:pt>
                <c:pt idx="155">
                  <c:v>0.3709972552607502</c:v>
                </c:pt>
                <c:pt idx="156">
                  <c:v>0.3925048667708392</c:v>
                </c:pt>
                <c:pt idx="157">
                  <c:v>0.3985316265060241</c:v>
                </c:pt>
                <c:pt idx="158">
                  <c:v>0.416650226869205</c:v>
                </c:pt>
                <c:pt idx="159">
                  <c:v>0.4169314146888432</c:v>
                </c:pt>
                <c:pt idx="160">
                  <c:v>0.41954419889502764</c:v>
                </c:pt>
                <c:pt idx="161">
                  <c:v>0.421822272215973</c:v>
                </c:pt>
                <c:pt idx="162">
                  <c:v>0.42163435404964666</c:v>
                </c:pt>
                <c:pt idx="163">
                  <c:v>0.42149191444966094</c:v>
                </c:pt>
                <c:pt idx="164">
                  <c:v>0.4093293368302735</c:v>
                </c:pt>
                <c:pt idx="165">
                  <c:v>0.39311382249707505</c:v>
                </c:pt>
                <c:pt idx="166">
                  <c:v>0.38437203416640303</c:v>
                </c:pt>
                <c:pt idx="167">
                  <c:v>0.39485948312385255</c:v>
                </c:pt>
                <c:pt idx="168">
                  <c:v>0.4151607963246554</c:v>
                </c:pt>
                <c:pt idx="169">
                  <c:v>0.4319928507596068</c:v>
                </c:pt>
                <c:pt idx="170">
                  <c:v>0.43888998228695136</c:v>
                </c:pt>
                <c:pt idx="171">
                  <c:v>0.4394502414721352</c:v>
                </c:pt>
                <c:pt idx="172">
                  <c:v>0.4443867905325055</c:v>
                </c:pt>
                <c:pt idx="173">
                  <c:v>0.4410063484200204</c:v>
                </c:pt>
                <c:pt idx="174">
                  <c:v>0.436</c:v>
                </c:pt>
                <c:pt idx="175">
                  <c:v>0.411</c:v>
                </c:pt>
                <c:pt idx="176">
                  <c:v>0.392</c:v>
                </c:pt>
                <c:pt idx="177">
                  <c:v>0.371</c:v>
                </c:pt>
                <c:pt idx="178">
                  <c:v>0.358</c:v>
                </c:pt>
                <c:pt idx="179">
                  <c:v>0.365</c:v>
                </c:pt>
                <c:pt idx="180">
                  <c:v>0.375</c:v>
                </c:pt>
                <c:pt idx="181">
                  <c:v>0.374</c:v>
                </c:pt>
                <c:pt idx="182">
                  <c:v>0.372</c:v>
                </c:pt>
                <c:pt idx="183">
                  <c:v>0.359</c:v>
                </c:pt>
                <c:pt idx="184">
                  <c:v>0.345</c:v>
                </c:pt>
                <c:pt idx="185">
                  <c:v>0.34</c:v>
                </c:pt>
                <c:pt idx="186">
                  <c:v>0.345</c:v>
                </c:pt>
                <c:pt idx="187">
                  <c:v>0.34</c:v>
                </c:pt>
                <c:pt idx="188">
                  <c:v>0.333</c:v>
                </c:pt>
                <c:pt idx="189">
                  <c:v>0.329</c:v>
                </c:pt>
                <c:pt idx="190">
                  <c:v>0.329</c:v>
                </c:pt>
                <c:pt idx="191">
                  <c:v>0.337</c:v>
                </c:pt>
                <c:pt idx="192">
                  <c:v>0.349</c:v>
                </c:pt>
                <c:pt idx="193">
                  <c:v>0.36</c:v>
                </c:pt>
                <c:pt idx="194">
                  <c:v>0.366</c:v>
                </c:pt>
                <c:pt idx="195">
                  <c:v>0.367</c:v>
                </c:pt>
                <c:pt idx="196">
                  <c:v>0.368</c:v>
                </c:pt>
                <c:pt idx="197">
                  <c:v>0.358</c:v>
                </c:pt>
                <c:pt idx="198">
                  <c:v>0.359</c:v>
                </c:pt>
                <c:pt idx="199">
                  <c:v>0.359</c:v>
                </c:pt>
                <c:pt idx="200">
                  <c:v>0.344</c:v>
                </c:pt>
                <c:pt idx="201">
                  <c:v>0.311</c:v>
                </c:pt>
                <c:pt idx="202">
                  <c:v>0.309</c:v>
                </c:pt>
                <c:pt idx="203">
                  <c:v>0.313</c:v>
                </c:pt>
                <c:pt idx="204">
                  <c:v>0.33</c:v>
                </c:pt>
                <c:pt idx="205">
                  <c:v>0.347</c:v>
                </c:pt>
                <c:pt idx="206">
                  <c:v>0.356</c:v>
                </c:pt>
                <c:pt idx="207">
                  <c:v>0.347</c:v>
                </c:pt>
                <c:pt idx="208">
                  <c:v>0.349</c:v>
                </c:pt>
                <c:pt idx="209">
                  <c:v>0.348</c:v>
                </c:pt>
                <c:pt idx="210">
                  <c:v>0.355</c:v>
                </c:pt>
                <c:pt idx="211">
                  <c:v>0.328</c:v>
                </c:pt>
                <c:pt idx="212">
                  <c:v>0.318</c:v>
                </c:pt>
                <c:pt idx="213">
                  <c:v>0.289</c:v>
                </c:pt>
                <c:pt idx="214">
                  <c:v>0.252</c:v>
                </c:pt>
                <c:pt idx="215">
                  <c:v>0.251</c:v>
                </c:pt>
                <c:pt idx="216">
                  <c:v>0.248</c:v>
                </c:pt>
                <c:pt idx="217">
                  <c:v>0.254</c:v>
                </c:pt>
                <c:pt idx="218">
                  <c:v>0.254</c:v>
                </c:pt>
                <c:pt idx="219">
                  <c:v>0.261</c:v>
                </c:pt>
                <c:pt idx="220">
                  <c:v>0.263</c:v>
                </c:pt>
                <c:pt idx="221">
                  <c:v>0.267</c:v>
                </c:pt>
                <c:pt idx="222">
                  <c:v>0.275</c:v>
                </c:pt>
                <c:pt idx="223">
                  <c:v>0.295</c:v>
                </c:pt>
                <c:pt idx="224">
                  <c:v>0.291</c:v>
                </c:pt>
                <c:pt idx="225">
                  <c:v>0.298</c:v>
                </c:pt>
                <c:pt idx="226">
                  <c:v>0.303</c:v>
                </c:pt>
                <c:pt idx="227">
                  <c:v>0.316</c:v>
                </c:pt>
                <c:pt idx="228">
                  <c:v>0.325</c:v>
                </c:pt>
                <c:pt idx="229">
                  <c:v>0.328</c:v>
                </c:pt>
                <c:pt idx="230">
                  <c:v>0.346</c:v>
                </c:pt>
                <c:pt idx="231">
                  <c:v>0.473</c:v>
                </c:pt>
                <c:pt idx="232">
                  <c:v>0.481</c:v>
                </c:pt>
                <c:pt idx="233">
                  <c:v>0.463</c:v>
                </c:pt>
                <c:pt idx="234">
                  <c:v>0.45</c:v>
                </c:pt>
                <c:pt idx="235">
                  <c:v>0.424</c:v>
                </c:pt>
                <c:pt idx="236">
                  <c:v>0.4</c:v>
                </c:pt>
                <c:pt idx="237">
                  <c:v>0.357</c:v>
                </c:pt>
                <c:pt idx="238">
                  <c:v>0.316</c:v>
                </c:pt>
                <c:pt idx="239">
                  <c:v>0.297</c:v>
                </c:pt>
                <c:pt idx="240">
                  <c:v>0.292</c:v>
                </c:pt>
                <c:pt idx="241">
                  <c:v>0.226</c:v>
                </c:pt>
                <c:pt idx="242">
                  <c:v>0.238</c:v>
                </c:pt>
                <c:pt idx="243">
                  <c:v>0.208</c:v>
                </c:pt>
                <c:pt idx="244">
                  <c:v>0.143</c:v>
                </c:pt>
                <c:pt idx="245">
                  <c:v>0.147</c:v>
                </c:pt>
                <c:pt idx="246">
                  <c:v>0.145</c:v>
                </c:pt>
                <c:pt idx="247">
                  <c:v>0.14</c:v>
                </c:pt>
                <c:pt idx="248">
                  <c:v>0.067</c:v>
                </c:pt>
                <c:pt idx="249">
                  <c:v>0.085</c:v>
                </c:pt>
                <c:pt idx="250">
                  <c:v>0.057</c:v>
                </c:pt>
                <c:pt idx="251">
                  <c:v>0.068</c:v>
                </c:pt>
                <c:pt idx="252">
                  <c:v>0.058</c:v>
                </c:pt>
                <c:pt idx="253">
                  <c:v>0.058</c:v>
                </c:pt>
              </c:numCache>
            </c:numRef>
          </c:val>
          <c:smooth val="0"/>
        </c:ser>
        <c:ser>
          <c:idx val="2"/>
          <c:order val="2"/>
          <c:tx>
            <c:v>CMP Large Class</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54"/>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strCache>
            </c:strRef>
          </c:cat>
          <c:val>
            <c:numRef>
              <c:f>Load!$T$15:$T$268</c:f>
              <c:numCache>
                <c:ptCount val="254"/>
                <c:pt idx="0">
                  <c:v>0.9693652080002934</c:v>
                </c:pt>
                <c:pt idx="1">
                  <c:v>0.9794102216956263</c:v>
                </c:pt>
                <c:pt idx="2">
                  <c:v>0.973850716413905</c:v>
                </c:pt>
                <c:pt idx="3">
                  <c:v>0.9629448049059933</c:v>
                </c:pt>
                <c:pt idx="4">
                  <c:v>0.9730641187182395</c:v>
                </c:pt>
                <c:pt idx="5">
                  <c:v>0.9703502687535532</c:v>
                </c:pt>
                <c:pt idx="6">
                  <c:v>0.7940260842041085</c:v>
                </c:pt>
                <c:pt idx="7">
                  <c:v>0.9751130112475811</c:v>
                </c:pt>
                <c:pt idx="8">
                  <c:v>0.9787509772537063</c:v>
                </c:pt>
                <c:pt idx="9">
                  <c:v>0.9770480114742442</c:v>
                </c:pt>
                <c:pt idx="10">
                  <c:v>0.9759013481044283</c:v>
                </c:pt>
                <c:pt idx="11">
                  <c:v>0.9742348139797962</c:v>
                </c:pt>
                <c:pt idx="12">
                  <c:v>0.9645727812352392</c:v>
                </c:pt>
                <c:pt idx="13">
                  <c:v>0.9755550699570338</c:v>
                </c:pt>
                <c:pt idx="14">
                  <c:v>0.9882564070500188</c:v>
                </c:pt>
                <c:pt idx="15">
                  <c:v>0.9668677821822989</c:v>
                </c:pt>
                <c:pt idx="16">
                  <c:v>0.97811907015638</c:v>
                </c:pt>
                <c:pt idx="17">
                  <c:v>0.9690377207827476</c:v>
                </c:pt>
                <c:pt idx="18">
                  <c:v>0.975289778762621</c:v>
                </c:pt>
                <c:pt idx="19">
                  <c:v>0.9789727242852138</c:v>
                </c:pt>
                <c:pt idx="20">
                  <c:v>0.9720021868370238</c:v>
                </c:pt>
                <c:pt idx="21">
                  <c:v>0.9817656267914067</c:v>
                </c:pt>
                <c:pt idx="22">
                  <c:v>0.9754120350918551</c:v>
                </c:pt>
                <c:pt idx="23">
                  <c:v>0.9782879260894085</c:v>
                </c:pt>
                <c:pt idx="24">
                  <c:v>0.9825070038797145</c:v>
                </c:pt>
                <c:pt idx="25">
                  <c:v>0.972593817348268</c:v>
                </c:pt>
                <c:pt idx="26">
                  <c:v>0.9766233241517911</c:v>
                </c:pt>
                <c:pt idx="27">
                  <c:v>0.9736979558027449</c:v>
                </c:pt>
                <c:pt idx="28">
                  <c:v>0.9740873416422654</c:v>
                </c:pt>
                <c:pt idx="29">
                  <c:v>0.9549398637089684</c:v>
                </c:pt>
                <c:pt idx="30">
                  <c:v>0.9781958011248642</c:v>
                </c:pt>
                <c:pt idx="31">
                  <c:v>0.9662138668371376</c:v>
                </c:pt>
                <c:pt idx="32">
                  <c:v>0.981227707804003</c:v>
                </c:pt>
                <c:pt idx="33">
                  <c:v>0.9771925024699104</c:v>
                </c:pt>
                <c:pt idx="34">
                  <c:v>0.9772327515087835</c:v>
                </c:pt>
                <c:pt idx="35">
                  <c:v>0.9833254722101439</c:v>
                </c:pt>
                <c:pt idx="36">
                  <c:v>0.9802006591269992</c:v>
                </c:pt>
                <c:pt idx="37">
                  <c:v>0.9732311000709228</c:v>
                </c:pt>
                <c:pt idx="38">
                  <c:v>0.9766409255589676</c:v>
                </c:pt>
                <c:pt idx="39">
                  <c:v>0.9778319838130215</c:v>
                </c:pt>
                <c:pt idx="40">
                  <c:v>0.9540828837846469</c:v>
                </c:pt>
                <c:pt idx="41">
                  <c:v>0.9579701106251901</c:v>
                </c:pt>
                <c:pt idx="42">
                  <c:v>0.9781864410420027</c:v>
                </c:pt>
                <c:pt idx="43">
                  <c:v>0.985666829728879</c:v>
                </c:pt>
                <c:pt idx="44">
                  <c:v>0.9689283293945687</c:v>
                </c:pt>
                <c:pt idx="45">
                  <c:v>0.9853786410590653</c:v>
                </c:pt>
                <c:pt idx="46">
                  <c:v>0.9824160756792722</c:v>
                </c:pt>
                <c:pt idx="47">
                  <c:v>0.9824160756792722</c:v>
                </c:pt>
                <c:pt idx="48">
                  <c:v>0.9817904587513016</c:v>
                </c:pt>
                <c:pt idx="49">
                  <c:v>0.9762267534043705</c:v>
                </c:pt>
                <c:pt idx="50">
                  <c:v>0.9801520117787955</c:v>
                </c:pt>
                <c:pt idx="51">
                  <c:v>0.9794516197354438</c:v>
                </c:pt>
                <c:pt idx="52">
                  <c:v>0.9785872542809145</c:v>
                </c:pt>
                <c:pt idx="53">
                  <c:v>0.9734950766906463</c:v>
                </c:pt>
                <c:pt idx="54">
                  <c:v>0.9719849486369416</c:v>
                </c:pt>
                <c:pt idx="55">
                  <c:v>0.9763220989574501</c:v>
                </c:pt>
                <c:pt idx="56">
                  <c:v>0.9810987179254042</c:v>
                </c:pt>
                <c:pt idx="57">
                  <c:v>0.9793883952705439</c:v>
                </c:pt>
                <c:pt idx="58">
                  <c:v>0.9773969751495961</c:v>
                </c:pt>
                <c:pt idx="59">
                  <c:v>0.9772113365543175</c:v>
                </c:pt>
                <c:pt idx="60">
                  <c:v>0.9784716812118134</c:v>
                </c:pt>
                <c:pt idx="61">
                  <c:v>0.9812010718136547</c:v>
                </c:pt>
                <c:pt idx="62">
                  <c:v>0.9623489215700782</c:v>
                </c:pt>
                <c:pt idx="63">
                  <c:v>0.9576679921004979</c:v>
                </c:pt>
                <c:pt idx="64">
                  <c:v>0.9638602188181433</c:v>
                </c:pt>
                <c:pt idx="65">
                  <c:v>0.9569377596262565</c:v>
                </c:pt>
                <c:pt idx="66">
                  <c:v>0.9661763805578175</c:v>
                </c:pt>
                <c:pt idx="67">
                  <c:v>0.9629123562894669</c:v>
                </c:pt>
                <c:pt idx="68">
                  <c:v>0.9592763851911973</c:v>
                </c:pt>
                <c:pt idx="69">
                  <c:v>0.9571234958428719</c:v>
                </c:pt>
                <c:pt idx="70">
                  <c:v>0.9602475061412571</c:v>
                </c:pt>
                <c:pt idx="71">
                  <c:v>0.9514679457040189</c:v>
                </c:pt>
                <c:pt idx="72">
                  <c:v>0.9537192672846534</c:v>
                </c:pt>
                <c:pt idx="73">
                  <c:v>0.9503867094601927</c:v>
                </c:pt>
                <c:pt idx="74">
                  <c:v>0.9591680115858069</c:v>
                </c:pt>
                <c:pt idx="75">
                  <c:v>0.9672715463016056</c:v>
                </c:pt>
                <c:pt idx="76">
                  <c:v>0.9636321847069157</c:v>
                </c:pt>
                <c:pt idx="77">
                  <c:v>0.9626812771813984</c:v>
                </c:pt>
                <c:pt idx="78">
                  <c:v>0.970978265218387</c:v>
                </c:pt>
                <c:pt idx="79">
                  <c:v>0.9596433121619706</c:v>
                </c:pt>
                <c:pt idx="80">
                  <c:v>0.958642609111389</c:v>
                </c:pt>
                <c:pt idx="81">
                  <c:v>0.9615594627061265</c:v>
                </c:pt>
                <c:pt idx="82">
                  <c:v>0.9560606585439136</c:v>
                </c:pt>
                <c:pt idx="83">
                  <c:v>0.9618931469629554</c:v>
                </c:pt>
                <c:pt idx="84">
                  <c:v>0.9616032647226661</c:v>
                </c:pt>
                <c:pt idx="85">
                  <c:v>0.96993931254469</c:v>
                </c:pt>
                <c:pt idx="86">
                  <c:v>0.970243993175704</c:v>
                </c:pt>
                <c:pt idx="87">
                  <c:v>0.9709050118937381</c:v>
                </c:pt>
                <c:pt idx="88">
                  <c:v>0.9683714115555704</c:v>
                </c:pt>
                <c:pt idx="89">
                  <c:v>0.9694243641447023</c:v>
                </c:pt>
                <c:pt idx="90">
                  <c:v>0.9702450133210683</c:v>
                </c:pt>
                <c:pt idx="91">
                  <c:v>0.9704541821559477</c:v>
                </c:pt>
                <c:pt idx="92">
                  <c:v>0.9715287831377409</c:v>
                </c:pt>
                <c:pt idx="93">
                  <c:v>0.9712100074891474</c:v>
                </c:pt>
                <c:pt idx="94">
                  <c:v>0.9611050260499938</c:v>
                </c:pt>
                <c:pt idx="95">
                  <c:v>0.9605954162981095</c:v>
                </c:pt>
                <c:pt idx="96">
                  <c:v>0.9631089503368083</c:v>
                </c:pt>
                <c:pt idx="97">
                  <c:v>0.9709338518305243</c:v>
                </c:pt>
                <c:pt idx="98">
                  <c:v>0.9763137104437901</c:v>
                </c:pt>
                <c:pt idx="99">
                  <c:v>0.9818888690214294</c:v>
                </c:pt>
                <c:pt idx="100">
                  <c:v>0.974541875599355</c:v>
                </c:pt>
                <c:pt idx="101">
                  <c:v>0.9763669691670147</c:v>
                </c:pt>
                <c:pt idx="102">
                  <c:v>0.9738662271389664</c:v>
                </c:pt>
                <c:pt idx="103">
                  <c:v>0.9756519881171241</c:v>
                </c:pt>
                <c:pt idx="104">
                  <c:v>0.9776211263432331</c:v>
                </c:pt>
                <c:pt idx="105">
                  <c:v>0.9711911216965015</c:v>
                </c:pt>
                <c:pt idx="106">
                  <c:v>0.9721394982449553</c:v>
                </c:pt>
                <c:pt idx="107">
                  <c:v>0.968513955627473</c:v>
                </c:pt>
                <c:pt idx="108">
                  <c:v>0.9694484397203704</c:v>
                </c:pt>
                <c:pt idx="109">
                  <c:v>0.9689859507730585</c:v>
                </c:pt>
                <c:pt idx="110">
                  <c:v>0.9721098698180597</c:v>
                </c:pt>
                <c:pt idx="111">
                  <c:v>0.9775517538350094</c:v>
                </c:pt>
                <c:pt idx="112">
                  <c:v>0.9767734454781778</c:v>
                </c:pt>
                <c:pt idx="113">
                  <c:v>0.9727913063188975</c:v>
                </c:pt>
                <c:pt idx="114">
                  <c:v>0.9731948079496319</c:v>
                </c:pt>
                <c:pt idx="115">
                  <c:v>0.9665027200353894</c:v>
                </c:pt>
                <c:pt idx="116">
                  <c:v>0.9640712007980352</c:v>
                </c:pt>
                <c:pt idx="117">
                  <c:v>0.9580758024460112</c:v>
                </c:pt>
                <c:pt idx="118">
                  <c:v>0.9485902377010657</c:v>
                </c:pt>
                <c:pt idx="119">
                  <c:v>0.9522735810528228</c:v>
                </c:pt>
                <c:pt idx="120">
                  <c:v>0.9459599553398905</c:v>
                </c:pt>
                <c:pt idx="121">
                  <c:v>0.9491360922881904</c:v>
                </c:pt>
                <c:pt idx="122">
                  <c:v>0.9619142197891689</c:v>
                </c:pt>
                <c:pt idx="123">
                  <c:v>0.9651202361150523</c:v>
                </c:pt>
                <c:pt idx="124">
                  <c:v>0.9659302787497372</c:v>
                </c:pt>
                <c:pt idx="125">
                  <c:v>0.9571777408301422</c:v>
                </c:pt>
                <c:pt idx="126">
                  <c:v>0.9668480760077969</c:v>
                </c:pt>
                <c:pt idx="127">
                  <c:v>0.9689991973845802</c:v>
                </c:pt>
                <c:pt idx="128">
                  <c:v>0.9725778726480272</c:v>
                </c:pt>
                <c:pt idx="129">
                  <c:v>0.9644464967806783</c:v>
                </c:pt>
                <c:pt idx="130">
                  <c:v>0.9692579564715355</c:v>
                </c:pt>
                <c:pt idx="131">
                  <c:v>0.9684932974440673</c:v>
                </c:pt>
                <c:pt idx="132">
                  <c:v>0.9665215538720416</c:v>
                </c:pt>
                <c:pt idx="133">
                  <c:v>0.9656344238846221</c:v>
                </c:pt>
                <c:pt idx="134">
                  <c:v>0.966345169225173</c:v>
                </c:pt>
                <c:pt idx="135">
                  <c:v>0.953718560479786</c:v>
                </c:pt>
                <c:pt idx="136">
                  <c:v>0.9651515192451922</c:v>
                </c:pt>
                <c:pt idx="137">
                  <c:v>0.9639600292383355</c:v>
                </c:pt>
                <c:pt idx="138">
                  <c:v>0.9573403771019712</c:v>
                </c:pt>
                <c:pt idx="139">
                  <c:v>0.956776582344534</c:v>
                </c:pt>
                <c:pt idx="140">
                  <c:v>0.9577235626653497</c:v>
                </c:pt>
                <c:pt idx="141">
                  <c:v>0.9529083527541459</c:v>
                </c:pt>
                <c:pt idx="142">
                  <c:v>0.9512281591409076</c:v>
                </c:pt>
                <c:pt idx="143">
                  <c:v>0.9479498404791528</c:v>
                </c:pt>
                <c:pt idx="144">
                  <c:v>0.9491504043779125</c:v>
                </c:pt>
                <c:pt idx="145">
                  <c:v>0.9533473667201587</c:v>
                </c:pt>
                <c:pt idx="146">
                  <c:v>0.9477165354330709</c:v>
                </c:pt>
                <c:pt idx="147">
                  <c:v>0.946439923712651</c:v>
                </c:pt>
                <c:pt idx="148">
                  <c:v>0.9393939393939394</c:v>
                </c:pt>
                <c:pt idx="149">
                  <c:v>0.942683749157114</c:v>
                </c:pt>
                <c:pt idx="150">
                  <c:v>0.9328781213056768</c:v>
                </c:pt>
                <c:pt idx="151">
                  <c:v>0.9246415679808272</c:v>
                </c:pt>
                <c:pt idx="152">
                  <c:v>0.9369836337452795</c:v>
                </c:pt>
                <c:pt idx="153">
                  <c:v>0.9477428319483763</c:v>
                </c:pt>
                <c:pt idx="154">
                  <c:v>0.9285803627267042</c:v>
                </c:pt>
                <c:pt idx="155">
                  <c:v>0.9304838516028334</c:v>
                </c:pt>
                <c:pt idx="156">
                  <c:v>0.9298733569224661</c:v>
                </c:pt>
                <c:pt idx="157">
                  <c:v>0.9310971348707198</c:v>
                </c:pt>
                <c:pt idx="158">
                  <c:v>0.9285617275567024</c:v>
                </c:pt>
                <c:pt idx="159">
                  <c:v>0.935068349106204</c:v>
                </c:pt>
                <c:pt idx="160">
                  <c:v>0.9339610304694651</c:v>
                </c:pt>
                <c:pt idx="161">
                  <c:v>0.9419986936642717</c:v>
                </c:pt>
                <c:pt idx="162">
                  <c:v>0.9361442102047052</c:v>
                </c:pt>
                <c:pt idx="163">
                  <c:v>0.9477132112095111</c:v>
                </c:pt>
                <c:pt idx="164">
                  <c:v>0.9505938242280285</c:v>
                </c:pt>
                <c:pt idx="165">
                  <c:v>0.9465329991645781</c:v>
                </c:pt>
                <c:pt idx="166">
                  <c:v>0.9438923897237034</c:v>
                </c:pt>
                <c:pt idx="167">
                  <c:v>0.9440883190883191</c:v>
                </c:pt>
                <c:pt idx="168">
                  <c:v>0.9414574402939375</c:v>
                </c:pt>
                <c:pt idx="169">
                  <c:v>0.9523090474392852</c:v>
                </c:pt>
                <c:pt idx="170">
                  <c:v>0.9478515874027795</c:v>
                </c:pt>
                <c:pt idx="171">
                  <c:v>0.953</c:v>
                </c:pt>
                <c:pt idx="172">
                  <c:v>0.9446</c:v>
                </c:pt>
                <c:pt idx="173">
                  <c:v>0.9451</c:v>
                </c:pt>
                <c:pt idx="174">
                  <c:v>0.946</c:v>
                </c:pt>
                <c:pt idx="175">
                  <c:v>0.904</c:v>
                </c:pt>
                <c:pt idx="176">
                  <c:v>0.909</c:v>
                </c:pt>
                <c:pt idx="177">
                  <c:v>0.912</c:v>
                </c:pt>
                <c:pt idx="178">
                  <c:v>0.9</c:v>
                </c:pt>
                <c:pt idx="179">
                  <c:v>0.887</c:v>
                </c:pt>
                <c:pt idx="180">
                  <c:v>0.875</c:v>
                </c:pt>
                <c:pt idx="181">
                  <c:v>0.871</c:v>
                </c:pt>
                <c:pt idx="182">
                  <c:v>0.877</c:v>
                </c:pt>
                <c:pt idx="183">
                  <c:v>0.871</c:v>
                </c:pt>
                <c:pt idx="184">
                  <c:v>0.844</c:v>
                </c:pt>
                <c:pt idx="185">
                  <c:v>0.858</c:v>
                </c:pt>
                <c:pt idx="186">
                  <c:v>0.858</c:v>
                </c:pt>
                <c:pt idx="187">
                  <c:v>0.892</c:v>
                </c:pt>
                <c:pt idx="188">
                  <c:v>0.91</c:v>
                </c:pt>
                <c:pt idx="189">
                  <c:v>0.911</c:v>
                </c:pt>
                <c:pt idx="190">
                  <c:v>0.911</c:v>
                </c:pt>
                <c:pt idx="191">
                  <c:v>0.903</c:v>
                </c:pt>
                <c:pt idx="192">
                  <c:v>0.897</c:v>
                </c:pt>
                <c:pt idx="193">
                  <c:v>0.9027</c:v>
                </c:pt>
                <c:pt idx="194">
                  <c:v>0.919</c:v>
                </c:pt>
                <c:pt idx="195">
                  <c:v>0.917</c:v>
                </c:pt>
                <c:pt idx="196">
                  <c:v>0.918</c:v>
                </c:pt>
                <c:pt idx="197">
                  <c:v>0.907</c:v>
                </c:pt>
                <c:pt idx="198">
                  <c:v>0.909</c:v>
                </c:pt>
                <c:pt idx="199">
                  <c:v>0.912</c:v>
                </c:pt>
                <c:pt idx="200">
                  <c:v>0.917</c:v>
                </c:pt>
                <c:pt idx="201">
                  <c:v>0.891</c:v>
                </c:pt>
                <c:pt idx="202">
                  <c:v>0.888</c:v>
                </c:pt>
                <c:pt idx="203">
                  <c:v>0.873</c:v>
                </c:pt>
                <c:pt idx="204">
                  <c:v>0.894</c:v>
                </c:pt>
                <c:pt idx="205">
                  <c:v>0.87</c:v>
                </c:pt>
                <c:pt idx="206">
                  <c:v>0.869</c:v>
                </c:pt>
                <c:pt idx="207">
                  <c:v>0.864</c:v>
                </c:pt>
                <c:pt idx="208">
                  <c:v>0.859</c:v>
                </c:pt>
                <c:pt idx="209">
                  <c:v>0.862</c:v>
                </c:pt>
                <c:pt idx="210">
                  <c:v>0.875</c:v>
                </c:pt>
                <c:pt idx="211">
                  <c:v>0.86</c:v>
                </c:pt>
                <c:pt idx="212">
                  <c:v>0.867</c:v>
                </c:pt>
                <c:pt idx="213">
                  <c:v>0.836</c:v>
                </c:pt>
                <c:pt idx="214">
                  <c:v>0.811</c:v>
                </c:pt>
                <c:pt idx="215">
                  <c:v>0.817</c:v>
                </c:pt>
                <c:pt idx="216">
                  <c:v>0.803</c:v>
                </c:pt>
                <c:pt idx="217">
                  <c:v>0.773</c:v>
                </c:pt>
                <c:pt idx="218">
                  <c:v>0.774</c:v>
                </c:pt>
                <c:pt idx="219">
                  <c:v>0.753</c:v>
                </c:pt>
                <c:pt idx="220">
                  <c:v>0.742</c:v>
                </c:pt>
                <c:pt idx="221">
                  <c:v>0.745</c:v>
                </c:pt>
                <c:pt idx="222">
                  <c:v>0.732</c:v>
                </c:pt>
                <c:pt idx="223">
                  <c:v>0.72</c:v>
                </c:pt>
                <c:pt idx="224">
                  <c:v>0.761</c:v>
                </c:pt>
                <c:pt idx="225">
                  <c:v>0.796</c:v>
                </c:pt>
                <c:pt idx="226">
                  <c:v>0.797</c:v>
                </c:pt>
                <c:pt idx="227">
                  <c:v>0.796</c:v>
                </c:pt>
                <c:pt idx="228">
                  <c:v>0.797</c:v>
                </c:pt>
                <c:pt idx="229">
                  <c:v>0.805</c:v>
                </c:pt>
                <c:pt idx="230">
                  <c:v>0.832</c:v>
                </c:pt>
                <c:pt idx="231">
                  <c:v>0.887</c:v>
                </c:pt>
                <c:pt idx="232">
                  <c:v>0.903</c:v>
                </c:pt>
                <c:pt idx="233">
                  <c:v>0.904</c:v>
                </c:pt>
                <c:pt idx="234">
                  <c:v>0.904</c:v>
                </c:pt>
                <c:pt idx="235">
                  <c:v>0.884</c:v>
                </c:pt>
                <c:pt idx="236">
                  <c:v>0.883</c:v>
                </c:pt>
                <c:pt idx="237">
                  <c:v>0.877</c:v>
                </c:pt>
                <c:pt idx="238">
                  <c:v>0.857</c:v>
                </c:pt>
                <c:pt idx="239">
                  <c:v>0.841</c:v>
                </c:pt>
                <c:pt idx="240">
                  <c:v>0.811</c:v>
                </c:pt>
                <c:pt idx="241">
                  <c:v>0.828</c:v>
                </c:pt>
                <c:pt idx="242">
                  <c:v>0.773</c:v>
                </c:pt>
                <c:pt idx="243">
                  <c:v>0.752</c:v>
                </c:pt>
                <c:pt idx="244">
                  <c:v>0.629</c:v>
                </c:pt>
                <c:pt idx="245">
                  <c:v>0.617</c:v>
                </c:pt>
                <c:pt idx="246">
                  <c:v>0.654</c:v>
                </c:pt>
                <c:pt idx="247">
                  <c:v>0.685</c:v>
                </c:pt>
                <c:pt idx="248">
                  <c:v>0.634</c:v>
                </c:pt>
                <c:pt idx="249">
                  <c:v>0.645</c:v>
                </c:pt>
                <c:pt idx="250">
                  <c:v>0.604</c:v>
                </c:pt>
                <c:pt idx="251">
                  <c:v>0.596</c:v>
                </c:pt>
                <c:pt idx="252">
                  <c:v>0.587</c:v>
                </c:pt>
                <c:pt idx="253">
                  <c:v>0.606</c:v>
                </c:pt>
              </c:numCache>
            </c:numRef>
          </c:val>
          <c:smooth val="0"/>
        </c:ser>
        <c:marker val="1"/>
        <c:axId val="28167497"/>
        <c:axId val="52180882"/>
      </c:lineChart>
      <c:dateAx>
        <c:axId val="28167497"/>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52180882"/>
        <c:crosses val="autoZero"/>
        <c:auto val="0"/>
        <c:baseTimeUnit val="days"/>
        <c:majorUnit val="6"/>
        <c:majorTimeUnit val="months"/>
        <c:minorUnit val="3"/>
        <c:minorTimeUnit val="months"/>
        <c:noMultiLvlLbl val="0"/>
      </c:dateAx>
      <c:valAx>
        <c:axId val="52180882"/>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925"/>
              <c:y val="-0.002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28167497"/>
        <c:crossesAt val="1"/>
        <c:crossBetween val="between"/>
        <c:dispUnits/>
      </c:valAx>
      <c:spPr>
        <a:noFill/>
        <a:ln w="12700">
          <a:solidFill>
            <a:srgbClr val="000000"/>
          </a:solidFill>
        </a:ln>
      </c:spPr>
    </c:plotArea>
    <c:legend>
      <c:legendPos val="r"/>
      <c:layout>
        <c:manualLayout>
          <c:xMode val="edge"/>
          <c:yMode val="edge"/>
          <c:x val="0.08225"/>
          <c:y val="0.12275"/>
          <c:w val="0.1255"/>
          <c:h val="0.06375"/>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Statewide Average by Class
February 2006-July 2021
Presented by the Maine PUC</a:t>
            </a:r>
          </a:p>
        </c:rich>
      </c:tx>
      <c:layout>
        <c:manualLayout>
          <c:xMode val="factor"/>
          <c:yMode val="factor"/>
          <c:x val="0.001"/>
          <c:y val="-0.00175"/>
        </c:manualLayout>
      </c:layout>
      <c:spPr>
        <a:noFill/>
        <a:ln w="3175">
          <a:noFill/>
        </a:ln>
      </c:spPr>
    </c:title>
    <c:plotArea>
      <c:layout>
        <c:manualLayout>
          <c:xMode val="edge"/>
          <c:yMode val="edge"/>
          <c:x val="0.06925"/>
          <c:y val="0.30275"/>
          <c:w val="0.88175"/>
          <c:h val="0.6515"/>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Load!$A$10:$A$105</c:f>
              <c:strCache>
                <c:ptCount val="96"/>
                <c:pt idx="0">
                  <c:v>44561</c:v>
                </c:pt>
                <c:pt idx="1">
                  <c:v>44530</c:v>
                </c:pt>
                <c:pt idx="2">
                  <c:v>44500</c:v>
                </c:pt>
                <c:pt idx="3">
                  <c:v>44469</c:v>
                </c:pt>
                <c:pt idx="4">
                  <c:v>44439</c:v>
                </c:pt>
                <c:pt idx="5">
                  <c:v>44378</c:v>
                </c:pt>
                <c:pt idx="6">
                  <c:v>44348</c:v>
                </c:pt>
                <c:pt idx="7">
                  <c:v>44317</c:v>
                </c:pt>
                <c:pt idx="8">
                  <c:v>44287</c:v>
                </c:pt>
                <c:pt idx="9">
                  <c:v>44256</c:v>
                </c:pt>
                <c:pt idx="10">
                  <c:v>44228</c:v>
                </c:pt>
                <c:pt idx="11">
                  <c:v>44197</c:v>
                </c:pt>
                <c:pt idx="12">
                  <c:v>44196</c:v>
                </c:pt>
                <c:pt idx="13">
                  <c:v>44165</c:v>
                </c:pt>
                <c:pt idx="14">
                  <c:v>44135</c:v>
                </c:pt>
                <c:pt idx="15">
                  <c:v>44075</c:v>
                </c:pt>
                <c:pt idx="16">
                  <c:v>44044</c:v>
                </c:pt>
                <c:pt idx="17">
                  <c:v>44013</c:v>
                </c:pt>
                <c:pt idx="18">
                  <c:v>43983</c:v>
                </c:pt>
                <c:pt idx="19">
                  <c:v>43952</c:v>
                </c:pt>
                <c:pt idx="20">
                  <c:v>43922</c:v>
                </c:pt>
                <c:pt idx="21">
                  <c:v>43891</c:v>
                </c:pt>
                <c:pt idx="22">
                  <c:v>43862</c:v>
                </c:pt>
                <c:pt idx="23">
                  <c:v>43831</c:v>
                </c:pt>
                <c:pt idx="24">
                  <c:v>43800</c:v>
                </c:pt>
                <c:pt idx="25">
                  <c:v>43770</c:v>
                </c:pt>
                <c:pt idx="26">
                  <c:v>43739</c:v>
                </c:pt>
                <c:pt idx="27">
                  <c:v>43709</c:v>
                </c:pt>
                <c:pt idx="28">
                  <c:v>43678</c:v>
                </c:pt>
                <c:pt idx="29">
                  <c:v>43647</c:v>
                </c:pt>
                <c:pt idx="30">
                  <c:v>43617</c:v>
                </c:pt>
                <c:pt idx="31">
                  <c:v>43586</c:v>
                </c:pt>
                <c:pt idx="32">
                  <c:v>43556</c:v>
                </c:pt>
                <c:pt idx="33">
                  <c:v>43525</c:v>
                </c:pt>
                <c:pt idx="34">
                  <c:v>43497</c:v>
                </c:pt>
                <c:pt idx="35">
                  <c:v>43466</c:v>
                </c:pt>
                <c:pt idx="36">
                  <c:v>43435</c:v>
                </c:pt>
                <c:pt idx="37">
                  <c:v>43405</c:v>
                </c:pt>
                <c:pt idx="38">
                  <c:v>43404</c:v>
                </c:pt>
                <c:pt idx="39">
                  <c:v>43361</c:v>
                </c:pt>
                <c:pt idx="40">
                  <c:v>43330</c:v>
                </c:pt>
                <c:pt idx="41">
                  <c:v>43282</c:v>
                </c:pt>
                <c:pt idx="42">
                  <c:v>43252</c:v>
                </c:pt>
                <c:pt idx="43">
                  <c:v>43221</c:v>
                </c:pt>
                <c:pt idx="44">
                  <c:v>43191</c:v>
                </c:pt>
                <c:pt idx="45">
                  <c:v>43160</c:v>
                </c:pt>
                <c:pt idx="46">
                  <c:v>43149</c:v>
                </c:pt>
                <c:pt idx="47">
                  <c:v>43101</c:v>
                </c:pt>
                <c:pt idx="48">
                  <c:v>43070</c:v>
                </c:pt>
                <c:pt idx="49">
                  <c:v>43040</c:v>
                </c:pt>
                <c:pt idx="50">
                  <c:v>43009</c:v>
                </c:pt>
                <c:pt idx="51">
                  <c:v>42979</c:v>
                </c:pt>
                <c:pt idx="52">
                  <c:v>42948</c:v>
                </c:pt>
                <c:pt idx="53">
                  <c:v>42917</c:v>
                </c:pt>
                <c:pt idx="54">
                  <c:v>42887</c:v>
                </c:pt>
                <c:pt idx="55">
                  <c:v>42856</c:v>
                </c:pt>
                <c:pt idx="56">
                  <c:v>42826</c:v>
                </c:pt>
                <c:pt idx="57">
                  <c:v>42795</c:v>
                </c:pt>
                <c:pt idx="58">
                  <c:v>42767</c:v>
                </c:pt>
                <c:pt idx="59">
                  <c:v>42736</c:v>
                </c:pt>
                <c:pt idx="60">
                  <c:v>42705</c:v>
                </c:pt>
                <c:pt idx="61">
                  <c:v>42675</c:v>
                </c:pt>
                <c:pt idx="62">
                  <c:v>42644</c:v>
                </c:pt>
                <c:pt idx="63">
                  <c:v>42614</c:v>
                </c:pt>
                <c:pt idx="64">
                  <c:v>42583</c:v>
                </c:pt>
                <c:pt idx="65">
                  <c:v>42552</c:v>
                </c:pt>
                <c:pt idx="66">
                  <c:v>42522</c:v>
                </c:pt>
                <c:pt idx="67">
                  <c:v>42491</c:v>
                </c:pt>
                <c:pt idx="68">
                  <c:v>42461</c:v>
                </c:pt>
                <c:pt idx="69">
                  <c:v>42430</c:v>
                </c:pt>
                <c:pt idx="70">
                  <c:v>42401</c:v>
                </c:pt>
                <c:pt idx="71">
                  <c:v>42370</c:v>
                </c:pt>
                <c:pt idx="72">
                  <c:v>42339</c:v>
                </c:pt>
                <c:pt idx="73">
                  <c:v>42309</c:v>
                </c:pt>
                <c:pt idx="74">
                  <c:v>42278</c:v>
                </c:pt>
                <c:pt idx="75">
                  <c:v>42248</c:v>
                </c:pt>
                <c:pt idx="76">
                  <c:v>42217</c:v>
                </c:pt>
                <c:pt idx="77">
                  <c:v>42186</c:v>
                </c:pt>
                <c:pt idx="78">
                  <c:v>42156</c:v>
                </c:pt>
                <c:pt idx="79">
                  <c:v>42125</c:v>
                </c:pt>
                <c:pt idx="80">
                  <c:v>42095</c:v>
                </c:pt>
                <c:pt idx="81">
                  <c:v>42064</c:v>
                </c:pt>
                <c:pt idx="82">
                  <c:v>42036</c:v>
                </c:pt>
                <c:pt idx="83">
                  <c:v>42005</c:v>
                </c:pt>
                <c:pt idx="84">
                  <c:v>41974</c:v>
                </c:pt>
                <c:pt idx="85">
                  <c:v>41944</c:v>
                </c:pt>
                <c:pt idx="86">
                  <c:v>41926</c:v>
                </c:pt>
                <c:pt idx="87">
                  <c:v>41883</c:v>
                </c:pt>
                <c:pt idx="88">
                  <c:v>41852</c:v>
                </c:pt>
                <c:pt idx="89">
                  <c:v>41821</c:v>
                </c:pt>
                <c:pt idx="90">
                  <c:v>41791</c:v>
                </c:pt>
                <c:pt idx="91">
                  <c:v>41760</c:v>
                </c:pt>
                <c:pt idx="92">
                  <c:v>41730</c:v>
                </c:pt>
                <c:pt idx="93">
                  <c:v>41699</c:v>
                </c:pt>
                <c:pt idx="94">
                  <c:v>41671</c:v>
                </c:pt>
                <c:pt idx="95">
                  <c:v>41640</c:v>
                </c:pt>
              </c:strCache>
            </c:strRef>
          </c:cat>
          <c:val>
            <c:numRef>
              <c:f>Load!$AO$10:$AO$105</c:f>
              <c:numCache>
                <c:ptCount val="96"/>
                <c:pt idx="0">
                  <c:v>0.11214628486251679</c:v>
                </c:pt>
                <c:pt idx="1">
                  <c:v>0.11544505448132056</c:v>
                </c:pt>
                <c:pt idx="2">
                  <c:v>0.12216363041804187</c:v>
                </c:pt>
                <c:pt idx="3">
                  <c:v>0.12090163338381789</c:v>
                </c:pt>
                <c:pt idx="4">
                  <c:v>0.12258374720006777</c:v>
                </c:pt>
                <c:pt idx="5">
                  <c:v>0.1223807215667585</c:v>
                </c:pt>
                <c:pt idx="6">
                  <c:v>0.12357533947051147</c:v>
                </c:pt>
                <c:pt idx="7">
                  <c:v>0.1214281670427237</c:v>
                </c:pt>
                <c:pt idx="8">
                  <c:v>0.11988653337997092</c:v>
                </c:pt>
                <c:pt idx="9">
                  <c:v>0.11743196178656083</c:v>
                </c:pt>
                <c:pt idx="10">
                  <c:v>0.11219461491402985</c:v>
                </c:pt>
                <c:pt idx="11">
                  <c:v>0.11813316224447096</c:v>
                </c:pt>
                <c:pt idx="12">
                  <c:v>0.12433485394868453</c:v>
                </c:pt>
                <c:pt idx="13">
                  <c:v>0.12060201054390424</c:v>
                </c:pt>
                <c:pt idx="14">
                  <c:v>0.12784235836748747</c:v>
                </c:pt>
                <c:pt idx="15">
                  <c:v>0.12665801327311743</c:v>
                </c:pt>
                <c:pt idx="16">
                  <c:v>0.12530477367199772</c:v>
                </c:pt>
                <c:pt idx="17">
                  <c:v>0.12747864751871096</c:v>
                </c:pt>
                <c:pt idx="18">
                  <c:v>0.12850547147082853</c:v>
                </c:pt>
                <c:pt idx="19">
                  <c:v>0.12489629207512591</c:v>
                </c:pt>
                <c:pt idx="20">
                  <c:v>0.1258792731360063</c:v>
                </c:pt>
                <c:pt idx="21">
                  <c:v>0.12628453969272418</c:v>
                </c:pt>
                <c:pt idx="22">
                  <c:v>0.12650814816172898</c:v>
                </c:pt>
                <c:pt idx="23">
                  <c:v>0.12915556289508295</c:v>
                </c:pt>
                <c:pt idx="24">
                  <c:v>0.1327874582748071</c:v>
                </c:pt>
                <c:pt idx="25">
                  <c:v>0.13506385935678414</c:v>
                </c:pt>
                <c:pt idx="26">
                  <c:v>0.14336193131447672</c:v>
                </c:pt>
                <c:pt idx="27">
                  <c:v>0.13783236834933682</c:v>
                </c:pt>
                <c:pt idx="28">
                  <c:v>0.1451438952921331</c:v>
                </c:pt>
                <c:pt idx="29">
                  <c:v>0.143856253432123</c:v>
                </c:pt>
                <c:pt idx="30">
                  <c:v>0.14538056551333667</c:v>
                </c:pt>
                <c:pt idx="31">
                  <c:v>0.14499291461188046</c:v>
                </c:pt>
                <c:pt idx="32">
                  <c:v>0.14128076455044408</c:v>
                </c:pt>
                <c:pt idx="33">
                  <c:v>0.13995561531034004</c:v>
                </c:pt>
                <c:pt idx="34">
                  <c:v>0.1384005129110504</c:v>
                </c:pt>
                <c:pt idx="35">
                  <c:v>0.14246600172357607</c:v>
                </c:pt>
                <c:pt idx="36">
                  <c:v>0.14312895272687537</c:v>
                </c:pt>
                <c:pt idx="37">
                  <c:v>0.14917135271077514</c:v>
                </c:pt>
                <c:pt idx="38">
                  <c:v>0.1523315940940706</c:v>
                </c:pt>
                <c:pt idx="39">
                  <c:v>0.16233693276118916</c:v>
                </c:pt>
                <c:pt idx="40">
                  <c:v>0.15578324243989303</c:v>
                </c:pt>
                <c:pt idx="41">
                  <c:v>0.15804740021487887</c:v>
                </c:pt>
                <c:pt idx="42">
                  <c:v>0.16027840540284888</c:v>
                </c:pt>
                <c:pt idx="43">
                  <c:v>0.154085221474409</c:v>
                </c:pt>
                <c:pt idx="44">
                  <c:v>0.1517693885098891</c:v>
                </c:pt>
                <c:pt idx="45">
                  <c:v>0.1501221722635927</c:v>
                </c:pt>
                <c:pt idx="46">
                  <c:v>0.1544324208056408</c:v>
                </c:pt>
                <c:pt idx="47">
                  <c:v>0.15590871162586384</c:v>
                </c:pt>
                <c:pt idx="48">
                  <c:v>0.15423919823646443</c:v>
                </c:pt>
                <c:pt idx="49">
                  <c:v>0.16918476372397467</c:v>
                </c:pt>
                <c:pt idx="50">
                  <c:v>0.16671421523738308</c:v>
                </c:pt>
                <c:pt idx="51">
                  <c:v>0.16949895168138704</c:v>
                </c:pt>
                <c:pt idx="52">
                  <c:v>0.17018984994746703</c:v>
                </c:pt>
                <c:pt idx="53">
                  <c:v>0.17467245252188537</c:v>
                </c:pt>
                <c:pt idx="54">
                  <c:v>0.17604071668759058</c:v>
                </c:pt>
                <c:pt idx="55">
                  <c:v>0.17344283567451896</c:v>
                </c:pt>
                <c:pt idx="56">
                  <c:v>0.16965098778971752</c:v>
                </c:pt>
                <c:pt idx="57">
                  <c:v>0.16803784861750135</c:v>
                </c:pt>
                <c:pt idx="58">
                  <c:v>0.1397856089216857</c:v>
                </c:pt>
                <c:pt idx="59">
                  <c:v>0.17703233431854215</c:v>
                </c:pt>
                <c:pt idx="60">
                  <c:v>0.18496236692350188</c:v>
                </c:pt>
                <c:pt idx="61">
                  <c:v>0.18363668844575035</c:v>
                </c:pt>
                <c:pt idx="62">
                  <c:v>0.22882118806761007</c:v>
                </c:pt>
                <c:pt idx="63">
                  <c:v>0.18657535204829045</c:v>
                </c:pt>
                <c:pt idx="64">
                  <c:v>0.24694242805440716</c:v>
                </c:pt>
                <c:pt idx="65">
                  <c:v>0.1853021061016607</c:v>
                </c:pt>
                <c:pt idx="66">
                  <c:v>0.18382930413675758</c:v>
                </c:pt>
                <c:pt idx="67">
                  <c:v>0.18997253179097975</c:v>
                </c:pt>
                <c:pt idx="68">
                  <c:v>0.18967114426992035</c:v>
                </c:pt>
                <c:pt idx="69">
                  <c:v>0.18996953385588033</c:v>
                </c:pt>
                <c:pt idx="70">
                  <c:v>0.18954500057100568</c:v>
                </c:pt>
                <c:pt idx="71">
                  <c:v>0.19426080809977375</c:v>
                </c:pt>
                <c:pt idx="72">
                  <c:v>0.17431345138049342</c:v>
                </c:pt>
                <c:pt idx="73">
                  <c:v>0.19731371075723692</c:v>
                </c:pt>
                <c:pt idx="74">
                  <c:v>0.20639487640296916</c:v>
                </c:pt>
                <c:pt idx="75">
                  <c:v>0.2115635329622798</c:v>
                </c:pt>
                <c:pt idx="76">
                  <c:v>0.21241132571200705</c:v>
                </c:pt>
                <c:pt idx="77">
                  <c:v>0.21583696876546474</c:v>
                </c:pt>
                <c:pt idx="78">
                  <c:v>0.21821573133853944</c:v>
                </c:pt>
                <c:pt idx="79">
                  <c:v>0.21228087071920013</c:v>
                </c:pt>
                <c:pt idx="80">
                  <c:v>0.21389937400729375</c:v>
                </c:pt>
                <c:pt idx="81">
                  <c:v>0.23527590523308783</c:v>
                </c:pt>
                <c:pt idx="82">
                  <c:v>0.22530085274865677</c:v>
                </c:pt>
                <c:pt idx="83">
                  <c:v>0.2358477708242323</c:v>
                </c:pt>
                <c:pt idx="84">
                  <c:v>0.25105586095871385</c:v>
                </c:pt>
                <c:pt idx="85">
                  <c:v>0.2608113790307022</c:v>
                </c:pt>
                <c:pt idx="86">
                  <c:v>0.26631604111881424</c:v>
                </c:pt>
                <c:pt idx="87">
                  <c:v>0.2814092689427711</c:v>
                </c:pt>
                <c:pt idx="88">
                  <c:v>0.28694761382514694</c:v>
                </c:pt>
                <c:pt idx="89">
                  <c:v>0.2938357367237603</c:v>
                </c:pt>
                <c:pt idx="90">
                  <c:v>0.29300481250507804</c:v>
                </c:pt>
                <c:pt idx="91">
                  <c:v>0.2909192001539411</c:v>
                </c:pt>
                <c:pt idx="92">
                  <c:v>0.28804440216967797</c:v>
                </c:pt>
                <c:pt idx="93">
                  <c:v>0.28153022466247735</c:v>
                </c:pt>
                <c:pt idx="94">
                  <c:v>0.28651532545640107</c:v>
                </c:pt>
                <c:pt idx="95">
                  <c:v>0.29883953980375566</c:v>
                </c:pt>
              </c:numCache>
            </c:numRef>
          </c:val>
          <c:smooth val="0"/>
        </c:ser>
        <c:ser>
          <c:idx val="1"/>
          <c:order val="1"/>
          <c:tx>
            <c:v>Medium C&amp;I</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Load!$A$10:$A$105</c:f>
              <c:strCache>
                <c:ptCount val="96"/>
                <c:pt idx="0">
                  <c:v>44561</c:v>
                </c:pt>
                <c:pt idx="1">
                  <c:v>44530</c:v>
                </c:pt>
                <c:pt idx="2">
                  <c:v>44500</c:v>
                </c:pt>
                <c:pt idx="3">
                  <c:v>44469</c:v>
                </c:pt>
                <c:pt idx="4">
                  <c:v>44439</c:v>
                </c:pt>
                <c:pt idx="5">
                  <c:v>44378</c:v>
                </c:pt>
                <c:pt idx="6">
                  <c:v>44348</c:v>
                </c:pt>
                <c:pt idx="7">
                  <c:v>44317</c:v>
                </c:pt>
                <c:pt idx="8">
                  <c:v>44287</c:v>
                </c:pt>
                <c:pt idx="9">
                  <c:v>44256</c:v>
                </c:pt>
                <c:pt idx="10">
                  <c:v>44228</c:v>
                </c:pt>
                <c:pt idx="11">
                  <c:v>44197</c:v>
                </c:pt>
                <c:pt idx="12">
                  <c:v>44196</c:v>
                </c:pt>
                <c:pt idx="13">
                  <c:v>44165</c:v>
                </c:pt>
                <c:pt idx="14">
                  <c:v>44135</c:v>
                </c:pt>
                <c:pt idx="15">
                  <c:v>44075</c:v>
                </c:pt>
                <c:pt idx="16">
                  <c:v>44044</c:v>
                </c:pt>
                <c:pt idx="17">
                  <c:v>44013</c:v>
                </c:pt>
                <c:pt idx="18">
                  <c:v>43983</c:v>
                </c:pt>
                <c:pt idx="19">
                  <c:v>43952</c:v>
                </c:pt>
                <c:pt idx="20">
                  <c:v>43922</c:v>
                </c:pt>
                <c:pt idx="21">
                  <c:v>43891</c:v>
                </c:pt>
                <c:pt idx="22">
                  <c:v>43862</c:v>
                </c:pt>
                <c:pt idx="23">
                  <c:v>43831</c:v>
                </c:pt>
                <c:pt idx="24">
                  <c:v>43800</c:v>
                </c:pt>
                <c:pt idx="25">
                  <c:v>43770</c:v>
                </c:pt>
                <c:pt idx="26">
                  <c:v>43739</c:v>
                </c:pt>
                <c:pt idx="27">
                  <c:v>43709</c:v>
                </c:pt>
                <c:pt idx="28">
                  <c:v>43678</c:v>
                </c:pt>
                <c:pt idx="29">
                  <c:v>43647</c:v>
                </c:pt>
                <c:pt idx="30">
                  <c:v>43617</c:v>
                </c:pt>
                <c:pt idx="31">
                  <c:v>43586</c:v>
                </c:pt>
                <c:pt idx="32">
                  <c:v>43556</c:v>
                </c:pt>
                <c:pt idx="33">
                  <c:v>43525</c:v>
                </c:pt>
                <c:pt idx="34">
                  <c:v>43497</c:v>
                </c:pt>
                <c:pt idx="35">
                  <c:v>43466</c:v>
                </c:pt>
                <c:pt idx="36">
                  <c:v>43435</c:v>
                </c:pt>
                <c:pt idx="37">
                  <c:v>43405</c:v>
                </c:pt>
                <c:pt idx="38">
                  <c:v>43404</c:v>
                </c:pt>
                <c:pt idx="39">
                  <c:v>43361</c:v>
                </c:pt>
                <c:pt idx="40">
                  <c:v>43330</c:v>
                </c:pt>
                <c:pt idx="41">
                  <c:v>43282</c:v>
                </c:pt>
                <c:pt idx="42">
                  <c:v>43252</c:v>
                </c:pt>
                <c:pt idx="43">
                  <c:v>43221</c:v>
                </c:pt>
                <c:pt idx="44">
                  <c:v>43191</c:v>
                </c:pt>
                <c:pt idx="45">
                  <c:v>43160</c:v>
                </c:pt>
                <c:pt idx="46">
                  <c:v>43149</c:v>
                </c:pt>
                <c:pt idx="47">
                  <c:v>43101</c:v>
                </c:pt>
                <c:pt idx="48">
                  <c:v>43070</c:v>
                </c:pt>
                <c:pt idx="49">
                  <c:v>43040</c:v>
                </c:pt>
                <c:pt idx="50">
                  <c:v>43009</c:v>
                </c:pt>
                <c:pt idx="51">
                  <c:v>42979</c:v>
                </c:pt>
                <c:pt idx="52">
                  <c:v>42948</c:v>
                </c:pt>
                <c:pt idx="53">
                  <c:v>42917</c:v>
                </c:pt>
                <c:pt idx="54">
                  <c:v>42887</c:v>
                </c:pt>
                <c:pt idx="55">
                  <c:v>42856</c:v>
                </c:pt>
                <c:pt idx="56">
                  <c:v>42826</c:v>
                </c:pt>
                <c:pt idx="57">
                  <c:v>42795</c:v>
                </c:pt>
                <c:pt idx="58">
                  <c:v>42767</c:v>
                </c:pt>
                <c:pt idx="59">
                  <c:v>42736</c:v>
                </c:pt>
                <c:pt idx="60">
                  <c:v>42705</c:v>
                </c:pt>
                <c:pt idx="61">
                  <c:v>42675</c:v>
                </c:pt>
                <c:pt idx="62">
                  <c:v>42644</c:v>
                </c:pt>
                <c:pt idx="63">
                  <c:v>42614</c:v>
                </c:pt>
                <c:pt idx="64">
                  <c:v>42583</c:v>
                </c:pt>
                <c:pt idx="65">
                  <c:v>42552</c:v>
                </c:pt>
                <c:pt idx="66">
                  <c:v>42522</c:v>
                </c:pt>
                <c:pt idx="67">
                  <c:v>42491</c:v>
                </c:pt>
                <c:pt idx="68">
                  <c:v>42461</c:v>
                </c:pt>
                <c:pt idx="69">
                  <c:v>42430</c:v>
                </c:pt>
                <c:pt idx="70">
                  <c:v>42401</c:v>
                </c:pt>
                <c:pt idx="71">
                  <c:v>42370</c:v>
                </c:pt>
                <c:pt idx="72">
                  <c:v>42339</c:v>
                </c:pt>
                <c:pt idx="73">
                  <c:v>42309</c:v>
                </c:pt>
                <c:pt idx="74">
                  <c:v>42278</c:v>
                </c:pt>
                <c:pt idx="75">
                  <c:v>42248</c:v>
                </c:pt>
                <c:pt idx="76">
                  <c:v>42217</c:v>
                </c:pt>
                <c:pt idx="77">
                  <c:v>42186</c:v>
                </c:pt>
                <c:pt idx="78">
                  <c:v>42156</c:v>
                </c:pt>
                <c:pt idx="79">
                  <c:v>42125</c:v>
                </c:pt>
                <c:pt idx="80">
                  <c:v>42095</c:v>
                </c:pt>
                <c:pt idx="81">
                  <c:v>42064</c:v>
                </c:pt>
                <c:pt idx="82">
                  <c:v>42036</c:v>
                </c:pt>
                <c:pt idx="83">
                  <c:v>42005</c:v>
                </c:pt>
                <c:pt idx="84">
                  <c:v>41974</c:v>
                </c:pt>
                <c:pt idx="85">
                  <c:v>41944</c:v>
                </c:pt>
                <c:pt idx="86">
                  <c:v>41926</c:v>
                </c:pt>
                <c:pt idx="87">
                  <c:v>41883</c:v>
                </c:pt>
                <c:pt idx="88">
                  <c:v>41852</c:v>
                </c:pt>
                <c:pt idx="89">
                  <c:v>41821</c:v>
                </c:pt>
                <c:pt idx="90">
                  <c:v>41791</c:v>
                </c:pt>
                <c:pt idx="91">
                  <c:v>41760</c:v>
                </c:pt>
                <c:pt idx="92">
                  <c:v>41730</c:v>
                </c:pt>
                <c:pt idx="93">
                  <c:v>41699</c:v>
                </c:pt>
                <c:pt idx="94">
                  <c:v>41671</c:v>
                </c:pt>
                <c:pt idx="95">
                  <c:v>41640</c:v>
                </c:pt>
              </c:strCache>
            </c:strRef>
          </c:cat>
          <c:val>
            <c:numRef>
              <c:f>Load!$AP$10:$AP$105</c:f>
              <c:numCache>
                <c:ptCount val="96"/>
                <c:pt idx="0">
                  <c:v>0.6269243307790269</c:v>
                </c:pt>
                <c:pt idx="1">
                  <c:v>0.6342037315016174</c:v>
                </c:pt>
                <c:pt idx="2">
                  <c:v>0.6309780626709895</c:v>
                </c:pt>
                <c:pt idx="3">
                  <c:v>0.6277809522928441</c:v>
                </c:pt>
                <c:pt idx="4">
                  <c:v>0.630052341810464</c:v>
                </c:pt>
                <c:pt idx="5">
                  <c:v>0.6329824635972684</c:v>
                </c:pt>
                <c:pt idx="6">
                  <c:v>0.6402862706024808</c:v>
                </c:pt>
                <c:pt idx="7">
                  <c:v>0.64437733302032</c:v>
                </c:pt>
                <c:pt idx="8">
                  <c:v>0.6521161035581635</c:v>
                </c:pt>
                <c:pt idx="9">
                  <c:v>0.653402694009606</c:v>
                </c:pt>
                <c:pt idx="10">
                  <c:v>0.6470590134672273</c:v>
                </c:pt>
                <c:pt idx="11">
                  <c:v>0.6491231819760764</c:v>
                </c:pt>
                <c:pt idx="12">
                  <c:v>0.646391201761582</c:v>
                </c:pt>
                <c:pt idx="13">
                  <c:v>0.6346571578648712</c:v>
                </c:pt>
                <c:pt idx="14">
                  <c:v>0.6226180031123303</c:v>
                </c:pt>
                <c:pt idx="15">
                  <c:v>0.6224526075728041</c:v>
                </c:pt>
                <c:pt idx="16">
                  <c:v>0.6195256978644404</c:v>
                </c:pt>
                <c:pt idx="17">
                  <c:v>0.6271305545364081</c:v>
                </c:pt>
                <c:pt idx="18">
                  <c:v>0.6375588497458131</c:v>
                </c:pt>
                <c:pt idx="19">
                  <c:v>0.6473280472919706</c:v>
                </c:pt>
                <c:pt idx="20">
                  <c:v>0.6442235478551503</c:v>
                </c:pt>
                <c:pt idx="21">
                  <c:v>0.6377533429994179</c:v>
                </c:pt>
                <c:pt idx="22">
                  <c:v>0.6420645860078535</c:v>
                </c:pt>
                <c:pt idx="23">
                  <c:v>0.633585133980493</c:v>
                </c:pt>
                <c:pt idx="24">
                  <c:v>0.6240712014349523</c:v>
                </c:pt>
                <c:pt idx="25">
                  <c:v>0.6282557078138397</c:v>
                </c:pt>
                <c:pt idx="26">
                  <c:v>0.6120445222195534</c:v>
                </c:pt>
                <c:pt idx="27">
                  <c:v>0.6040400505808196</c:v>
                </c:pt>
                <c:pt idx="28">
                  <c:v>0.5952813116243415</c:v>
                </c:pt>
                <c:pt idx="29">
                  <c:v>0.6014007785745547</c:v>
                </c:pt>
                <c:pt idx="30">
                  <c:v>0.6134751652527904</c:v>
                </c:pt>
                <c:pt idx="31">
                  <c:v>0.6163458777346286</c:v>
                </c:pt>
                <c:pt idx="32">
                  <c:v>0.6159285265600681</c:v>
                </c:pt>
                <c:pt idx="33">
                  <c:v>0.6104113337873269</c:v>
                </c:pt>
                <c:pt idx="34">
                  <c:v>0.5868228493505595</c:v>
                </c:pt>
                <c:pt idx="35">
                  <c:v>0.6174902102806995</c:v>
                </c:pt>
                <c:pt idx="36">
                  <c:v>0.5956424844304756</c:v>
                </c:pt>
                <c:pt idx="37">
                  <c:v>0.6247208548161508</c:v>
                </c:pt>
                <c:pt idx="38">
                  <c:v>0.5930068684485683</c:v>
                </c:pt>
                <c:pt idx="39">
                  <c:v>0.5812510603895007</c:v>
                </c:pt>
                <c:pt idx="40">
                  <c:v>0.5989671161318261</c:v>
                </c:pt>
                <c:pt idx="41">
                  <c:v>0.5984026133067796</c:v>
                </c:pt>
                <c:pt idx="42">
                  <c:v>0.5906176859664627</c:v>
                </c:pt>
                <c:pt idx="43">
                  <c:v>0.6342019430754152</c:v>
                </c:pt>
                <c:pt idx="44">
                  <c:v>0.6260532995804674</c:v>
                </c:pt>
                <c:pt idx="45">
                  <c:v>0.6249921130957402</c:v>
                </c:pt>
                <c:pt idx="46">
                  <c:v>0.6433216378590049</c:v>
                </c:pt>
                <c:pt idx="47">
                  <c:v>0.6291284879474306</c:v>
                </c:pt>
                <c:pt idx="48">
                  <c:v>0.5955931783926823</c:v>
                </c:pt>
                <c:pt idx="49">
                  <c:v>0.6300802923613669</c:v>
                </c:pt>
                <c:pt idx="50">
                  <c:v>0.6312398875024182</c:v>
                </c:pt>
                <c:pt idx="51">
                  <c:v>0.6255934386803244</c:v>
                </c:pt>
                <c:pt idx="52">
                  <c:v>0.625628380127859</c:v>
                </c:pt>
                <c:pt idx="53">
                  <c:v>0.6254870724938464</c:v>
                </c:pt>
                <c:pt idx="54">
                  <c:v>0.6422931775666634</c:v>
                </c:pt>
                <c:pt idx="55">
                  <c:v>0.6548614820756089</c:v>
                </c:pt>
                <c:pt idx="56">
                  <c:v>0.6573771060344172</c:v>
                </c:pt>
                <c:pt idx="57">
                  <c:v>0.6728453907217732</c:v>
                </c:pt>
                <c:pt idx="58">
                  <c:v>0.6199763243603149</c:v>
                </c:pt>
                <c:pt idx="59">
                  <c:v>0.5919386670379192</c:v>
                </c:pt>
                <c:pt idx="60">
                  <c:v>0.6639105734492089</c:v>
                </c:pt>
                <c:pt idx="61">
                  <c:v>0.6671958407253964</c:v>
                </c:pt>
                <c:pt idx="62">
                  <c:v>0.6598355270128082</c:v>
                </c:pt>
                <c:pt idx="63">
                  <c:v>0.6463132654450225</c:v>
                </c:pt>
                <c:pt idx="64">
                  <c:v>0.6380951799908517</c:v>
                </c:pt>
                <c:pt idx="65">
                  <c:v>0.6457715425189056</c:v>
                </c:pt>
                <c:pt idx="66">
                  <c:v>0.6609148773034228</c:v>
                </c:pt>
                <c:pt idx="67">
                  <c:v>0.6650840146413317</c:v>
                </c:pt>
                <c:pt idx="68">
                  <c:v>0.6624658130253201</c:v>
                </c:pt>
                <c:pt idx="69">
                  <c:v>0.6616432384532319</c:v>
                </c:pt>
                <c:pt idx="70">
                  <c:v>0.6576142788145017</c:v>
                </c:pt>
                <c:pt idx="71">
                  <c:v>0.6516395803977114</c:v>
                </c:pt>
                <c:pt idx="72">
                  <c:v>0.6536344233802509</c:v>
                </c:pt>
                <c:pt idx="73">
                  <c:v>0.6421407745256345</c:v>
                </c:pt>
                <c:pt idx="74">
                  <c:v>0.6344219698347078</c:v>
                </c:pt>
                <c:pt idx="75">
                  <c:v>0.6213444519104813</c:v>
                </c:pt>
                <c:pt idx="76">
                  <c:v>0.6178412257437151</c:v>
                </c:pt>
                <c:pt idx="77">
                  <c:v>0.6227214246318449</c:v>
                </c:pt>
                <c:pt idx="78">
                  <c:v>0.6369453742737538</c:v>
                </c:pt>
                <c:pt idx="79">
                  <c:v>0.6359891232629958</c:v>
                </c:pt>
                <c:pt idx="80">
                  <c:v>0.6382509991668543</c:v>
                </c:pt>
                <c:pt idx="81">
                  <c:v>0.6231267261351471</c:v>
                </c:pt>
                <c:pt idx="82">
                  <c:v>0.618912615467969</c:v>
                </c:pt>
                <c:pt idx="83">
                  <c:v>0.6175489084710128</c:v>
                </c:pt>
                <c:pt idx="84">
                  <c:v>0.611285650917144</c:v>
                </c:pt>
                <c:pt idx="85">
                  <c:v>0.6023758521087909</c:v>
                </c:pt>
                <c:pt idx="86">
                  <c:v>0.6037568407040379</c:v>
                </c:pt>
                <c:pt idx="87">
                  <c:v>0.5890528515485541</c:v>
                </c:pt>
                <c:pt idx="88">
                  <c:v>0.5829781220883777</c:v>
                </c:pt>
                <c:pt idx="89">
                  <c:v>0.5907809810546879</c:v>
                </c:pt>
                <c:pt idx="90">
                  <c:v>0.604199422077834</c:v>
                </c:pt>
                <c:pt idx="91">
                  <c:v>0.6111503331942768</c:v>
                </c:pt>
                <c:pt idx="92">
                  <c:v>0.6033647796784367</c:v>
                </c:pt>
                <c:pt idx="93">
                  <c:v>0.6025995450552131</c:v>
                </c:pt>
                <c:pt idx="94">
                  <c:v>0.6026850626961592</c:v>
                </c:pt>
                <c:pt idx="95">
                  <c:v>0.6071559851743776</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Load!$A$10:$A$105</c:f>
              <c:strCache>
                <c:ptCount val="96"/>
                <c:pt idx="0">
                  <c:v>44561</c:v>
                </c:pt>
                <c:pt idx="1">
                  <c:v>44530</c:v>
                </c:pt>
                <c:pt idx="2">
                  <c:v>44500</c:v>
                </c:pt>
                <c:pt idx="3">
                  <c:v>44469</c:v>
                </c:pt>
                <c:pt idx="4">
                  <c:v>44439</c:v>
                </c:pt>
                <c:pt idx="5">
                  <c:v>44378</c:v>
                </c:pt>
                <c:pt idx="6">
                  <c:v>44348</c:v>
                </c:pt>
                <c:pt idx="7">
                  <c:v>44317</c:v>
                </c:pt>
                <c:pt idx="8">
                  <c:v>44287</c:v>
                </c:pt>
                <c:pt idx="9">
                  <c:v>44256</c:v>
                </c:pt>
                <c:pt idx="10">
                  <c:v>44228</c:v>
                </c:pt>
                <c:pt idx="11">
                  <c:v>44197</c:v>
                </c:pt>
                <c:pt idx="12">
                  <c:v>44196</c:v>
                </c:pt>
                <c:pt idx="13">
                  <c:v>44165</c:v>
                </c:pt>
                <c:pt idx="14">
                  <c:v>44135</c:v>
                </c:pt>
                <c:pt idx="15">
                  <c:v>44075</c:v>
                </c:pt>
                <c:pt idx="16">
                  <c:v>44044</c:v>
                </c:pt>
                <c:pt idx="17">
                  <c:v>44013</c:v>
                </c:pt>
                <c:pt idx="18">
                  <c:v>43983</c:v>
                </c:pt>
                <c:pt idx="19">
                  <c:v>43952</c:v>
                </c:pt>
                <c:pt idx="20">
                  <c:v>43922</c:v>
                </c:pt>
                <c:pt idx="21">
                  <c:v>43891</c:v>
                </c:pt>
                <c:pt idx="22">
                  <c:v>43862</c:v>
                </c:pt>
                <c:pt idx="23">
                  <c:v>43831</c:v>
                </c:pt>
                <c:pt idx="24">
                  <c:v>43800</c:v>
                </c:pt>
                <c:pt idx="25">
                  <c:v>43770</c:v>
                </c:pt>
                <c:pt idx="26">
                  <c:v>43739</c:v>
                </c:pt>
                <c:pt idx="27">
                  <c:v>43709</c:v>
                </c:pt>
                <c:pt idx="28">
                  <c:v>43678</c:v>
                </c:pt>
                <c:pt idx="29">
                  <c:v>43647</c:v>
                </c:pt>
                <c:pt idx="30">
                  <c:v>43617</c:v>
                </c:pt>
                <c:pt idx="31">
                  <c:v>43586</c:v>
                </c:pt>
                <c:pt idx="32">
                  <c:v>43556</c:v>
                </c:pt>
                <c:pt idx="33">
                  <c:v>43525</c:v>
                </c:pt>
                <c:pt idx="34">
                  <c:v>43497</c:v>
                </c:pt>
                <c:pt idx="35">
                  <c:v>43466</c:v>
                </c:pt>
                <c:pt idx="36">
                  <c:v>43435</c:v>
                </c:pt>
                <c:pt idx="37">
                  <c:v>43405</c:v>
                </c:pt>
                <c:pt idx="38">
                  <c:v>43404</c:v>
                </c:pt>
                <c:pt idx="39">
                  <c:v>43361</c:v>
                </c:pt>
                <c:pt idx="40">
                  <c:v>43330</c:v>
                </c:pt>
                <c:pt idx="41">
                  <c:v>43282</c:v>
                </c:pt>
                <c:pt idx="42">
                  <c:v>43252</c:v>
                </c:pt>
                <c:pt idx="43">
                  <c:v>43221</c:v>
                </c:pt>
                <c:pt idx="44">
                  <c:v>43191</c:v>
                </c:pt>
                <c:pt idx="45">
                  <c:v>43160</c:v>
                </c:pt>
                <c:pt idx="46">
                  <c:v>43149</c:v>
                </c:pt>
                <c:pt idx="47">
                  <c:v>43101</c:v>
                </c:pt>
                <c:pt idx="48">
                  <c:v>43070</c:v>
                </c:pt>
                <c:pt idx="49">
                  <c:v>43040</c:v>
                </c:pt>
                <c:pt idx="50">
                  <c:v>43009</c:v>
                </c:pt>
                <c:pt idx="51">
                  <c:v>42979</c:v>
                </c:pt>
                <c:pt idx="52">
                  <c:v>42948</c:v>
                </c:pt>
                <c:pt idx="53">
                  <c:v>42917</c:v>
                </c:pt>
                <c:pt idx="54">
                  <c:v>42887</c:v>
                </c:pt>
                <c:pt idx="55">
                  <c:v>42856</c:v>
                </c:pt>
                <c:pt idx="56">
                  <c:v>42826</c:v>
                </c:pt>
                <c:pt idx="57">
                  <c:v>42795</c:v>
                </c:pt>
                <c:pt idx="58">
                  <c:v>42767</c:v>
                </c:pt>
                <c:pt idx="59">
                  <c:v>42736</c:v>
                </c:pt>
                <c:pt idx="60">
                  <c:v>42705</c:v>
                </c:pt>
                <c:pt idx="61">
                  <c:v>42675</c:v>
                </c:pt>
                <c:pt idx="62">
                  <c:v>42644</c:v>
                </c:pt>
                <c:pt idx="63">
                  <c:v>42614</c:v>
                </c:pt>
                <c:pt idx="64">
                  <c:v>42583</c:v>
                </c:pt>
                <c:pt idx="65">
                  <c:v>42552</c:v>
                </c:pt>
                <c:pt idx="66">
                  <c:v>42522</c:v>
                </c:pt>
                <c:pt idx="67">
                  <c:v>42491</c:v>
                </c:pt>
                <c:pt idx="68">
                  <c:v>42461</c:v>
                </c:pt>
                <c:pt idx="69">
                  <c:v>42430</c:v>
                </c:pt>
                <c:pt idx="70">
                  <c:v>42401</c:v>
                </c:pt>
                <c:pt idx="71">
                  <c:v>42370</c:v>
                </c:pt>
                <c:pt idx="72">
                  <c:v>42339</c:v>
                </c:pt>
                <c:pt idx="73">
                  <c:v>42309</c:v>
                </c:pt>
                <c:pt idx="74">
                  <c:v>42278</c:v>
                </c:pt>
                <c:pt idx="75">
                  <c:v>42248</c:v>
                </c:pt>
                <c:pt idx="76">
                  <c:v>42217</c:v>
                </c:pt>
                <c:pt idx="77">
                  <c:v>42186</c:v>
                </c:pt>
                <c:pt idx="78">
                  <c:v>42156</c:v>
                </c:pt>
                <c:pt idx="79">
                  <c:v>42125</c:v>
                </c:pt>
                <c:pt idx="80">
                  <c:v>42095</c:v>
                </c:pt>
                <c:pt idx="81">
                  <c:v>42064</c:v>
                </c:pt>
                <c:pt idx="82">
                  <c:v>42036</c:v>
                </c:pt>
                <c:pt idx="83">
                  <c:v>42005</c:v>
                </c:pt>
                <c:pt idx="84">
                  <c:v>41974</c:v>
                </c:pt>
                <c:pt idx="85">
                  <c:v>41944</c:v>
                </c:pt>
                <c:pt idx="86">
                  <c:v>41926</c:v>
                </c:pt>
                <c:pt idx="87">
                  <c:v>41883</c:v>
                </c:pt>
                <c:pt idx="88">
                  <c:v>41852</c:v>
                </c:pt>
                <c:pt idx="89">
                  <c:v>41821</c:v>
                </c:pt>
                <c:pt idx="90">
                  <c:v>41791</c:v>
                </c:pt>
                <c:pt idx="91">
                  <c:v>41760</c:v>
                </c:pt>
                <c:pt idx="92">
                  <c:v>41730</c:v>
                </c:pt>
                <c:pt idx="93">
                  <c:v>41699</c:v>
                </c:pt>
                <c:pt idx="94">
                  <c:v>41671</c:v>
                </c:pt>
                <c:pt idx="95">
                  <c:v>41640</c:v>
                </c:pt>
              </c:strCache>
            </c:strRef>
          </c:cat>
          <c:val>
            <c:numRef>
              <c:f>Load!$AQ$10:$AQ$105</c:f>
              <c:numCache>
                <c:ptCount val="96"/>
                <c:pt idx="0">
                  <c:v>0.9682986199243687</c:v>
                </c:pt>
                <c:pt idx="1">
                  <c:v>0.9656588782595648</c:v>
                </c:pt>
                <c:pt idx="2">
                  <c:v>0.9708261890527382</c:v>
                </c:pt>
                <c:pt idx="3">
                  <c:v>0.9604099776732389</c:v>
                </c:pt>
                <c:pt idx="4">
                  <c:v>0.9739981895549272</c:v>
                </c:pt>
                <c:pt idx="5">
                  <c:v>0.9638005841673773</c:v>
                </c:pt>
                <c:pt idx="6">
                  <c:v>0.9783048343325712</c:v>
                </c:pt>
                <c:pt idx="7">
                  <c:v>0.9731220446412554</c:v>
                </c:pt>
                <c:pt idx="8">
                  <c:v>0.9628460447785908</c:v>
                </c:pt>
                <c:pt idx="9">
                  <c:v>0.9717537919061032</c:v>
                </c:pt>
                <c:pt idx="10">
                  <c:v>0.9697142936283363</c:v>
                </c:pt>
                <c:pt idx="11">
                  <c:v>0.8070544988592651</c:v>
                </c:pt>
                <c:pt idx="12">
                  <c:v>0.9721025944172287</c:v>
                </c:pt>
                <c:pt idx="13">
                  <c:v>0.9737050403625794</c:v>
                </c:pt>
                <c:pt idx="14">
                  <c:v>0.9611989496295114</c:v>
                </c:pt>
                <c:pt idx="15">
                  <c:v>0.9570080882562002</c:v>
                </c:pt>
                <c:pt idx="16">
                  <c:v>0.953332836692441</c:v>
                </c:pt>
                <c:pt idx="17">
                  <c:v>0.9368967289164887</c:v>
                </c:pt>
                <c:pt idx="18">
                  <c:v>0.9710969272014572</c:v>
                </c:pt>
                <c:pt idx="19">
                  <c:v>0.9798181668419742</c:v>
                </c:pt>
                <c:pt idx="20">
                  <c:v>0.9421688682890053</c:v>
                </c:pt>
                <c:pt idx="21">
                  <c:v>0.9615869331278408</c:v>
                </c:pt>
                <c:pt idx="22">
                  <c:v>0.9326214556332246</c:v>
                </c:pt>
                <c:pt idx="23">
                  <c:v>0.9589206951862023</c:v>
                </c:pt>
                <c:pt idx="24">
                  <c:v>0.9496475987320862</c:v>
                </c:pt>
                <c:pt idx="25">
                  <c:v>0.9359689292795934</c:v>
                </c:pt>
                <c:pt idx="26">
                  <c:v>0.9612284698000648</c:v>
                </c:pt>
                <c:pt idx="27">
                  <c:v>0.9461200809680456</c:v>
                </c:pt>
                <c:pt idx="28">
                  <c:v>0.9579349612967565</c:v>
                </c:pt>
                <c:pt idx="29">
                  <c:v>0.9680792320800559</c:v>
                </c:pt>
                <c:pt idx="30">
                  <c:v>0.9509691581875137</c:v>
                </c:pt>
                <c:pt idx="31">
                  <c:v>0.9664242455871388</c:v>
                </c:pt>
                <c:pt idx="32">
                  <c:v>0.9667662831895519</c:v>
                </c:pt>
                <c:pt idx="33">
                  <c:v>0.9621786937122074</c:v>
                </c:pt>
                <c:pt idx="34">
                  <c:v>0.9391404095317161</c:v>
                </c:pt>
                <c:pt idx="35">
                  <c:v>0.9696284666627972</c:v>
                </c:pt>
                <c:pt idx="36">
                  <c:v>0.9527606190065812</c:v>
                </c:pt>
                <c:pt idx="37">
                  <c:v>0.9700808621276387</c:v>
                </c:pt>
                <c:pt idx="38">
                  <c:v>0.9709271799754596</c:v>
                </c:pt>
                <c:pt idx="39">
                  <c:v>0.9714318039922013</c:v>
                </c:pt>
                <c:pt idx="40">
                  <c:v>0.9737774438056009</c:v>
                </c:pt>
                <c:pt idx="41">
                  <c:v>0.9710672571324527</c:v>
                </c:pt>
                <c:pt idx="42">
                  <c:v>0.9675203319566877</c:v>
                </c:pt>
                <c:pt idx="43">
                  <c:v>0.9726346501057067</c:v>
                </c:pt>
                <c:pt idx="44">
                  <c:v>0.9746168381833978</c:v>
                </c:pt>
                <c:pt idx="45">
                  <c:v>0.95233839933892</c:v>
                </c:pt>
                <c:pt idx="46">
                  <c:v>0.9551923328215545</c:v>
                </c:pt>
                <c:pt idx="47">
                  <c:v>0.9738283865466758</c:v>
                </c:pt>
                <c:pt idx="48">
                  <c:v>0.9800813856022912</c:v>
                </c:pt>
                <c:pt idx="49">
                  <c:v>0.9605556306584792</c:v>
                </c:pt>
                <c:pt idx="50">
                  <c:v>0.9832743069864398</c:v>
                </c:pt>
                <c:pt idx="51">
                  <c:v>0.9799918257005912</c:v>
                </c:pt>
                <c:pt idx="52">
                  <c:v>0.9787351383596012</c:v>
                </c:pt>
                <c:pt idx="53">
                  <c:v>0.9809726086817163</c:v>
                </c:pt>
                <c:pt idx="54">
                  <c:v>0.9759158499235047</c:v>
                </c:pt>
                <c:pt idx="55">
                  <c:v>0.979738173444145</c:v>
                </c:pt>
                <c:pt idx="56">
                  <c:v>0.9786242262303734</c:v>
                </c:pt>
                <c:pt idx="57">
                  <c:v>0.9766146809944811</c:v>
                </c:pt>
                <c:pt idx="58">
                  <c:v>0.9741436213048944</c:v>
                </c:pt>
                <c:pt idx="59">
                  <c:v>0.9727162415035622</c:v>
                </c:pt>
                <c:pt idx="60">
                  <c:v>0.976417354282774</c:v>
                </c:pt>
                <c:pt idx="61">
                  <c:v>0.9811296857374803</c:v>
                </c:pt>
                <c:pt idx="62">
                  <c:v>0.9803925681573243</c:v>
                </c:pt>
                <c:pt idx="63">
                  <c:v>0.9410202011310514</c:v>
                </c:pt>
                <c:pt idx="64">
                  <c:v>0.9776802687840817</c:v>
                </c:pt>
                <c:pt idx="65">
                  <c:v>0.9758147549513553</c:v>
                </c:pt>
                <c:pt idx="66">
                  <c:v>0.980008156854871</c:v>
                </c:pt>
                <c:pt idx="67">
                  <c:v>0.9637126818758421</c:v>
                </c:pt>
                <c:pt idx="68">
                  <c:v>0.9598816512120838</c:v>
                </c:pt>
                <c:pt idx="69">
                  <c:v>0.9644243855679634</c:v>
                </c:pt>
                <c:pt idx="70">
                  <c:v>0.9590433842901758</c:v>
                </c:pt>
                <c:pt idx="71">
                  <c:v>0.9651465748480015</c:v>
                </c:pt>
                <c:pt idx="72">
                  <c:v>0.9592482841234354</c:v>
                </c:pt>
                <c:pt idx="73">
                  <c:v>0.9557335611490103</c:v>
                </c:pt>
                <c:pt idx="74">
                  <c:v>0.9539933593145438</c:v>
                </c:pt>
                <c:pt idx="75">
                  <c:v>0.9610970094162599</c:v>
                </c:pt>
                <c:pt idx="76">
                  <c:v>0.950281342529008</c:v>
                </c:pt>
                <c:pt idx="77">
                  <c:v>0.9542427427810393</c:v>
                </c:pt>
                <c:pt idx="78">
                  <c:v>0.9413350241205748</c:v>
                </c:pt>
                <c:pt idx="79">
                  <c:v>0.9533898677631898</c:v>
                </c:pt>
                <c:pt idx="80">
                  <c:v>0.9650171735718304</c:v>
                </c:pt>
                <c:pt idx="81">
                  <c:v>0.9586408783045919</c:v>
                </c:pt>
                <c:pt idx="82">
                  <c:v>0.9636759447329906</c:v>
                </c:pt>
                <c:pt idx="83">
                  <c:v>0.9603593334292599</c:v>
                </c:pt>
                <c:pt idx="84">
                  <c:v>0.9614976152547201</c:v>
                </c:pt>
                <c:pt idx="85">
                  <c:v>0.9578572054761694</c:v>
                </c:pt>
                <c:pt idx="86">
                  <c:v>0.9585266821345708</c:v>
                </c:pt>
                <c:pt idx="87">
                  <c:v>0.9557072558414356</c:v>
                </c:pt>
                <c:pt idx="88">
                  <c:v>0.9592555700916093</c:v>
                </c:pt>
                <c:pt idx="89">
                  <c:v>0.9512780889409115</c:v>
                </c:pt>
                <c:pt idx="90">
                  <c:v>0.9574887790605578</c:v>
                </c:pt>
                <c:pt idx="91">
                  <c:v>0.9664423149775923</c:v>
                </c:pt>
                <c:pt idx="92">
                  <c:v>0.9686130649968484</c:v>
                </c:pt>
                <c:pt idx="93">
                  <c:v>0.967446939937</c:v>
                </c:pt>
                <c:pt idx="94">
                  <c:v>0.9522059388249141</c:v>
                </c:pt>
                <c:pt idx="95">
                  <c:v>0.9544507766235365</c:v>
                </c:pt>
              </c:numCache>
            </c:numRef>
          </c:val>
          <c:smooth val="0"/>
        </c:ser>
        <c:marker val="1"/>
        <c:axId val="66974755"/>
        <c:axId val="65901884"/>
      </c:lineChart>
      <c:dateAx>
        <c:axId val="66974755"/>
        <c:scaling>
          <c:orientation val="minMax"/>
          <c:min val="41640"/>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65901884"/>
        <c:crosses val="autoZero"/>
        <c:auto val="0"/>
        <c:baseTimeUnit val="days"/>
        <c:majorUnit val="3"/>
        <c:majorTimeUnit val="months"/>
        <c:minorUnit val="3"/>
        <c:minorTimeUnit val="months"/>
        <c:noMultiLvlLbl val="0"/>
      </c:dateAx>
      <c:valAx>
        <c:axId val="65901884"/>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975"/>
              <c:y val="-0.0025"/>
            </c:manualLayout>
          </c:layout>
          <c:overlay val="0"/>
          <c:spPr>
            <a:noFill/>
            <a:ln w="3175">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66974755"/>
        <c:crossesAt val="1"/>
        <c:crossBetween val="between"/>
        <c:dispUnits/>
      </c:valAx>
      <c:spPr>
        <a:noFill/>
        <a:ln w="12700">
          <a:solidFill>
            <a:srgbClr val="000000"/>
          </a:solidFill>
        </a:ln>
      </c:spPr>
    </c:plotArea>
    <c:legend>
      <c:legendPos val="r"/>
      <c:layout>
        <c:manualLayout>
          <c:xMode val="edge"/>
          <c:yMode val="edge"/>
          <c:x val="0.0965"/>
          <c:y val="0.5875"/>
          <c:w val="0.314"/>
          <c:h val="0.01975"/>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in Maine 
June 2000-July 2021
Presented by the Maine PUC</a:t>
            </a:r>
          </a:p>
        </c:rich>
      </c:tx>
      <c:layout>
        <c:manualLayout>
          <c:xMode val="factor"/>
          <c:yMode val="factor"/>
          <c:x val="0.00325"/>
          <c:y val="-0.00175"/>
        </c:manualLayout>
      </c:layout>
      <c:spPr>
        <a:noFill/>
        <a:ln w="3175">
          <a:noFill/>
        </a:ln>
      </c:spPr>
    </c:title>
    <c:plotArea>
      <c:layout>
        <c:manualLayout>
          <c:xMode val="edge"/>
          <c:yMode val="edge"/>
          <c:x val="0.05875"/>
          <c:y val="0.18425"/>
          <c:w val="0.896"/>
          <c:h val="0.75325"/>
        </c:manualLayout>
      </c:layout>
      <c:lineChart>
        <c:grouping val="standard"/>
        <c:varyColors val="0"/>
        <c:ser>
          <c:idx val="0"/>
          <c:order val="0"/>
          <c:tx>
            <c:v>BHE</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63"/>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pt idx="254">
                  <c:v>36923</c:v>
                </c:pt>
                <c:pt idx="255">
                  <c:v>36892</c:v>
                </c:pt>
                <c:pt idx="256">
                  <c:v>36861</c:v>
                </c:pt>
                <c:pt idx="257">
                  <c:v>36831</c:v>
                </c:pt>
                <c:pt idx="258">
                  <c:v>36800</c:v>
                </c:pt>
                <c:pt idx="259">
                  <c:v>36770</c:v>
                </c:pt>
                <c:pt idx="260">
                  <c:v>36739</c:v>
                </c:pt>
                <c:pt idx="261">
                  <c:v>36708</c:v>
                </c:pt>
                <c:pt idx="262">
                  <c:v>36678</c:v>
                </c:pt>
              </c:strCache>
            </c:strRef>
          </c:cat>
          <c:val>
            <c:numRef>
              <c:f>Load!$L$6:$L$268</c:f>
              <c:numCache>
                <c:ptCount val="263"/>
                <c:pt idx="4">
                  <c:v>0.317</c:v>
                </c:pt>
                <c:pt idx="5">
                  <c:v>0.3588502269288956</c:v>
                </c:pt>
                <c:pt idx="6">
                  <c:v>0.36729613733905586</c:v>
                </c:pt>
                <c:pt idx="7">
                  <c:v>0.3420191041954974</c:v>
                </c:pt>
                <c:pt idx="8">
                  <c:v>0.352</c:v>
                </c:pt>
                <c:pt idx="9">
                  <c:v>0.3502657137621404</c:v>
                </c:pt>
                <c:pt idx="10">
                  <c:v>0.3613632679526666</c:v>
                </c:pt>
                <c:pt idx="11">
                  <c:v>0.35879957912072835</c:v>
                </c:pt>
                <c:pt idx="12">
                  <c:v>0.3460338314994252</c:v>
                </c:pt>
                <c:pt idx="13">
                  <c:v>0.3118849618849619</c:v>
                </c:pt>
                <c:pt idx="14">
                  <c:v>0.3216631702032534</c:v>
                </c:pt>
                <c:pt idx="15">
                  <c:v>0.3162411654406462</c:v>
                </c:pt>
                <c:pt idx="16">
                  <c:v>0.32219561747206504</c:v>
                </c:pt>
                <c:pt idx="17">
                  <c:v>0.40682241058507335</c:v>
                </c:pt>
                <c:pt idx="18">
                  <c:v>0.3753982927500885</c:v>
                </c:pt>
                <c:pt idx="19">
                  <c:v>0.39</c:v>
                </c:pt>
                <c:pt idx="20">
                  <c:v>0.350662089259441</c:v>
                </c:pt>
                <c:pt idx="21">
                  <c:v>0.3466680666386672</c:v>
                </c:pt>
                <c:pt idx="22">
                  <c:v>0.389</c:v>
                </c:pt>
                <c:pt idx="23">
                  <c:v>0.373</c:v>
                </c:pt>
                <c:pt idx="24">
                  <c:v>0.34853258671503706</c:v>
                </c:pt>
                <c:pt idx="25">
                  <c:v>0.349</c:v>
                </c:pt>
                <c:pt idx="26">
                  <c:v>0.3518884601883515</c:v>
                </c:pt>
                <c:pt idx="27">
                  <c:v>0.34810671601262433</c:v>
                </c:pt>
                <c:pt idx="28">
                  <c:v>0.3257667290499177</c:v>
                </c:pt>
                <c:pt idx="29">
                  <c:v>0.343</c:v>
                </c:pt>
                <c:pt idx="30">
                  <c:v>0.358</c:v>
                </c:pt>
                <c:pt idx="31">
                  <c:v>0.378</c:v>
                </c:pt>
                <c:pt idx="32">
                  <c:v>0.4</c:v>
                </c:pt>
                <c:pt idx="33">
                  <c:v>0.38227634057056875</c:v>
                </c:pt>
                <c:pt idx="34">
                  <c:v>0.39</c:v>
                </c:pt>
                <c:pt idx="35">
                  <c:v>0.37457809757236127</c:v>
                </c:pt>
                <c:pt idx="36">
                  <c:v>0.37993656157588007</c:v>
                </c:pt>
                <c:pt idx="37">
                  <c:v>0.361</c:v>
                </c:pt>
                <c:pt idx="38">
                  <c:v>0.35194644707448886</c:v>
                </c:pt>
                <c:pt idx="39">
                  <c:v>0.3536932204418986</c:v>
                </c:pt>
                <c:pt idx="40">
                  <c:v>0.3391219844185613</c:v>
                </c:pt>
                <c:pt idx="41">
                  <c:v>0.36083152916037614</c:v>
                </c:pt>
                <c:pt idx="42">
                  <c:v>0.3680177608446237</c:v>
                </c:pt>
                <c:pt idx="43">
                  <c:v>0.38209917182611747</c:v>
                </c:pt>
                <c:pt idx="44">
                  <c:v>0.3817988916916482</c:v>
                </c:pt>
                <c:pt idx="45">
                  <c:v>0.3868905967742051</c:v>
                </c:pt>
                <c:pt idx="46">
                  <c:v>0.39675372687734795</c:v>
                </c:pt>
                <c:pt idx="47">
                  <c:v>0.37677212173075736</c:v>
                </c:pt>
                <c:pt idx="48">
                  <c:v>0.37054862007837075</c:v>
                </c:pt>
                <c:pt idx="49">
                  <c:v>0.363064703677984</c:v>
                </c:pt>
                <c:pt idx="50">
                  <c:v>0.368589310976902</c:v>
                </c:pt>
                <c:pt idx="51">
                  <c:v>0.36893653831616324</c:v>
                </c:pt>
                <c:pt idx="52">
                  <c:v>0.35213232942818107</c:v>
                </c:pt>
                <c:pt idx="53">
                  <c:v>0.37803472246480596</c:v>
                </c:pt>
                <c:pt idx="54">
                  <c:v>0.3976244190190421</c:v>
                </c:pt>
                <c:pt idx="55">
                  <c:v>0.4097687024268244</c:v>
                </c:pt>
                <c:pt idx="56">
                  <c:v>0.42460053668453135</c:v>
                </c:pt>
                <c:pt idx="57">
                  <c:v>0.4089157098411767</c:v>
                </c:pt>
                <c:pt idx="58">
                  <c:v>0.4053779629197467</c:v>
                </c:pt>
                <c:pt idx="59">
                  <c:v>0.40601876300434947</c:v>
                </c:pt>
                <c:pt idx="60">
                  <c:v>0.3924588313478252</c:v>
                </c:pt>
                <c:pt idx="61">
                  <c:v>0.3801079414032382</c:v>
                </c:pt>
                <c:pt idx="62">
                  <c:v>0.38603169954976396</c:v>
                </c:pt>
                <c:pt idx="63">
                  <c:v>0.28373442566990953</c:v>
                </c:pt>
                <c:pt idx="64">
                  <c:v>0.3966882126516087</c:v>
                </c:pt>
                <c:pt idx="65">
                  <c:v>0.40350461757044753</c:v>
                </c:pt>
                <c:pt idx="66">
                  <c:v>0.3990918264379415</c:v>
                </c:pt>
                <c:pt idx="67">
                  <c:v>0.34278544542032624</c:v>
                </c:pt>
                <c:pt idx="68">
                  <c:v>0.43621943159286186</c:v>
                </c:pt>
                <c:pt idx="69">
                  <c:v>0.3973245716967848</c:v>
                </c:pt>
                <c:pt idx="70">
                  <c:v>0.41506817656574996</c:v>
                </c:pt>
                <c:pt idx="71">
                  <c:v>0.4090909090909091</c:v>
                </c:pt>
                <c:pt idx="72">
                  <c:v>0.40873464466048687</c:v>
                </c:pt>
                <c:pt idx="73">
                  <c:v>0.40195401881378695</c:v>
                </c:pt>
                <c:pt idx="74">
                  <c:v>0.40560702265709025</c:v>
                </c:pt>
                <c:pt idx="75">
                  <c:v>0.3867452235806968</c:v>
                </c:pt>
                <c:pt idx="76">
                  <c:v>0.3632237656443405</c:v>
                </c:pt>
                <c:pt idx="77">
                  <c:v>0.36921256005012876</c:v>
                </c:pt>
                <c:pt idx="78">
                  <c:v>0.40270424953498357</c:v>
                </c:pt>
                <c:pt idx="79">
                  <c:v>0.41826535046874025</c:v>
                </c:pt>
                <c:pt idx="80">
                  <c:v>0.44343878148799065</c:v>
                </c:pt>
                <c:pt idx="81">
                  <c:v>0.43457311120209113</c:v>
                </c:pt>
                <c:pt idx="82">
                  <c:v>0.4330340504828053</c:v>
                </c:pt>
                <c:pt idx="83">
                  <c:v>0.43327377680043977</c:v>
                </c:pt>
                <c:pt idx="84">
                  <c:v>0.4267552114776803</c:v>
                </c:pt>
                <c:pt idx="85">
                  <c:v>0.38491543091563263</c:v>
                </c:pt>
                <c:pt idx="86">
                  <c:v>0.37696560196560197</c:v>
                </c:pt>
                <c:pt idx="87">
                  <c:v>0.39331775296459803</c:v>
                </c:pt>
                <c:pt idx="88">
                  <c:v>0.38018535617796934</c:v>
                </c:pt>
                <c:pt idx="89">
                  <c:v>0.419753086419753</c:v>
                </c:pt>
                <c:pt idx="90">
                  <c:v>0.4247363374880153</c:v>
                </c:pt>
                <c:pt idx="91">
                  <c:v>0.44131244824730875</c:v>
                </c:pt>
                <c:pt idx="92">
                  <c:v>0.44176622441015795</c:v>
                </c:pt>
                <c:pt idx="93">
                  <c:v>0.4117628174259205</c:v>
                </c:pt>
                <c:pt idx="94">
                  <c:v>0.42246630378434424</c:v>
                </c:pt>
                <c:pt idx="95">
                  <c:v>0.42992286421190506</c:v>
                </c:pt>
                <c:pt idx="96">
                  <c:v>0.42492996230069524</c:v>
                </c:pt>
                <c:pt idx="97">
                  <c:v>0.41369141987443725</c:v>
                </c:pt>
                <c:pt idx="98">
                  <c:v>0.3846538365408648</c:v>
                </c:pt>
                <c:pt idx="99">
                  <c:v>0.3768480933898255</c:v>
                </c:pt>
                <c:pt idx="100">
                  <c:v>0.39159219784461</c:v>
                </c:pt>
                <c:pt idx="101">
                  <c:v>0.44861885453623923</c:v>
                </c:pt>
                <c:pt idx="102">
                  <c:v>0.396163996580307</c:v>
                </c:pt>
                <c:pt idx="103">
                  <c:v>0.461707610376224</c:v>
                </c:pt>
                <c:pt idx="104">
                  <c:v>0.47826617826617823</c:v>
                </c:pt>
                <c:pt idx="105">
                  <c:v>0.46349938499384996</c:v>
                </c:pt>
                <c:pt idx="106">
                  <c:v>0.47561706017715855</c:v>
                </c:pt>
                <c:pt idx="107">
                  <c:v>0.4948531171984541</c:v>
                </c:pt>
                <c:pt idx="108">
                  <c:v>0.4551923275239765</c:v>
                </c:pt>
                <c:pt idx="109">
                  <c:v>0.45466833372757076</c:v>
                </c:pt>
                <c:pt idx="110">
                  <c:v>0.43132674642507646</c:v>
                </c:pt>
                <c:pt idx="111">
                  <c:v>0.42151868743706683</c:v>
                </c:pt>
                <c:pt idx="112">
                  <c:v>0.41047104247104244</c:v>
                </c:pt>
                <c:pt idx="113">
                  <c:v>0.4356928595726258</c:v>
                </c:pt>
                <c:pt idx="114">
                  <c:v>0.43810853135425887</c:v>
                </c:pt>
                <c:pt idx="115">
                  <c:v>0.43607398406912384</c:v>
                </c:pt>
                <c:pt idx="116">
                  <c:v>0.43300803673938</c:v>
                </c:pt>
                <c:pt idx="117">
                  <c:v>0.4362166820194337</c:v>
                </c:pt>
                <c:pt idx="118">
                  <c:v>0.42442064887326203</c:v>
                </c:pt>
                <c:pt idx="119">
                  <c:v>0.4049617545522236</c:v>
                </c:pt>
                <c:pt idx="120">
                  <c:v>0.3974911660777385</c:v>
                </c:pt>
                <c:pt idx="121">
                  <c:v>0.3873582388258839</c:v>
                </c:pt>
                <c:pt idx="122">
                  <c:v>0.3666460898664674</c:v>
                </c:pt>
                <c:pt idx="123">
                  <c:v>0.370824725885905</c:v>
                </c:pt>
                <c:pt idx="124">
                  <c:v>0.3472852789352572</c:v>
                </c:pt>
                <c:pt idx="125">
                  <c:v>0.379452329941082</c:v>
                </c:pt>
                <c:pt idx="126">
                  <c:v>0.3777584882983341</c:v>
                </c:pt>
                <c:pt idx="127">
                  <c:v>0.35979318734793186</c:v>
                </c:pt>
                <c:pt idx="128">
                  <c:v>0.40189457327277067</c:v>
                </c:pt>
                <c:pt idx="129">
                  <c:v>0.38095382469757144</c:v>
                </c:pt>
                <c:pt idx="130">
                  <c:v>0.3926717055537299</c:v>
                </c:pt>
                <c:pt idx="131">
                  <c:v>0.38249100565358923</c:v>
                </c:pt>
                <c:pt idx="132">
                  <c:v>0.3795297861057097</c:v>
                </c:pt>
                <c:pt idx="133">
                  <c:v>0.36735430126922697</c:v>
                </c:pt>
                <c:pt idx="134">
                  <c:v>0.36056761986669533</c:v>
                </c:pt>
                <c:pt idx="135">
                  <c:v>0.36021754223559366</c:v>
                </c:pt>
                <c:pt idx="136">
                  <c:v>0.35852356684056574</c:v>
                </c:pt>
                <c:pt idx="137">
                  <c:v>0.3746972413576169</c:v>
                </c:pt>
                <c:pt idx="138">
                  <c:v>0.3928838585878297</c:v>
                </c:pt>
                <c:pt idx="139">
                  <c:v>0.40395845828466814</c:v>
                </c:pt>
                <c:pt idx="140">
                  <c:v>0.4035239584496817</c:v>
                </c:pt>
                <c:pt idx="141">
                  <c:v>0.4079540680576951</c:v>
                </c:pt>
                <c:pt idx="142">
                  <c:v>0.40371287128712874</c:v>
                </c:pt>
                <c:pt idx="143">
                  <c:v>0.3634211976785656</c:v>
                </c:pt>
                <c:pt idx="144">
                  <c:v>0.3696611665648129</c:v>
                </c:pt>
                <c:pt idx="145">
                  <c:v>0.336489228093904</c:v>
                </c:pt>
                <c:pt idx="146">
                  <c:v>0.3564811857151983</c:v>
                </c:pt>
                <c:pt idx="147">
                  <c:v>0.3438373036138064</c:v>
                </c:pt>
                <c:pt idx="148">
                  <c:v>0.3299834548685581</c:v>
                </c:pt>
                <c:pt idx="149">
                  <c:v>0.33781506941636336</c:v>
                </c:pt>
                <c:pt idx="150">
                  <c:v>0.34304583015298845</c:v>
                </c:pt>
                <c:pt idx="151">
                  <c:v>0.34894279843573944</c:v>
                </c:pt>
                <c:pt idx="152">
                  <c:v>0.3469549169522805</c:v>
                </c:pt>
                <c:pt idx="153">
                  <c:v>0.3343162660471212</c:v>
                </c:pt>
                <c:pt idx="154">
                  <c:v>0.35043263288009885</c:v>
                </c:pt>
                <c:pt idx="155">
                  <c:v>0.3386053199137311</c:v>
                </c:pt>
                <c:pt idx="156">
                  <c:v>0.32876807563959953</c:v>
                </c:pt>
                <c:pt idx="157">
                  <c:v>0.3208065994500458</c:v>
                </c:pt>
                <c:pt idx="158">
                  <c:v>0.3073743745921253</c:v>
                </c:pt>
                <c:pt idx="159">
                  <c:v>0.33015115354017505</c:v>
                </c:pt>
                <c:pt idx="160">
                  <c:v>0.2909007211907319</c:v>
                </c:pt>
                <c:pt idx="161">
                  <c:v>0.3133303808680248</c:v>
                </c:pt>
                <c:pt idx="162">
                  <c:v>0.33467307126752277</c:v>
                </c:pt>
                <c:pt idx="163">
                  <c:v>0.3107994976977815</c:v>
                </c:pt>
                <c:pt idx="164">
                  <c:v>0.31129363449691994</c:v>
                </c:pt>
                <c:pt idx="165">
                  <c:v>0.3265524625267666</c:v>
                </c:pt>
                <c:pt idx="166">
                  <c:v>0.3302439024390244</c:v>
                </c:pt>
                <c:pt idx="167">
                  <c:v>0.32467222884386177</c:v>
                </c:pt>
                <c:pt idx="168">
                  <c:v>0.3141779454182383</c:v>
                </c:pt>
                <c:pt idx="169">
                  <c:v>0.3156223539373412</c:v>
                </c:pt>
                <c:pt idx="170">
                  <c:v>0.30052652895909276</c:v>
                </c:pt>
                <c:pt idx="171">
                  <c:v>0.30333692142088264</c:v>
                </c:pt>
                <c:pt idx="172">
                  <c:v>0.33674749163879597</c:v>
                </c:pt>
                <c:pt idx="173">
                  <c:v>0.3027027027027027</c:v>
                </c:pt>
                <c:pt idx="174">
                  <c:v>0.324365372098069</c:v>
                </c:pt>
                <c:pt idx="175">
                  <c:v>0.31932610379550735</c:v>
                </c:pt>
                <c:pt idx="176">
                  <c:v>0.3133657132577802</c:v>
                </c:pt>
                <c:pt idx="177">
                  <c:v>0.3333924519288188</c:v>
                </c:pt>
                <c:pt idx="178">
                  <c:v>0.3536513352142248</c:v>
                </c:pt>
                <c:pt idx="179">
                  <c:v>0.33606672932330833</c:v>
                </c:pt>
                <c:pt idx="180">
                  <c:v>0.3203048414128956</c:v>
                </c:pt>
                <c:pt idx="181">
                  <c:v>0.3251284246575342</c:v>
                </c:pt>
                <c:pt idx="182">
                  <c:v>0.2914656417804672</c:v>
                </c:pt>
                <c:pt idx="183">
                  <c:v>0.29086487946924433</c:v>
                </c:pt>
                <c:pt idx="184">
                  <c:v>0.30406750734806104</c:v>
                </c:pt>
                <c:pt idx="185">
                  <c:v>0.3179386823222439</c:v>
                </c:pt>
                <c:pt idx="186">
                  <c:v>0.31119119509106846</c:v>
                </c:pt>
                <c:pt idx="187">
                  <c:v>0.2526281948239833</c:v>
                </c:pt>
                <c:pt idx="188">
                  <c:v>0.23741485296560894</c:v>
                </c:pt>
                <c:pt idx="189">
                  <c:v>0.23655230834392207</c:v>
                </c:pt>
                <c:pt idx="190">
                  <c:v>0.24259815671314272</c:v>
                </c:pt>
                <c:pt idx="191">
                  <c:v>0.21189946999487091</c:v>
                </c:pt>
                <c:pt idx="192">
                  <c:v>0.2422011238132145</c:v>
                </c:pt>
                <c:pt idx="193">
                  <c:v>0.23485585610630785</c:v>
                </c:pt>
                <c:pt idx="194">
                  <c:v>0.24690606613917632</c:v>
                </c:pt>
                <c:pt idx="195">
                  <c:v>0.23</c:v>
                </c:pt>
                <c:pt idx="196">
                  <c:v>0.24</c:v>
                </c:pt>
                <c:pt idx="197">
                  <c:v>0.27</c:v>
                </c:pt>
                <c:pt idx="198">
                  <c:v>0.25</c:v>
                </c:pt>
                <c:pt idx="199">
                  <c:v>0.31</c:v>
                </c:pt>
                <c:pt idx="200">
                  <c:v>0.32</c:v>
                </c:pt>
                <c:pt idx="201">
                  <c:v>0.3</c:v>
                </c:pt>
                <c:pt idx="202">
                  <c:v>0.32</c:v>
                </c:pt>
                <c:pt idx="203">
                  <c:v>0.32</c:v>
                </c:pt>
                <c:pt idx="204">
                  <c:v>0.29</c:v>
                </c:pt>
                <c:pt idx="205">
                  <c:v>0.31</c:v>
                </c:pt>
                <c:pt idx="206">
                  <c:v>0.31</c:v>
                </c:pt>
                <c:pt idx="207">
                  <c:v>0.31</c:v>
                </c:pt>
                <c:pt idx="208">
                  <c:v>0.31</c:v>
                </c:pt>
                <c:pt idx="209">
                  <c:v>0.21</c:v>
                </c:pt>
                <c:pt idx="210">
                  <c:v>0.31</c:v>
                </c:pt>
                <c:pt idx="211">
                  <c:v>0.27</c:v>
                </c:pt>
                <c:pt idx="212">
                  <c:v>0.26</c:v>
                </c:pt>
                <c:pt idx="213">
                  <c:v>0.23</c:v>
                </c:pt>
                <c:pt idx="214">
                  <c:v>0.25</c:v>
                </c:pt>
                <c:pt idx="215">
                  <c:v>0.21</c:v>
                </c:pt>
                <c:pt idx="216">
                  <c:v>0.22</c:v>
                </c:pt>
                <c:pt idx="217">
                  <c:v>0.22</c:v>
                </c:pt>
                <c:pt idx="218">
                  <c:v>0.21</c:v>
                </c:pt>
                <c:pt idx="219">
                  <c:v>0.26</c:v>
                </c:pt>
                <c:pt idx="220">
                  <c:v>0.24</c:v>
                </c:pt>
                <c:pt idx="221">
                  <c:v>0.23</c:v>
                </c:pt>
                <c:pt idx="222">
                  <c:v>0.22</c:v>
                </c:pt>
                <c:pt idx="223">
                  <c:v>0.16</c:v>
                </c:pt>
                <c:pt idx="224">
                  <c:v>0.16</c:v>
                </c:pt>
                <c:pt idx="225">
                  <c:v>0.15</c:v>
                </c:pt>
                <c:pt idx="226">
                  <c:v>0.17</c:v>
                </c:pt>
                <c:pt idx="227">
                  <c:v>0.17</c:v>
                </c:pt>
                <c:pt idx="228">
                  <c:v>0.13</c:v>
                </c:pt>
                <c:pt idx="229">
                  <c:v>0.17</c:v>
                </c:pt>
                <c:pt idx="231">
                  <c:v>0.17</c:v>
                </c:pt>
                <c:pt idx="232">
                  <c:v>0.22</c:v>
                </c:pt>
                <c:pt idx="233">
                  <c:v>0.23</c:v>
                </c:pt>
                <c:pt idx="234">
                  <c:v>0.23</c:v>
                </c:pt>
                <c:pt idx="235">
                  <c:v>0.21</c:v>
                </c:pt>
                <c:pt idx="236">
                  <c:v>0.2</c:v>
                </c:pt>
                <c:pt idx="237">
                  <c:v>0.21</c:v>
                </c:pt>
                <c:pt idx="238">
                  <c:v>0.23</c:v>
                </c:pt>
                <c:pt idx="239">
                  <c:v>0.21</c:v>
                </c:pt>
                <c:pt idx="240">
                  <c:v>0.33</c:v>
                </c:pt>
                <c:pt idx="241">
                  <c:v>0.32</c:v>
                </c:pt>
                <c:pt idx="242">
                  <c:v>0.3</c:v>
                </c:pt>
                <c:pt idx="243">
                  <c:v>0.28</c:v>
                </c:pt>
                <c:pt idx="244">
                  <c:v>0.26</c:v>
                </c:pt>
                <c:pt idx="245">
                  <c:v>0.28</c:v>
                </c:pt>
                <c:pt idx="246">
                  <c:v>0.3</c:v>
                </c:pt>
                <c:pt idx="247">
                  <c:v>0.3</c:v>
                </c:pt>
                <c:pt idx="248">
                  <c:v>0.3</c:v>
                </c:pt>
                <c:pt idx="249">
                  <c:v>0.18</c:v>
                </c:pt>
                <c:pt idx="250">
                  <c:v>0.17</c:v>
                </c:pt>
                <c:pt idx="251">
                  <c:v>0.16</c:v>
                </c:pt>
                <c:pt idx="252">
                  <c:v>0.13</c:v>
                </c:pt>
                <c:pt idx="253">
                  <c:v>0.09</c:v>
                </c:pt>
                <c:pt idx="254">
                  <c:v>0.11</c:v>
                </c:pt>
                <c:pt idx="255">
                  <c:v>0.12</c:v>
                </c:pt>
                <c:pt idx="256">
                  <c:v>0.12</c:v>
                </c:pt>
                <c:pt idx="257">
                  <c:v>0.12</c:v>
                </c:pt>
                <c:pt idx="258">
                  <c:v>0.11</c:v>
                </c:pt>
                <c:pt idx="259">
                  <c:v>0.17</c:v>
                </c:pt>
                <c:pt idx="260">
                  <c:v>0.19</c:v>
                </c:pt>
                <c:pt idx="261">
                  <c:v>0</c:v>
                </c:pt>
                <c:pt idx="262">
                  <c:v>0</c:v>
                </c:pt>
              </c:numCache>
            </c:numRef>
          </c:val>
          <c:smooth val="0"/>
        </c:ser>
        <c:ser>
          <c:idx val="1"/>
          <c:order val="1"/>
          <c:tx>
            <c:v>CMP</c:v>
          </c:tx>
          <c:spPr>
            <a:ln w="25400">
              <a:solidFill>
                <a:srgbClr val="8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63"/>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pt idx="254">
                  <c:v>36923</c:v>
                </c:pt>
                <c:pt idx="255">
                  <c:v>36892</c:v>
                </c:pt>
                <c:pt idx="256">
                  <c:v>36861</c:v>
                </c:pt>
                <c:pt idx="257">
                  <c:v>36831</c:v>
                </c:pt>
                <c:pt idx="258">
                  <c:v>36800</c:v>
                </c:pt>
                <c:pt idx="259">
                  <c:v>36770</c:v>
                </c:pt>
                <c:pt idx="260">
                  <c:v>36739</c:v>
                </c:pt>
                <c:pt idx="261">
                  <c:v>36708</c:v>
                </c:pt>
                <c:pt idx="262">
                  <c:v>36678</c:v>
                </c:pt>
              </c:strCache>
            </c:strRef>
          </c:cat>
          <c:val>
            <c:numRef>
              <c:f>Load!$X$6:$X$268</c:f>
              <c:numCache>
                <c:ptCount val="263"/>
                <c:pt idx="4">
                  <c:v>0.4428771068900112</c:v>
                </c:pt>
                <c:pt idx="5">
                  <c:v>0.480462023656193</c:v>
                </c:pt>
                <c:pt idx="6">
                  <c:v>0.4941137124953883</c:v>
                </c:pt>
                <c:pt idx="7">
                  <c:v>0.4515377131819668</c:v>
                </c:pt>
                <c:pt idx="8">
                  <c:v>0.4814464081491479</c:v>
                </c:pt>
                <c:pt idx="9">
                  <c:v>0.43799123998497064</c:v>
                </c:pt>
                <c:pt idx="10">
                  <c:v>0.5341852766548766</c:v>
                </c:pt>
                <c:pt idx="11">
                  <c:v>0.5062278862920476</c:v>
                </c:pt>
                <c:pt idx="12">
                  <c:v>0.43959229491306245</c:v>
                </c:pt>
                <c:pt idx="13">
                  <c:v>0.4823011509339904</c:v>
                </c:pt>
                <c:pt idx="14">
                  <c:v>0.4410106526470982</c:v>
                </c:pt>
                <c:pt idx="15">
                  <c:v>0.40400558040463264</c:v>
                </c:pt>
                <c:pt idx="16">
                  <c:v>0.47645050931978794</c:v>
                </c:pt>
                <c:pt idx="17">
                  <c:v>0.4944121252004551</c:v>
                </c:pt>
                <c:pt idx="18">
                  <c:v>0.5037795254721561</c:v>
                </c:pt>
                <c:pt idx="19">
                  <c:v>0.4958597945756629</c:v>
                </c:pt>
                <c:pt idx="20">
                  <c:v>0.4571432965343692</c:v>
                </c:pt>
                <c:pt idx="21">
                  <c:v>0.4355508814339159</c:v>
                </c:pt>
                <c:pt idx="22">
                  <c:v>0.5248408721006446</c:v>
                </c:pt>
                <c:pt idx="23">
                  <c:v>0.47969167951553704</c:v>
                </c:pt>
                <c:pt idx="24">
                  <c:v>0.4431328652147745</c:v>
                </c:pt>
                <c:pt idx="25">
                  <c:v>0.49665339826137767</c:v>
                </c:pt>
                <c:pt idx="26">
                  <c:v>0.4210744990486241</c:v>
                </c:pt>
                <c:pt idx="27">
                  <c:v>0.4866406982530809</c:v>
                </c:pt>
                <c:pt idx="28">
                  <c:v>0.4738077534754218</c:v>
                </c:pt>
                <c:pt idx="29">
                  <c:v>0.4592528360410459</c:v>
                </c:pt>
                <c:pt idx="30">
                  <c:v>0.5612054337612791</c:v>
                </c:pt>
                <c:pt idx="31">
                  <c:v>0.46360144871425973</c:v>
                </c:pt>
                <c:pt idx="32">
                  <c:v>0.4903353323453643</c:v>
                </c:pt>
                <c:pt idx="33">
                  <c:v>0.5431845352395788</c:v>
                </c:pt>
                <c:pt idx="34">
                  <c:v>0.46126327455028454</c:v>
                </c:pt>
                <c:pt idx="35">
                  <c:v>0.5279608977597716</c:v>
                </c:pt>
                <c:pt idx="36">
                  <c:v>0.47278071767285773</c:v>
                </c:pt>
                <c:pt idx="37">
                  <c:v>0.4969357135706668</c:v>
                </c:pt>
                <c:pt idx="38">
                  <c:v>0.3922226456409996</c:v>
                </c:pt>
                <c:pt idx="39">
                  <c:v>0.5019332788043634</c:v>
                </c:pt>
                <c:pt idx="40">
                  <c:v>0.42684856051725356</c:v>
                </c:pt>
                <c:pt idx="41">
                  <c:v>0.5170359830543996</c:v>
                </c:pt>
                <c:pt idx="42">
                  <c:v>0.5355208527366843</c:v>
                </c:pt>
                <c:pt idx="43">
                  <c:v>0.5258038797494858</c:v>
                </c:pt>
                <c:pt idx="44">
                  <c:v>0.5375247354489774</c:v>
                </c:pt>
                <c:pt idx="45">
                  <c:v>0.49318217998948616</c:v>
                </c:pt>
                <c:pt idx="46">
                  <c:v>0.5335612711219504</c:v>
                </c:pt>
                <c:pt idx="47">
                  <c:v>0.5443097758432047</c:v>
                </c:pt>
                <c:pt idx="48">
                  <c:v>0.5096238691766571</c:v>
                </c:pt>
                <c:pt idx="49">
                  <c:v>0.4639960792884133</c:v>
                </c:pt>
                <c:pt idx="50">
                  <c:v>0.43661420050138555</c:v>
                </c:pt>
                <c:pt idx="51">
                  <c:v>0.49901303785681544</c:v>
                </c:pt>
                <c:pt idx="52">
                  <c:v>0.49716216079529046</c:v>
                </c:pt>
                <c:pt idx="53">
                  <c:v>0.4451454781073552</c:v>
                </c:pt>
                <c:pt idx="54">
                  <c:v>0.5881496497761228</c:v>
                </c:pt>
                <c:pt idx="55">
                  <c:v>0.5411897241473193</c:v>
                </c:pt>
                <c:pt idx="56">
                  <c:v>0.5411897241473193</c:v>
                </c:pt>
                <c:pt idx="57">
                  <c:v>0.528357121880019</c:v>
                </c:pt>
                <c:pt idx="58">
                  <c:v>0.542077984787978</c:v>
                </c:pt>
                <c:pt idx="59">
                  <c:v>0.5458513097396062</c:v>
                </c:pt>
                <c:pt idx="60">
                  <c:v>0.5215657831049952</c:v>
                </c:pt>
                <c:pt idx="61">
                  <c:v>0.5157691555208839</c:v>
                </c:pt>
                <c:pt idx="62">
                  <c:v>0.46509152901552375</c:v>
                </c:pt>
                <c:pt idx="63">
                  <c:v>0.5038411161446493</c:v>
                </c:pt>
                <c:pt idx="64">
                  <c:v>0.5261305774896675</c:v>
                </c:pt>
                <c:pt idx="65">
                  <c:v>0.5724192014749062</c:v>
                </c:pt>
                <c:pt idx="66">
                  <c:v>0.6002884524182329</c:v>
                </c:pt>
                <c:pt idx="67">
                  <c:v>0.5492301577076413</c:v>
                </c:pt>
                <c:pt idx="68">
                  <c:v>0.5752243781571018</c:v>
                </c:pt>
                <c:pt idx="69">
                  <c:v>0.5473319887666028</c:v>
                </c:pt>
                <c:pt idx="70">
                  <c:v>0.5858334430407248</c:v>
                </c:pt>
                <c:pt idx="71">
                  <c:v>0.5679969981097039</c:v>
                </c:pt>
                <c:pt idx="72">
                  <c:v>0.5354838047907791</c:v>
                </c:pt>
                <c:pt idx="73">
                  <c:v>0.534652571777583</c:v>
                </c:pt>
                <c:pt idx="74">
                  <c:v>0.5207313520327875</c:v>
                </c:pt>
                <c:pt idx="75">
                  <c:v>0.5280278472034001</c:v>
                </c:pt>
                <c:pt idx="76">
                  <c:v>0.5355296762612406</c:v>
                </c:pt>
                <c:pt idx="77">
                  <c:v>0.5657185620430398</c:v>
                </c:pt>
                <c:pt idx="78">
                  <c:v>0.5843327497148396</c:v>
                </c:pt>
                <c:pt idx="79">
                  <c:v>0.5709505552216266</c:v>
                </c:pt>
                <c:pt idx="80">
                  <c:v>0.5627196969417071</c:v>
                </c:pt>
                <c:pt idx="81">
                  <c:v>0.5741532483677639</c:v>
                </c:pt>
                <c:pt idx="82">
                  <c:v>0.5986956126978925</c:v>
                </c:pt>
                <c:pt idx="83">
                  <c:v>0.5821754990138711</c:v>
                </c:pt>
                <c:pt idx="84">
                  <c:v>0.5705066089556086</c:v>
                </c:pt>
                <c:pt idx="85">
                  <c:v>0.5246756753002438</c:v>
                </c:pt>
                <c:pt idx="86">
                  <c:v>0.533182546744504</c:v>
                </c:pt>
                <c:pt idx="87">
                  <c:v>0.5476495732594067</c:v>
                </c:pt>
                <c:pt idx="88">
                  <c:v>0.5720343023381442</c:v>
                </c:pt>
                <c:pt idx="89">
                  <c:v>0.6103899806098703</c:v>
                </c:pt>
                <c:pt idx="90">
                  <c:v>0.6249378006302869</c:v>
                </c:pt>
                <c:pt idx="91">
                  <c:v>0.6069702550671537</c:v>
                </c:pt>
                <c:pt idx="92">
                  <c:v>0.6021417935367672</c:v>
                </c:pt>
                <c:pt idx="93">
                  <c:v>0.5996905477427159</c:v>
                </c:pt>
                <c:pt idx="94">
                  <c:v>0.634338937738771</c:v>
                </c:pt>
                <c:pt idx="95">
                  <c:v>0.6187753066653312</c:v>
                </c:pt>
                <c:pt idx="96">
                  <c:v>0.6113348330528499</c:v>
                </c:pt>
                <c:pt idx="97">
                  <c:v>0.5809473908444108</c:v>
                </c:pt>
                <c:pt idx="98">
                  <c:v>0.5658848218063721</c:v>
                </c:pt>
                <c:pt idx="99">
                  <c:v>0.5751656493331642</c:v>
                </c:pt>
                <c:pt idx="100">
                  <c:v>0.5596766482857147</c:v>
                </c:pt>
                <c:pt idx="101">
                  <c:v>0.6324384283234395</c:v>
                </c:pt>
                <c:pt idx="102">
                  <c:v>0.6437127975198034</c:v>
                </c:pt>
                <c:pt idx="103">
                  <c:v>0.6225101159439993</c:v>
                </c:pt>
                <c:pt idx="104">
                  <c:v>0.6138426194839347</c:v>
                </c:pt>
                <c:pt idx="105">
                  <c:v>0.6124099801302246</c:v>
                </c:pt>
                <c:pt idx="106">
                  <c:v>0.6396999067649951</c:v>
                </c:pt>
                <c:pt idx="107">
                  <c:v>0.656067088278405</c:v>
                </c:pt>
                <c:pt idx="108">
                  <c:v>0.6504719289185793</c:v>
                </c:pt>
                <c:pt idx="109">
                  <c:v>0.6108696598626193</c:v>
                </c:pt>
                <c:pt idx="110">
                  <c:v>0.589897100633135</c:v>
                </c:pt>
                <c:pt idx="111">
                  <c:v>0.5933597800927296</c:v>
                </c:pt>
                <c:pt idx="112">
                  <c:v>0.606237675439084</c:v>
                </c:pt>
                <c:pt idx="113">
                  <c:v>0.6258390326587724</c:v>
                </c:pt>
                <c:pt idx="114">
                  <c:v>0.6126811230932151</c:v>
                </c:pt>
                <c:pt idx="115">
                  <c:v>0.5929032956029732</c:v>
                </c:pt>
                <c:pt idx="116">
                  <c:v>0.5750386116414868</c:v>
                </c:pt>
                <c:pt idx="117">
                  <c:v>0.5760102154167599</c:v>
                </c:pt>
                <c:pt idx="118">
                  <c:v>0.581365450093098</c:v>
                </c:pt>
                <c:pt idx="119">
                  <c:v>0.5805097858788031</c:v>
                </c:pt>
                <c:pt idx="120">
                  <c:v>0.5632021067926553</c:v>
                </c:pt>
                <c:pt idx="121">
                  <c:v>0.509908158088351</c:v>
                </c:pt>
                <c:pt idx="122">
                  <c:v>0.4549805337591977</c:v>
                </c:pt>
                <c:pt idx="123">
                  <c:v>0.44401320881902934</c:v>
                </c:pt>
                <c:pt idx="124">
                  <c:v>0.404108590412333</c:v>
                </c:pt>
                <c:pt idx="125">
                  <c:v>0.41744883757660134</c:v>
                </c:pt>
                <c:pt idx="126">
                  <c:v>0.46433958863712393</c:v>
                </c:pt>
                <c:pt idx="127">
                  <c:v>0.45532068193110525</c:v>
                </c:pt>
                <c:pt idx="128">
                  <c:v>0.43635504883418563</c:v>
                </c:pt>
                <c:pt idx="129">
                  <c:v>0.4197932468540076</c:v>
                </c:pt>
                <c:pt idx="130">
                  <c:v>0.4419517539363776</c:v>
                </c:pt>
                <c:pt idx="131">
                  <c:v>0.43016285091637585</c:v>
                </c:pt>
                <c:pt idx="132">
                  <c:v>0.4558600321006799</c:v>
                </c:pt>
                <c:pt idx="133">
                  <c:v>0.4121985237196737</c:v>
                </c:pt>
                <c:pt idx="134">
                  <c:v>0.4030768285834128</c:v>
                </c:pt>
                <c:pt idx="135">
                  <c:v>0.38623753415501033</c:v>
                </c:pt>
                <c:pt idx="136">
                  <c:v>0.38309943239587385</c:v>
                </c:pt>
                <c:pt idx="137">
                  <c:v>0.3998757543328382</c:v>
                </c:pt>
                <c:pt idx="138">
                  <c:v>0.43452733534951105</c:v>
                </c:pt>
                <c:pt idx="139">
                  <c:v>0.44534029212941095</c:v>
                </c:pt>
                <c:pt idx="140">
                  <c:v>0.4122005323561601</c:v>
                </c:pt>
                <c:pt idx="141">
                  <c:v>0.398587298089483</c:v>
                </c:pt>
                <c:pt idx="142">
                  <c:v>0.4136655321031672</c:v>
                </c:pt>
                <c:pt idx="143">
                  <c:v>0.4295800061185374</c:v>
                </c:pt>
                <c:pt idx="144">
                  <c:v>0.42009321941314537</c:v>
                </c:pt>
                <c:pt idx="145">
                  <c:v>0.3997612779490163</c:v>
                </c:pt>
                <c:pt idx="146">
                  <c:v>0.388298760069892</c:v>
                </c:pt>
                <c:pt idx="147">
                  <c:v>0.3680238238904115</c:v>
                </c:pt>
                <c:pt idx="148">
                  <c:v>0.35585887576409536</c:v>
                </c:pt>
                <c:pt idx="149">
                  <c:v>0.38000619610526853</c:v>
                </c:pt>
                <c:pt idx="150">
                  <c:v>0.41334661980070386</c:v>
                </c:pt>
                <c:pt idx="151">
                  <c:v>0.4056248324357235</c:v>
                </c:pt>
                <c:pt idx="152">
                  <c:v>0.38962644985040895</c:v>
                </c:pt>
                <c:pt idx="153">
                  <c:v>0.3773315991369748</c:v>
                </c:pt>
                <c:pt idx="154">
                  <c:v>0.39132504060473083</c:v>
                </c:pt>
                <c:pt idx="155">
                  <c:v>0.394274441436895</c:v>
                </c:pt>
                <c:pt idx="156">
                  <c:v>0.3990637584429214</c:v>
                </c:pt>
                <c:pt idx="157">
                  <c:v>0.35364014441753117</c:v>
                </c:pt>
                <c:pt idx="158">
                  <c:v>0.3458015920568347</c:v>
                </c:pt>
                <c:pt idx="159">
                  <c:v>0.3209004736090304</c:v>
                </c:pt>
                <c:pt idx="160">
                  <c:v>0.30074012776346765</c:v>
                </c:pt>
                <c:pt idx="161">
                  <c:v>0.3557168643920908</c:v>
                </c:pt>
                <c:pt idx="162">
                  <c:v>0.44541173895689323</c:v>
                </c:pt>
                <c:pt idx="163">
                  <c:v>0.3819998420345944</c:v>
                </c:pt>
                <c:pt idx="164">
                  <c:v>0.37402333103172586</c:v>
                </c:pt>
                <c:pt idx="165">
                  <c:v>0.3896562955704361</c:v>
                </c:pt>
                <c:pt idx="166">
                  <c:v>0.39426411738550465</c:v>
                </c:pt>
                <c:pt idx="167">
                  <c:v>0.3989321802056215</c:v>
                </c:pt>
                <c:pt idx="168">
                  <c:v>0.38056517188632155</c:v>
                </c:pt>
                <c:pt idx="169">
                  <c:v>0.3742049878579964</c:v>
                </c:pt>
                <c:pt idx="170">
                  <c:v>0.36298649722001586</c:v>
                </c:pt>
                <c:pt idx="171">
                  <c:v>0.3437299807815503</c:v>
                </c:pt>
                <c:pt idx="172">
                  <c:v>0.39889868689591435</c:v>
                </c:pt>
                <c:pt idx="173">
                  <c:v>0.42769281914893614</c:v>
                </c:pt>
                <c:pt idx="174">
                  <c:v>0.4123649936467598</c:v>
                </c:pt>
                <c:pt idx="175">
                  <c:v>0.37774770491203685</c:v>
                </c:pt>
                <c:pt idx="176">
                  <c:v>0.36989005752408183</c:v>
                </c:pt>
                <c:pt idx="177">
                  <c:v>0.39016965512120877</c:v>
                </c:pt>
                <c:pt idx="178">
                  <c:v>0.4184110645346407</c:v>
                </c:pt>
                <c:pt idx="179">
                  <c:v>0.41425540941875266</c:v>
                </c:pt>
                <c:pt idx="180">
                  <c:v>0.4301500082170734</c:v>
                </c:pt>
                <c:pt idx="181">
                  <c:v>0.38805049097579086</c:v>
                </c:pt>
                <c:pt idx="182">
                  <c:v>0.3749651086297213</c:v>
                </c:pt>
                <c:pt idx="183">
                  <c:v>0.37517592909581954</c:v>
                </c:pt>
                <c:pt idx="184">
                  <c:v>0.38221000518961484</c:v>
                </c:pt>
                <c:pt idx="185">
                  <c:v>0.4089983775563243</c:v>
                </c:pt>
                <c:pt idx="186">
                  <c:v>0.4034162190286152</c:v>
                </c:pt>
                <c:pt idx="187">
                  <c:v>0.39782013774205033</c:v>
                </c:pt>
                <c:pt idx="188">
                  <c:v>0.35941183838240254</c:v>
                </c:pt>
                <c:pt idx="189">
                  <c:v>0.3769709390484256</c:v>
                </c:pt>
                <c:pt idx="190">
                  <c:v>0.37536341453676814</c:v>
                </c:pt>
                <c:pt idx="191">
                  <c:v>0.39098801042720127</c:v>
                </c:pt>
                <c:pt idx="192">
                  <c:v>0.3662049593895723</c:v>
                </c:pt>
                <c:pt idx="193">
                  <c:v>0.33283184340046224</c:v>
                </c:pt>
                <c:pt idx="194">
                  <c:v>0.3445546803998788</c:v>
                </c:pt>
                <c:pt idx="195">
                  <c:v>0.34196471324910677</c:v>
                </c:pt>
                <c:pt idx="196">
                  <c:v>0.4</c:v>
                </c:pt>
                <c:pt idx="197">
                  <c:v>0.41</c:v>
                </c:pt>
                <c:pt idx="198">
                  <c:v>0.41</c:v>
                </c:pt>
                <c:pt idx="199">
                  <c:v>0.41</c:v>
                </c:pt>
                <c:pt idx="200">
                  <c:v>0.41</c:v>
                </c:pt>
                <c:pt idx="201">
                  <c:v>0.41</c:v>
                </c:pt>
                <c:pt idx="202">
                  <c:v>0.41</c:v>
                </c:pt>
                <c:pt idx="203">
                  <c:v>0.42</c:v>
                </c:pt>
                <c:pt idx="204">
                  <c:v>0.42</c:v>
                </c:pt>
                <c:pt idx="205">
                  <c:v>0.42</c:v>
                </c:pt>
                <c:pt idx="206">
                  <c:v>0.41</c:v>
                </c:pt>
                <c:pt idx="207">
                  <c:v>0.41</c:v>
                </c:pt>
                <c:pt idx="208">
                  <c:v>0.4</c:v>
                </c:pt>
                <c:pt idx="209">
                  <c:v>0.4</c:v>
                </c:pt>
                <c:pt idx="210">
                  <c:v>0.4</c:v>
                </c:pt>
                <c:pt idx="211">
                  <c:v>0.4</c:v>
                </c:pt>
                <c:pt idx="212">
                  <c:v>0.39</c:v>
                </c:pt>
                <c:pt idx="213">
                  <c:v>0.4</c:v>
                </c:pt>
                <c:pt idx="214">
                  <c:v>0.4</c:v>
                </c:pt>
                <c:pt idx="215">
                  <c:v>0.4</c:v>
                </c:pt>
                <c:pt idx="216">
                  <c:v>0.4</c:v>
                </c:pt>
                <c:pt idx="217">
                  <c:v>0.4</c:v>
                </c:pt>
                <c:pt idx="218">
                  <c:v>0.4</c:v>
                </c:pt>
                <c:pt idx="219">
                  <c:v>0.4</c:v>
                </c:pt>
                <c:pt idx="220">
                  <c:v>0.39</c:v>
                </c:pt>
                <c:pt idx="221">
                  <c:v>0.39</c:v>
                </c:pt>
                <c:pt idx="222">
                  <c:v>0.37</c:v>
                </c:pt>
                <c:pt idx="223">
                  <c:v>0.36</c:v>
                </c:pt>
                <c:pt idx="224">
                  <c:v>0.36</c:v>
                </c:pt>
                <c:pt idx="225">
                  <c:v>0.35</c:v>
                </c:pt>
                <c:pt idx="226">
                  <c:v>0.34</c:v>
                </c:pt>
                <c:pt idx="227">
                  <c:v>0.34</c:v>
                </c:pt>
                <c:pt idx="228">
                  <c:v>0.34</c:v>
                </c:pt>
                <c:pt idx="229">
                  <c:v>0.33</c:v>
                </c:pt>
                <c:pt idx="231">
                  <c:v>0.33</c:v>
                </c:pt>
                <c:pt idx="232">
                  <c:v>0.33</c:v>
                </c:pt>
                <c:pt idx="233">
                  <c:v>0.35</c:v>
                </c:pt>
                <c:pt idx="234">
                  <c:v>0.38</c:v>
                </c:pt>
                <c:pt idx="235">
                  <c:v>0.39</c:v>
                </c:pt>
                <c:pt idx="236">
                  <c:v>0.39</c:v>
                </c:pt>
                <c:pt idx="237">
                  <c:v>0.39</c:v>
                </c:pt>
                <c:pt idx="238">
                  <c:v>0.42</c:v>
                </c:pt>
                <c:pt idx="239">
                  <c:v>0.44</c:v>
                </c:pt>
                <c:pt idx="240">
                  <c:v>0.49</c:v>
                </c:pt>
                <c:pt idx="241">
                  <c:v>0.5</c:v>
                </c:pt>
                <c:pt idx="242">
                  <c:v>0.49</c:v>
                </c:pt>
                <c:pt idx="243">
                  <c:v>0.49</c:v>
                </c:pt>
                <c:pt idx="244">
                  <c:v>0.48</c:v>
                </c:pt>
                <c:pt idx="245">
                  <c:v>0.46</c:v>
                </c:pt>
                <c:pt idx="246">
                  <c:v>0.45</c:v>
                </c:pt>
                <c:pt idx="247">
                  <c:v>0.44</c:v>
                </c:pt>
                <c:pt idx="248">
                  <c:v>0.43</c:v>
                </c:pt>
                <c:pt idx="249">
                  <c:v>0.41</c:v>
                </c:pt>
                <c:pt idx="250">
                  <c:v>0.41</c:v>
                </c:pt>
                <c:pt idx="251">
                  <c:v>0.39</c:v>
                </c:pt>
                <c:pt idx="252">
                  <c:v>0.37</c:v>
                </c:pt>
                <c:pt idx="253">
                  <c:v>0.3</c:v>
                </c:pt>
                <c:pt idx="254">
                  <c:v>0.3</c:v>
                </c:pt>
                <c:pt idx="255">
                  <c:v>0.32</c:v>
                </c:pt>
                <c:pt idx="256">
                  <c:v>0.33</c:v>
                </c:pt>
                <c:pt idx="257">
                  <c:v>0.3</c:v>
                </c:pt>
                <c:pt idx="258">
                  <c:v>0.3</c:v>
                </c:pt>
                <c:pt idx="259">
                  <c:v>0.0028000000000000004</c:v>
                </c:pt>
                <c:pt idx="260">
                  <c:v>0.0027</c:v>
                </c:pt>
                <c:pt idx="261">
                  <c:v>0</c:v>
                </c:pt>
                <c:pt idx="262">
                  <c:v>0</c:v>
                </c:pt>
              </c:numCache>
            </c:numRef>
          </c:val>
          <c:smooth val="0"/>
        </c:ser>
        <c:ser>
          <c:idx val="2"/>
          <c:order val="2"/>
          <c:tx>
            <c:v>MPS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63"/>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pt idx="254">
                  <c:v>36923</c:v>
                </c:pt>
                <c:pt idx="255">
                  <c:v>36892</c:v>
                </c:pt>
                <c:pt idx="256">
                  <c:v>36861</c:v>
                </c:pt>
                <c:pt idx="257">
                  <c:v>36831</c:v>
                </c:pt>
                <c:pt idx="258">
                  <c:v>36800</c:v>
                </c:pt>
                <c:pt idx="259">
                  <c:v>36770</c:v>
                </c:pt>
                <c:pt idx="260">
                  <c:v>36739</c:v>
                </c:pt>
                <c:pt idx="261">
                  <c:v>36708</c:v>
                </c:pt>
                <c:pt idx="262">
                  <c:v>36678</c:v>
                </c:pt>
              </c:strCache>
            </c:strRef>
          </c:cat>
          <c:val>
            <c:numRef>
              <c:f>Load!$AJ$6:$AJ$268</c:f>
              <c:numCache>
                <c:ptCount val="263"/>
                <c:pt idx="4">
                  <c:v>0.227</c:v>
                </c:pt>
                <c:pt idx="5">
                  <c:v>0.18271320381955877</c:v>
                </c:pt>
                <c:pt idx="6">
                  <c:v>0.27286724273369994</c:v>
                </c:pt>
                <c:pt idx="7">
                  <c:v>0.3325387957790192</c:v>
                </c:pt>
                <c:pt idx="8">
                  <c:v>0.454</c:v>
                </c:pt>
                <c:pt idx="9">
                  <c:v>0.39572472429237243</c:v>
                </c:pt>
                <c:pt idx="10">
                  <c:v>0.44308600923787445</c:v>
                </c:pt>
                <c:pt idx="11">
                  <c:v>0.38745682039400764</c:v>
                </c:pt>
                <c:pt idx="12">
                  <c:v>0.3796591711015814</c:v>
                </c:pt>
                <c:pt idx="13">
                  <c:v>0.383267450963882</c:v>
                </c:pt>
                <c:pt idx="14">
                  <c:v>0.35497372828057117</c:v>
                </c:pt>
                <c:pt idx="15">
                  <c:v>0.32798270832747844</c:v>
                </c:pt>
                <c:pt idx="16">
                  <c:v>0.3318268386517576</c:v>
                </c:pt>
                <c:pt idx="17">
                  <c:v>0.38328255887560414</c:v>
                </c:pt>
                <c:pt idx="18">
                  <c:v>0.4148372562503638</c:v>
                </c:pt>
                <c:pt idx="19">
                  <c:v>0.384</c:v>
                </c:pt>
                <c:pt idx="20">
                  <c:v>0.3828572300306419</c:v>
                </c:pt>
                <c:pt idx="21">
                  <c:v>0.38317352670246857</c:v>
                </c:pt>
                <c:pt idx="22">
                  <c:v>0.414</c:v>
                </c:pt>
                <c:pt idx="23">
                  <c:v>0.362</c:v>
                </c:pt>
                <c:pt idx="24">
                  <c:v>0.3643734558141319</c:v>
                </c:pt>
                <c:pt idx="25">
                  <c:v>0.379</c:v>
                </c:pt>
                <c:pt idx="26">
                  <c:v>0.33097832148806944</c:v>
                </c:pt>
                <c:pt idx="27">
                  <c:v>0.37159412648104023</c:v>
                </c:pt>
                <c:pt idx="28">
                  <c:v>0.3677129655533474</c:v>
                </c:pt>
                <c:pt idx="29">
                  <c:v>0.37</c:v>
                </c:pt>
                <c:pt idx="30">
                  <c:v>0.42</c:v>
                </c:pt>
                <c:pt idx="31">
                  <c:v>0.411</c:v>
                </c:pt>
                <c:pt idx="32">
                  <c:v>0.415</c:v>
                </c:pt>
                <c:pt idx="33">
                  <c:v>0.42055996450597644</c:v>
                </c:pt>
                <c:pt idx="34">
                  <c:v>0.408</c:v>
                </c:pt>
                <c:pt idx="35">
                  <c:v>0.3697918692112404</c:v>
                </c:pt>
                <c:pt idx="36">
                  <c:v>0.3879409044007595</c:v>
                </c:pt>
                <c:pt idx="37">
                  <c:v>0.381</c:v>
                </c:pt>
                <c:pt idx="38">
                  <c:v>0.3397531796344075</c:v>
                </c:pt>
                <c:pt idx="39">
                  <c:v>0.34933350699963683</c:v>
                </c:pt>
                <c:pt idx="40">
                  <c:v>0.35492123375736295</c:v>
                </c:pt>
                <c:pt idx="41">
                  <c:v>0.3711077566863256</c:v>
                </c:pt>
                <c:pt idx="42">
                  <c:v>0.43545506689915087</c:v>
                </c:pt>
                <c:pt idx="43">
                  <c:v>0.3967189086606737</c:v>
                </c:pt>
                <c:pt idx="44">
                  <c:v>0.40193306258944683</c:v>
                </c:pt>
                <c:pt idx="45">
                  <c:v>0.4373710151261321</c:v>
                </c:pt>
                <c:pt idx="46">
                  <c:v>0.4270923649716938</c:v>
                </c:pt>
                <c:pt idx="47">
                  <c:v>0.40882734323391967</c:v>
                </c:pt>
                <c:pt idx="48">
                  <c:v>0.39013057014079267</c:v>
                </c:pt>
                <c:pt idx="49">
                  <c:v>0.3917648335484102</c:v>
                </c:pt>
                <c:pt idx="50">
                  <c:v>0.3461895284157754</c:v>
                </c:pt>
                <c:pt idx="51">
                  <c:v>0.3362884658206073</c:v>
                </c:pt>
                <c:pt idx="52">
                  <c:v>0.3608933524215479</c:v>
                </c:pt>
                <c:pt idx="53">
                  <c:v>0.40602399001409023</c:v>
                </c:pt>
                <c:pt idx="54">
                  <c:v>0.43858788519190617</c:v>
                </c:pt>
                <c:pt idx="55">
                  <c:v>0.41248596691339223</c:v>
                </c:pt>
                <c:pt idx="56">
                  <c:v>0.42774227586875313</c:v>
                </c:pt>
                <c:pt idx="57">
                  <c:v>0.4267593616078593</c:v>
                </c:pt>
                <c:pt idx="58">
                  <c:v>0.42694013517893853</c:v>
                </c:pt>
                <c:pt idx="59">
                  <c:v>0.42253765358699963</c:v>
                </c:pt>
                <c:pt idx="60">
                  <c:v>0.3819305199347167</c:v>
                </c:pt>
                <c:pt idx="61">
                  <c:v>0.382281130101151</c:v>
                </c:pt>
                <c:pt idx="62">
                  <c:v>0.36878911382819984</c:v>
                </c:pt>
                <c:pt idx="63">
                  <c:v>0.3518036664695446</c:v>
                </c:pt>
                <c:pt idx="64">
                  <c:v>0.31947901591895805</c:v>
                </c:pt>
                <c:pt idx="65">
                  <c:v>0.36401691604233305</c:v>
                </c:pt>
                <c:pt idx="66">
                  <c:v>0.5662401764304342</c:v>
                </c:pt>
                <c:pt idx="67">
                  <c:v>0.4020572781765706</c:v>
                </c:pt>
                <c:pt idx="68">
                  <c:v>0.3854633528000363</c:v>
                </c:pt>
                <c:pt idx="69">
                  <c:v>0.3220469906662375</c:v>
                </c:pt>
                <c:pt idx="70">
                  <c:v>0.40413852419620055</c:v>
                </c:pt>
                <c:pt idx="71">
                  <c:v>0.3916238799959731</c:v>
                </c:pt>
                <c:pt idx="72">
                  <c:v>0.35576322546320926</c:v>
                </c:pt>
                <c:pt idx="73">
                  <c:v>0.34780205764815914</c:v>
                </c:pt>
                <c:pt idx="74">
                  <c:v>0.35862218370883886</c:v>
                </c:pt>
                <c:pt idx="75">
                  <c:v>0.3220359057773737</c:v>
                </c:pt>
                <c:pt idx="76">
                  <c:v>0.3469355636494447</c:v>
                </c:pt>
                <c:pt idx="77">
                  <c:v>0.3391585285263235</c:v>
                </c:pt>
                <c:pt idx="78">
                  <c:v>0.32660973570179663</c:v>
                </c:pt>
                <c:pt idx="79">
                  <c:v>0.3134983629328306</c:v>
                </c:pt>
                <c:pt idx="80">
                  <c:v>0.3302302677859589</c:v>
                </c:pt>
                <c:pt idx="81">
                  <c:v>0.3193104863533758</c:v>
                </c:pt>
                <c:pt idx="82">
                  <c:v>0.33886497648844327</c:v>
                </c:pt>
                <c:pt idx="83">
                  <c:v>0.3025850846196764</c:v>
                </c:pt>
                <c:pt idx="84">
                  <c:v>0.27755839635901214</c:v>
                </c:pt>
                <c:pt idx="85">
                  <c:v>0.2919173255414232</c:v>
                </c:pt>
                <c:pt idx="86">
                  <c:v>0.25307553428223534</c:v>
                </c:pt>
                <c:pt idx="87">
                  <c:v>0.25409431322524895</c:v>
                </c:pt>
                <c:pt idx="88">
                  <c:v>0.2600721185950229</c:v>
                </c:pt>
                <c:pt idx="89">
                  <c:v>0.3136888133122798</c:v>
                </c:pt>
                <c:pt idx="90">
                  <c:v>0.363103953147877</c:v>
                </c:pt>
                <c:pt idx="91">
                  <c:v>0.35189985926968365</c:v>
                </c:pt>
                <c:pt idx="92">
                  <c:v>0.355568622838998</c:v>
                </c:pt>
                <c:pt idx="93">
                  <c:v>0.36955332272184643</c:v>
                </c:pt>
                <c:pt idx="94">
                  <c:v>0.36799549664807324</c:v>
                </c:pt>
                <c:pt idx="95">
                  <c:v>0.3455574760151299</c:v>
                </c:pt>
                <c:pt idx="96">
                  <c:v>0.3112211140245546</c:v>
                </c:pt>
                <c:pt idx="97">
                  <c:v>0.32121741027599</c:v>
                </c:pt>
                <c:pt idx="98">
                  <c:v>0.3045452726763494</c:v>
                </c:pt>
                <c:pt idx="99">
                  <c:v>0.2805695787891634</c:v>
                </c:pt>
                <c:pt idx="100">
                  <c:v>0.31303003533568907</c:v>
                </c:pt>
                <c:pt idx="101">
                  <c:v>0.31174001678858376</c:v>
                </c:pt>
                <c:pt idx="102">
                  <c:v>0.35400178076770866</c:v>
                </c:pt>
                <c:pt idx="103">
                  <c:v>0.32996650895752483</c:v>
                </c:pt>
                <c:pt idx="104">
                  <c:v>0.3386551888090889</c:v>
                </c:pt>
                <c:pt idx="105">
                  <c:v>0.36410888695483995</c:v>
                </c:pt>
                <c:pt idx="106">
                  <c:v>0.35625394906733326</c:v>
                </c:pt>
                <c:pt idx="107">
                  <c:v>0.34806657615527736</c:v>
                </c:pt>
                <c:pt idx="108">
                  <c:v>0.3511349108715054</c:v>
                </c:pt>
                <c:pt idx="109">
                  <c:v>0.32716118712795744</c:v>
                </c:pt>
                <c:pt idx="110">
                  <c:v>0.27877184577249153</c:v>
                </c:pt>
                <c:pt idx="111">
                  <c:v>0.29813874788494077</c:v>
                </c:pt>
                <c:pt idx="112">
                  <c:v>0.30086764401279603</c:v>
                </c:pt>
                <c:pt idx="113">
                  <c:v>0.3049286640726329</c:v>
                </c:pt>
                <c:pt idx="114">
                  <c:v>0.370851336593704</c:v>
                </c:pt>
                <c:pt idx="115">
                  <c:v>0.3320694524344961</c:v>
                </c:pt>
                <c:pt idx="116">
                  <c:v>0.3030150374045994</c:v>
                </c:pt>
                <c:pt idx="117">
                  <c:v>0.36078657026344096</c:v>
                </c:pt>
                <c:pt idx="118">
                  <c:v>0.34796612811055116</c:v>
                </c:pt>
                <c:pt idx="119">
                  <c:v>0.3244828736654804</c:v>
                </c:pt>
                <c:pt idx="120">
                  <c:v>0.3398206543161214</c:v>
                </c:pt>
                <c:pt idx="121">
                  <c:v>0.31636263382805685</c:v>
                </c:pt>
                <c:pt idx="122">
                  <c:v>0.2447840471742702</c:v>
                </c:pt>
                <c:pt idx="123">
                  <c:v>0.24176164519326065</c:v>
                </c:pt>
                <c:pt idx="124">
                  <c:v>0.24290138780528164</c:v>
                </c:pt>
                <c:pt idx="125">
                  <c:v>0.26004692348444713</c:v>
                </c:pt>
                <c:pt idx="126">
                  <c:v>0.3003473108943256</c:v>
                </c:pt>
                <c:pt idx="127">
                  <c:v>0.24635004617035614</c:v>
                </c:pt>
                <c:pt idx="128">
                  <c:v>0.281975517095821</c:v>
                </c:pt>
                <c:pt idx="129">
                  <c:v>0.2496579109763623</c:v>
                </c:pt>
                <c:pt idx="130">
                  <c:v>0.2656337597472096</c:v>
                </c:pt>
                <c:pt idx="131">
                  <c:v>0.28083996214543316</c:v>
                </c:pt>
                <c:pt idx="132">
                  <c:v>0.24365672574556907</c:v>
                </c:pt>
                <c:pt idx="133">
                  <c:v>0.24287328350425869</c:v>
                </c:pt>
                <c:pt idx="134">
                  <c:v>0.22532072923700203</c:v>
                </c:pt>
                <c:pt idx="135">
                  <c:v>0.21791751911273824</c:v>
                </c:pt>
                <c:pt idx="136">
                  <c:v>0.2241819982039651</c:v>
                </c:pt>
                <c:pt idx="137">
                  <c:v>0.2574283843112524</c:v>
                </c:pt>
                <c:pt idx="138">
                  <c:v>0.2603340558459773</c:v>
                </c:pt>
                <c:pt idx="139">
                  <c:v>0.24518756169792696</c:v>
                </c:pt>
                <c:pt idx="140">
                  <c:v>0.25889741800418703</c:v>
                </c:pt>
                <c:pt idx="141">
                  <c:v>0.2458287517330401</c:v>
                </c:pt>
                <c:pt idx="142">
                  <c:v>0.28198629965121824</c:v>
                </c:pt>
                <c:pt idx="143">
                  <c:v>0.2608402545572214</c:v>
                </c:pt>
                <c:pt idx="144">
                  <c:v>0.2453257655251359</c:v>
                </c:pt>
                <c:pt idx="145">
                  <c:v>0.25321552656404595</c:v>
                </c:pt>
                <c:pt idx="146">
                  <c:v>0.23226874941496603</c:v>
                </c:pt>
                <c:pt idx="147">
                  <c:v>0.2024499077530356</c:v>
                </c:pt>
                <c:pt idx="148">
                  <c:v>0.21685648847825745</c:v>
                </c:pt>
                <c:pt idx="149">
                  <c:v>0.219372055005289</c:v>
                </c:pt>
                <c:pt idx="150">
                  <c:v>0.2278779139629897</c:v>
                </c:pt>
                <c:pt idx="151">
                  <c:v>0.2326126174641213</c:v>
                </c:pt>
                <c:pt idx="152">
                  <c:v>0.2527195809830782</c:v>
                </c:pt>
                <c:pt idx="153">
                  <c:v>0.2923782376998389</c:v>
                </c:pt>
                <c:pt idx="154">
                  <c:v>0.3127357643254895</c:v>
                </c:pt>
                <c:pt idx="155">
                  <c:v>0.27278555401218085</c:v>
                </c:pt>
                <c:pt idx="156">
                  <c:v>0.24168669871794868</c:v>
                </c:pt>
                <c:pt idx="157">
                  <c:v>0.25090076820231594</c:v>
                </c:pt>
                <c:pt idx="158">
                  <c:v>0.25753740451114226</c:v>
                </c:pt>
                <c:pt idx="159">
                  <c:v>0.19341061622940817</c:v>
                </c:pt>
                <c:pt idx="160">
                  <c:v>0.2288659793814433</c:v>
                </c:pt>
                <c:pt idx="161">
                  <c:v>0.2458034750171788</c:v>
                </c:pt>
                <c:pt idx="162">
                  <c:v>0.2559733015798183</c:v>
                </c:pt>
                <c:pt idx="163">
                  <c:v>0.26372832369942195</c:v>
                </c:pt>
                <c:pt idx="164">
                  <c:v>0.2560553633217993</c:v>
                </c:pt>
                <c:pt idx="165">
                  <c:v>0.28550829127613553</c:v>
                </c:pt>
                <c:pt idx="166">
                  <c:v>0.2560727741423755</c:v>
                </c:pt>
                <c:pt idx="167">
                  <c:v>0.23857961901239133</c:v>
                </c:pt>
                <c:pt idx="168">
                  <c:v>0.2422594142259414</c:v>
                </c:pt>
                <c:pt idx="169">
                  <c:v>0.22849968612680477</c:v>
                </c:pt>
                <c:pt idx="170">
                  <c:v>0.2328559922996837</c:v>
                </c:pt>
                <c:pt idx="171">
                  <c:v>0.23699421965317918</c:v>
                </c:pt>
                <c:pt idx="172">
                  <c:v>0.2528228571428572</c:v>
                </c:pt>
                <c:pt idx="173">
                  <c:v>0.2903268174156689</c:v>
                </c:pt>
                <c:pt idx="174">
                  <c:v>0.2654951704876062</c:v>
                </c:pt>
                <c:pt idx="175">
                  <c:v>0.27474464335010934</c:v>
                </c:pt>
                <c:pt idx="176">
                  <c:v>0.2744732726101758</c:v>
                </c:pt>
                <c:pt idx="177">
                  <c:v>0.2780313738211646</c:v>
                </c:pt>
                <c:pt idx="178">
                  <c:v>0.28605845720260015</c:v>
                </c:pt>
                <c:pt idx="179">
                  <c:v>0.3322538860103627</c:v>
                </c:pt>
                <c:pt idx="180">
                  <c:v>0.3227982230916575</c:v>
                </c:pt>
                <c:pt idx="181">
                  <c:v>0.30430164630908124</c:v>
                </c:pt>
                <c:pt idx="182">
                  <c:v>0.31725346012435274</c:v>
                </c:pt>
                <c:pt idx="183">
                  <c:v>0.3325351754534667</c:v>
                </c:pt>
                <c:pt idx="184">
                  <c:v>0.32937048872600505</c:v>
                </c:pt>
                <c:pt idx="185">
                  <c:v>0.36358233921732624</c:v>
                </c:pt>
                <c:pt idx="186">
                  <c:v>0.348710489252153</c:v>
                </c:pt>
                <c:pt idx="187">
                  <c:v>0.34131493506493504</c:v>
                </c:pt>
                <c:pt idx="188">
                  <c:v>0.3506510473370204</c:v>
                </c:pt>
                <c:pt idx="189">
                  <c:v>0.3680065366894392</c:v>
                </c:pt>
                <c:pt idx="190">
                  <c:v>0.3917176298128679</c:v>
                </c:pt>
                <c:pt idx="191">
                  <c:v>0.3576630560036875</c:v>
                </c:pt>
                <c:pt idx="192">
                  <c:v>0.40598853345758795</c:v>
                </c:pt>
                <c:pt idx="193">
                  <c:v>0.39106548765540183</c:v>
                </c:pt>
                <c:pt idx="194">
                  <c:v>0.36981595562976183</c:v>
                </c:pt>
                <c:pt idx="195">
                  <c:v>0.38991080808288875</c:v>
                </c:pt>
                <c:pt idx="196">
                  <c:v>0.4</c:v>
                </c:pt>
                <c:pt idx="197">
                  <c:v>0.39</c:v>
                </c:pt>
                <c:pt idx="198">
                  <c:v>0.4</c:v>
                </c:pt>
                <c:pt idx="199">
                  <c:v>0.4</c:v>
                </c:pt>
                <c:pt idx="200">
                  <c:v>0.41</c:v>
                </c:pt>
                <c:pt idx="201">
                  <c:v>0.41</c:v>
                </c:pt>
                <c:pt idx="202">
                  <c:v>0.43</c:v>
                </c:pt>
                <c:pt idx="203">
                  <c:v>0.46</c:v>
                </c:pt>
                <c:pt idx="204">
                  <c:v>0.51</c:v>
                </c:pt>
                <c:pt idx="205">
                  <c:v>0.51</c:v>
                </c:pt>
                <c:pt idx="206">
                  <c:v>0.51</c:v>
                </c:pt>
                <c:pt idx="207">
                  <c:v>0.51</c:v>
                </c:pt>
                <c:pt idx="208">
                  <c:v>0.51</c:v>
                </c:pt>
                <c:pt idx="209">
                  <c:v>0.51</c:v>
                </c:pt>
                <c:pt idx="210">
                  <c:v>0.51</c:v>
                </c:pt>
                <c:pt idx="211">
                  <c:v>0.51</c:v>
                </c:pt>
                <c:pt idx="212">
                  <c:v>0.51</c:v>
                </c:pt>
                <c:pt idx="213">
                  <c:v>0.51</c:v>
                </c:pt>
                <c:pt idx="214">
                  <c:v>0.47</c:v>
                </c:pt>
                <c:pt idx="215">
                  <c:v>0.48</c:v>
                </c:pt>
                <c:pt idx="216">
                  <c:v>0.47</c:v>
                </c:pt>
                <c:pt idx="217">
                  <c:v>0.53</c:v>
                </c:pt>
                <c:pt idx="218">
                  <c:v>0.53</c:v>
                </c:pt>
                <c:pt idx="219">
                  <c:v>0.53</c:v>
                </c:pt>
                <c:pt idx="220">
                  <c:v>0.54</c:v>
                </c:pt>
                <c:pt idx="221">
                  <c:v>0.51</c:v>
                </c:pt>
                <c:pt idx="222">
                  <c:v>0.55</c:v>
                </c:pt>
                <c:pt idx="223">
                  <c:v>0.52</c:v>
                </c:pt>
                <c:pt idx="224">
                  <c:v>0.54</c:v>
                </c:pt>
                <c:pt idx="225">
                  <c:v>0.59</c:v>
                </c:pt>
                <c:pt idx="226">
                  <c:v>0.6</c:v>
                </c:pt>
                <c:pt idx="227">
                  <c:v>0.59</c:v>
                </c:pt>
                <c:pt idx="228">
                  <c:v>0.58</c:v>
                </c:pt>
                <c:pt idx="229">
                  <c:v>0.58</c:v>
                </c:pt>
                <c:pt idx="231">
                  <c:v>0.57</c:v>
                </c:pt>
                <c:pt idx="232">
                  <c:v>0.59</c:v>
                </c:pt>
                <c:pt idx="233">
                  <c:v>0.59</c:v>
                </c:pt>
                <c:pt idx="234">
                  <c:v>0.58</c:v>
                </c:pt>
                <c:pt idx="235">
                  <c:v>0.57</c:v>
                </c:pt>
                <c:pt idx="236">
                  <c:v>0.57</c:v>
                </c:pt>
                <c:pt idx="237">
                  <c:v>0.58</c:v>
                </c:pt>
                <c:pt idx="238">
                  <c:v>0.57</c:v>
                </c:pt>
                <c:pt idx="239">
                  <c:v>0.52</c:v>
                </c:pt>
                <c:pt idx="240">
                  <c:v>0.49</c:v>
                </c:pt>
                <c:pt idx="241">
                  <c:v>0.48</c:v>
                </c:pt>
                <c:pt idx="242">
                  <c:v>0.47</c:v>
                </c:pt>
                <c:pt idx="243">
                  <c:v>0.42</c:v>
                </c:pt>
                <c:pt idx="244">
                  <c:v>0.41</c:v>
                </c:pt>
                <c:pt idx="245">
                  <c:v>0.38</c:v>
                </c:pt>
                <c:pt idx="246">
                  <c:v>0.35</c:v>
                </c:pt>
                <c:pt idx="247">
                  <c:v>0.28</c:v>
                </c:pt>
                <c:pt idx="248">
                  <c:v>0.4</c:v>
                </c:pt>
                <c:pt idx="249">
                  <c:v>0.39</c:v>
                </c:pt>
                <c:pt idx="250">
                  <c:v>0.38</c:v>
                </c:pt>
                <c:pt idx="251">
                  <c:v>0.34</c:v>
                </c:pt>
                <c:pt idx="252">
                  <c:v>0.32</c:v>
                </c:pt>
                <c:pt idx="253">
                  <c:v>0.39</c:v>
                </c:pt>
                <c:pt idx="254">
                  <c:v>0.37</c:v>
                </c:pt>
                <c:pt idx="255">
                  <c:v>0.39</c:v>
                </c:pt>
                <c:pt idx="256">
                  <c:v>0.38</c:v>
                </c:pt>
                <c:pt idx="257">
                  <c:v>0.38</c:v>
                </c:pt>
                <c:pt idx="258">
                  <c:v>0.36</c:v>
                </c:pt>
                <c:pt idx="259">
                  <c:v>0.0032</c:v>
                </c:pt>
                <c:pt idx="260">
                  <c:v>0.003</c:v>
                </c:pt>
                <c:pt idx="261">
                  <c:v>0</c:v>
                </c:pt>
                <c:pt idx="262">
                  <c:v>0</c:v>
                </c:pt>
              </c:numCache>
            </c:numRef>
          </c:val>
          <c:smooth val="0"/>
        </c:ser>
        <c:ser>
          <c:idx val="3"/>
          <c:order val="3"/>
          <c:tx>
            <c:v>Statewide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Load!$A$6:$A$268</c:f>
              <c:strCache>
                <c:ptCount val="263"/>
                <c:pt idx="4">
                  <c:v>44561</c:v>
                </c:pt>
                <c:pt idx="5">
                  <c:v>44530</c:v>
                </c:pt>
                <c:pt idx="6">
                  <c:v>44500</c:v>
                </c:pt>
                <c:pt idx="7">
                  <c:v>44469</c:v>
                </c:pt>
                <c:pt idx="8">
                  <c:v>44439</c:v>
                </c:pt>
                <c:pt idx="9">
                  <c:v>44378</c:v>
                </c:pt>
                <c:pt idx="10">
                  <c:v>44348</c:v>
                </c:pt>
                <c:pt idx="11">
                  <c:v>44317</c:v>
                </c:pt>
                <c:pt idx="12">
                  <c:v>44287</c:v>
                </c:pt>
                <c:pt idx="13">
                  <c:v>44256</c:v>
                </c:pt>
                <c:pt idx="14">
                  <c:v>44228</c:v>
                </c:pt>
                <c:pt idx="15">
                  <c:v>44197</c:v>
                </c:pt>
                <c:pt idx="16">
                  <c:v>44196</c:v>
                </c:pt>
                <c:pt idx="17">
                  <c:v>44165</c:v>
                </c:pt>
                <c:pt idx="18">
                  <c:v>44135</c:v>
                </c:pt>
                <c:pt idx="19">
                  <c:v>44075</c:v>
                </c:pt>
                <c:pt idx="20">
                  <c:v>44044</c:v>
                </c:pt>
                <c:pt idx="21">
                  <c:v>44013</c:v>
                </c:pt>
                <c:pt idx="22">
                  <c:v>43983</c:v>
                </c:pt>
                <c:pt idx="23">
                  <c:v>43952</c:v>
                </c:pt>
                <c:pt idx="24">
                  <c:v>43922</c:v>
                </c:pt>
                <c:pt idx="25">
                  <c:v>43891</c:v>
                </c:pt>
                <c:pt idx="26">
                  <c:v>43862</c:v>
                </c:pt>
                <c:pt idx="27">
                  <c:v>43831</c:v>
                </c:pt>
                <c:pt idx="28">
                  <c:v>43800</c:v>
                </c:pt>
                <c:pt idx="29">
                  <c:v>43770</c:v>
                </c:pt>
                <c:pt idx="30">
                  <c:v>43739</c:v>
                </c:pt>
                <c:pt idx="31">
                  <c:v>43709</c:v>
                </c:pt>
                <c:pt idx="32">
                  <c:v>43678</c:v>
                </c:pt>
                <c:pt idx="33">
                  <c:v>43647</c:v>
                </c:pt>
                <c:pt idx="34">
                  <c:v>43617</c:v>
                </c:pt>
                <c:pt idx="35">
                  <c:v>43586</c:v>
                </c:pt>
                <c:pt idx="36">
                  <c:v>43556</c:v>
                </c:pt>
                <c:pt idx="37">
                  <c:v>43525</c:v>
                </c:pt>
                <c:pt idx="38">
                  <c:v>43497</c:v>
                </c:pt>
                <c:pt idx="39">
                  <c:v>43466</c:v>
                </c:pt>
                <c:pt idx="40">
                  <c:v>43435</c:v>
                </c:pt>
                <c:pt idx="41">
                  <c:v>43405</c:v>
                </c:pt>
                <c:pt idx="42">
                  <c:v>43404</c:v>
                </c:pt>
                <c:pt idx="43">
                  <c:v>43361</c:v>
                </c:pt>
                <c:pt idx="44">
                  <c:v>43330</c:v>
                </c:pt>
                <c:pt idx="45">
                  <c:v>43282</c:v>
                </c:pt>
                <c:pt idx="46">
                  <c:v>43252</c:v>
                </c:pt>
                <c:pt idx="47">
                  <c:v>43221</c:v>
                </c:pt>
                <c:pt idx="48">
                  <c:v>43191</c:v>
                </c:pt>
                <c:pt idx="49">
                  <c:v>43160</c:v>
                </c:pt>
                <c:pt idx="50">
                  <c:v>43149</c:v>
                </c:pt>
                <c:pt idx="51">
                  <c:v>43101</c:v>
                </c:pt>
                <c:pt idx="52">
                  <c:v>43070</c:v>
                </c:pt>
                <c:pt idx="53">
                  <c:v>43040</c:v>
                </c:pt>
                <c:pt idx="54">
                  <c:v>43009</c:v>
                </c:pt>
                <c:pt idx="55">
                  <c:v>42979</c:v>
                </c:pt>
                <c:pt idx="56">
                  <c:v>42948</c:v>
                </c:pt>
                <c:pt idx="57">
                  <c:v>42917</c:v>
                </c:pt>
                <c:pt idx="58">
                  <c:v>42887</c:v>
                </c:pt>
                <c:pt idx="59">
                  <c:v>42856</c:v>
                </c:pt>
                <c:pt idx="60">
                  <c:v>42826</c:v>
                </c:pt>
                <c:pt idx="61">
                  <c:v>42795</c:v>
                </c:pt>
                <c:pt idx="62">
                  <c:v>42767</c:v>
                </c:pt>
                <c:pt idx="63">
                  <c:v>42736</c:v>
                </c:pt>
                <c:pt idx="64">
                  <c:v>42705</c:v>
                </c:pt>
                <c:pt idx="65">
                  <c:v>42675</c:v>
                </c:pt>
                <c:pt idx="66">
                  <c:v>42644</c:v>
                </c:pt>
                <c:pt idx="67">
                  <c:v>42614</c:v>
                </c:pt>
                <c:pt idx="68">
                  <c:v>42583</c:v>
                </c:pt>
                <c:pt idx="69">
                  <c:v>42552</c:v>
                </c:pt>
                <c:pt idx="70">
                  <c:v>42522</c:v>
                </c:pt>
                <c:pt idx="71">
                  <c:v>42491</c:v>
                </c:pt>
                <c:pt idx="72">
                  <c:v>42461</c:v>
                </c:pt>
                <c:pt idx="73">
                  <c:v>42430</c:v>
                </c:pt>
                <c:pt idx="74">
                  <c:v>42401</c:v>
                </c:pt>
                <c:pt idx="75">
                  <c:v>42370</c:v>
                </c:pt>
                <c:pt idx="76">
                  <c:v>42339</c:v>
                </c:pt>
                <c:pt idx="77">
                  <c:v>42309</c:v>
                </c:pt>
                <c:pt idx="78">
                  <c:v>42278</c:v>
                </c:pt>
                <c:pt idx="79">
                  <c:v>42248</c:v>
                </c:pt>
                <c:pt idx="80">
                  <c:v>42217</c:v>
                </c:pt>
                <c:pt idx="81">
                  <c:v>42186</c:v>
                </c:pt>
                <c:pt idx="82">
                  <c:v>42156</c:v>
                </c:pt>
                <c:pt idx="83">
                  <c:v>42125</c:v>
                </c:pt>
                <c:pt idx="84">
                  <c:v>42095</c:v>
                </c:pt>
                <c:pt idx="85">
                  <c:v>42064</c:v>
                </c:pt>
                <c:pt idx="86">
                  <c:v>42036</c:v>
                </c:pt>
                <c:pt idx="87">
                  <c:v>42005</c:v>
                </c:pt>
                <c:pt idx="88">
                  <c:v>41974</c:v>
                </c:pt>
                <c:pt idx="89">
                  <c:v>41944</c:v>
                </c:pt>
                <c:pt idx="90">
                  <c:v>41926</c:v>
                </c:pt>
                <c:pt idx="91">
                  <c:v>41883</c:v>
                </c:pt>
                <c:pt idx="92">
                  <c:v>41852</c:v>
                </c:pt>
                <c:pt idx="93">
                  <c:v>41821</c:v>
                </c:pt>
                <c:pt idx="94">
                  <c:v>41791</c:v>
                </c:pt>
                <c:pt idx="95">
                  <c:v>41760</c:v>
                </c:pt>
                <c:pt idx="96">
                  <c:v>41730</c:v>
                </c:pt>
                <c:pt idx="97">
                  <c:v>41699</c:v>
                </c:pt>
                <c:pt idx="98">
                  <c:v>41671</c:v>
                </c:pt>
                <c:pt idx="99">
                  <c:v>41640</c:v>
                </c:pt>
                <c:pt idx="100">
                  <c:v>41609</c:v>
                </c:pt>
                <c:pt idx="101">
                  <c:v>41579</c:v>
                </c:pt>
                <c:pt idx="102">
                  <c:v>41548</c:v>
                </c:pt>
                <c:pt idx="103">
                  <c:v>41518</c:v>
                </c:pt>
                <c:pt idx="104">
                  <c:v>41487</c:v>
                </c:pt>
                <c:pt idx="105">
                  <c:v>41456</c:v>
                </c:pt>
                <c:pt idx="106">
                  <c:v>41426</c:v>
                </c:pt>
                <c:pt idx="107">
                  <c:v>41395</c:v>
                </c:pt>
                <c:pt idx="108">
                  <c:v>41365</c:v>
                </c:pt>
                <c:pt idx="109">
                  <c:v>41334</c:v>
                </c:pt>
                <c:pt idx="110">
                  <c:v>41306</c:v>
                </c:pt>
                <c:pt idx="111">
                  <c:v>41275</c:v>
                </c:pt>
                <c:pt idx="112">
                  <c:v>41244</c:v>
                </c:pt>
                <c:pt idx="113">
                  <c:v>41214</c:v>
                </c:pt>
                <c:pt idx="114">
                  <c:v>41183</c:v>
                </c:pt>
                <c:pt idx="115">
                  <c:v>41153</c:v>
                </c:pt>
                <c:pt idx="116">
                  <c:v>41122</c:v>
                </c:pt>
                <c:pt idx="117">
                  <c:v>41091</c:v>
                </c:pt>
                <c:pt idx="118">
                  <c:v>41061</c:v>
                </c:pt>
                <c:pt idx="119">
                  <c:v>41030</c:v>
                </c:pt>
                <c:pt idx="120">
                  <c:v>41000</c:v>
                </c:pt>
                <c:pt idx="121">
                  <c:v>40969</c:v>
                </c:pt>
                <c:pt idx="122">
                  <c:v>40940</c:v>
                </c:pt>
                <c:pt idx="123">
                  <c:v>40909</c:v>
                </c:pt>
                <c:pt idx="124">
                  <c:v>40878</c:v>
                </c:pt>
                <c:pt idx="125">
                  <c:v>40848</c:v>
                </c:pt>
                <c:pt idx="126">
                  <c:v>40817</c:v>
                </c:pt>
                <c:pt idx="127">
                  <c:v>40797</c:v>
                </c:pt>
                <c:pt idx="128">
                  <c:v>40756</c:v>
                </c:pt>
                <c:pt idx="129">
                  <c:v>40725</c:v>
                </c:pt>
                <c:pt idx="130">
                  <c:v>40695</c:v>
                </c:pt>
                <c:pt idx="131">
                  <c:v>40664</c:v>
                </c:pt>
                <c:pt idx="132">
                  <c:v>40634</c:v>
                </c:pt>
                <c:pt idx="133">
                  <c:v>40603</c:v>
                </c:pt>
                <c:pt idx="134">
                  <c:v>40575</c:v>
                </c:pt>
                <c:pt idx="135">
                  <c:v>40544</c:v>
                </c:pt>
                <c:pt idx="136">
                  <c:v>40513</c:v>
                </c:pt>
                <c:pt idx="137">
                  <c:v>40483</c:v>
                </c:pt>
                <c:pt idx="138">
                  <c:v>40452</c:v>
                </c:pt>
                <c:pt idx="139">
                  <c:v>40422</c:v>
                </c:pt>
                <c:pt idx="140">
                  <c:v>40391</c:v>
                </c:pt>
                <c:pt idx="141">
                  <c:v>40360</c:v>
                </c:pt>
                <c:pt idx="142">
                  <c:v>40330</c:v>
                </c:pt>
                <c:pt idx="143">
                  <c:v>40299</c:v>
                </c:pt>
                <c:pt idx="144">
                  <c:v>40269</c:v>
                </c:pt>
                <c:pt idx="145">
                  <c:v>40238</c:v>
                </c:pt>
                <c:pt idx="146">
                  <c:v>40210</c:v>
                </c:pt>
                <c:pt idx="147">
                  <c:v>40179</c:v>
                </c:pt>
                <c:pt idx="148">
                  <c:v>40148</c:v>
                </c:pt>
                <c:pt idx="149">
                  <c:v>40118</c:v>
                </c:pt>
                <c:pt idx="150">
                  <c:v>40087</c:v>
                </c:pt>
                <c:pt idx="151">
                  <c:v>40057</c:v>
                </c:pt>
                <c:pt idx="152">
                  <c:v>40026</c:v>
                </c:pt>
                <c:pt idx="153">
                  <c:v>39995</c:v>
                </c:pt>
                <c:pt idx="154">
                  <c:v>39965</c:v>
                </c:pt>
                <c:pt idx="155">
                  <c:v>39934</c:v>
                </c:pt>
                <c:pt idx="156">
                  <c:v>39904</c:v>
                </c:pt>
                <c:pt idx="157">
                  <c:v>39873</c:v>
                </c:pt>
                <c:pt idx="158">
                  <c:v>39845</c:v>
                </c:pt>
                <c:pt idx="159">
                  <c:v>39814</c:v>
                </c:pt>
                <c:pt idx="160">
                  <c:v>39783</c:v>
                </c:pt>
                <c:pt idx="161">
                  <c:v>39753</c:v>
                </c:pt>
                <c:pt idx="162">
                  <c:v>39722</c:v>
                </c:pt>
                <c:pt idx="163">
                  <c:v>39692</c:v>
                </c:pt>
                <c:pt idx="164">
                  <c:v>39661</c:v>
                </c:pt>
                <c:pt idx="165">
                  <c:v>39630</c:v>
                </c:pt>
                <c:pt idx="166">
                  <c:v>39600</c:v>
                </c:pt>
                <c:pt idx="167">
                  <c:v>39569</c:v>
                </c:pt>
                <c:pt idx="168">
                  <c:v>39539</c:v>
                </c:pt>
                <c:pt idx="169">
                  <c:v>39508</c:v>
                </c:pt>
                <c:pt idx="170">
                  <c:v>39479</c:v>
                </c:pt>
                <c:pt idx="171">
                  <c:v>39448</c:v>
                </c:pt>
                <c:pt idx="172">
                  <c:v>39417</c:v>
                </c:pt>
                <c:pt idx="173">
                  <c:v>39387</c:v>
                </c:pt>
                <c:pt idx="174">
                  <c:v>39356</c:v>
                </c:pt>
                <c:pt idx="175">
                  <c:v>39326</c:v>
                </c:pt>
                <c:pt idx="176">
                  <c:v>39295</c:v>
                </c:pt>
                <c:pt idx="177">
                  <c:v>39264</c:v>
                </c:pt>
                <c:pt idx="178">
                  <c:v>39234</c:v>
                </c:pt>
                <c:pt idx="179">
                  <c:v>39203</c:v>
                </c:pt>
                <c:pt idx="180">
                  <c:v>39173</c:v>
                </c:pt>
                <c:pt idx="181">
                  <c:v>39142</c:v>
                </c:pt>
                <c:pt idx="182">
                  <c:v>39114</c:v>
                </c:pt>
                <c:pt idx="183">
                  <c:v>39083</c:v>
                </c:pt>
                <c:pt idx="184">
                  <c:v>39052</c:v>
                </c:pt>
                <c:pt idx="185">
                  <c:v>39022</c:v>
                </c:pt>
                <c:pt idx="186">
                  <c:v>38991</c:v>
                </c:pt>
                <c:pt idx="187">
                  <c:v>38961</c:v>
                </c:pt>
                <c:pt idx="188">
                  <c:v>38930</c:v>
                </c:pt>
                <c:pt idx="189">
                  <c:v>38899</c:v>
                </c:pt>
                <c:pt idx="190">
                  <c:v>38869</c:v>
                </c:pt>
                <c:pt idx="191">
                  <c:v>38838</c:v>
                </c:pt>
                <c:pt idx="192">
                  <c:v>38808</c:v>
                </c:pt>
                <c:pt idx="193">
                  <c:v>38777</c:v>
                </c:pt>
                <c:pt idx="194">
                  <c:v>38749</c:v>
                </c:pt>
                <c:pt idx="195">
                  <c:v>38718</c:v>
                </c:pt>
                <c:pt idx="196">
                  <c:v>38687</c:v>
                </c:pt>
                <c:pt idx="197">
                  <c:v>38657</c:v>
                </c:pt>
                <c:pt idx="198">
                  <c:v>38626</c:v>
                </c:pt>
                <c:pt idx="199">
                  <c:v>38596</c:v>
                </c:pt>
                <c:pt idx="200">
                  <c:v>38565</c:v>
                </c:pt>
                <c:pt idx="201">
                  <c:v>38534</c:v>
                </c:pt>
                <c:pt idx="202">
                  <c:v>38504</c:v>
                </c:pt>
                <c:pt idx="203">
                  <c:v>38473</c:v>
                </c:pt>
                <c:pt idx="204">
                  <c:v>38443</c:v>
                </c:pt>
                <c:pt idx="205">
                  <c:v>38412</c:v>
                </c:pt>
                <c:pt idx="206">
                  <c:v>38384</c:v>
                </c:pt>
                <c:pt idx="207">
                  <c:v>38353</c:v>
                </c:pt>
                <c:pt idx="208">
                  <c:v>38322</c:v>
                </c:pt>
                <c:pt idx="209">
                  <c:v>38292</c:v>
                </c:pt>
                <c:pt idx="210">
                  <c:v>38261</c:v>
                </c:pt>
                <c:pt idx="211">
                  <c:v>38231</c:v>
                </c:pt>
                <c:pt idx="212">
                  <c:v>38200</c:v>
                </c:pt>
                <c:pt idx="213">
                  <c:v>38169</c:v>
                </c:pt>
                <c:pt idx="214">
                  <c:v>38139</c:v>
                </c:pt>
                <c:pt idx="215">
                  <c:v>38108</c:v>
                </c:pt>
                <c:pt idx="216">
                  <c:v>38078</c:v>
                </c:pt>
                <c:pt idx="217">
                  <c:v>38047</c:v>
                </c:pt>
                <c:pt idx="218">
                  <c:v>38018</c:v>
                </c:pt>
                <c:pt idx="219">
                  <c:v>37987</c:v>
                </c:pt>
                <c:pt idx="220">
                  <c:v>37956</c:v>
                </c:pt>
                <c:pt idx="221">
                  <c:v>37926</c:v>
                </c:pt>
                <c:pt idx="222">
                  <c:v>37895</c:v>
                </c:pt>
                <c:pt idx="223">
                  <c:v>37865</c:v>
                </c:pt>
                <c:pt idx="224">
                  <c:v>37834</c:v>
                </c:pt>
                <c:pt idx="225">
                  <c:v>37803</c:v>
                </c:pt>
                <c:pt idx="226">
                  <c:v>37773</c:v>
                </c:pt>
                <c:pt idx="227">
                  <c:v>37742</c:v>
                </c:pt>
                <c:pt idx="228">
                  <c:v>37712</c:v>
                </c:pt>
                <c:pt idx="229">
                  <c:v>37681</c:v>
                </c:pt>
                <c:pt idx="230">
                  <c:v>37653</c:v>
                </c:pt>
                <c:pt idx="231">
                  <c:v>37622</c:v>
                </c:pt>
                <c:pt idx="232">
                  <c:v>37591</c:v>
                </c:pt>
                <c:pt idx="233">
                  <c:v>37561</c:v>
                </c:pt>
                <c:pt idx="234">
                  <c:v>37530</c:v>
                </c:pt>
                <c:pt idx="235">
                  <c:v>37500</c:v>
                </c:pt>
                <c:pt idx="236">
                  <c:v>37469</c:v>
                </c:pt>
                <c:pt idx="237">
                  <c:v>37438</c:v>
                </c:pt>
                <c:pt idx="238">
                  <c:v>37408</c:v>
                </c:pt>
                <c:pt idx="239">
                  <c:v>37377</c:v>
                </c:pt>
                <c:pt idx="240">
                  <c:v>37347</c:v>
                </c:pt>
                <c:pt idx="241">
                  <c:v>37316</c:v>
                </c:pt>
                <c:pt idx="242">
                  <c:v>37288</c:v>
                </c:pt>
                <c:pt idx="243">
                  <c:v>37257</c:v>
                </c:pt>
                <c:pt idx="244">
                  <c:v>37226</c:v>
                </c:pt>
                <c:pt idx="245">
                  <c:v>37196</c:v>
                </c:pt>
                <c:pt idx="246">
                  <c:v>37165</c:v>
                </c:pt>
                <c:pt idx="247">
                  <c:v>37135</c:v>
                </c:pt>
                <c:pt idx="248">
                  <c:v>37104</c:v>
                </c:pt>
                <c:pt idx="249">
                  <c:v>37073</c:v>
                </c:pt>
                <c:pt idx="250">
                  <c:v>37043</c:v>
                </c:pt>
                <c:pt idx="251">
                  <c:v>37012</c:v>
                </c:pt>
                <c:pt idx="252">
                  <c:v>36982</c:v>
                </c:pt>
                <c:pt idx="253">
                  <c:v>36951</c:v>
                </c:pt>
                <c:pt idx="254">
                  <c:v>36923</c:v>
                </c:pt>
                <c:pt idx="255">
                  <c:v>36892</c:v>
                </c:pt>
                <c:pt idx="256">
                  <c:v>36861</c:v>
                </c:pt>
                <c:pt idx="257">
                  <c:v>36831</c:v>
                </c:pt>
                <c:pt idx="258">
                  <c:v>36800</c:v>
                </c:pt>
                <c:pt idx="259">
                  <c:v>36770</c:v>
                </c:pt>
                <c:pt idx="260">
                  <c:v>36739</c:v>
                </c:pt>
                <c:pt idx="261">
                  <c:v>36708</c:v>
                </c:pt>
                <c:pt idx="262">
                  <c:v>36678</c:v>
                </c:pt>
              </c:strCache>
            </c:strRef>
          </c:cat>
          <c:val>
            <c:numRef>
              <c:f>Load!$AM$6:$AM$268</c:f>
              <c:numCache>
                <c:ptCount val="263"/>
                <c:pt idx="3">
                  <c:v>0</c:v>
                </c:pt>
                <c:pt idx="4">
                  <c:v>0.4186136747101492</c:v>
                </c:pt>
                <c:pt idx="5">
                  <c:v>0.45426060182845945</c:v>
                </c:pt>
                <c:pt idx="6">
                  <c:v>0.46971481833110496</c:v>
                </c:pt>
                <c:pt idx="7">
                  <c:v>0.43255248603399926</c:v>
                </c:pt>
                <c:pt idx="8">
                  <c:v>0.4650240865302636</c:v>
                </c:pt>
                <c:pt idx="9">
                  <c:v>0.4251164605206828</c:v>
                </c:pt>
                <c:pt idx="10">
                  <c:v>0.5115218336904077</c:v>
                </c:pt>
                <c:pt idx="11">
                  <c:v>0.482803557785529</c:v>
                </c:pt>
                <c:pt idx="12">
                  <c:v>0.42483335557338986</c:v>
                </c:pt>
                <c:pt idx="13">
                  <c:v>0.45764734717922034</c:v>
                </c:pt>
                <c:pt idx="14">
                  <c:v>0.42142693261773584</c:v>
                </c:pt>
                <c:pt idx="15">
                  <c:v>0.3894988372725784</c:v>
                </c:pt>
                <c:pt idx="16">
                  <c:v>0.45254263222294205</c:v>
                </c:pt>
                <c:pt idx="17">
                  <c:v>0.47678643939810766</c:v>
                </c:pt>
                <c:pt idx="18">
                  <c:v>0.48288628339636086</c:v>
                </c:pt>
                <c:pt idx="19">
                  <c:v>0.47692988938081593</c:v>
                </c:pt>
                <c:pt idx="20">
                  <c:v>0.44046635247966487</c:v>
                </c:pt>
                <c:pt idx="21">
                  <c:v>0.42122853161905915</c:v>
                </c:pt>
                <c:pt idx="22">
                  <c:v>0.5030796497839056</c:v>
                </c:pt>
                <c:pt idx="23">
                  <c:v>0.4584007654872636</c:v>
                </c:pt>
                <c:pt idx="24">
                  <c:v>0.42676304149990757</c:v>
                </c:pt>
                <c:pt idx="25">
                  <c:v>0.47256249741257456</c:v>
                </c:pt>
                <c:pt idx="26">
                  <c:v>0.405431447554024</c:v>
                </c:pt>
                <c:pt idx="27">
                  <c:v>0.4643833096670113</c:v>
                </c:pt>
                <c:pt idx="28">
                  <c:v>0.44908484601977</c:v>
                </c:pt>
                <c:pt idx="29">
                  <c:v>0.433935611805573</c:v>
                </c:pt>
                <c:pt idx="30">
                  <c:v>0.5291167630188618</c:v>
                </c:pt>
                <c:pt idx="31">
                  <c:v>0.4490293942316659</c:v>
                </c:pt>
                <c:pt idx="32">
                  <c:v>0.47569254785250464</c:v>
                </c:pt>
                <c:pt idx="33">
                  <c:v>0.5156196468304339</c:v>
                </c:pt>
                <c:pt idx="34">
                  <c:v>0.44764220455563564</c:v>
                </c:pt>
                <c:pt idx="35">
                  <c:v>0.5006671649336929</c:v>
                </c:pt>
                <c:pt idx="36">
                  <c:v>0.4553505357066362</c:v>
                </c:pt>
                <c:pt idx="37">
                  <c:v>0.47521177370014056</c:v>
                </c:pt>
                <c:pt idx="38">
                  <c:v>0.3835543458656359</c:v>
                </c:pt>
                <c:pt idx="39">
                  <c:v>0.4759155265370265</c:v>
                </c:pt>
                <c:pt idx="40">
                  <c:v>0.4099859895794088</c:v>
                </c:pt>
                <c:pt idx="41">
                  <c:v>0.48791105834398985</c:v>
                </c:pt>
                <c:pt idx="42">
                  <c:v>0.5083254310098972</c:v>
                </c:pt>
                <c:pt idx="43">
                  <c:v>0.5040131366834206</c:v>
                </c:pt>
                <c:pt idx="44">
                  <c:v>0.5126500572846037</c:v>
                </c:pt>
                <c:pt idx="45">
                  <c:v>0.4740650653001592</c:v>
                </c:pt>
                <c:pt idx="46">
                  <c:v>0.5102523285556191</c:v>
                </c:pt>
                <c:pt idx="47">
                  <c:v>0.5147807163958154</c:v>
                </c:pt>
                <c:pt idx="48">
                  <c:v>0.4866054559832312</c:v>
                </c:pt>
                <c:pt idx="49">
                  <c:v>0.4468114040934315</c:v>
                </c:pt>
                <c:pt idx="50">
                  <c:v>0.4232128421177785</c:v>
                </c:pt>
                <c:pt idx="51">
                  <c:v>0.47549985999819006</c:v>
                </c:pt>
                <c:pt idx="52">
                  <c:v>0.46715881217904903</c:v>
                </c:pt>
                <c:pt idx="53">
                  <c:v>0.4329411883463207</c:v>
                </c:pt>
                <c:pt idx="54">
                  <c:v>0.5594475534810908</c:v>
                </c:pt>
                <c:pt idx="55">
                  <c:v>0.5184792008842083</c:v>
                </c:pt>
                <c:pt idx="56">
                  <c:v>0.5214310750875352</c:v>
                </c:pt>
                <c:pt idx="57">
                  <c:v>0.5071099312269958</c:v>
                </c:pt>
                <c:pt idx="58">
                  <c:v>0.5184021914269386</c:v>
                </c:pt>
                <c:pt idx="59">
                  <c:v>0.5220825832912285</c:v>
                </c:pt>
                <c:pt idx="60">
                  <c:v>0.4973536296245332</c:v>
                </c:pt>
                <c:pt idx="61">
                  <c:v>0.49016048152208097</c:v>
                </c:pt>
                <c:pt idx="62">
                  <c:v>0.4493965515842662</c:v>
                </c:pt>
                <c:pt idx="63">
                  <c:v>0.46853772360758233</c:v>
                </c:pt>
                <c:pt idx="64">
                  <c:v>0.49884028069874525</c:v>
                </c:pt>
                <c:pt idx="65">
                  <c:v>0.5357212872436415</c:v>
                </c:pt>
                <c:pt idx="66">
                  <c:v>0.5697205400449411</c:v>
                </c:pt>
                <c:pt idx="67">
                  <c:v>0.517977307300983</c:v>
                </c:pt>
                <c:pt idx="68">
                  <c:v>0.5485912953608735</c:v>
                </c:pt>
                <c:pt idx="69">
                  <c:v>0.5143478169957911</c:v>
                </c:pt>
                <c:pt idx="70">
                  <c:v>0.552708213238717</c:v>
                </c:pt>
                <c:pt idx="71">
                  <c:v>0.5362729104166867</c:v>
                </c:pt>
                <c:pt idx="72">
                  <c:v>0.50909676974914</c:v>
                </c:pt>
                <c:pt idx="73">
                  <c:v>0.5085718364703388</c:v>
                </c:pt>
                <c:pt idx="74">
                  <c:v>0.49686598821440003</c:v>
                </c:pt>
                <c:pt idx="75">
                  <c:v>0.4986213018612468</c:v>
                </c:pt>
                <c:pt idx="76">
                  <c:v>0.5050295756607054</c:v>
                </c:pt>
                <c:pt idx="77">
                  <c:v>0.5233587742849137</c:v>
                </c:pt>
                <c:pt idx="78">
                  <c:v>0.5483682694415286</c:v>
                </c:pt>
                <c:pt idx="79">
                  <c:v>0.5396431614643896</c:v>
                </c:pt>
                <c:pt idx="80">
                  <c:v>0.5355251658886601</c:v>
                </c:pt>
                <c:pt idx="81">
                  <c:v>0.5439826567964613</c:v>
                </c:pt>
                <c:pt idx="82">
                  <c:v>0.5643643017320736</c:v>
                </c:pt>
                <c:pt idx="83">
                  <c:v>0.5461709309882512</c:v>
                </c:pt>
                <c:pt idx="84">
                  <c:v>0.538315544627246</c:v>
                </c:pt>
                <c:pt idx="85">
                  <c:v>0.49210621568827706</c:v>
                </c:pt>
                <c:pt idx="86">
                  <c:v>0.4981666931076111</c:v>
                </c:pt>
                <c:pt idx="87">
                  <c:v>0.5112707198410883</c:v>
                </c:pt>
                <c:pt idx="88">
                  <c:v>0.5320804052829279</c:v>
                </c:pt>
                <c:pt idx="89">
                  <c:v>0.5702664637257897</c:v>
                </c:pt>
                <c:pt idx="90">
                  <c:v>0.5847103257570648</c:v>
                </c:pt>
                <c:pt idx="91">
                  <c:v>0.5750482078328575</c:v>
                </c:pt>
                <c:pt idx="92">
                  <c:v>0.5687104485694855</c:v>
                </c:pt>
                <c:pt idx="93">
                  <c:v>0.5633804074886692</c:v>
                </c:pt>
                <c:pt idx="94">
                  <c:v>0.5919802708266191</c:v>
                </c:pt>
                <c:pt idx="95">
                  <c:v>0.5796251329807045</c:v>
                </c:pt>
                <c:pt idx="96">
                  <c:v>0.5734386547213076</c:v>
                </c:pt>
                <c:pt idx="97">
                  <c:v>0.5435761154094723</c:v>
                </c:pt>
                <c:pt idx="98">
                  <c:v>0.5287579382617413</c:v>
                </c:pt>
                <c:pt idx="99">
                  <c:v>0.5332467716694794</c:v>
                </c:pt>
                <c:pt idx="100">
                  <c:v>0.5233763086487278</c:v>
                </c:pt>
                <c:pt idx="101">
                  <c:v>0.5893357003899009</c:v>
                </c:pt>
                <c:pt idx="102">
                  <c:v>0.5946313738450724</c:v>
                </c:pt>
                <c:pt idx="103">
                  <c:v>0.590697575926694</c:v>
                </c:pt>
                <c:pt idx="104">
                  <c:v>0.5835696364970321</c:v>
                </c:pt>
                <c:pt idx="105">
                  <c:v>0.579148806965277</c:v>
                </c:pt>
                <c:pt idx="106">
                  <c:v>0.604023123521995</c:v>
                </c:pt>
                <c:pt idx="107">
                  <c:v>0.6176491832016824</c:v>
                </c:pt>
                <c:pt idx="108">
                  <c:v>0.6103979077068346</c:v>
                </c:pt>
                <c:pt idx="109">
                  <c:v>0.5744060752860066</c:v>
                </c:pt>
                <c:pt idx="110">
                  <c:v>0.5533574945111092</c:v>
                </c:pt>
                <c:pt idx="111">
                  <c:v>0.5532740395952757</c:v>
                </c:pt>
                <c:pt idx="112">
                  <c:v>0.5629947812593685</c:v>
                </c:pt>
                <c:pt idx="113">
                  <c:v>0.5824104340030091</c:v>
                </c:pt>
                <c:pt idx="114">
                  <c:v>0.5752525518026357</c:v>
                </c:pt>
                <c:pt idx="115">
                  <c:v>0.5608521956191311</c:v>
                </c:pt>
                <c:pt idx="116">
                  <c:v>0.5431749363422761</c:v>
                </c:pt>
                <c:pt idx="117">
                  <c:v>0.5461488000846458</c:v>
                </c:pt>
                <c:pt idx="118">
                  <c:v>0.5478484915874715</c:v>
                </c:pt>
                <c:pt idx="119">
                  <c:v>0.5409392134076166</c:v>
                </c:pt>
                <c:pt idx="120">
                  <c:v>0.5303199421051243</c:v>
                </c:pt>
                <c:pt idx="121">
                  <c:v>0.48154800891275773</c:v>
                </c:pt>
                <c:pt idx="122">
                  <c:v>0.43261447493256405</c:v>
                </c:pt>
                <c:pt idx="123">
                  <c:v>0.4235113375210818</c:v>
                </c:pt>
                <c:pt idx="124">
                  <c:v>0.38858881364665504</c:v>
                </c:pt>
                <c:pt idx="125">
                  <c:v>0.4041410891924414</c:v>
                </c:pt>
                <c:pt idx="126">
                  <c:v>0.4447544934130535</c:v>
                </c:pt>
                <c:pt idx="127">
                  <c:v>0.431574866335722</c:v>
                </c:pt>
                <c:pt idx="128">
                  <c:v>0.42370586570194446</c:v>
                </c:pt>
                <c:pt idx="129">
                  <c:v>0.40743571561970116</c:v>
                </c:pt>
                <c:pt idx="130">
                  <c:v>0.42683103858864013</c:v>
                </c:pt>
                <c:pt idx="131">
                  <c:v>0.416440559199612</c:v>
                </c:pt>
                <c:pt idx="132">
                  <c:v>0.4343671316814673</c:v>
                </c:pt>
                <c:pt idx="133">
                  <c:v>0.39673986744319883</c:v>
                </c:pt>
                <c:pt idx="134">
                  <c:v>0.3873581537243513</c:v>
                </c:pt>
                <c:pt idx="135">
                  <c:v>0.37437293057392873</c:v>
                </c:pt>
                <c:pt idx="136">
                  <c:v>0.37234203799543</c:v>
                </c:pt>
                <c:pt idx="137">
                  <c:v>0.3893876277479833</c:v>
                </c:pt>
                <c:pt idx="138">
                  <c:v>0.42036697526372213</c:v>
                </c:pt>
                <c:pt idx="139">
                  <c:v>0.43004200990302555</c:v>
                </c:pt>
                <c:pt idx="140">
                  <c:v>0.404295375438356</c:v>
                </c:pt>
                <c:pt idx="141">
                  <c:v>0.39371212194632743</c:v>
                </c:pt>
                <c:pt idx="142">
                  <c:v>0.40637824384203247</c:v>
                </c:pt>
                <c:pt idx="143">
                  <c:v>0.41246538926734594</c:v>
                </c:pt>
                <c:pt idx="144">
                  <c:v>0.4030865611985707</c:v>
                </c:pt>
                <c:pt idx="145">
                  <c:v>0.3826722062994105</c:v>
                </c:pt>
                <c:pt idx="146">
                  <c:v>0.3758084426856912</c:v>
                </c:pt>
                <c:pt idx="147">
                  <c:v>0.3563412151120326</c:v>
                </c:pt>
                <c:pt idx="148">
                  <c:v>0.34575620839580246</c:v>
                </c:pt>
                <c:pt idx="149">
                  <c:v>0.3657546912647218</c:v>
                </c:pt>
                <c:pt idx="150">
                  <c:v>0.393676354493959</c:v>
                </c:pt>
                <c:pt idx="151">
                  <c:v>0.38922678460827653</c:v>
                </c:pt>
                <c:pt idx="152">
                  <c:v>0.3769898569385066</c:v>
                </c:pt>
                <c:pt idx="153">
                  <c:v>0.3674974738216826</c:v>
                </c:pt>
                <c:pt idx="154">
                  <c:v>0.381445394746536</c:v>
                </c:pt>
                <c:pt idx="155">
                  <c:v>0.38032844869947513</c:v>
                </c:pt>
                <c:pt idx="156">
                  <c:v>0.3804923931606418</c:v>
                </c:pt>
                <c:pt idx="157">
                  <c:v>0.3431756602356935</c:v>
                </c:pt>
                <c:pt idx="158">
                  <c:v>0.3355047036600852</c:v>
                </c:pt>
                <c:pt idx="159">
                  <c:v>0.3158809702205544</c:v>
                </c:pt>
                <c:pt idx="160">
                  <c:v>0.29568606747617104</c:v>
                </c:pt>
                <c:pt idx="161">
                  <c:v>0.34447910889917777</c:v>
                </c:pt>
                <c:pt idx="162">
                  <c:v>0.4216660423152938</c:v>
                </c:pt>
                <c:pt idx="163">
                  <c:v>0.3659954262482531</c:v>
                </c:pt>
                <c:pt idx="164">
                  <c:v>0.3599550721210688</c:v>
                </c:pt>
                <c:pt idx="165">
                  <c:v>0.3756589063574451</c:v>
                </c:pt>
                <c:pt idx="166">
                  <c:v>0.3784051980375512</c:v>
                </c:pt>
                <c:pt idx="167">
                  <c:v>0.37975443936131614</c:v>
                </c:pt>
                <c:pt idx="168">
                  <c:v>0.36440242991261407</c:v>
                </c:pt>
                <c:pt idx="169">
                  <c:v>0.35843149411035335</c:v>
                </c:pt>
                <c:pt idx="170">
                  <c:v>0.3471737817923904</c:v>
                </c:pt>
                <c:pt idx="171">
                  <c:v>0.33238180768490605</c:v>
                </c:pt>
                <c:pt idx="172">
                  <c:v>0.3830546184572718</c:v>
                </c:pt>
                <c:pt idx="173">
                  <c:v>0.40121197690844906</c:v>
                </c:pt>
                <c:pt idx="174">
                  <c:v>0.39263948417675915</c:v>
                </c:pt>
                <c:pt idx="175">
                  <c:v>0.36428201671302857</c:v>
                </c:pt>
                <c:pt idx="176">
                  <c:v>0.35756119990697294</c:v>
                </c:pt>
                <c:pt idx="177">
                  <c:v>0.377112623317526</c:v>
                </c:pt>
                <c:pt idx="178">
                  <c:v>0.40268418094549296</c:v>
                </c:pt>
                <c:pt idx="179">
                  <c:v>0.40921398423190253</c:v>
                </c:pt>
                <c:pt idx="180">
                  <c:v>0.40911871360257357</c:v>
                </c:pt>
                <c:pt idx="181">
                  <c:v>0.3745347054541905</c:v>
                </c:pt>
                <c:pt idx="182">
                  <c:v>0.35989910364830563</c:v>
                </c:pt>
                <c:pt idx="183">
                  <c:v>0.3608644568570983</c:v>
                </c:pt>
                <c:pt idx="184">
                  <c:v>0.3683089661783344</c:v>
                </c:pt>
                <c:pt idx="185">
                  <c:v>0.39399114749753866</c:v>
                </c:pt>
                <c:pt idx="186">
                  <c:v>0.387387953455469</c:v>
                </c:pt>
                <c:pt idx="187">
                  <c:v>0.3747621102921862</c:v>
                </c:pt>
                <c:pt idx="188">
                  <c:v>0.3419047511363606</c:v>
                </c:pt>
                <c:pt idx="189">
                  <c:v>0.35659507338465746</c:v>
                </c:pt>
                <c:pt idx="190">
                  <c:v>0.35691801891530756</c:v>
                </c:pt>
                <c:pt idx="191">
                  <c:v>0.36355802617585703</c:v>
                </c:pt>
                <c:pt idx="192">
                  <c:v>0.34995872808342143</c:v>
                </c:pt>
                <c:pt idx="193">
                  <c:v>0.320704078064009</c:v>
                </c:pt>
                <c:pt idx="194">
                  <c:v>0.33126342137298076</c:v>
                </c:pt>
                <c:pt idx="195">
                  <c:v>0.37</c:v>
                </c:pt>
                <c:pt idx="196">
                  <c:v>0.38</c:v>
                </c:pt>
                <c:pt idx="197">
                  <c:v>0.39</c:v>
                </c:pt>
                <c:pt idx="198">
                  <c:v>0.38</c:v>
                </c:pt>
                <c:pt idx="199">
                  <c:v>0.39</c:v>
                </c:pt>
                <c:pt idx="200">
                  <c:v>0.39</c:v>
                </c:pt>
                <c:pt idx="201">
                  <c:v>0.39</c:v>
                </c:pt>
                <c:pt idx="202">
                  <c:v>0.4</c:v>
                </c:pt>
                <c:pt idx="203">
                  <c:v>0.41</c:v>
                </c:pt>
                <c:pt idx="204">
                  <c:v>0.41</c:v>
                </c:pt>
                <c:pt idx="205">
                  <c:v>0.4</c:v>
                </c:pt>
                <c:pt idx="206">
                  <c:v>0.4</c:v>
                </c:pt>
                <c:pt idx="207">
                  <c:v>0.4</c:v>
                </c:pt>
                <c:pt idx="208">
                  <c:v>0.39</c:v>
                </c:pt>
                <c:pt idx="209">
                  <c:v>0.38</c:v>
                </c:pt>
                <c:pt idx="210">
                  <c:v>0.39</c:v>
                </c:pt>
                <c:pt idx="211">
                  <c:v>0.38</c:v>
                </c:pt>
                <c:pt idx="212">
                  <c:v>0.38</c:v>
                </c:pt>
                <c:pt idx="213">
                  <c:v>0.38</c:v>
                </c:pt>
                <c:pt idx="214">
                  <c:v>0.38</c:v>
                </c:pt>
                <c:pt idx="215">
                  <c:v>0.38</c:v>
                </c:pt>
                <c:pt idx="216">
                  <c:v>0.37</c:v>
                </c:pt>
                <c:pt idx="217">
                  <c:v>0.38</c:v>
                </c:pt>
                <c:pt idx="218">
                  <c:v>0.37</c:v>
                </c:pt>
                <c:pt idx="219">
                  <c:v>0.39</c:v>
                </c:pt>
                <c:pt idx="220">
                  <c:v>0.37</c:v>
                </c:pt>
                <c:pt idx="221">
                  <c:v>0.37</c:v>
                </c:pt>
                <c:pt idx="222">
                  <c:v>0.36</c:v>
                </c:pt>
                <c:pt idx="223">
                  <c:v>0.33</c:v>
                </c:pt>
                <c:pt idx="224">
                  <c:v>0.34</c:v>
                </c:pt>
                <c:pt idx="225">
                  <c:v>0.33</c:v>
                </c:pt>
                <c:pt idx="226">
                  <c:v>0.33</c:v>
                </c:pt>
                <c:pt idx="227">
                  <c:v>0.33</c:v>
                </c:pt>
                <c:pt idx="228">
                  <c:v>0.32</c:v>
                </c:pt>
                <c:pt idx="229">
                  <c:v>0.32</c:v>
                </c:pt>
                <c:pt idx="231">
                  <c:v>0.32</c:v>
                </c:pt>
                <c:pt idx="232">
                  <c:v>0.33</c:v>
                </c:pt>
                <c:pt idx="233">
                  <c:v>0.34</c:v>
                </c:pt>
                <c:pt idx="234">
                  <c:v>0.37</c:v>
                </c:pt>
                <c:pt idx="235">
                  <c:v>0.37</c:v>
                </c:pt>
                <c:pt idx="236">
                  <c:v>0.37</c:v>
                </c:pt>
                <c:pt idx="237">
                  <c:v>0.37</c:v>
                </c:pt>
                <c:pt idx="238">
                  <c:v>0.4</c:v>
                </c:pt>
                <c:pt idx="239">
                  <c:v>0.41</c:v>
                </c:pt>
                <c:pt idx="240">
                  <c:v>0.47</c:v>
                </c:pt>
                <c:pt idx="241">
                  <c:v>0.47</c:v>
                </c:pt>
                <c:pt idx="242">
                  <c:v>0.46</c:v>
                </c:pt>
                <c:pt idx="243">
                  <c:v>0.46</c:v>
                </c:pt>
                <c:pt idx="244">
                  <c:v>0.44</c:v>
                </c:pt>
                <c:pt idx="245">
                  <c:v>0.44</c:v>
                </c:pt>
                <c:pt idx="246">
                  <c:v>0.43</c:v>
                </c:pt>
                <c:pt idx="247">
                  <c:v>0.41</c:v>
                </c:pt>
                <c:pt idx="248">
                  <c:v>0.41</c:v>
                </c:pt>
                <c:pt idx="249">
                  <c:v>0.37</c:v>
                </c:pt>
                <c:pt idx="250">
                  <c:v>0.37</c:v>
                </c:pt>
                <c:pt idx="251">
                  <c:v>0.35</c:v>
                </c:pt>
                <c:pt idx="252">
                  <c:v>0.33</c:v>
                </c:pt>
                <c:pt idx="253">
                  <c:v>0.27</c:v>
                </c:pt>
                <c:pt idx="254">
                  <c:v>0.27</c:v>
                </c:pt>
                <c:pt idx="255">
                  <c:v>0.29</c:v>
                </c:pt>
                <c:pt idx="256">
                  <c:v>0.3</c:v>
                </c:pt>
                <c:pt idx="257">
                  <c:v>0.27</c:v>
                </c:pt>
                <c:pt idx="258">
                  <c:v>0.27</c:v>
                </c:pt>
                <c:pt idx="259">
                  <c:v>0.0026</c:v>
                </c:pt>
                <c:pt idx="260">
                  <c:v>0.0027</c:v>
                </c:pt>
                <c:pt idx="261">
                  <c:v>0</c:v>
                </c:pt>
                <c:pt idx="262">
                  <c:v>0</c:v>
                </c:pt>
              </c:numCache>
            </c:numRef>
          </c:val>
          <c:smooth val="0"/>
        </c:ser>
        <c:marker val="1"/>
        <c:axId val="56246045"/>
        <c:axId val="36452358"/>
      </c:lineChart>
      <c:dateAx>
        <c:axId val="56246045"/>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36452358"/>
        <c:crosses val="autoZero"/>
        <c:auto val="0"/>
        <c:baseTimeUnit val="days"/>
        <c:majorUnit val="6"/>
        <c:majorTimeUnit val="months"/>
        <c:minorUnit val="3"/>
        <c:minorTimeUnit val="months"/>
        <c:noMultiLvlLbl val="0"/>
      </c:dateAx>
      <c:valAx>
        <c:axId val="364523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75"/>
              <c:y val="-0.0075"/>
            </c:manualLayout>
          </c:layout>
          <c:overlay val="0"/>
          <c:spPr>
            <a:noFill/>
            <a:ln w="3175">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56246045"/>
        <c:crossesAt val="1"/>
        <c:crossBetween val="between"/>
        <c:dispUnits/>
      </c:valAx>
      <c:spPr>
        <a:noFill/>
        <a:ln w="12700">
          <a:solidFill>
            <a:srgbClr val="000000"/>
          </a:solidFill>
        </a:ln>
      </c:spPr>
    </c:plotArea>
    <c:legend>
      <c:legendPos val="r"/>
      <c:layout>
        <c:manualLayout>
          <c:xMode val="edge"/>
          <c:yMode val="edge"/>
          <c:x val="0.162"/>
          <c:y val="0.63825"/>
          <c:w val="0.36725"/>
          <c:h val="0.0245"/>
        </c:manualLayout>
      </c:layout>
      <c:overlay val="0"/>
      <c:spPr>
        <a:solidFill>
          <a:srgbClr val="FFFFFF"/>
        </a:solidFill>
        <a:ln w="3175">
          <a:solidFill>
            <a:srgbClr val="000000"/>
          </a:solid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thew.rolnick\Downloads\statsload%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tthew.rolnick\Downloads\statsload%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tthew.rolnick\Downloads\statsload%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tthew.rolnick\AppData\Local\Microsoft\Windows\Temporary%20Internet%20Files\Content.Outlook\W10D0TP4\statsloa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statsloa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1ra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tthew.rolnick\AppData\Local\Microsoft\Windows\Temporary%20Internet%20Files\Content.Outlook\W10D0TP4\EmeraMaine_201612ra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2ra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3ra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E5">
            <v>67988989</v>
          </cell>
          <cell r="I5">
            <v>188268484</v>
          </cell>
        </row>
        <row r="6">
          <cell r="E6">
            <v>12984565</v>
          </cell>
          <cell r="I6">
            <v>30402661</v>
          </cell>
        </row>
        <row r="7">
          <cell r="E7">
            <v>105743479</v>
          </cell>
          <cell r="I7">
            <v>52624745</v>
          </cell>
        </row>
        <row r="8">
          <cell r="E8">
            <v>228876462</v>
          </cell>
          <cell r="I8">
            <v>4816793</v>
          </cell>
        </row>
        <row r="9">
          <cell r="E9">
            <v>69008</v>
          </cell>
          <cell r="I9">
            <v>662760</v>
          </cell>
        </row>
        <row r="16">
          <cell r="E16">
            <v>62308372</v>
          </cell>
          <cell r="I16">
            <v>258274443</v>
          </cell>
        </row>
        <row r="17">
          <cell r="E17">
            <v>15814784</v>
          </cell>
          <cell r="I17">
            <v>38035723</v>
          </cell>
        </row>
        <row r="19">
          <cell r="E19">
            <v>247224516</v>
          </cell>
          <cell r="I19">
            <v>5717249</v>
          </cell>
        </row>
        <row r="20">
          <cell r="E20">
            <v>52975</v>
          </cell>
          <cell r="I20">
            <v>697389</v>
          </cell>
        </row>
        <row r="27">
          <cell r="E27">
            <v>73902955</v>
          </cell>
          <cell r="I27">
            <v>271837913</v>
          </cell>
        </row>
        <row r="28">
          <cell r="E28">
            <v>40473377</v>
          </cell>
          <cell r="I28">
            <v>16266770</v>
          </cell>
        </row>
        <row r="29">
          <cell r="E29">
            <v>128691304</v>
          </cell>
          <cell r="I29">
            <v>72325136</v>
          </cell>
        </row>
        <row r="30">
          <cell r="E30">
            <v>254015321</v>
          </cell>
          <cell r="I30">
            <v>5923662</v>
          </cell>
        </row>
        <row r="31">
          <cell r="E31">
            <v>71062</v>
          </cell>
          <cell r="I31">
            <v>770924</v>
          </cell>
        </row>
        <row r="38">
          <cell r="E38">
            <v>62308372</v>
          </cell>
          <cell r="I38">
            <v>231589296</v>
          </cell>
        </row>
        <row r="39">
          <cell r="E39">
            <v>14954719</v>
          </cell>
          <cell r="I39">
            <v>36153114</v>
          </cell>
        </row>
        <row r="40">
          <cell r="E40">
            <v>115138004</v>
          </cell>
          <cell r="I40">
            <v>62051933</v>
          </cell>
        </row>
        <row r="41">
          <cell r="E41">
            <v>212764262</v>
          </cell>
          <cell r="I41">
            <v>4681236</v>
          </cell>
        </row>
        <row r="42">
          <cell r="E42">
            <v>52975</v>
          </cell>
          <cell r="I42">
            <v>658088</v>
          </cell>
        </row>
        <row r="49">
          <cell r="E49">
            <v>58411308</v>
          </cell>
          <cell r="I49">
            <v>203901107</v>
          </cell>
        </row>
        <row r="50">
          <cell r="E50">
            <v>13800937</v>
          </cell>
          <cell r="I50">
            <v>32008324</v>
          </cell>
        </row>
        <row r="51">
          <cell r="E51">
            <v>110769318</v>
          </cell>
          <cell r="I51">
            <v>55643046</v>
          </cell>
        </row>
        <row r="52">
          <cell r="E52">
            <v>236804250</v>
          </cell>
          <cell r="I52">
            <v>4536956</v>
          </cell>
        </row>
        <row r="53">
          <cell r="E53">
            <v>68801</v>
          </cell>
          <cell r="I53">
            <v>735103</v>
          </cell>
        </row>
        <row r="62">
          <cell r="E62">
            <v>103759762</v>
          </cell>
          <cell r="I62">
            <v>49884814</v>
          </cell>
        </row>
        <row r="63">
          <cell r="E63">
            <v>220253863</v>
          </cell>
          <cell r="I63">
            <v>8617244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E5">
            <v>52487872</v>
          </cell>
          <cell r="I5">
            <v>207558791</v>
          </cell>
        </row>
        <row r="6">
          <cell r="E6">
            <v>12286164</v>
          </cell>
          <cell r="I6">
            <v>28843715</v>
          </cell>
        </row>
        <row r="7">
          <cell r="E7">
            <v>99004446</v>
          </cell>
          <cell r="I7">
            <v>47027779</v>
          </cell>
        </row>
        <row r="8">
          <cell r="E8">
            <v>222174096</v>
          </cell>
          <cell r="I8">
            <v>4280278</v>
          </cell>
        </row>
        <row r="9">
          <cell r="E9">
            <v>86327</v>
          </cell>
          <cell r="I9">
            <v>649476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B5">
            <v>555769</v>
          </cell>
          <cell r="C5">
            <v>104429</v>
          </cell>
        </row>
        <row r="6">
          <cell r="B6">
            <v>56618</v>
          </cell>
          <cell r="C6">
            <v>17331</v>
          </cell>
        </row>
        <row r="8">
          <cell r="E8">
            <v>219767815</v>
          </cell>
          <cell r="I8">
            <v>5329840</v>
          </cell>
        </row>
        <row r="9">
          <cell r="B9">
            <v>5513</v>
          </cell>
          <cell r="C9">
            <v>651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40">
          <cell r="E40">
            <v>125251579</v>
          </cell>
          <cell r="I40">
            <v>67139141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C5">
            <v>96669</v>
          </cell>
          <cell r="E5">
            <v>52257705</v>
          </cell>
          <cell r="G5">
            <v>460928</v>
          </cell>
          <cell r="I5">
            <v>240127986</v>
          </cell>
        </row>
        <row r="6">
          <cell r="C6">
            <v>15709</v>
          </cell>
          <cell r="E6">
            <v>12717668</v>
          </cell>
          <cell r="G6">
            <v>38182</v>
          </cell>
          <cell r="I6">
            <v>33128916</v>
          </cell>
        </row>
        <row r="7">
          <cell r="B7">
            <v>11187</v>
          </cell>
          <cell r="C7">
            <v>5326</v>
          </cell>
          <cell r="E7">
            <v>99046336</v>
          </cell>
          <cell r="I7">
            <v>51287990</v>
          </cell>
        </row>
        <row r="8">
          <cell r="B8">
            <v>385</v>
          </cell>
          <cell r="C8">
            <v>341</v>
          </cell>
          <cell r="E8">
            <v>186550097</v>
          </cell>
          <cell r="I8">
            <v>3913723</v>
          </cell>
        </row>
        <row r="9">
          <cell r="C9">
            <v>557</v>
          </cell>
          <cell r="E9">
            <v>54373</v>
          </cell>
          <cell r="G9">
            <v>4337</v>
          </cell>
          <cell r="I9">
            <v>675868</v>
          </cell>
        </row>
        <row r="16">
          <cell r="C16">
            <v>97438</v>
          </cell>
          <cell r="E16">
            <v>62781634</v>
          </cell>
          <cell r="G16">
            <v>459916</v>
          </cell>
          <cell r="I16">
            <v>290922328</v>
          </cell>
        </row>
        <row r="17">
          <cell r="C17">
            <v>17316</v>
          </cell>
          <cell r="E17">
            <v>14747992</v>
          </cell>
          <cell r="G17">
            <v>42370</v>
          </cell>
          <cell r="I17">
            <v>38982738</v>
          </cell>
        </row>
        <row r="18">
          <cell r="B18">
            <v>12769</v>
          </cell>
          <cell r="C18">
            <v>6119</v>
          </cell>
          <cell r="E18">
            <v>116692311</v>
          </cell>
          <cell r="I18">
            <v>60761257</v>
          </cell>
        </row>
        <row r="19">
          <cell r="B19">
            <v>472</v>
          </cell>
          <cell r="C19">
            <v>419</v>
          </cell>
          <cell r="E19">
            <v>219749352</v>
          </cell>
          <cell r="I19">
            <v>4808398</v>
          </cell>
        </row>
        <row r="20">
          <cell r="C20">
            <v>589</v>
          </cell>
          <cell r="E20">
            <v>88562</v>
          </cell>
          <cell r="G20">
            <v>6081</v>
          </cell>
          <cell r="I20">
            <v>807788</v>
          </cell>
        </row>
        <row r="27">
          <cell r="C27">
            <v>87782</v>
          </cell>
          <cell r="E27">
            <v>54679691</v>
          </cell>
          <cell r="G27">
            <v>469159</v>
          </cell>
          <cell r="I27">
            <v>251895118</v>
          </cell>
        </row>
        <row r="28">
          <cell r="C28">
            <v>14252</v>
          </cell>
          <cell r="E28">
            <v>12637914</v>
          </cell>
          <cell r="G28">
            <v>34641</v>
          </cell>
          <cell r="I28">
            <v>33545001</v>
          </cell>
        </row>
        <row r="29">
          <cell r="B29">
            <v>10319</v>
          </cell>
          <cell r="C29">
            <v>4915</v>
          </cell>
          <cell r="E29">
            <v>95431092</v>
          </cell>
          <cell r="I29">
            <v>49613815</v>
          </cell>
        </row>
        <row r="30">
          <cell r="B30">
            <v>334</v>
          </cell>
          <cell r="C30">
            <v>297</v>
          </cell>
          <cell r="E30">
            <v>168691667</v>
          </cell>
          <cell r="I30">
            <v>4592894</v>
          </cell>
        </row>
        <row r="31">
          <cell r="C31">
            <v>559</v>
          </cell>
          <cell r="E31">
            <v>78297</v>
          </cell>
          <cell r="G31">
            <v>4366</v>
          </cell>
          <cell r="I31">
            <v>617072</v>
          </cell>
        </row>
        <row r="38">
          <cell r="C38">
            <v>101790</v>
          </cell>
          <cell r="E38">
            <v>72227789</v>
          </cell>
          <cell r="G38">
            <v>454564</v>
          </cell>
          <cell r="I38">
            <v>312293642</v>
          </cell>
        </row>
        <row r="39">
          <cell r="C39">
            <v>16901</v>
          </cell>
          <cell r="E39">
            <v>15420216</v>
          </cell>
          <cell r="G39">
            <v>39673</v>
          </cell>
          <cell r="I39">
            <v>39340431</v>
          </cell>
        </row>
        <row r="40">
          <cell r="C40">
            <v>5845</v>
          </cell>
          <cell r="E40">
            <v>115733076</v>
          </cell>
          <cell r="G40">
            <v>6290</v>
          </cell>
          <cell r="I40">
            <v>61400792</v>
          </cell>
        </row>
        <row r="41">
          <cell r="B41">
            <v>418</v>
          </cell>
          <cell r="C41">
            <v>373</v>
          </cell>
          <cell r="E41">
            <v>223203071</v>
          </cell>
          <cell r="I41">
            <v>6433274</v>
          </cell>
        </row>
        <row r="42">
          <cell r="C42">
            <v>631</v>
          </cell>
          <cell r="E42">
            <v>103639</v>
          </cell>
          <cell r="G42">
            <v>4637</v>
          </cell>
          <cell r="I42">
            <v>713802</v>
          </cell>
        </row>
        <row r="49">
          <cell r="E49">
            <v>68449908</v>
          </cell>
          <cell r="I49">
            <v>278636180</v>
          </cell>
        </row>
        <row r="50">
          <cell r="E50">
            <v>15123084</v>
          </cell>
          <cell r="I50">
            <v>36689698</v>
          </cell>
        </row>
        <row r="51">
          <cell r="E51">
            <v>115936851</v>
          </cell>
          <cell r="I51">
            <v>56358946</v>
          </cell>
        </row>
        <row r="52">
          <cell r="E52">
            <v>219767815</v>
          </cell>
        </row>
        <row r="53">
          <cell r="E53">
            <v>104019</v>
          </cell>
          <cell r="I53">
            <v>709349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HD"/>
      <sheetName val="MPD"/>
    </sheetNames>
    <sheetDataSet>
      <sheetData sheetId="0">
        <row r="25">
          <cell r="E25">
            <v>1704</v>
          </cell>
          <cell r="G25">
            <v>16536</v>
          </cell>
        </row>
        <row r="26">
          <cell r="F26">
            <v>3053</v>
          </cell>
          <cell r="G26">
            <v>9059</v>
          </cell>
        </row>
        <row r="27">
          <cell r="E27">
            <v>3555</v>
          </cell>
          <cell r="G27">
            <v>3700</v>
          </cell>
        </row>
      </sheetData>
      <sheetData sheetId="1">
        <row r="16">
          <cell r="D16">
            <v>423</v>
          </cell>
          <cell r="E16">
            <v>36970</v>
          </cell>
        </row>
        <row r="17">
          <cell r="D17">
            <v>72</v>
          </cell>
          <cell r="E17">
            <v>189</v>
          </cell>
        </row>
        <row r="18">
          <cell r="D18">
            <v>13</v>
          </cell>
          <cell r="E18">
            <v>14</v>
          </cell>
        </row>
        <row r="27">
          <cell r="C27">
            <v>927</v>
          </cell>
          <cell r="D27">
            <v>30214</v>
          </cell>
        </row>
        <row r="28">
          <cell r="C28">
            <v>3615</v>
          </cell>
          <cell r="D28">
            <v>7211</v>
          </cell>
        </row>
        <row r="29">
          <cell r="C29">
            <v>13305</v>
          </cell>
          <cell r="D29">
            <v>13305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HD"/>
      <sheetName val="MPD"/>
    </sheetNames>
    <sheetDataSet>
      <sheetData sheetId="0">
        <row r="25">
          <cell r="E25">
            <v>1720</v>
          </cell>
          <cell r="F25">
            <v>15099</v>
          </cell>
        </row>
        <row r="26">
          <cell r="E26">
            <v>6055</v>
          </cell>
          <cell r="G26">
            <v>9156</v>
          </cell>
        </row>
        <row r="27">
          <cell r="E27">
            <v>3149</v>
          </cell>
          <cell r="G27">
            <v>3283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HD"/>
      <sheetName val="MPD"/>
    </sheetNames>
    <sheetDataSet>
      <sheetData sheetId="0">
        <row r="17">
          <cell r="C17">
            <v>10883</v>
          </cell>
          <cell r="E17">
            <v>124132</v>
          </cell>
        </row>
        <row r="18">
          <cell r="C18">
            <v>836</v>
          </cell>
          <cell r="E18">
            <v>1792</v>
          </cell>
        </row>
        <row r="19">
          <cell r="C19">
            <v>34</v>
          </cell>
          <cell r="E19">
            <v>47</v>
          </cell>
        </row>
        <row r="25">
          <cell r="E25">
            <v>1527</v>
          </cell>
          <cell r="G25">
            <v>15406</v>
          </cell>
        </row>
        <row r="26">
          <cell r="E26">
            <v>5546</v>
          </cell>
          <cell r="G26">
            <v>8296</v>
          </cell>
        </row>
        <row r="27">
          <cell r="E27">
            <v>3473</v>
          </cell>
          <cell r="G27">
            <v>3617</v>
          </cell>
        </row>
      </sheetData>
      <sheetData sheetId="1">
        <row r="16">
          <cell r="C16">
            <v>423</v>
          </cell>
          <cell r="E16">
            <v>36967</v>
          </cell>
        </row>
        <row r="17">
          <cell r="C17">
            <v>72</v>
          </cell>
          <cell r="E17">
            <v>188</v>
          </cell>
        </row>
        <row r="18">
          <cell r="C18">
            <v>13</v>
          </cell>
          <cell r="E18">
            <v>14</v>
          </cell>
        </row>
        <row r="27">
          <cell r="B27">
            <v>841</v>
          </cell>
          <cell r="D27">
            <v>25803</v>
          </cell>
        </row>
        <row r="28">
          <cell r="B28">
            <v>3525</v>
          </cell>
          <cell r="D28">
            <v>6904</v>
          </cell>
        </row>
        <row r="29">
          <cell r="B29">
            <v>12193</v>
          </cell>
          <cell r="D29">
            <v>12194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HD"/>
      <sheetName val="MPD"/>
    </sheetNames>
    <sheetDataSet>
      <sheetData sheetId="0">
        <row r="17">
          <cell r="C17">
            <v>11108</v>
          </cell>
          <cell r="E17">
            <v>124207</v>
          </cell>
        </row>
        <row r="18">
          <cell r="C18">
            <v>843</v>
          </cell>
          <cell r="E18">
            <v>1800</v>
          </cell>
        </row>
        <row r="19">
          <cell r="C19">
            <v>32</v>
          </cell>
          <cell r="E19">
            <v>46</v>
          </cell>
        </row>
        <row r="25">
          <cell r="E25">
            <v>1872</v>
          </cell>
          <cell r="G25">
            <v>18512</v>
          </cell>
        </row>
        <row r="26">
          <cell r="E26">
            <v>6504</v>
          </cell>
          <cell r="G26">
            <v>9695</v>
          </cell>
        </row>
        <row r="27">
          <cell r="E27">
            <v>3949</v>
          </cell>
          <cell r="G27">
            <v>4218</v>
          </cell>
        </row>
      </sheetData>
      <sheetData sheetId="1">
        <row r="17">
          <cell r="D17">
            <v>72</v>
          </cell>
          <cell r="E17">
            <v>188</v>
          </cell>
        </row>
        <row r="18">
          <cell r="D18">
            <v>13</v>
          </cell>
          <cell r="E18">
            <v>14</v>
          </cell>
        </row>
        <row r="27">
          <cell r="C27">
            <v>838</v>
          </cell>
          <cell r="D27">
            <v>25919</v>
          </cell>
          <cell r="F27">
            <v>418</v>
          </cell>
          <cell r="G27">
            <v>36962</v>
          </cell>
        </row>
        <row r="28">
          <cell r="C28">
            <v>3336</v>
          </cell>
          <cell r="D28">
            <v>6590</v>
          </cell>
        </row>
        <row r="29">
          <cell r="C29">
            <v>13362</v>
          </cell>
          <cell r="D29">
            <v>13363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276"/>
  <sheetViews>
    <sheetView view="pageBreakPreview" zoomScale="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Z15" sqref="Z15"/>
    </sheetView>
  </sheetViews>
  <sheetFormatPr defaultColWidth="9.140625" defaultRowHeight="12.75"/>
  <cols>
    <col min="1" max="1" width="10.140625" style="0" customWidth="1"/>
    <col min="2" max="2" width="16.140625" style="0" customWidth="1"/>
    <col min="3" max="3" width="10.00390625" style="0" customWidth="1"/>
    <col min="4" max="4" width="18.57421875" style="0" customWidth="1"/>
    <col min="5" max="5" width="10.00390625" style="0" customWidth="1"/>
    <col min="6" max="6" width="8.28125" style="0" customWidth="1"/>
    <col min="7" max="7" width="18.57421875" style="0" customWidth="1"/>
    <col min="8" max="8" width="8.140625" style="0" customWidth="1"/>
    <col min="9" max="9" width="11.140625" style="0" customWidth="1"/>
    <col min="10" max="10" width="15.421875" style="0" customWidth="1"/>
    <col min="11" max="11" width="8.57421875" style="0" customWidth="1"/>
    <col min="12" max="12" width="7.140625" style="0" customWidth="1"/>
    <col min="13" max="13" width="18.57421875" style="0" customWidth="1"/>
    <col min="14" max="14" width="10.140625" style="0" customWidth="1"/>
    <col min="15" max="15" width="7.140625" style="0" customWidth="1"/>
    <col min="16" max="16" width="18.57421875" style="0" customWidth="1"/>
    <col min="17" max="17" width="7.140625" style="0" customWidth="1"/>
    <col min="18" max="18" width="12.57421875" style="0" customWidth="1"/>
    <col min="19" max="19" width="18.57421875" style="0" customWidth="1"/>
    <col min="20" max="20" width="6.421875" style="0" customWidth="1"/>
    <col min="21" max="21" width="12.421875" style="0" customWidth="1"/>
    <col min="22" max="22" width="18.57421875" style="0" customWidth="1"/>
    <col min="23" max="23" width="9.140625" style="0" customWidth="1"/>
    <col min="24" max="24" width="7.140625" style="0" customWidth="1"/>
    <col min="25" max="25" width="18.57421875" style="0" customWidth="1"/>
    <col min="26" max="26" width="6.421875" style="0" customWidth="1"/>
    <col min="27" max="27" width="7.140625" style="0" customWidth="1"/>
    <col min="28" max="28" width="18.57421875" style="0" customWidth="1"/>
    <col min="29" max="29" width="6.421875" style="0" customWidth="1"/>
    <col min="30" max="30" width="12.57421875" style="0" customWidth="1"/>
    <col min="31" max="31" width="18.57421875" style="0" customWidth="1"/>
    <col min="32" max="32" width="6.421875" style="0" customWidth="1"/>
    <col min="33" max="33" width="7.140625" style="0" customWidth="1"/>
    <col min="34" max="34" width="18.57421875" style="0" customWidth="1"/>
    <col min="35" max="35" width="6.421875" style="0" customWidth="1"/>
    <col min="36" max="36" width="7.140625" style="0" customWidth="1"/>
    <col min="37" max="37" width="18.57421875" style="0" customWidth="1"/>
    <col min="38" max="38" width="12.00390625" style="0" bestFit="1" customWidth="1"/>
    <col min="39" max="41" width="12.00390625" style="0" customWidth="1"/>
    <col min="42" max="42" width="11.8515625" style="0" customWidth="1"/>
    <col min="43" max="43" width="14.421875" style="0" bestFit="1" customWidth="1"/>
    <col min="44" max="44" width="10.421875" style="0" customWidth="1"/>
    <col min="45" max="45" width="16.140625" style="0" bestFit="1" customWidth="1"/>
    <col min="46" max="46" width="11.28125" style="0" customWidth="1"/>
  </cols>
  <sheetData>
    <row r="1" spans="1:20" ht="15.75" thickBot="1">
      <c r="A1" s="149" t="s">
        <v>23</v>
      </c>
      <c r="N1" s="183"/>
      <c r="O1" s="183"/>
      <c r="P1" s="183"/>
      <c r="Q1" s="183"/>
      <c r="R1" s="183"/>
      <c r="S1" s="183"/>
      <c r="T1" s="184"/>
    </row>
    <row r="2" spans="1:46" ht="18.75" thickBot="1">
      <c r="A2" s="229" t="s">
        <v>0</v>
      </c>
      <c r="B2" s="221" t="s">
        <v>48</v>
      </c>
      <c r="C2" s="222"/>
      <c r="D2" s="222"/>
      <c r="E2" s="222"/>
      <c r="F2" s="222"/>
      <c r="G2" s="222"/>
      <c r="H2" s="222"/>
      <c r="I2" s="222"/>
      <c r="J2" s="222"/>
      <c r="K2" s="222"/>
      <c r="L2" s="222"/>
      <c r="M2" s="223"/>
      <c r="N2" s="221" t="s">
        <v>14</v>
      </c>
      <c r="O2" s="222"/>
      <c r="P2" s="222"/>
      <c r="Q2" s="222"/>
      <c r="R2" s="222"/>
      <c r="S2" s="222"/>
      <c r="T2" s="222"/>
      <c r="U2" s="222"/>
      <c r="V2" s="222"/>
      <c r="W2" s="222"/>
      <c r="X2" s="222"/>
      <c r="Y2" s="223"/>
      <c r="Z2" s="221" t="s">
        <v>49</v>
      </c>
      <c r="AA2" s="222"/>
      <c r="AB2" s="222"/>
      <c r="AC2" s="222"/>
      <c r="AD2" s="222"/>
      <c r="AE2" s="222"/>
      <c r="AF2" s="222"/>
      <c r="AG2" s="222"/>
      <c r="AH2" s="222"/>
      <c r="AI2" s="222"/>
      <c r="AJ2" s="222"/>
      <c r="AK2" s="223"/>
      <c r="AL2" s="214" t="s">
        <v>2</v>
      </c>
      <c r="AM2" s="215"/>
      <c r="AN2" s="215"/>
      <c r="AO2" s="215"/>
      <c r="AP2" s="216"/>
      <c r="AQ2" s="216"/>
      <c r="AR2" s="216"/>
      <c r="AS2" s="216"/>
      <c r="AT2" s="217"/>
    </row>
    <row r="3" spans="1:46" ht="12.75">
      <c r="A3" s="230"/>
      <c r="B3" s="233" t="s">
        <v>1</v>
      </c>
      <c r="C3" s="234"/>
      <c r="D3" s="234"/>
      <c r="E3" s="211" t="s">
        <v>3</v>
      </c>
      <c r="F3" s="212"/>
      <c r="G3" s="232"/>
      <c r="H3" s="236" t="s">
        <v>4</v>
      </c>
      <c r="I3" s="212"/>
      <c r="J3" s="212"/>
      <c r="K3" s="233" t="s">
        <v>52</v>
      </c>
      <c r="L3" s="212"/>
      <c r="M3" s="213"/>
      <c r="N3" s="233" t="s">
        <v>1</v>
      </c>
      <c r="O3" s="234"/>
      <c r="P3" s="235"/>
      <c r="Q3" s="211" t="s">
        <v>3</v>
      </c>
      <c r="R3" s="212"/>
      <c r="S3" s="232"/>
      <c r="T3" s="211" t="s">
        <v>4</v>
      </c>
      <c r="U3" s="212"/>
      <c r="V3" s="213"/>
      <c r="W3" s="218" t="s">
        <v>22</v>
      </c>
      <c r="X3" s="219"/>
      <c r="Y3" s="220"/>
      <c r="Z3" s="218" t="s">
        <v>1</v>
      </c>
      <c r="AA3" s="216"/>
      <c r="AB3" s="224"/>
      <c r="AC3" s="225" t="s">
        <v>3</v>
      </c>
      <c r="AD3" s="226"/>
      <c r="AE3" s="227"/>
      <c r="AF3" s="225" t="s">
        <v>4</v>
      </c>
      <c r="AG3" s="226"/>
      <c r="AH3" s="228"/>
      <c r="AI3" s="218" t="s">
        <v>51</v>
      </c>
      <c r="AJ3" s="219"/>
      <c r="AK3" s="220"/>
      <c r="AL3" s="218" t="s">
        <v>28</v>
      </c>
      <c r="AM3" s="219"/>
      <c r="AN3" s="219"/>
      <c r="AO3" s="220"/>
      <c r="AP3" s="172"/>
      <c r="AQ3" s="219" t="s">
        <v>29</v>
      </c>
      <c r="AR3" s="219"/>
      <c r="AS3" s="219"/>
      <c r="AT3" s="220"/>
    </row>
    <row r="4" spans="1:46" ht="13.5" customHeight="1">
      <c r="A4" s="231"/>
      <c r="B4" s="163" t="s">
        <v>10</v>
      </c>
      <c r="C4" s="158" t="s">
        <v>8</v>
      </c>
      <c r="D4" s="158" t="s">
        <v>9</v>
      </c>
      <c r="E4" s="164" t="s">
        <v>10</v>
      </c>
      <c r="F4" s="158" t="s">
        <v>8</v>
      </c>
      <c r="G4" s="165" t="s">
        <v>9</v>
      </c>
      <c r="H4" s="158" t="s">
        <v>10</v>
      </c>
      <c r="I4" s="158" t="s">
        <v>8</v>
      </c>
      <c r="J4" s="158" t="s">
        <v>9</v>
      </c>
      <c r="K4" s="157" t="s">
        <v>10</v>
      </c>
      <c r="L4" s="158" t="s">
        <v>8</v>
      </c>
      <c r="M4" s="166" t="s">
        <v>9</v>
      </c>
      <c r="N4" s="157" t="s">
        <v>10</v>
      </c>
      <c r="O4" s="158" t="s">
        <v>8</v>
      </c>
      <c r="P4" s="158" t="s">
        <v>9</v>
      </c>
      <c r="Q4" s="167" t="s">
        <v>10</v>
      </c>
      <c r="R4" s="158" t="s">
        <v>8</v>
      </c>
      <c r="S4" s="165" t="s">
        <v>9</v>
      </c>
      <c r="T4" s="158" t="s">
        <v>10</v>
      </c>
      <c r="U4" s="158" t="s">
        <v>8</v>
      </c>
      <c r="V4" s="166" t="s">
        <v>9</v>
      </c>
      <c r="W4" s="158" t="s">
        <v>10</v>
      </c>
      <c r="X4" s="158" t="s">
        <v>8</v>
      </c>
      <c r="Y4" s="166" t="s">
        <v>9</v>
      </c>
      <c r="Z4" s="157" t="s">
        <v>10</v>
      </c>
      <c r="AA4" s="158" t="s">
        <v>8</v>
      </c>
      <c r="AB4" s="13" t="s">
        <v>9</v>
      </c>
      <c r="AC4" s="167" t="s">
        <v>10</v>
      </c>
      <c r="AD4" s="158" t="s">
        <v>8</v>
      </c>
      <c r="AE4" s="165" t="s">
        <v>9</v>
      </c>
      <c r="AF4" s="158" t="s">
        <v>10</v>
      </c>
      <c r="AG4" s="158" t="s">
        <v>8</v>
      </c>
      <c r="AH4" s="166" t="s">
        <v>9</v>
      </c>
      <c r="AI4" s="157" t="s">
        <v>10</v>
      </c>
      <c r="AJ4" s="158" t="s">
        <v>8</v>
      </c>
      <c r="AK4" s="166" t="s">
        <v>9</v>
      </c>
      <c r="AL4" s="168" t="s">
        <v>26</v>
      </c>
      <c r="AM4" s="169" t="s">
        <v>25</v>
      </c>
      <c r="AN4" s="169" t="s">
        <v>21</v>
      </c>
      <c r="AO4" s="170" t="s">
        <v>27</v>
      </c>
      <c r="AP4" s="163" t="s">
        <v>10</v>
      </c>
      <c r="AQ4" s="169" t="s">
        <v>15</v>
      </c>
      <c r="AR4" s="169" t="s">
        <v>24</v>
      </c>
      <c r="AS4" s="169" t="s">
        <v>25</v>
      </c>
      <c r="AT4" s="170" t="s">
        <v>21</v>
      </c>
    </row>
    <row r="5" spans="1:46" ht="5.25" customHeight="1">
      <c r="A5" s="146"/>
      <c r="B5" s="3"/>
      <c r="C5" s="115"/>
      <c r="D5" s="3"/>
      <c r="E5" s="178"/>
      <c r="F5" s="115"/>
      <c r="G5" s="3"/>
      <c r="H5" s="178"/>
      <c r="I5" s="115"/>
      <c r="J5" s="3"/>
      <c r="K5" s="195"/>
      <c r="L5" s="115"/>
      <c r="M5" s="23"/>
      <c r="N5" s="3"/>
      <c r="O5" s="67"/>
      <c r="P5" s="174"/>
      <c r="Q5" s="68"/>
      <c r="R5" s="67"/>
      <c r="S5" s="40"/>
      <c r="T5" s="68"/>
      <c r="U5" s="67"/>
      <c r="V5" s="40"/>
      <c r="W5" s="63"/>
      <c r="X5" s="67"/>
      <c r="Y5" s="26"/>
      <c r="Z5" s="3"/>
      <c r="AA5" s="115"/>
      <c r="AB5" s="40"/>
      <c r="AC5" s="3"/>
      <c r="AD5" s="115"/>
      <c r="AE5" s="40"/>
      <c r="AF5" s="3"/>
      <c r="AG5" s="7"/>
      <c r="AH5" s="3"/>
      <c r="AI5" s="41"/>
      <c r="AJ5" s="7"/>
      <c r="AK5" s="44"/>
      <c r="AL5" s="117"/>
      <c r="AM5" s="115"/>
      <c r="AN5" s="7"/>
      <c r="AO5" s="171"/>
      <c r="AP5" s="63"/>
      <c r="AQ5" s="3"/>
      <c r="AR5" s="116"/>
      <c r="AS5" s="3"/>
      <c r="AT5" s="26"/>
    </row>
    <row r="6" spans="1:46" ht="14.25" customHeight="1">
      <c r="A6" s="208"/>
      <c r="B6" s="3"/>
      <c r="C6" s="115"/>
      <c r="D6" s="3"/>
      <c r="E6" s="178"/>
      <c r="F6" s="115"/>
      <c r="G6" s="3"/>
      <c r="H6" s="178"/>
      <c r="I6" s="115"/>
      <c r="J6" s="3"/>
      <c r="K6" s="195"/>
      <c r="L6" s="115"/>
      <c r="M6" s="23"/>
      <c r="N6" s="3"/>
      <c r="O6" s="67"/>
      <c r="P6" s="174"/>
      <c r="Q6" s="68"/>
      <c r="R6" s="67"/>
      <c r="S6" s="40"/>
      <c r="T6" s="68"/>
      <c r="U6" s="67"/>
      <c r="V6" s="40"/>
      <c r="W6" s="63"/>
      <c r="X6" s="67"/>
      <c r="Y6" s="26"/>
      <c r="Z6" s="3"/>
      <c r="AA6" s="115"/>
      <c r="AB6" s="40"/>
      <c r="AC6" s="3"/>
      <c r="AD6" s="115"/>
      <c r="AE6" s="40"/>
      <c r="AF6" s="3"/>
      <c r="AG6" s="7"/>
      <c r="AH6" s="3"/>
      <c r="AI6" s="41"/>
      <c r="AJ6" s="7"/>
      <c r="AK6" s="44"/>
      <c r="AL6" s="117" t="e">
        <f>(B6+N6+Z6)/AR6</f>
        <v>#DIV/0!</v>
      </c>
      <c r="AM6" s="115" t="e">
        <f>(E6+Q6+AC6)/AS6</f>
        <v>#DIV/0!</v>
      </c>
      <c r="AN6" s="7" t="e">
        <f>(H6+T6+AF6)/AT6</f>
        <v>#DIV/0!</v>
      </c>
      <c r="AO6" s="171" t="e">
        <f>AP6/AQ6</f>
        <v>#DIV/0!</v>
      </c>
      <c r="AP6" s="63">
        <f>AF6+AC6+Z6+T6+Q6+N6+H6+E6+B6</f>
        <v>0</v>
      </c>
      <c r="AQ6" s="3">
        <f>AH6+AF6+AE6+AC6+Z6+AB6+V6+T6+S6+Q6+P6+J6+H6+G6+E6+D6+B6</f>
        <v>0</v>
      </c>
      <c r="AR6" s="116">
        <f>+D6+P6+AB6</f>
        <v>0</v>
      </c>
      <c r="AS6" s="3">
        <f>G6+S6+AE6</f>
        <v>0</v>
      </c>
      <c r="AT6" s="26">
        <f>J6+V6+AH6</f>
        <v>0</v>
      </c>
    </row>
    <row r="7" spans="1:46" ht="14.25" customHeight="1">
      <c r="A7" s="208"/>
      <c r="B7" s="3"/>
      <c r="C7" s="115"/>
      <c r="D7" s="3"/>
      <c r="E7" s="178"/>
      <c r="F7" s="115"/>
      <c r="G7" s="3"/>
      <c r="H7" s="178"/>
      <c r="I7" s="115"/>
      <c r="J7" s="3"/>
      <c r="K7" s="195"/>
      <c r="L7" s="115"/>
      <c r="M7" s="23"/>
      <c r="N7" s="3"/>
      <c r="O7" s="67"/>
      <c r="P7" s="174"/>
      <c r="Q7" s="68"/>
      <c r="R7" s="67"/>
      <c r="S7" s="40"/>
      <c r="T7" s="68"/>
      <c r="U7" s="67"/>
      <c r="V7" s="40"/>
      <c r="W7" s="63"/>
      <c r="X7" s="67"/>
      <c r="Y7" s="26"/>
      <c r="Z7" s="3"/>
      <c r="AA7" s="115"/>
      <c r="AB7" s="40"/>
      <c r="AC7" s="3"/>
      <c r="AD7" s="115"/>
      <c r="AE7" s="40"/>
      <c r="AF7" s="3"/>
      <c r="AG7" s="7"/>
      <c r="AH7" s="3"/>
      <c r="AI7" s="41"/>
      <c r="AJ7" s="7"/>
      <c r="AK7" s="44"/>
      <c r="AL7" s="117" t="e">
        <f aca="true" t="shared" si="0" ref="AL7:AL23">(B7+N7+Z7)/AR7</f>
        <v>#DIV/0!</v>
      </c>
      <c r="AM7" s="115" t="e">
        <f aca="true" t="shared" si="1" ref="AM7:AM23">(E7+Q7+AC7)/AS7</f>
        <v>#DIV/0!</v>
      </c>
      <c r="AN7" s="7" t="e">
        <f aca="true" t="shared" si="2" ref="AN7:AN23">(H7+T7+AF7)/AT7</f>
        <v>#DIV/0!</v>
      </c>
      <c r="AO7" s="171" t="e">
        <f aca="true" t="shared" si="3" ref="AO7:AO23">AP7/AQ7</f>
        <v>#DIV/0!</v>
      </c>
      <c r="AP7" s="63">
        <f aca="true" t="shared" si="4" ref="AP7:AP23">AF7+AC7+Z7+T7+Q7+N7+H7+E7+B7</f>
        <v>0</v>
      </c>
      <c r="AQ7" s="3">
        <f aca="true" t="shared" si="5" ref="AQ7:AQ23">AH7+AF7+AE7+AC7+Z7+AB7+V7+T7+S7+Q7+P7+J7+H7+G7+E7+D7+B7</f>
        <v>0</v>
      </c>
      <c r="AR7" s="116">
        <f aca="true" t="shared" si="6" ref="AR7:AR23">+D7+P7+AB7</f>
        <v>0</v>
      </c>
      <c r="AS7" s="3">
        <f aca="true" t="shared" si="7" ref="AS7:AS23">G7+S7+AE7</f>
        <v>0</v>
      </c>
      <c r="AT7" s="26">
        <f aca="true" t="shared" si="8" ref="AT7:AT23">J7+V7+AH7</f>
        <v>0</v>
      </c>
    </row>
    <row r="8" spans="1:46" ht="14.25" customHeight="1">
      <c r="A8" s="208"/>
      <c r="B8" s="3"/>
      <c r="C8" s="115"/>
      <c r="D8" s="3"/>
      <c r="E8" s="178"/>
      <c r="F8" s="115"/>
      <c r="G8" s="3"/>
      <c r="H8" s="178"/>
      <c r="I8" s="115"/>
      <c r="J8" s="3"/>
      <c r="K8" s="195"/>
      <c r="L8" s="115"/>
      <c r="M8" s="23"/>
      <c r="N8" s="3"/>
      <c r="O8" s="67"/>
      <c r="P8" s="174"/>
      <c r="Q8" s="68"/>
      <c r="R8" s="67"/>
      <c r="S8" s="40"/>
      <c r="T8" s="68"/>
      <c r="U8" s="67"/>
      <c r="V8" s="40"/>
      <c r="W8" s="63"/>
      <c r="X8" s="67"/>
      <c r="Y8" s="26"/>
      <c r="Z8" s="3"/>
      <c r="AA8" s="115"/>
      <c r="AB8" s="40"/>
      <c r="AC8" s="3"/>
      <c r="AD8" s="115"/>
      <c r="AE8" s="40"/>
      <c r="AF8" s="3"/>
      <c r="AG8" s="7"/>
      <c r="AH8" s="3"/>
      <c r="AI8" s="41"/>
      <c r="AJ8" s="7"/>
      <c r="AK8" s="44"/>
      <c r="AL8" s="117" t="e">
        <f t="shared" si="0"/>
        <v>#DIV/0!</v>
      </c>
      <c r="AM8" s="115" t="e">
        <f t="shared" si="1"/>
        <v>#DIV/0!</v>
      </c>
      <c r="AN8" s="7" t="e">
        <f t="shared" si="2"/>
        <v>#DIV/0!</v>
      </c>
      <c r="AO8" s="171" t="e">
        <f t="shared" si="3"/>
        <v>#DIV/0!</v>
      </c>
      <c r="AP8" s="63">
        <f t="shared" si="4"/>
        <v>0</v>
      </c>
      <c r="AQ8" s="3">
        <f t="shared" si="5"/>
        <v>0</v>
      </c>
      <c r="AR8" s="116">
        <f t="shared" si="6"/>
        <v>0</v>
      </c>
      <c r="AS8" s="3">
        <f t="shared" si="7"/>
        <v>0</v>
      </c>
      <c r="AT8" s="26">
        <f t="shared" si="8"/>
        <v>0</v>
      </c>
    </row>
    <row r="9" spans="1:46" ht="14.25" customHeight="1">
      <c r="A9" s="208"/>
      <c r="B9" s="3"/>
      <c r="C9" s="115"/>
      <c r="D9" s="3"/>
      <c r="E9" s="178"/>
      <c r="F9" s="115"/>
      <c r="G9" s="3"/>
      <c r="H9" s="178"/>
      <c r="I9" s="115"/>
      <c r="J9" s="3"/>
      <c r="K9" s="195"/>
      <c r="L9" s="115"/>
      <c r="M9" s="23"/>
      <c r="N9" s="3"/>
      <c r="O9" s="67"/>
      <c r="P9" s="174"/>
      <c r="Q9" s="68"/>
      <c r="R9" s="67"/>
      <c r="S9" s="40"/>
      <c r="T9" s="68"/>
      <c r="U9" s="67"/>
      <c r="V9" s="40"/>
      <c r="W9" s="63"/>
      <c r="X9" s="67"/>
      <c r="Y9" s="26"/>
      <c r="Z9" s="3"/>
      <c r="AA9" s="115"/>
      <c r="AB9" s="40"/>
      <c r="AC9" s="3"/>
      <c r="AD9" s="115"/>
      <c r="AE9" s="40"/>
      <c r="AF9" s="3"/>
      <c r="AG9" s="7"/>
      <c r="AH9" s="3"/>
      <c r="AI9" s="41"/>
      <c r="AJ9" s="7"/>
      <c r="AK9" s="44"/>
      <c r="AL9" s="117" t="e">
        <f t="shared" si="0"/>
        <v>#DIV/0!</v>
      </c>
      <c r="AM9" s="115" t="e">
        <f t="shared" si="1"/>
        <v>#DIV/0!</v>
      </c>
      <c r="AN9" s="7" t="e">
        <f t="shared" si="2"/>
        <v>#DIV/0!</v>
      </c>
      <c r="AO9" s="171" t="e">
        <f t="shared" si="3"/>
        <v>#DIV/0!</v>
      </c>
      <c r="AP9" s="63">
        <f t="shared" si="4"/>
        <v>0</v>
      </c>
      <c r="AQ9" s="3">
        <f t="shared" si="5"/>
        <v>0</v>
      </c>
      <c r="AR9" s="116">
        <f t="shared" si="6"/>
        <v>0</v>
      </c>
      <c r="AS9" s="3">
        <f t="shared" si="7"/>
        <v>0</v>
      </c>
      <c r="AT9" s="26">
        <f t="shared" si="8"/>
        <v>0</v>
      </c>
    </row>
    <row r="10" spans="1:46" ht="14.25" customHeight="1">
      <c r="A10" s="208"/>
      <c r="B10" s="3"/>
      <c r="C10" s="115"/>
      <c r="D10" s="3"/>
      <c r="E10" s="178"/>
      <c r="F10" s="115"/>
      <c r="G10" s="3"/>
      <c r="H10" s="178"/>
      <c r="I10" s="115"/>
      <c r="J10" s="3"/>
      <c r="K10" s="195"/>
      <c r="L10" s="115"/>
      <c r="M10" s="23"/>
      <c r="N10" s="3"/>
      <c r="O10" s="67"/>
      <c r="P10" s="174"/>
      <c r="Q10" s="68"/>
      <c r="R10" s="67"/>
      <c r="S10" s="40"/>
      <c r="T10" s="68"/>
      <c r="U10" s="67"/>
      <c r="V10" s="40"/>
      <c r="W10" s="63"/>
      <c r="X10" s="67"/>
      <c r="Y10" s="26"/>
      <c r="Z10" s="3"/>
      <c r="AA10" s="115"/>
      <c r="AB10" s="40"/>
      <c r="AC10" s="3"/>
      <c r="AD10" s="115"/>
      <c r="AE10" s="40"/>
      <c r="AF10" s="3"/>
      <c r="AG10" s="7"/>
      <c r="AH10" s="3"/>
      <c r="AI10" s="41"/>
      <c r="AJ10" s="7"/>
      <c r="AK10" s="44"/>
      <c r="AL10" s="117" t="e">
        <f t="shared" si="0"/>
        <v>#DIV/0!</v>
      </c>
      <c r="AM10" s="115" t="e">
        <f t="shared" si="1"/>
        <v>#DIV/0!</v>
      </c>
      <c r="AN10" s="7" t="e">
        <f t="shared" si="2"/>
        <v>#DIV/0!</v>
      </c>
      <c r="AO10" s="171" t="e">
        <f t="shared" si="3"/>
        <v>#DIV/0!</v>
      </c>
      <c r="AP10" s="63">
        <f t="shared" si="4"/>
        <v>0</v>
      </c>
      <c r="AQ10" s="3">
        <f t="shared" si="5"/>
        <v>0</v>
      </c>
      <c r="AR10" s="116">
        <f t="shared" si="6"/>
        <v>0</v>
      </c>
      <c r="AS10" s="3">
        <f t="shared" si="7"/>
        <v>0</v>
      </c>
      <c r="AT10" s="26">
        <f t="shared" si="8"/>
        <v>0</v>
      </c>
    </row>
    <row r="11" spans="1:46" ht="14.25" customHeight="1">
      <c r="A11" s="208">
        <v>44561</v>
      </c>
      <c r="B11" s="4">
        <v>10772</v>
      </c>
      <c r="C11" s="247">
        <v>0.07986713525216127</v>
      </c>
      <c r="D11" s="4">
        <v>134874</v>
      </c>
      <c r="E11" s="187">
        <v>762</v>
      </c>
      <c r="F11" s="188">
        <v>0.507323568575233</v>
      </c>
      <c r="G11" s="4">
        <v>1502</v>
      </c>
      <c r="H11" s="187">
        <v>36</v>
      </c>
      <c r="I11" s="188">
        <v>0.6666666666666666</v>
      </c>
      <c r="J11" s="4">
        <v>54</v>
      </c>
      <c r="K11" s="209">
        <v>11570</v>
      </c>
      <c r="L11" s="188">
        <v>0.08480539470790882</v>
      </c>
      <c r="M11" s="50">
        <v>136430</v>
      </c>
      <c r="N11" s="3">
        <v>73395</v>
      </c>
      <c r="O11" s="67">
        <v>0.11422386289712616</v>
      </c>
      <c r="P11" s="174">
        <v>642554</v>
      </c>
      <c r="Q11" s="68">
        <v>5166</v>
      </c>
      <c r="R11" s="67">
        <v>0.4639008620689655</v>
      </c>
      <c r="S11" s="40">
        <v>11136</v>
      </c>
      <c r="T11" s="68">
        <v>355</v>
      </c>
      <c r="U11" s="67">
        <v>0.8787128712871287</v>
      </c>
      <c r="V11" s="40">
        <v>404</v>
      </c>
      <c r="W11" s="63">
        <v>78916</v>
      </c>
      <c r="X11" s="67">
        <v>0.1206493256320957</v>
      </c>
      <c r="Y11" s="26">
        <v>654094</v>
      </c>
      <c r="Z11" s="4">
        <v>459</v>
      </c>
      <c r="AA11" s="247">
        <v>0.012067514985802923</v>
      </c>
      <c r="AB11" s="248">
        <v>38036</v>
      </c>
      <c r="AC11" s="4">
        <v>55</v>
      </c>
      <c r="AD11" s="188">
        <v>0.35714285714285715</v>
      </c>
      <c r="AE11" s="248">
        <v>154</v>
      </c>
      <c r="AF11" s="4">
        <v>15</v>
      </c>
      <c r="AG11" s="67">
        <v>0.8333333333333334</v>
      </c>
      <c r="AH11" s="4">
        <v>18</v>
      </c>
      <c r="AI11" s="249">
        <v>529</v>
      </c>
      <c r="AJ11" s="67">
        <v>0.013845268006700167</v>
      </c>
      <c r="AK11" s="85">
        <v>38208</v>
      </c>
      <c r="AL11" s="117">
        <f t="shared" si="0"/>
        <v>0.10377650025016433</v>
      </c>
      <c r="AM11" s="115">
        <f t="shared" si="1"/>
        <v>0.467714196372733</v>
      </c>
      <c r="AN11" s="7">
        <f t="shared" si="2"/>
        <v>0.8529411764705882</v>
      </c>
      <c r="AO11" s="171">
        <f t="shared" si="3"/>
        <v>0.10753799837419892</v>
      </c>
      <c r="AP11" s="63">
        <f t="shared" si="4"/>
        <v>91015</v>
      </c>
      <c r="AQ11" s="3">
        <f t="shared" si="5"/>
        <v>846352</v>
      </c>
      <c r="AR11" s="116">
        <f t="shared" si="6"/>
        <v>815464</v>
      </c>
      <c r="AS11" s="3">
        <f t="shared" si="7"/>
        <v>12792</v>
      </c>
      <c r="AT11" s="26">
        <f t="shared" si="8"/>
        <v>476</v>
      </c>
    </row>
    <row r="12" spans="1:46" ht="14.25" customHeight="1">
      <c r="A12" s="208">
        <v>44530</v>
      </c>
      <c r="B12" s="4">
        <v>10859</v>
      </c>
      <c r="C12" s="247">
        <v>0.08045670423140472</v>
      </c>
      <c r="D12" s="4">
        <v>134967</v>
      </c>
      <c r="E12" s="187">
        <v>761</v>
      </c>
      <c r="F12" s="188">
        <v>0.5093708165997323</v>
      </c>
      <c r="G12" s="4">
        <v>1494</v>
      </c>
      <c r="H12" s="187">
        <v>36</v>
      </c>
      <c r="I12" s="188">
        <v>0.6545454545454545</v>
      </c>
      <c r="J12" s="4">
        <v>55</v>
      </c>
      <c r="K12" s="209">
        <v>11656</v>
      </c>
      <c r="L12" s="188">
        <v>0.08538193325324504</v>
      </c>
      <c r="M12" s="50">
        <v>136516</v>
      </c>
      <c r="N12" s="3">
        <v>70988</v>
      </c>
      <c r="O12" s="67">
        <v>0.11634802133953961</v>
      </c>
      <c r="P12" s="174">
        <v>610135</v>
      </c>
      <c r="Q12" s="68">
        <v>4940</v>
      </c>
      <c r="R12" s="67">
        <v>0.46709531013615735</v>
      </c>
      <c r="S12" s="40">
        <v>10576</v>
      </c>
      <c r="T12" s="68">
        <v>324</v>
      </c>
      <c r="U12" s="67">
        <v>0.8663101604278075</v>
      </c>
      <c r="V12" s="40">
        <v>374</v>
      </c>
      <c r="W12" s="63">
        <v>76252</v>
      </c>
      <c r="X12" s="67">
        <v>0.12277224534484008</v>
      </c>
      <c r="Y12" s="26">
        <v>621085</v>
      </c>
      <c r="Z12" s="4">
        <v>459</v>
      </c>
      <c r="AA12" s="247">
        <v>0.012052938396092642</v>
      </c>
      <c r="AB12" s="248">
        <v>38082</v>
      </c>
      <c r="AC12" s="4">
        <v>57</v>
      </c>
      <c r="AD12" s="188">
        <v>0.37012987012987014</v>
      </c>
      <c r="AE12" s="248">
        <v>154</v>
      </c>
      <c r="AF12" s="4">
        <v>15</v>
      </c>
      <c r="AG12" s="67">
        <v>0.8333333333333334</v>
      </c>
      <c r="AH12" s="4">
        <v>18</v>
      </c>
      <c r="AI12" s="249">
        <v>531</v>
      </c>
      <c r="AJ12" s="67">
        <v>0.013880901343650337</v>
      </c>
      <c r="AK12" s="85">
        <v>38254</v>
      </c>
      <c r="AL12" s="117">
        <f t="shared" si="0"/>
        <v>0.10509152383092607</v>
      </c>
      <c r="AM12" s="115">
        <f t="shared" si="1"/>
        <v>0.4710405759162304</v>
      </c>
      <c r="AN12" s="7">
        <f t="shared" si="2"/>
        <v>0.8389261744966443</v>
      </c>
      <c r="AO12" s="171">
        <f t="shared" si="3"/>
        <v>0.10874012979124709</v>
      </c>
      <c r="AP12" s="63">
        <f t="shared" si="4"/>
        <v>88439</v>
      </c>
      <c r="AQ12" s="3">
        <f t="shared" si="5"/>
        <v>813306</v>
      </c>
      <c r="AR12" s="116">
        <f t="shared" si="6"/>
        <v>783184</v>
      </c>
      <c r="AS12" s="3">
        <f t="shared" si="7"/>
        <v>12224</v>
      </c>
      <c r="AT12" s="26">
        <f t="shared" si="8"/>
        <v>447</v>
      </c>
    </row>
    <row r="13" spans="1:46" ht="14.25" customHeight="1">
      <c r="A13" s="208">
        <v>44500</v>
      </c>
      <c r="B13" s="4">
        <v>11121</v>
      </c>
      <c r="C13" s="247">
        <v>0.08232167707932372</v>
      </c>
      <c r="D13" s="4">
        <v>135092</v>
      </c>
      <c r="E13" s="187">
        <v>784</v>
      </c>
      <c r="F13" s="188">
        <v>0.509090909090909</v>
      </c>
      <c r="G13" s="4">
        <v>1540</v>
      </c>
      <c r="H13" s="187">
        <v>36</v>
      </c>
      <c r="I13" s="188">
        <v>0.6545454545454545</v>
      </c>
      <c r="J13" s="4">
        <v>55</v>
      </c>
      <c r="K13" s="209">
        <v>11941</v>
      </c>
      <c r="L13" s="188">
        <v>0.08736017324251757</v>
      </c>
      <c r="M13" s="50">
        <v>136687</v>
      </c>
      <c r="N13" s="3">
        <v>72773</v>
      </c>
      <c r="O13" s="67">
        <v>0.1185583301836381</v>
      </c>
      <c r="P13" s="174">
        <v>613816</v>
      </c>
      <c r="Q13" s="68">
        <v>4961</v>
      </c>
      <c r="R13" s="67">
        <v>0.4722513089005236</v>
      </c>
      <c r="S13" s="40">
        <v>10505</v>
      </c>
      <c r="T13" s="68">
        <v>323</v>
      </c>
      <c r="U13" s="67">
        <v>0.8825136612021858</v>
      </c>
      <c r="V13" s="40">
        <v>366</v>
      </c>
      <c r="W13" s="63">
        <v>78057</v>
      </c>
      <c r="X13" s="67">
        <v>0.1249537768514472</v>
      </c>
      <c r="Y13" s="26">
        <v>624687</v>
      </c>
      <c r="Z13" s="4">
        <v>461</v>
      </c>
      <c r="AA13" s="247">
        <v>0.012115318914088985</v>
      </c>
      <c r="AB13" s="248">
        <v>38051</v>
      </c>
      <c r="AC13" s="4">
        <v>56</v>
      </c>
      <c r="AD13" s="188">
        <v>0.36363636363636365</v>
      </c>
      <c r="AE13" s="248">
        <v>154</v>
      </c>
      <c r="AF13" s="4">
        <v>15</v>
      </c>
      <c r="AG13" s="67">
        <v>0.8333333333333334</v>
      </c>
      <c r="AH13" s="4">
        <v>18</v>
      </c>
      <c r="AI13" s="249">
        <v>532</v>
      </c>
      <c r="AJ13" s="67">
        <v>0.013918321429505795</v>
      </c>
      <c r="AK13" s="85">
        <v>38223</v>
      </c>
      <c r="AL13" s="117">
        <f t="shared" si="0"/>
        <v>0.10719109890095926</v>
      </c>
      <c r="AM13" s="115">
        <f t="shared" si="1"/>
        <v>0.4755307812115747</v>
      </c>
      <c r="AN13" s="7">
        <f t="shared" si="2"/>
        <v>0.8519362186788155</v>
      </c>
      <c r="AO13" s="171">
        <f t="shared" si="3"/>
        <v>0.11075984212470974</v>
      </c>
      <c r="AP13" s="63">
        <f t="shared" si="4"/>
        <v>90530</v>
      </c>
      <c r="AQ13" s="3">
        <f t="shared" si="5"/>
        <v>817354</v>
      </c>
      <c r="AR13" s="116">
        <f t="shared" si="6"/>
        <v>786959</v>
      </c>
      <c r="AS13" s="3">
        <f t="shared" si="7"/>
        <v>12199</v>
      </c>
      <c r="AT13" s="26">
        <f t="shared" si="8"/>
        <v>439</v>
      </c>
    </row>
    <row r="14" spans="1:46" ht="14.25" customHeight="1">
      <c r="A14" s="208">
        <v>44469</v>
      </c>
      <c r="B14" s="4">
        <v>11228</v>
      </c>
      <c r="C14" s="247">
        <v>0.08287631293410787</v>
      </c>
      <c r="D14" s="4">
        <v>135479</v>
      </c>
      <c r="E14" s="187">
        <v>822</v>
      </c>
      <c r="F14" s="188">
        <v>0.5111940298507462</v>
      </c>
      <c r="G14" s="4">
        <v>1608</v>
      </c>
      <c r="H14" s="187">
        <v>35</v>
      </c>
      <c r="I14" s="188">
        <v>0.6363636363636364</v>
      </c>
      <c r="J14" s="4">
        <v>55</v>
      </c>
      <c r="K14" s="209">
        <v>12085</v>
      </c>
      <c r="L14" s="188">
        <v>0.08812034241880679</v>
      </c>
      <c r="M14" s="50">
        <v>137142</v>
      </c>
      <c r="N14" s="3">
        <v>76326</v>
      </c>
      <c r="O14" s="67">
        <v>0.11960267204460302</v>
      </c>
      <c r="P14" s="174">
        <v>638163</v>
      </c>
      <c r="Q14" s="68">
        <v>5276</v>
      </c>
      <c r="R14" s="67">
        <v>0.47454578161539845</v>
      </c>
      <c r="S14" s="40">
        <v>11118</v>
      </c>
      <c r="T14" s="68">
        <v>331</v>
      </c>
      <c r="U14" s="67">
        <v>0.8921832884097035</v>
      </c>
      <c r="V14" s="40">
        <v>371</v>
      </c>
      <c r="W14" s="63">
        <v>81933</v>
      </c>
      <c r="X14" s="67">
        <v>0.1261182910235018</v>
      </c>
      <c r="Y14" s="26">
        <v>649652</v>
      </c>
      <c r="Z14" s="4">
        <v>457</v>
      </c>
      <c r="AA14" s="247">
        <v>0.012002311167139405</v>
      </c>
      <c r="AB14" s="248">
        <v>38076</v>
      </c>
      <c r="AC14" s="4">
        <v>69</v>
      </c>
      <c r="AD14" s="188">
        <v>0.3520408163265306</v>
      </c>
      <c r="AE14" s="248">
        <v>196</v>
      </c>
      <c r="AF14" s="4">
        <v>15</v>
      </c>
      <c r="AG14" s="67">
        <v>0.8333333333333334</v>
      </c>
      <c r="AH14" s="4">
        <v>18</v>
      </c>
      <c r="AI14" s="249">
        <v>541</v>
      </c>
      <c r="AJ14" s="67">
        <v>0.014129015408722904</v>
      </c>
      <c r="AK14" s="85">
        <v>38290</v>
      </c>
      <c r="AL14" s="117">
        <f t="shared" si="0"/>
        <v>0.10842558622575821</v>
      </c>
      <c r="AM14" s="115">
        <f t="shared" si="1"/>
        <v>0.4772481040086674</v>
      </c>
      <c r="AN14" s="7">
        <f t="shared" si="2"/>
        <v>0.8581081081081081</v>
      </c>
      <c r="AO14" s="171">
        <f t="shared" si="3"/>
        <v>0.11212746808139762</v>
      </c>
      <c r="AP14" s="63">
        <f t="shared" si="4"/>
        <v>94559</v>
      </c>
      <c r="AQ14" s="3">
        <f t="shared" si="5"/>
        <v>843317</v>
      </c>
      <c r="AR14" s="116">
        <f t="shared" si="6"/>
        <v>811718</v>
      </c>
      <c r="AS14" s="3">
        <f t="shared" si="7"/>
        <v>12922</v>
      </c>
      <c r="AT14" s="26">
        <f t="shared" si="8"/>
        <v>444</v>
      </c>
    </row>
    <row r="15" spans="1:46" ht="14.25" customHeight="1">
      <c r="A15" s="208">
        <v>44439</v>
      </c>
      <c r="B15" s="3">
        <v>11246</v>
      </c>
      <c r="C15" s="115">
        <v>0.083</v>
      </c>
      <c r="D15" s="3">
        <v>135353</v>
      </c>
      <c r="E15" s="178">
        <v>782</v>
      </c>
      <c r="F15" s="115">
        <v>0.507</v>
      </c>
      <c r="G15" s="3">
        <v>1543</v>
      </c>
      <c r="H15" s="178">
        <v>37</v>
      </c>
      <c r="I15" s="115">
        <v>0.627</v>
      </c>
      <c r="J15" s="3">
        <v>59</v>
      </c>
      <c r="K15" s="195">
        <v>12065</v>
      </c>
      <c r="L15" s="115">
        <v>0.088</v>
      </c>
      <c r="M15" s="23">
        <v>136955</v>
      </c>
      <c r="N15" s="3">
        <v>77050</v>
      </c>
      <c r="O15" s="67">
        <v>0.1203610989179217</v>
      </c>
      <c r="P15" s="174">
        <v>640157</v>
      </c>
      <c r="Q15" s="68">
        <v>5331</v>
      </c>
      <c r="R15" s="67">
        <v>0.4754303041112994</v>
      </c>
      <c r="S15" s="40">
        <v>11213</v>
      </c>
      <c r="T15" s="68">
        <v>337</v>
      </c>
      <c r="U15" s="67">
        <v>0.8730569948186528</v>
      </c>
      <c r="V15" s="40">
        <v>386</v>
      </c>
      <c r="W15" s="63">
        <v>82718</v>
      </c>
      <c r="X15" s="67">
        <v>0.12691559417941684</v>
      </c>
      <c r="Y15" s="26">
        <v>651756</v>
      </c>
      <c r="Z15" s="4">
        <v>441</v>
      </c>
      <c r="AA15" s="247">
        <v>0.011588185831406349</v>
      </c>
      <c r="AB15" s="248">
        <v>38056</v>
      </c>
      <c r="AC15" s="4">
        <v>123</v>
      </c>
      <c r="AD15" s="188">
        <v>0.6180904522613065</v>
      </c>
      <c r="AE15" s="248">
        <v>199</v>
      </c>
      <c r="AF15" s="4">
        <v>14</v>
      </c>
      <c r="AG15" s="67">
        <v>0.875</v>
      </c>
      <c r="AH15" s="4">
        <v>16</v>
      </c>
      <c r="AI15" s="249">
        <v>578</v>
      </c>
      <c r="AJ15" s="67">
        <v>0.015102819367144835</v>
      </c>
      <c r="AK15" s="85">
        <v>38271</v>
      </c>
      <c r="AL15" s="117">
        <f t="shared" si="0"/>
        <v>0.10907166720339838</v>
      </c>
      <c r="AM15" s="115">
        <f t="shared" si="1"/>
        <v>0.48135854882284834</v>
      </c>
      <c r="AN15" s="7">
        <f t="shared" si="2"/>
        <v>0.841648590021692</v>
      </c>
      <c r="AO15" s="171">
        <f t="shared" si="3"/>
        <v>0.11281413663664552</v>
      </c>
      <c r="AP15" s="63">
        <f t="shared" si="4"/>
        <v>95361</v>
      </c>
      <c r="AQ15" s="3">
        <f t="shared" si="5"/>
        <v>845293</v>
      </c>
      <c r="AR15" s="116">
        <f t="shared" si="6"/>
        <v>813566</v>
      </c>
      <c r="AS15" s="3">
        <f t="shared" si="7"/>
        <v>12955</v>
      </c>
      <c r="AT15" s="26">
        <f t="shared" si="8"/>
        <v>461</v>
      </c>
    </row>
    <row r="16" spans="1:46" ht="14.25" customHeight="1">
      <c r="A16" s="208">
        <v>44378</v>
      </c>
      <c r="B16" s="3">
        <v>11399</v>
      </c>
      <c r="C16" s="115">
        <v>0.08412732385218862</v>
      </c>
      <c r="D16" s="3">
        <v>135497</v>
      </c>
      <c r="E16" s="178">
        <v>784</v>
      </c>
      <c r="F16" s="115">
        <v>0.5137614678899083</v>
      </c>
      <c r="G16" s="3">
        <v>1526</v>
      </c>
      <c r="H16" s="178">
        <v>34</v>
      </c>
      <c r="I16" s="115">
        <v>0.68</v>
      </c>
      <c r="J16" s="3">
        <v>50</v>
      </c>
      <c r="K16" s="195">
        <v>12217</v>
      </c>
      <c r="L16" s="115">
        <v>0.08912769108431273</v>
      </c>
      <c r="M16" s="23">
        <v>137073</v>
      </c>
      <c r="N16" s="3">
        <v>76557</v>
      </c>
      <c r="O16" s="67">
        <v>0.12070191481478562</v>
      </c>
      <c r="P16" s="174">
        <v>634265</v>
      </c>
      <c r="Q16" s="68">
        <v>5265</v>
      </c>
      <c r="R16" s="67">
        <v>0.47664312873438347</v>
      </c>
      <c r="S16" s="40">
        <v>11046</v>
      </c>
      <c r="T16" s="68">
        <v>324</v>
      </c>
      <c r="U16" s="67">
        <v>0.8876712328767123</v>
      </c>
      <c r="V16" s="40">
        <v>365</v>
      </c>
      <c r="W16" s="63">
        <v>82146</v>
      </c>
      <c r="X16" s="67">
        <v>0.1272248000545165</v>
      </c>
      <c r="Y16" s="26">
        <v>645676</v>
      </c>
      <c r="Z16" s="3">
        <v>371</v>
      </c>
      <c r="AA16" s="115">
        <v>0.009937322547811647</v>
      </c>
      <c r="AB16" s="40">
        <v>37334</v>
      </c>
      <c r="AC16" s="3">
        <v>76</v>
      </c>
      <c r="AD16" s="115">
        <v>0.38190954773869346</v>
      </c>
      <c r="AE16" s="40">
        <v>199</v>
      </c>
      <c r="AF16" s="3">
        <v>14</v>
      </c>
      <c r="AG16" s="7">
        <v>0.875</v>
      </c>
      <c r="AH16" s="3">
        <v>16</v>
      </c>
      <c r="AI16" s="41">
        <v>461</v>
      </c>
      <c r="AJ16" s="7">
        <v>0.01227729100641828</v>
      </c>
      <c r="AK16" s="44">
        <v>37549</v>
      </c>
      <c r="AL16" s="117">
        <f t="shared" si="0"/>
        <v>0.109438034632807</v>
      </c>
      <c r="AM16" s="115">
        <f t="shared" si="1"/>
        <v>0.4796022237882703</v>
      </c>
      <c r="AN16" s="7">
        <f t="shared" si="2"/>
        <v>0.8631090487238979</v>
      </c>
      <c r="AO16" s="171">
        <f t="shared" si="3"/>
        <v>0.11307889072403451</v>
      </c>
      <c r="AP16" s="63">
        <f t="shared" si="4"/>
        <v>94824</v>
      </c>
      <c r="AQ16" s="3">
        <f t="shared" si="5"/>
        <v>838565</v>
      </c>
      <c r="AR16" s="116">
        <f t="shared" si="6"/>
        <v>807096</v>
      </c>
      <c r="AS16" s="3">
        <f t="shared" si="7"/>
        <v>12771</v>
      </c>
      <c r="AT16" s="26">
        <f t="shared" si="8"/>
        <v>431</v>
      </c>
    </row>
    <row r="17" spans="1:46" ht="14.25" customHeight="1">
      <c r="A17" s="208">
        <v>44348</v>
      </c>
      <c r="B17" s="3">
        <v>11365</v>
      </c>
      <c r="C17" s="115">
        <v>0.08418144378768351</v>
      </c>
      <c r="D17" s="3">
        <v>135006</v>
      </c>
      <c r="E17" s="178">
        <v>789</v>
      </c>
      <c r="F17" s="115">
        <v>0.5140065146579804</v>
      </c>
      <c r="G17" s="3">
        <v>1535</v>
      </c>
      <c r="H17" s="178">
        <v>34</v>
      </c>
      <c r="I17" s="115">
        <v>0.6538461538461539</v>
      </c>
      <c r="J17" s="3">
        <v>52</v>
      </c>
      <c r="K17" s="195">
        <v>12188</v>
      </c>
      <c r="L17" s="115">
        <v>0.08922858418806234</v>
      </c>
      <c r="M17" s="23">
        <v>136593</v>
      </c>
      <c r="N17" s="3">
        <v>77448</v>
      </c>
      <c r="O17" s="67">
        <v>0.12105430156350865</v>
      </c>
      <c r="P17" s="174">
        <v>639779</v>
      </c>
      <c r="Q17" s="68">
        <v>5332</v>
      </c>
      <c r="R17" s="67">
        <v>0.47717916592088777</v>
      </c>
      <c r="S17" s="40">
        <v>11174</v>
      </c>
      <c r="T17" s="68">
        <v>337</v>
      </c>
      <c r="U17" s="67">
        <v>0.8708010335917312</v>
      </c>
      <c r="V17" s="40">
        <v>387</v>
      </c>
      <c r="W17" s="63">
        <v>83117</v>
      </c>
      <c r="X17" s="67">
        <v>0.12760923634353794</v>
      </c>
      <c r="Y17" s="26">
        <v>651340</v>
      </c>
      <c r="Z17" s="3">
        <v>352</v>
      </c>
      <c r="AA17" s="115">
        <v>0.009781309917470197</v>
      </c>
      <c r="AB17" s="40">
        <v>35987</v>
      </c>
      <c r="AC17" s="3">
        <v>69</v>
      </c>
      <c r="AD17" s="115">
        <v>0.3415841584158416</v>
      </c>
      <c r="AE17" s="40">
        <v>202</v>
      </c>
      <c r="AF17" s="3">
        <v>11</v>
      </c>
      <c r="AG17" s="7">
        <v>0.6875</v>
      </c>
      <c r="AH17" s="3">
        <v>16</v>
      </c>
      <c r="AI17" s="41">
        <v>432</v>
      </c>
      <c r="AJ17" s="7">
        <v>0.01193205358375915</v>
      </c>
      <c r="AK17" s="44">
        <v>36205</v>
      </c>
      <c r="AL17" s="117">
        <f t="shared" si="0"/>
        <v>0.10997543082395544</v>
      </c>
      <c r="AM17" s="115">
        <f t="shared" si="1"/>
        <v>0.47943613972581517</v>
      </c>
      <c r="AN17" s="7">
        <f t="shared" si="2"/>
        <v>0.8395604395604396</v>
      </c>
      <c r="AO17" s="171">
        <f t="shared" si="3"/>
        <v>0.11364426828674769</v>
      </c>
      <c r="AP17" s="63">
        <f t="shared" si="4"/>
        <v>95737</v>
      </c>
      <c r="AQ17" s="3">
        <f t="shared" si="5"/>
        <v>842427</v>
      </c>
      <c r="AR17" s="116">
        <f t="shared" si="6"/>
        <v>810772</v>
      </c>
      <c r="AS17" s="3">
        <f t="shared" si="7"/>
        <v>12911</v>
      </c>
      <c r="AT17" s="26">
        <f t="shared" si="8"/>
        <v>455</v>
      </c>
    </row>
    <row r="18" spans="1:46" ht="14.25" customHeight="1">
      <c r="A18" s="208">
        <v>44317</v>
      </c>
      <c r="B18" s="3">
        <v>11331</v>
      </c>
      <c r="C18" s="115">
        <v>0.08423595881500204</v>
      </c>
      <c r="D18" s="3">
        <v>134515</v>
      </c>
      <c r="E18" s="178">
        <v>754</v>
      </c>
      <c r="F18" s="115">
        <v>0.5136239782016349</v>
      </c>
      <c r="G18" s="3">
        <v>1468</v>
      </c>
      <c r="H18" s="178">
        <v>34</v>
      </c>
      <c r="I18" s="115">
        <v>0.6538461538461539</v>
      </c>
      <c r="J18" s="3">
        <v>52</v>
      </c>
      <c r="K18" s="195">
        <v>12119</v>
      </c>
      <c r="L18" s="115">
        <v>0.08908736722167089</v>
      </c>
      <c r="M18" s="23">
        <v>136035</v>
      </c>
      <c r="N18" s="3">
        <v>73021</v>
      </c>
      <c r="O18" s="67">
        <v>0.12035053136784367</v>
      </c>
      <c r="P18" s="174">
        <v>606736</v>
      </c>
      <c r="Q18" s="68">
        <v>5006</v>
      </c>
      <c r="R18" s="67">
        <v>0.47648962497620406</v>
      </c>
      <c r="S18" s="40">
        <v>10506</v>
      </c>
      <c r="T18" s="68">
        <v>305</v>
      </c>
      <c r="U18" s="67">
        <v>0.8640226628895185</v>
      </c>
      <c r="V18" s="40">
        <v>353</v>
      </c>
      <c r="W18" s="63">
        <v>78332</v>
      </c>
      <c r="X18" s="67">
        <v>0.12683392838348756</v>
      </c>
      <c r="Y18" s="26">
        <v>617595</v>
      </c>
      <c r="Z18" s="3">
        <v>352</v>
      </c>
      <c r="AA18" s="115">
        <v>0.009794918885827977</v>
      </c>
      <c r="AB18" s="40">
        <v>35937</v>
      </c>
      <c r="AC18" s="3">
        <v>69</v>
      </c>
      <c r="AD18" s="115">
        <v>0.3399014778325123</v>
      </c>
      <c r="AE18" s="40">
        <v>203</v>
      </c>
      <c r="AF18" s="3">
        <v>11</v>
      </c>
      <c r="AG18" s="7">
        <v>0.6875</v>
      </c>
      <c r="AH18" s="3">
        <v>16</v>
      </c>
      <c r="AI18" s="41">
        <v>432</v>
      </c>
      <c r="AJ18" s="7">
        <v>0.011948224361101892</v>
      </c>
      <c r="AK18" s="44">
        <v>36156</v>
      </c>
      <c r="AL18" s="117">
        <f t="shared" si="0"/>
        <v>0.10898778673885855</v>
      </c>
      <c r="AM18" s="115">
        <f t="shared" si="1"/>
        <v>0.4786893323478689</v>
      </c>
      <c r="AN18" s="7">
        <f t="shared" si="2"/>
        <v>0.831353919239905</v>
      </c>
      <c r="AO18" s="171">
        <f t="shared" si="3"/>
        <v>0.11252798248742026</v>
      </c>
      <c r="AP18" s="63">
        <f t="shared" si="4"/>
        <v>90883</v>
      </c>
      <c r="AQ18" s="3">
        <f t="shared" si="5"/>
        <v>807648</v>
      </c>
      <c r="AR18" s="116">
        <f t="shared" si="6"/>
        <v>777188</v>
      </c>
      <c r="AS18" s="3">
        <f t="shared" si="7"/>
        <v>12177</v>
      </c>
      <c r="AT18" s="26">
        <f t="shared" si="8"/>
        <v>421</v>
      </c>
    </row>
    <row r="19" spans="1:46" ht="14.25" customHeight="1">
      <c r="A19" s="208">
        <v>44287</v>
      </c>
      <c r="B19" s="3">
        <v>11291</v>
      </c>
      <c r="C19" s="115">
        <v>0.08420966274369415</v>
      </c>
      <c r="D19" s="3">
        <v>134082</v>
      </c>
      <c r="E19" s="178">
        <v>783</v>
      </c>
      <c r="F19" s="115">
        <v>0.512434554973822</v>
      </c>
      <c r="G19" s="3">
        <v>1528</v>
      </c>
      <c r="H19" s="178">
        <v>34</v>
      </c>
      <c r="I19" s="115">
        <v>0.6538461538461539</v>
      </c>
      <c r="J19" s="3">
        <v>52</v>
      </c>
      <c r="K19" s="195">
        <v>12108</v>
      </c>
      <c r="L19" s="115">
        <v>0.08925122731494449</v>
      </c>
      <c r="M19" s="23">
        <v>135662</v>
      </c>
      <c r="N19" s="3">
        <v>76869</v>
      </c>
      <c r="O19" s="67">
        <v>0.12103009968147901</v>
      </c>
      <c r="P19" s="174">
        <v>635123</v>
      </c>
      <c r="Q19" s="68">
        <v>5314</v>
      </c>
      <c r="R19" s="67">
        <v>0.4798627415567997</v>
      </c>
      <c r="S19" s="40">
        <v>11074</v>
      </c>
      <c r="T19" s="68">
        <v>326</v>
      </c>
      <c r="U19" s="67">
        <v>0.8810810810810811</v>
      </c>
      <c r="V19" s="40">
        <v>370</v>
      </c>
      <c r="W19" s="63">
        <v>82509</v>
      </c>
      <c r="X19" s="67">
        <v>0.12761090497968502</v>
      </c>
      <c r="Y19" s="26">
        <v>646567</v>
      </c>
      <c r="Z19" s="3">
        <v>354</v>
      </c>
      <c r="AA19" s="115">
        <v>0.009876956558131748</v>
      </c>
      <c r="AB19" s="40">
        <v>35841</v>
      </c>
      <c r="AC19" s="3">
        <v>69</v>
      </c>
      <c r="AD19" s="115">
        <v>0.3399014778325123</v>
      </c>
      <c r="AE19" s="40">
        <v>203</v>
      </c>
      <c r="AF19" s="3">
        <v>11</v>
      </c>
      <c r="AG19" s="7">
        <v>0.6875</v>
      </c>
      <c r="AH19" s="3">
        <v>16</v>
      </c>
      <c r="AI19" s="41">
        <v>434</v>
      </c>
      <c r="AJ19" s="7">
        <v>0.012035496394897394</v>
      </c>
      <c r="AK19" s="44">
        <v>36060</v>
      </c>
      <c r="AL19" s="117">
        <f t="shared" si="0"/>
        <v>0.10994899670329397</v>
      </c>
      <c r="AM19" s="115">
        <f t="shared" si="1"/>
        <v>0.48153065208902773</v>
      </c>
      <c r="AN19" s="7">
        <f t="shared" si="2"/>
        <v>0.8470319634703196</v>
      </c>
      <c r="AO19" s="171">
        <f t="shared" si="3"/>
        <v>0.11363334771916779</v>
      </c>
      <c r="AP19" s="63">
        <f t="shared" si="4"/>
        <v>95051</v>
      </c>
      <c r="AQ19" s="3">
        <f t="shared" si="5"/>
        <v>836471</v>
      </c>
      <c r="AR19" s="116">
        <f t="shared" si="6"/>
        <v>805046</v>
      </c>
      <c r="AS19" s="3">
        <f t="shared" si="7"/>
        <v>12805</v>
      </c>
      <c r="AT19" s="26">
        <f t="shared" si="8"/>
        <v>438</v>
      </c>
    </row>
    <row r="20" spans="1:46" ht="14.25" customHeight="1">
      <c r="A20" s="208">
        <v>44256</v>
      </c>
      <c r="B20" s="3">
        <v>11329</v>
      </c>
      <c r="C20" s="115">
        <v>0.08491421632925339</v>
      </c>
      <c r="D20" s="3">
        <v>133417</v>
      </c>
      <c r="E20" s="178">
        <v>876</v>
      </c>
      <c r="F20" s="115">
        <v>0.5229850746268657</v>
      </c>
      <c r="G20" s="3">
        <v>1675</v>
      </c>
      <c r="H20" s="178">
        <v>34</v>
      </c>
      <c r="I20" s="115">
        <v>0.6538461538461539</v>
      </c>
      <c r="J20" s="3">
        <v>52</v>
      </c>
      <c r="K20" s="195">
        <v>12239</v>
      </c>
      <c r="L20" s="115">
        <v>0.09056265908956372</v>
      </c>
      <c r="M20" s="23">
        <v>135144</v>
      </c>
      <c r="N20" s="3">
        <v>77734</v>
      </c>
      <c r="O20" s="67">
        <v>0.12193281726704469</v>
      </c>
      <c r="P20" s="174">
        <v>637515</v>
      </c>
      <c r="Q20" s="68">
        <v>5379</v>
      </c>
      <c r="R20" s="67">
        <v>0.47838847385272143</v>
      </c>
      <c r="S20" s="40">
        <v>11244</v>
      </c>
      <c r="T20" s="68">
        <v>339</v>
      </c>
      <c r="U20" s="67">
        <v>0.8670076726342711</v>
      </c>
      <c r="V20" s="40">
        <v>391</v>
      </c>
      <c r="W20" s="63">
        <v>83452</v>
      </c>
      <c r="X20" s="67">
        <v>0.1285558037433567</v>
      </c>
      <c r="Y20" s="26">
        <v>649150</v>
      </c>
      <c r="Z20" s="3">
        <v>373</v>
      </c>
      <c r="AA20" s="115">
        <v>0.010045514529638307</v>
      </c>
      <c r="AB20" s="40">
        <v>37131</v>
      </c>
      <c r="AC20" s="3">
        <v>76</v>
      </c>
      <c r="AD20" s="115">
        <v>0.37073170731707317</v>
      </c>
      <c r="AE20" s="40">
        <v>205</v>
      </c>
      <c r="AF20" s="3">
        <v>14</v>
      </c>
      <c r="AG20" s="7">
        <v>0.8235294117647058</v>
      </c>
      <c r="AH20" s="3">
        <v>17</v>
      </c>
      <c r="AI20" s="41">
        <v>463</v>
      </c>
      <c r="AJ20" s="7">
        <v>0.01239525607046288</v>
      </c>
      <c r="AK20" s="44">
        <v>37353</v>
      </c>
      <c r="AL20" s="117">
        <f t="shared" si="0"/>
        <v>0.11067948909924102</v>
      </c>
      <c r="AM20" s="115">
        <f t="shared" si="1"/>
        <v>0.4823986589454435</v>
      </c>
      <c r="AN20" s="7">
        <f t="shared" si="2"/>
        <v>0.841304347826087</v>
      </c>
      <c r="AO20" s="171">
        <f t="shared" si="3"/>
        <v>0.11445991807796282</v>
      </c>
      <c r="AP20" s="63">
        <f t="shared" si="4"/>
        <v>96154</v>
      </c>
      <c r="AQ20" s="3">
        <f t="shared" si="5"/>
        <v>840067</v>
      </c>
      <c r="AR20" s="116">
        <f t="shared" si="6"/>
        <v>808063</v>
      </c>
      <c r="AS20" s="3">
        <f t="shared" si="7"/>
        <v>13124</v>
      </c>
      <c r="AT20" s="26">
        <f t="shared" si="8"/>
        <v>460</v>
      </c>
    </row>
    <row r="21" spans="1:46" ht="14.25" customHeight="1">
      <c r="A21" s="208">
        <v>44228</v>
      </c>
      <c r="B21" s="3">
        <v>11255</v>
      </c>
      <c r="C21" s="115">
        <v>0.08451666679182092</v>
      </c>
      <c r="D21" s="3">
        <v>133169</v>
      </c>
      <c r="E21" s="178">
        <v>758</v>
      </c>
      <c r="F21" s="115">
        <v>0.5167007498295841</v>
      </c>
      <c r="G21" s="3">
        <v>1467</v>
      </c>
      <c r="H21" s="178">
        <v>34</v>
      </c>
      <c r="I21" s="115">
        <v>0.6666666666666666</v>
      </c>
      <c r="J21" s="3">
        <v>51</v>
      </c>
      <c r="K21" s="195">
        <v>12047</v>
      </c>
      <c r="L21" s="115">
        <v>0.08944441557091627</v>
      </c>
      <c r="M21" s="23">
        <v>134687</v>
      </c>
      <c r="N21" s="3">
        <v>73880</v>
      </c>
      <c r="O21" s="67">
        <v>0.1223057312187531</v>
      </c>
      <c r="P21" s="174">
        <v>604060</v>
      </c>
      <c r="Q21" s="68">
        <v>5008</v>
      </c>
      <c r="R21" s="67">
        <v>0.4747369418902266</v>
      </c>
      <c r="S21" s="40">
        <v>10549</v>
      </c>
      <c r="T21" s="68">
        <v>293</v>
      </c>
      <c r="U21" s="67">
        <v>0.839541547277937</v>
      </c>
      <c r="V21" s="40">
        <v>349</v>
      </c>
      <c r="W21" s="63">
        <v>79181</v>
      </c>
      <c r="X21" s="67">
        <v>0.12875838675161555</v>
      </c>
      <c r="Y21" s="26">
        <v>614958</v>
      </c>
      <c r="Z21" s="3">
        <v>373</v>
      </c>
      <c r="AA21" s="115">
        <v>0.010050657469282173</v>
      </c>
      <c r="AB21" s="40">
        <v>37112</v>
      </c>
      <c r="AC21" s="3">
        <v>76</v>
      </c>
      <c r="AD21" s="115">
        <v>0.3781094527363184</v>
      </c>
      <c r="AE21" s="40">
        <v>201</v>
      </c>
      <c r="AF21" s="3">
        <v>14</v>
      </c>
      <c r="AG21" s="7">
        <v>0.8235294117647058</v>
      </c>
      <c r="AH21" s="3">
        <v>17</v>
      </c>
      <c r="AI21" s="41">
        <v>463</v>
      </c>
      <c r="AJ21" s="7">
        <v>0.012402893115456738</v>
      </c>
      <c r="AK21" s="44">
        <v>37330</v>
      </c>
      <c r="AL21" s="117">
        <f t="shared" si="0"/>
        <v>0.11042680162873979</v>
      </c>
      <c r="AM21" s="115">
        <f t="shared" si="1"/>
        <v>0.4781861340754686</v>
      </c>
      <c r="AN21" s="7">
        <f t="shared" si="2"/>
        <v>0.8177458033573142</v>
      </c>
      <c r="AO21" s="171">
        <f t="shared" si="3"/>
        <v>0.11393215090719769</v>
      </c>
      <c r="AP21" s="63">
        <f t="shared" si="4"/>
        <v>91691</v>
      </c>
      <c r="AQ21" s="3">
        <f t="shared" si="5"/>
        <v>804786</v>
      </c>
      <c r="AR21" s="116">
        <f t="shared" si="6"/>
        <v>774341</v>
      </c>
      <c r="AS21" s="3">
        <f t="shared" si="7"/>
        <v>12217</v>
      </c>
      <c r="AT21" s="26">
        <f t="shared" si="8"/>
        <v>417</v>
      </c>
    </row>
    <row r="22" spans="1:46" ht="14.25" customHeight="1">
      <c r="A22" s="208">
        <v>44197</v>
      </c>
      <c r="B22" s="3">
        <v>11160</v>
      </c>
      <c r="C22" s="115">
        <v>0.08386248356190118</v>
      </c>
      <c r="D22" s="3">
        <v>133075</v>
      </c>
      <c r="E22" s="178">
        <v>765</v>
      </c>
      <c r="F22" s="115">
        <v>0.5182926829268293</v>
      </c>
      <c r="G22" s="3">
        <v>1476</v>
      </c>
      <c r="H22" s="178">
        <v>34</v>
      </c>
      <c r="I22" s="115">
        <v>0.6666666666666666</v>
      </c>
      <c r="J22" s="3">
        <v>51</v>
      </c>
      <c r="K22" s="195">
        <v>11959</v>
      </c>
      <c r="L22" s="115">
        <v>0.0888471196564687</v>
      </c>
      <c r="M22" s="23">
        <v>134602</v>
      </c>
      <c r="N22" s="3">
        <v>75170</v>
      </c>
      <c r="O22" s="67">
        <v>0.12371951861800179</v>
      </c>
      <c r="P22" s="174">
        <v>607584</v>
      </c>
      <c r="Q22" s="68">
        <v>5108</v>
      </c>
      <c r="R22" s="67">
        <v>0.47587106390907397</v>
      </c>
      <c r="S22" s="40">
        <v>10734</v>
      </c>
      <c r="T22" s="68">
        <v>302</v>
      </c>
      <c r="U22" s="67">
        <v>0.8603988603988604</v>
      </c>
      <c r="V22" s="40">
        <v>351</v>
      </c>
      <c r="W22" s="63">
        <v>80580</v>
      </c>
      <c r="X22" s="67">
        <v>0.1302473535929552</v>
      </c>
      <c r="Y22" s="26">
        <v>618669</v>
      </c>
      <c r="Z22" s="3">
        <v>372</v>
      </c>
      <c r="AA22" s="115">
        <v>0.010016964213587528</v>
      </c>
      <c r="AB22" s="40">
        <v>37137</v>
      </c>
      <c r="AC22" s="3">
        <v>77</v>
      </c>
      <c r="AD22" s="115">
        <v>0.385</v>
      </c>
      <c r="AE22" s="40">
        <v>200</v>
      </c>
      <c r="AF22" s="3">
        <v>13</v>
      </c>
      <c r="AG22" s="7">
        <v>0.7647058823529411</v>
      </c>
      <c r="AH22" s="3">
        <v>17</v>
      </c>
      <c r="AI22" s="41">
        <v>462</v>
      </c>
      <c r="AJ22" s="7">
        <v>0.012368153343684745</v>
      </c>
      <c r="AK22" s="44">
        <v>37354</v>
      </c>
      <c r="AL22" s="117">
        <f t="shared" si="0"/>
        <v>0.11147138838461498</v>
      </c>
      <c r="AM22" s="115">
        <f t="shared" si="1"/>
        <v>0.4794520547945205</v>
      </c>
      <c r="AN22" s="7">
        <f t="shared" si="2"/>
        <v>0.8329355608591885</v>
      </c>
      <c r="AO22" s="171">
        <f t="shared" si="3"/>
        <v>0.11503532659786062</v>
      </c>
      <c r="AP22" s="63">
        <f t="shared" si="4"/>
        <v>93001</v>
      </c>
      <c r="AQ22" s="3">
        <f t="shared" si="5"/>
        <v>808456</v>
      </c>
      <c r="AR22" s="116">
        <f t="shared" si="6"/>
        <v>777796</v>
      </c>
      <c r="AS22" s="3">
        <f t="shared" si="7"/>
        <v>12410</v>
      </c>
      <c r="AT22" s="26">
        <f t="shared" si="8"/>
        <v>419</v>
      </c>
    </row>
    <row r="23" spans="1:46" ht="9.75" customHeight="1">
      <c r="A23" s="177">
        <v>44196</v>
      </c>
      <c r="B23" s="3">
        <v>11040</v>
      </c>
      <c r="C23" s="115">
        <v>0.08288163841383762</v>
      </c>
      <c r="D23" s="3">
        <v>133202</v>
      </c>
      <c r="E23" s="178">
        <v>788</v>
      </c>
      <c r="F23" s="115">
        <v>0.5077319587628866</v>
      </c>
      <c r="G23" s="3">
        <v>1552</v>
      </c>
      <c r="H23" s="178">
        <v>34</v>
      </c>
      <c r="I23" s="115">
        <v>0.68</v>
      </c>
      <c r="J23" s="3">
        <v>50</v>
      </c>
      <c r="K23" s="195">
        <v>11862</v>
      </c>
      <c r="L23" s="115">
        <v>0.08799442153051838</v>
      </c>
      <c r="M23" s="23">
        <v>134804</v>
      </c>
      <c r="N23" s="3">
        <v>79449</v>
      </c>
      <c r="O23" s="67">
        <v>0.12489231930078284</v>
      </c>
      <c r="P23" s="174">
        <v>636140</v>
      </c>
      <c r="Q23" s="68">
        <v>5265</v>
      </c>
      <c r="R23" s="67">
        <v>0.4678752332711277</v>
      </c>
      <c r="S23" s="40">
        <v>11253</v>
      </c>
      <c r="T23" s="68">
        <v>334</v>
      </c>
      <c r="U23" s="67">
        <v>0.8608247422680413</v>
      </c>
      <c r="V23" s="40">
        <v>388</v>
      </c>
      <c r="W23" s="63">
        <v>85048</v>
      </c>
      <c r="X23" s="67">
        <v>0.13129128517199484</v>
      </c>
      <c r="Y23" s="26">
        <v>647781</v>
      </c>
      <c r="Z23" s="3">
        <v>356</v>
      </c>
      <c r="AA23" s="115">
        <v>0.009928603302097277</v>
      </c>
      <c r="AB23" s="40">
        <v>35856</v>
      </c>
      <c r="AC23" s="3">
        <v>71</v>
      </c>
      <c r="AD23" s="115">
        <v>0.35858585858585856</v>
      </c>
      <c r="AE23" s="40">
        <v>198</v>
      </c>
      <c r="AF23" s="3">
        <v>12</v>
      </c>
      <c r="AG23" s="7">
        <v>0.7058823529411765</v>
      </c>
      <c r="AH23" s="3">
        <v>17</v>
      </c>
      <c r="AI23" s="41">
        <v>439</v>
      </c>
      <c r="AJ23" s="7">
        <v>0.012170441629009453</v>
      </c>
      <c r="AK23" s="44">
        <v>36071</v>
      </c>
      <c r="AL23" s="117">
        <f t="shared" si="0"/>
        <v>0.11282318137899001</v>
      </c>
      <c r="AM23" s="115">
        <f t="shared" si="1"/>
        <v>0.47096823809890026</v>
      </c>
      <c r="AN23" s="7">
        <f t="shared" si="2"/>
        <v>0.8351648351648352</v>
      </c>
      <c r="AO23" s="171">
        <f t="shared" si="3"/>
        <v>0.11636877865916927</v>
      </c>
      <c r="AP23" s="63">
        <f t="shared" si="4"/>
        <v>97349</v>
      </c>
      <c r="AQ23" s="3">
        <f t="shared" si="5"/>
        <v>836556</v>
      </c>
      <c r="AR23" s="116">
        <f t="shared" si="6"/>
        <v>805198</v>
      </c>
      <c r="AS23" s="3">
        <f t="shared" si="7"/>
        <v>13003</v>
      </c>
      <c r="AT23" s="26">
        <f t="shared" si="8"/>
        <v>455</v>
      </c>
    </row>
    <row r="24" spans="1:46" ht="24" customHeight="1">
      <c r="A24" s="177">
        <v>44165</v>
      </c>
      <c r="B24" s="3">
        <v>10932</v>
      </c>
      <c r="C24" s="115">
        <v>0.08219857889394339</v>
      </c>
      <c r="D24" s="3">
        <v>132995</v>
      </c>
      <c r="E24" s="178">
        <v>716</v>
      </c>
      <c r="F24" s="115">
        <v>0.4914207275223061</v>
      </c>
      <c r="G24" s="3">
        <v>1457</v>
      </c>
      <c r="H24" s="178">
        <v>32</v>
      </c>
      <c r="I24" s="115">
        <v>0.64</v>
      </c>
      <c r="J24" s="3">
        <v>50</v>
      </c>
      <c r="K24" s="195">
        <v>11680</v>
      </c>
      <c r="L24" s="115">
        <v>0.08683885741475963</v>
      </c>
      <c r="M24" s="23">
        <v>134502</v>
      </c>
      <c r="N24" s="3">
        <v>72017</v>
      </c>
      <c r="O24" s="67">
        <v>0.12494166428119118</v>
      </c>
      <c r="P24" s="174">
        <v>576405</v>
      </c>
      <c r="Q24" s="68">
        <v>4612</v>
      </c>
      <c r="R24" s="67">
        <v>0.4598663874763187</v>
      </c>
      <c r="S24" s="40">
        <v>10029</v>
      </c>
      <c r="T24" s="68">
        <v>288</v>
      </c>
      <c r="U24" s="67">
        <v>0.8545994065281899</v>
      </c>
      <c r="V24" s="40">
        <v>337</v>
      </c>
      <c r="W24" s="63">
        <v>76917</v>
      </c>
      <c r="X24" s="67">
        <v>0.13108521041428428</v>
      </c>
      <c r="Y24" s="26">
        <v>586771</v>
      </c>
      <c r="Z24" s="3">
        <v>373</v>
      </c>
      <c r="AA24" s="115">
        <v>0.010045514529638307</v>
      </c>
      <c r="AB24" s="40">
        <v>37131</v>
      </c>
      <c r="AC24" s="3">
        <v>77</v>
      </c>
      <c r="AD24" s="115">
        <v>0.385</v>
      </c>
      <c r="AE24" s="40">
        <v>200</v>
      </c>
      <c r="AF24" s="3">
        <v>13</v>
      </c>
      <c r="AG24" s="7">
        <v>0.8125</v>
      </c>
      <c r="AH24" s="3">
        <v>16</v>
      </c>
      <c r="AI24" s="41">
        <v>463</v>
      </c>
      <c r="AJ24" s="7">
        <v>0.012397247436206389</v>
      </c>
      <c r="AK24" s="44">
        <v>37347</v>
      </c>
      <c r="AL24" s="117">
        <f>(B24+N24+Z24)/AR24</f>
        <v>0.11161224383180336</v>
      </c>
      <c r="AM24" s="115">
        <f>(E24+Q24+AC24)/AS24</f>
        <v>0.4625192538079754</v>
      </c>
      <c r="AN24" s="7">
        <f>(H24+T24+AF24)/AT24</f>
        <v>0.826302729528536</v>
      </c>
      <c r="AO24" s="171">
        <f>AP24/AQ24</f>
        <v>0.11481790416714475</v>
      </c>
      <c r="AP24" s="63">
        <f>AF24+AC24+Z24+T24+Q24+N24+H24+E24+B24</f>
        <v>89060</v>
      </c>
      <c r="AQ24" s="3">
        <f>AH24+AF24+AE24+AC24+Z24+AB24+V24+T24+S24+Q24+P24+J24+H24+G24+E24+D24+B24</f>
        <v>775663</v>
      </c>
      <c r="AR24" s="116">
        <f>+D24+P24+AB24</f>
        <v>746531</v>
      </c>
      <c r="AS24" s="3">
        <f>G24+S24+AE24</f>
        <v>11686</v>
      </c>
      <c r="AT24" s="26">
        <f>J24+V24+AH24</f>
        <v>403</v>
      </c>
    </row>
    <row r="25" spans="1:46" ht="24" customHeight="1">
      <c r="A25" s="177">
        <v>44135</v>
      </c>
      <c r="B25" s="3">
        <v>10834</v>
      </c>
      <c r="C25" s="115">
        <v>0.08137054617556931</v>
      </c>
      <c r="D25" s="3">
        <v>133144</v>
      </c>
      <c r="E25" s="178">
        <v>803</v>
      </c>
      <c r="F25" s="115">
        <v>0.4863718958207147</v>
      </c>
      <c r="G25" s="3">
        <v>1651</v>
      </c>
      <c r="H25" s="178">
        <v>32</v>
      </c>
      <c r="I25" s="115">
        <v>0.6530612244897959</v>
      </c>
      <c r="J25" s="3">
        <v>49</v>
      </c>
      <c r="K25" s="195">
        <v>11669</v>
      </c>
      <c r="L25" s="115">
        <v>0.08653703538904216</v>
      </c>
      <c r="M25" s="23">
        <v>134844</v>
      </c>
      <c r="N25" s="3">
        <v>79892</v>
      </c>
      <c r="O25" s="67">
        <v>0.12596711913204853</v>
      </c>
      <c r="P25" s="174">
        <v>634229</v>
      </c>
      <c r="Q25" s="68">
        <v>5204</v>
      </c>
      <c r="R25" s="67">
        <v>0.4649749821300929</v>
      </c>
      <c r="S25" s="40">
        <v>11192</v>
      </c>
      <c r="T25" s="68">
        <v>338</v>
      </c>
      <c r="U25" s="67">
        <v>0.8622448979591837</v>
      </c>
      <c r="V25" s="40">
        <v>392</v>
      </c>
      <c r="W25" s="63">
        <v>85434</v>
      </c>
      <c r="X25" s="67">
        <v>0.13228906819776004</v>
      </c>
      <c r="Y25" s="26">
        <v>645813</v>
      </c>
      <c r="Z25" s="3">
        <v>376</v>
      </c>
      <c r="AA25" s="115">
        <v>0.010116229014205768</v>
      </c>
      <c r="AB25" s="40">
        <v>37168</v>
      </c>
      <c r="AC25" s="3">
        <v>77</v>
      </c>
      <c r="AD25" s="115">
        <v>0.3869346733668342</v>
      </c>
      <c r="AE25" s="40">
        <v>199</v>
      </c>
      <c r="AF25" s="3">
        <v>13</v>
      </c>
      <c r="AG25" s="7">
        <v>0.8125</v>
      </c>
      <c r="AH25" s="3">
        <v>16</v>
      </c>
      <c r="AI25" s="41">
        <v>466</v>
      </c>
      <c r="AJ25" s="7">
        <v>0.012465559211406255</v>
      </c>
      <c r="AK25" s="44">
        <v>37383</v>
      </c>
      <c r="AL25" s="117">
        <f>(B25+N25+Z25)/AR25</f>
        <v>0.11323475124325547</v>
      </c>
      <c r="AM25" s="115">
        <f>(E25+Q25+AC25)/AS25</f>
        <v>0.46649286919184174</v>
      </c>
      <c r="AN25" s="7">
        <f>(H25+T25+AF25)/AT25</f>
        <v>0.838074398249453</v>
      </c>
      <c r="AO25" s="171">
        <f>AP25/AQ25</f>
        <v>0.11674885158492648</v>
      </c>
      <c r="AP25" s="63">
        <f>AF25+AC25+Z25+T25+Q25+N25+H25+E25+B25</f>
        <v>97569</v>
      </c>
      <c r="AQ25" s="3">
        <f>AH25+AF25+AE25+AC25+Z25+AB25+V25+T25+S25+Q25+P25+J25+H25+G25+E25+D25+B25</f>
        <v>835717</v>
      </c>
      <c r="AR25" s="116">
        <f>+D25+P25+AB25</f>
        <v>804541</v>
      </c>
      <c r="AS25" s="3">
        <f>G25+S25+AE25</f>
        <v>13042</v>
      </c>
      <c r="AT25" s="26">
        <f>J25+V25+AH25</f>
        <v>457</v>
      </c>
    </row>
    <row r="26" spans="1:46" ht="25.5" customHeight="1">
      <c r="A26" s="177">
        <v>44104</v>
      </c>
      <c r="B26" s="3">
        <v>10826</v>
      </c>
      <c r="C26" s="115">
        <v>0.081</v>
      </c>
      <c r="D26" s="3">
        <v>133610</v>
      </c>
      <c r="E26" s="178">
        <v>824</v>
      </c>
      <c r="F26" s="115">
        <v>0.492</v>
      </c>
      <c r="G26" s="3">
        <v>1674</v>
      </c>
      <c r="H26" s="178">
        <v>32</v>
      </c>
      <c r="I26" s="115">
        <v>0.653</v>
      </c>
      <c r="J26" s="3">
        <v>49</v>
      </c>
      <c r="K26" s="195">
        <v>11682</v>
      </c>
      <c r="L26" s="115">
        <v>0.086</v>
      </c>
      <c r="M26" s="23">
        <v>135333</v>
      </c>
      <c r="N26" s="3">
        <v>79796</v>
      </c>
      <c r="O26" s="67">
        <v>0.12624151623977597</v>
      </c>
      <c r="P26" s="174">
        <v>632090</v>
      </c>
      <c r="Q26" s="68">
        <v>5164</v>
      </c>
      <c r="R26" s="67">
        <v>0.46330522160416293</v>
      </c>
      <c r="S26" s="40">
        <v>11146</v>
      </c>
      <c r="T26" s="68">
        <v>341</v>
      </c>
      <c r="U26" s="67">
        <v>0.8589420654911839</v>
      </c>
      <c r="V26" s="40">
        <v>397</v>
      </c>
      <c r="W26" s="63">
        <v>85301</v>
      </c>
      <c r="X26" s="67">
        <v>0.13253049486275564</v>
      </c>
      <c r="Y26" s="26">
        <v>643633</v>
      </c>
      <c r="Z26" s="3">
        <v>342</v>
      </c>
      <c r="AA26" s="115">
        <v>0.01</v>
      </c>
      <c r="AB26" s="40">
        <v>35819</v>
      </c>
      <c r="AC26" s="3">
        <v>71</v>
      </c>
      <c r="AD26" s="115">
        <v>0.359</v>
      </c>
      <c r="AE26" s="40">
        <v>198</v>
      </c>
      <c r="AF26" s="3">
        <v>12</v>
      </c>
      <c r="AG26" s="7">
        <v>0.8</v>
      </c>
      <c r="AH26" s="3">
        <v>15</v>
      </c>
      <c r="AI26" s="41">
        <v>425</v>
      </c>
      <c r="AJ26" s="7">
        <v>0.012</v>
      </c>
      <c r="AK26" s="26">
        <v>36032</v>
      </c>
      <c r="AL26" s="117">
        <f>(B26+N26+Z26)/AR26</f>
        <v>0.11348951178948971</v>
      </c>
      <c r="AM26" s="115">
        <f>(E26+Q26+AC26)/AS26</f>
        <v>0.46543247810723615</v>
      </c>
      <c r="AN26" s="7">
        <f>(H26+T26+AF26)/AT26</f>
        <v>0.8351409978308026</v>
      </c>
      <c r="AO26" s="171">
        <f>AP26/AQ26</f>
        <v>0.11699114831673893</v>
      </c>
      <c r="AP26" s="63">
        <f>AF26+AC26+Z26+T26+Q26+N26+H26+E26+B26</f>
        <v>97408</v>
      </c>
      <c r="AQ26" s="3">
        <f>AH26+AF26+AE26+AC26+Z26+AB26+V26+T26+S26+Q26+P26+J26+H26+G26+E26+D26+B26</f>
        <v>832610</v>
      </c>
      <c r="AR26" s="116">
        <f>+D26+P26+AB26</f>
        <v>801519</v>
      </c>
      <c r="AS26" s="3">
        <f>G26+S26+AE26</f>
        <v>13018</v>
      </c>
      <c r="AT26" s="26">
        <f>J26+V26+AH26</f>
        <v>461</v>
      </c>
    </row>
    <row r="27" spans="1:46" ht="25.5" customHeight="1">
      <c r="A27" s="177">
        <v>44044</v>
      </c>
      <c r="B27" s="4">
        <v>10813</v>
      </c>
      <c r="C27" s="188">
        <v>0.08095623137624845</v>
      </c>
      <c r="D27" s="4">
        <v>133566</v>
      </c>
      <c r="E27" s="187">
        <v>787</v>
      </c>
      <c r="F27" s="188">
        <v>0.4900373599003736</v>
      </c>
      <c r="G27" s="4">
        <v>1606</v>
      </c>
      <c r="H27" s="187">
        <v>32</v>
      </c>
      <c r="I27" s="188">
        <v>0.64</v>
      </c>
      <c r="J27" s="4">
        <v>50</v>
      </c>
      <c r="K27" s="209">
        <v>11632</v>
      </c>
      <c r="L27" s="188">
        <v>0.08602150537634409</v>
      </c>
      <c r="M27" s="50">
        <v>135222</v>
      </c>
      <c r="N27" s="3">
        <v>80278</v>
      </c>
      <c r="O27" s="67">
        <v>0.12700607518035692</v>
      </c>
      <c r="P27" s="174">
        <v>632080</v>
      </c>
      <c r="Q27" s="68">
        <v>5300</v>
      </c>
      <c r="R27" s="67">
        <v>0.4684047724259832</v>
      </c>
      <c r="S27" s="40">
        <v>11315</v>
      </c>
      <c r="T27" s="68">
        <v>334</v>
      </c>
      <c r="U27" s="67">
        <v>0.8608247422680413</v>
      </c>
      <c r="V27" s="40">
        <v>388</v>
      </c>
      <c r="W27" s="63">
        <v>85912</v>
      </c>
      <c r="X27" s="67">
        <v>0.13344869311553736</v>
      </c>
      <c r="Y27" s="26">
        <v>643783</v>
      </c>
      <c r="Z27" s="3">
        <v>361</v>
      </c>
      <c r="AA27" s="115">
        <v>0.010069735006973501</v>
      </c>
      <c r="AB27" s="40">
        <v>35850</v>
      </c>
      <c r="AC27" s="3">
        <v>69</v>
      </c>
      <c r="AD27" s="115">
        <v>0.3791208791208791</v>
      </c>
      <c r="AE27" s="40">
        <v>182</v>
      </c>
      <c r="AF27" s="3">
        <v>12</v>
      </c>
      <c r="AG27" s="7">
        <v>0.8</v>
      </c>
      <c r="AH27" s="3">
        <v>15</v>
      </c>
      <c r="AI27" s="41">
        <v>442</v>
      </c>
      <c r="AJ27" s="7">
        <v>0.012261769356673231</v>
      </c>
      <c r="AK27" s="44">
        <v>36047</v>
      </c>
      <c r="AL27" s="117">
        <f>(B27+N27+Z27)/AR27</f>
        <v>0.11410162995198977</v>
      </c>
      <c r="AM27" s="115">
        <f>(E27+Q27+AC27)/AS27</f>
        <v>0.46981607265511716</v>
      </c>
      <c r="AN27" s="7">
        <f>(H27+T27+AF27)/AT27</f>
        <v>0.8344370860927153</v>
      </c>
      <c r="AO27" s="171">
        <f>AP27/AQ27</f>
        <v>0.11766415293722081</v>
      </c>
      <c r="AP27" s="63">
        <f>AF27+AC27+Z27+T27+Q27+N27+H27+E27+B27</f>
        <v>97986</v>
      </c>
      <c r="AQ27" s="3">
        <f>AH27+AF27+AE27+AC27+Z27+AB27+V27+T27+S27+Q27+P27+J27+H27+G27+E27+D27+B27</f>
        <v>832760</v>
      </c>
      <c r="AR27" s="116">
        <f>+D27+P27+AB27</f>
        <v>801496</v>
      </c>
      <c r="AS27" s="3">
        <f>G27+S27+AE27</f>
        <v>13103</v>
      </c>
      <c r="AT27" s="26">
        <f>J27+V27+AH27</f>
        <v>453</v>
      </c>
    </row>
    <row r="28" spans="1:46" ht="25.5" customHeight="1">
      <c r="A28" s="177">
        <v>44013</v>
      </c>
      <c r="B28" s="3">
        <v>10642</v>
      </c>
      <c r="C28" s="115">
        <v>0.07976554536187563</v>
      </c>
      <c r="D28" s="3">
        <v>133416</v>
      </c>
      <c r="E28" s="178">
        <v>795</v>
      </c>
      <c r="F28" s="115">
        <v>0.4895320197044335</v>
      </c>
      <c r="G28" s="3">
        <v>1624</v>
      </c>
      <c r="H28" s="178">
        <v>32</v>
      </c>
      <c r="I28" s="115">
        <v>0.64</v>
      </c>
      <c r="J28" s="3">
        <v>50</v>
      </c>
      <c r="K28" s="195">
        <v>11469</v>
      </c>
      <c r="L28" s="115">
        <v>0.08489895625138796</v>
      </c>
      <c r="M28" s="23">
        <v>135090</v>
      </c>
      <c r="N28" s="3">
        <v>80924</v>
      </c>
      <c r="O28" s="67">
        <v>0.1279250824785129</v>
      </c>
      <c r="P28" s="174">
        <v>632589</v>
      </c>
      <c r="Q28" s="68">
        <v>5338</v>
      </c>
      <c r="R28" s="67">
        <v>0.46915099314466513</v>
      </c>
      <c r="S28" s="40">
        <v>11378</v>
      </c>
      <c r="T28" s="68">
        <v>326</v>
      </c>
      <c r="U28" s="67">
        <v>0.8647214854111406</v>
      </c>
      <c r="V28" s="40">
        <v>377</v>
      </c>
      <c r="W28" s="63">
        <v>86588</v>
      </c>
      <c r="X28" s="67">
        <v>0.13438163465478067</v>
      </c>
      <c r="Y28" s="26">
        <v>644344</v>
      </c>
      <c r="Z28" s="3">
        <v>381</v>
      </c>
      <c r="AA28" s="115">
        <v>0.01056455190771961</v>
      </c>
      <c r="AB28" s="40">
        <v>36064</v>
      </c>
      <c r="AC28" s="3">
        <v>78</v>
      </c>
      <c r="AD28" s="115">
        <v>0.3880597014925373</v>
      </c>
      <c r="AE28" s="40">
        <v>201</v>
      </c>
      <c r="AF28" s="3">
        <v>13</v>
      </c>
      <c r="AG28" s="7">
        <v>0.8666666666666667</v>
      </c>
      <c r="AH28" s="3">
        <v>15</v>
      </c>
      <c r="AI28" s="41">
        <v>472</v>
      </c>
      <c r="AJ28" s="7">
        <v>0.013009922822491731</v>
      </c>
      <c r="AK28" s="44">
        <v>36280</v>
      </c>
      <c r="AL28" s="117">
        <f aca="true" t="shared" si="9" ref="AL28:AL35">(B28+N28+Z28)/AR28</f>
        <v>0.11463726936211224</v>
      </c>
      <c r="AM28" s="115">
        <f aca="true" t="shared" si="10" ref="AM28:AM35">(E28+Q28+AC28)/AS28</f>
        <v>0.4704233886237976</v>
      </c>
      <c r="AN28" s="7">
        <f aca="true" t="shared" si="11" ref="AN28:AN35">(H28+T28+AF28)/AT28</f>
        <v>0.8393665158371041</v>
      </c>
      <c r="AO28" s="171">
        <f aca="true" t="shared" si="12" ref="AO28:AO35">AP28/AQ28</f>
        <v>0.11823683367353918</v>
      </c>
      <c r="AP28" s="63">
        <f aca="true" t="shared" si="13" ref="AP28:AP35">AF28+AC28+Z28+T28+Q28+N28+H28+E28+B28</f>
        <v>98529</v>
      </c>
      <c r="AQ28" s="3">
        <f aca="true" t="shared" si="14" ref="AQ28:AQ35">AH28+AF28+AE28+AC28+Z28+AB28+V28+T28+S28+Q28+P28+J28+H28+G28+E28+D28+B28</f>
        <v>833319</v>
      </c>
      <c r="AR28" s="116">
        <f aca="true" t="shared" si="15" ref="AR28:AR35">+D28+P28+AB28</f>
        <v>802069</v>
      </c>
      <c r="AS28" s="3">
        <f aca="true" t="shared" si="16" ref="AS28:AS35">G28+S28+AE28</f>
        <v>13203</v>
      </c>
      <c r="AT28" s="26">
        <f aca="true" t="shared" si="17" ref="AT28:AT35">J28+V28+AH28</f>
        <v>442</v>
      </c>
    </row>
    <row r="29" spans="1:46" ht="25.5" customHeight="1">
      <c r="A29" s="177">
        <v>43983</v>
      </c>
      <c r="B29" s="3">
        <v>10654</v>
      </c>
      <c r="C29" s="115">
        <v>0.08</v>
      </c>
      <c r="D29" s="3">
        <v>133061</v>
      </c>
      <c r="E29" s="178">
        <v>783</v>
      </c>
      <c r="F29" s="115">
        <v>0.486</v>
      </c>
      <c r="G29" s="3">
        <v>1610</v>
      </c>
      <c r="H29" s="178">
        <v>28</v>
      </c>
      <c r="I29" s="115">
        <v>0.622</v>
      </c>
      <c r="J29" s="3">
        <v>45</v>
      </c>
      <c r="K29" s="195">
        <v>11465</v>
      </c>
      <c r="L29" s="115">
        <v>0.085</v>
      </c>
      <c r="M29" s="23">
        <v>134716</v>
      </c>
      <c r="N29" s="3">
        <v>80431</v>
      </c>
      <c r="O29" s="67">
        <v>0.12720385892772418</v>
      </c>
      <c r="P29" s="174">
        <v>632300</v>
      </c>
      <c r="Q29" s="68">
        <v>5349</v>
      </c>
      <c r="R29" s="67">
        <v>0.4708212305254819</v>
      </c>
      <c r="S29" s="40">
        <v>11361</v>
      </c>
      <c r="T29" s="68">
        <v>348</v>
      </c>
      <c r="U29" s="67">
        <v>0.8613861386138614</v>
      </c>
      <c r="V29" s="40">
        <v>404</v>
      </c>
      <c r="W29" s="63">
        <v>86128</v>
      </c>
      <c r="X29" s="67">
        <v>0.13372563328235504</v>
      </c>
      <c r="Y29" s="26">
        <v>644065</v>
      </c>
      <c r="Z29" s="3">
        <v>357</v>
      </c>
      <c r="AA29" s="115">
        <v>0.01</v>
      </c>
      <c r="AB29" s="40">
        <v>35763</v>
      </c>
      <c r="AC29" s="3">
        <v>71</v>
      </c>
      <c r="AD29" s="115">
        <v>0.353</v>
      </c>
      <c r="AE29" s="40">
        <v>201</v>
      </c>
      <c r="AF29" s="3">
        <v>12</v>
      </c>
      <c r="AG29" s="7">
        <v>0.8</v>
      </c>
      <c r="AH29" s="3">
        <v>15</v>
      </c>
      <c r="AI29" s="41">
        <v>440</v>
      </c>
      <c r="AJ29" s="7">
        <v>0.012</v>
      </c>
      <c r="AK29" s="26">
        <v>35979</v>
      </c>
      <c r="AL29" s="117">
        <f t="shared" si="9"/>
        <v>0.11414213030691878</v>
      </c>
      <c r="AM29" s="115">
        <f t="shared" si="10"/>
        <v>0.4709231703613726</v>
      </c>
      <c r="AN29" s="7">
        <f t="shared" si="11"/>
        <v>0.8362068965517241</v>
      </c>
      <c r="AO29" s="171">
        <f t="shared" si="12"/>
        <v>0.11777688073218143</v>
      </c>
      <c r="AP29" s="63">
        <f t="shared" si="13"/>
        <v>98033</v>
      </c>
      <c r="AQ29" s="3">
        <f t="shared" si="14"/>
        <v>832362</v>
      </c>
      <c r="AR29" s="116">
        <f t="shared" si="15"/>
        <v>801124</v>
      </c>
      <c r="AS29" s="3">
        <f t="shared" si="16"/>
        <v>13172</v>
      </c>
      <c r="AT29" s="26">
        <f t="shared" si="17"/>
        <v>464</v>
      </c>
    </row>
    <row r="30" spans="1:46" ht="25.5" customHeight="1">
      <c r="A30" s="177">
        <v>43952</v>
      </c>
      <c r="B30" s="3">
        <v>10737</v>
      </c>
      <c r="C30" s="115">
        <v>0.081</v>
      </c>
      <c r="D30" s="3">
        <v>132471</v>
      </c>
      <c r="E30" s="178">
        <v>788</v>
      </c>
      <c r="F30" s="115">
        <v>0.492</v>
      </c>
      <c r="G30" s="3">
        <v>1603</v>
      </c>
      <c r="H30" s="178">
        <v>28</v>
      </c>
      <c r="I30" s="115">
        <v>0.622</v>
      </c>
      <c r="J30" s="3">
        <v>45</v>
      </c>
      <c r="K30" s="195">
        <v>11553</v>
      </c>
      <c r="L30" s="115">
        <v>0.086</v>
      </c>
      <c r="M30" s="23">
        <v>134119</v>
      </c>
      <c r="N30" s="3">
        <v>76402</v>
      </c>
      <c r="O30" s="67">
        <v>0.12745520000266916</v>
      </c>
      <c r="P30" s="174">
        <v>599442</v>
      </c>
      <c r="Q30" s="68">
        <v>5032</v>
      </c>
      <c r="R30" s="67">
        <v>0.47023642650219605</v>
      </c>
      <c r="S30" s="40">
        <v>10701</v>
      </c>
      <c r="T30" s="68">
        <v>319</v>
      </c>
      <c r="U30" s="67">
        <v>0.8763736263736264</v>
      </c>
      <c r="V30" s="40">
        <v>364</v>
      </c>
      <c r="W30" s="63">
        <v>81753</v>
      </c>
      <c r="X30" s="67">
        <v>0.1339100124978092</v>
      </c>
      <c r="Y30" s="26">
        <v>610507</v>
      </c>
      <c r="Z30" s="3">
        <v>382</v>
      </c>
      <c r="AA30" s="115">
        <v>0.01</v>
      </c>
      <c r="AB30" s="40">
        <v>36953</v>
      </c>
      <c r="AC30" s="3">
        <v>78</v>
      </c>
      <c r="AD30" s="115">
        <v>0.39</v>
      </c>
      <c r="AE30" s="40">
        <v>200</v>
      </c>
      <c r="AF30" s="3">
        <v>13</v>
      </c>
      <c r="AG30" s="7">
        <v>0.813</v>
      </c>
      <c r="AH30" s="3">
        <v>16</v>
      </c>
      <c r="AI30" s="41">
        <v>473</v>
      </c>
      <c r="AJ30" s="7">
        <v>0.013</v>
      </c>
      <c r="AK30" s="26">
        <v>37169</v>
      </c>
      <c r="AL30" s="117">
        <f t="shared" si="9"/>
        <v>0.11383127879240336</v>
      </c>
      <c r="AM30" s="115">
        <f t="shared" si="10"/>
        <v>0.4716890595009597</v>
      </c>
      <c r="AN30" s="7">
        <f t="shared" si="11"/>
        <v>0.8470588235294118</v>
      </c>
      <c r="AO30" s="171">
        <f t="shared" si="12"/>
        <v>0.11734520228436432</v>
      </c>
      <c r="AP30" s="63">
        <f t="shared" si="13"/>
        <v>93779</v>
      </c>
      <c r="AQ30" s="3">
        <f t="shared" si="14"/>
        <v>799172</v>
      </c>
      <c r="AR30" s="116">
        <f t="shared" si="15"/>
        <v>768866</v>
      </c>
      <c r="AS30" s="3">
        <f t="shared" si="16"/>
        <v>12504</v>
      </c>
      <c r="AT30" s="26">
        <f t="shared" si="17"/>
        <v>425</v>
      </c>
    </row>
    <row r="31" spans="1:46" ht="25.5" customHeight="1">
      <c r="A31" s="177">
        <v>43922</v>
      </c>
      <c r="B31" s="3">
        <v>10719</v>
      </c>
      <c r="C31" s="115">
        <v>0.08384043801329684</v>
      </c>
      <c r="D31" s="3">
        <v>127850</v>
      </c>
      <c r="E31" s="178">
        <v>854</v>
      </c>
      <c r="F31" s="115">
        <v>0.46590289143480634</v>
      </c>
      <c r="G31" s="3">
        <v>1833</v>
      </c>
      <c r="H31" s="178">
        <v>32</v>
      </c>
      <c r="I31" s="115">
        <v>0.64</v>
      </c>
      <c r="J31" s="3">
        <v>50</v>
      </c>
      <c r="K31" s="195">
        <v>11605</v>
      </c>
      <c r="L31" s="115">
        <v>0.08945295337346705</v>
      </c>
      <c r="M31" s="23">
        <v>129733</v>
      </c>
      <c r="N31" s="3">
        <v>80574</v>
      </c>
      <c r="O31" s="67">
        <v>0.1285350570458664</v>
      </c>
      <c r="P31" s="174">
        <v>626864</v>
      </c>
      <c r="Q31" s="68">
        <v>5300</v>
      </c>
      <c r="R31" s="67">
        <v>0.46799116997792495</v>
      </c>
      <c r="S31" s="40">
        <v>11325</v>
      </c>
      <c r="T31" s="68">
        <v>341</v>
      </c>
      <c r="U31" s="67">
        <v>0.8743589743589744</v>
      </c>
      <c r="V31" s="40">
        <v>390</v>
      </c>
      <c r="W31" s="63">
        <v>86215</v>
      </c>
      <c r="X31" s="67">
        <v>0.1350107034525094</v>
      </c>
      <c r="Y31" s="26">
        <v>638579</v>
      </c>
      <c r="Z31" s="3">
        <v>384</v>
      </c>
      <c r="AA31" s="115">
        <v>0.01041130059919204</v>
      </c>
      <c r="AB31" s="40">
        <v>36883</v>
      </c>
      <c r="AC31" s="3">
        <v>78</v>
      </c>
      <c r="AD31" s="115">
        <v>0.39195979899497485</v>
      </c>
      <c r="AE31" s="40">
        <v>199</v>
      </c>
      <c r="AF31" s="3">
        <v>13</v>
      </c>
      <c r="AG31" s="7">
        <v>0.8666666666666667</v>
      </c>
      <c r="AH31" s="3">
        <v>15</v>
      </c>
      <c r="AI31" s="41">
        <v>475</v>
      </c>
      <c r="AJ31" s="7">
        <v>0.012804269887052862</v>
      </c>
      <c r="AK31" s="44">
        <v>37097</v>
      </c>
      <c r="AL31" s="117">
        <f t="shared" si="9"/>
        <v>0.11581271783495894</v>
      </c>
      <c r="AM31" s="115">
        <f t="shared" si="10"/>
        <v>0.4665718349928876</v>
      </c>
      <c r="AN31" s="7">
        <f t="shared" si="11"/>
        <v>0.8483516483516483</v>
      </c>
      <c r="AO31" s="171">
        <f t="shared" si="12"/>
        <v>0.1194161311093023</v>
      </c>
      <c r="AP31" s="63">
        <f t="shared" si="13"/>
        <v>98295</v>
      </c>
      <c r="AQ31" s="3">
        <f t="shared" si="14"/>
        <v>823130</v>
      </c>
      <c r="AR31" s="116">
        <f t="shared" si="15"/>
        <v>791597</v>
      </c>
      <c r="AS31" s="3">
        <f t="shared" si="16"/>
        <v>13357</v>
      </c>
      <c r="AT31" s="26">
        <f t="shared" si="17"/>
        <v>455</v>
      </c>
    </row>
    <row r="32" spans="1:46" ht="25.5" customHeight="1">
      <c r="A32" s="177">
        <v>43891</v>
      </c>
      <c r="B32" s="3">
        <v>10772</v>
      </c>
      <c r="C32" s="115">
        <v>0.084</v>
      </c>
      <c r="D32" s="3">
        <v>127508</v>
      </c>
      <c r="E32" s="178">
        <v>854</v>
      </c>
      <c r="F32" s="115">
        <v>0.468</v>
      </c>
      <c r="G32" s="3">
        <v>1823</v>
      </c>
      <c r="H32" s="178">
        <v>32</v>
      </c>
      <c r="I32" s="115">
        <v>0.64</v>
      </c>
      <c r="J32" s="3">
        <v>50</v>
      </c>
      <c r="K32" s="195">
        <v>11658</v>
      </c>
      <c r="L32" s="115">
        <v>0.09</v>
      </c>
      <c r="M32" s="23">
        <v>129381</v>
      </c>
      <c r="N32" s="3">
        <v>81583</v>
      </c>
      <c r="O32" s="67">
        <v>0.12959700593951198</v>
      </c>
      <c r="P32" s="174">
        <v>629513</v>
      </c>
      <c r="Q32" s="68">
        <v>5301</v>
      </c>
      <c r="R32" s="67">
        <v>0.46434828311142257</v>
      </c>
      <c r="S32" s="40">
        <v>11416</v>
      </c>
      <c r="T32" s="68">
        <v>354</v>
      </c>
      <c r="U32" s="67">
        <v>0.8676470588235294</v>
      </c>
      <c r="V32" s="40">
        <v>408</v>
      </c>
      <c r="W32" s="63">
        <v>87238</v>
      </c>
      <c r="X32" s="67">
        <v>0.1360252098350789</v>
      </c>
      <c r="Y32" s="26">
        <v>641337</v>
      </c>
      <c r="Z32" s="3">
        <v>394</v>
      </c>
      <c r="AA32" s="115">
        <v>0.011</v>
      </c>
      <c r="AB32" s="40">
        <v>35632</v>
      </c>
      <c r="AC32" s="3">
        <v>79</v>
      </c>
      <c r="AD32" s="115">
        <v>0.395</v>
      </c>
      <c r="AE32" s="40">
        <v>200</v>
      </c>
      <c r="AF32" s="3">
        <v>13</v>
      </c>
      <c r="AG32" s="7">
        <v>0.867</v>
      </c>
      <c r="AH32" s="3">
        <v>15</v>
      </c>
      <c r="AI32" s="41">
        <v>486</v>
      </c>
      <c r="AJ32" s="7">
        <v>0.014</v>
      </c>
      <c r="AK32" s="26">
        <v>35847</v>
      </c>
      <c r="AL32" s="117">
        <f t="shared" si="9"/>
        <v>0.1170108483787988</v>
      </c>
      <c r="AM32" s="115">
        <f t="shared" si="10"/>
        <v>0.46387380013393853</v>
      </c>
      <c r="AN32" s="7">
        <f t="shared" si="11"/>
        <v>0.8435517970401691</v>
      </c>
      <c r="AO32" s="171">
        <f t="shared" si="12"/>
        <v>0.12055596799472078</v>
      </c>
      <c r="AP32" s="63">
        <f t="shared" si="13"/>
        <v>99382</v>
      </c>
      <c r="AQ32" s="3">
        <f t="shared" si="14"/>
        <v>824364</v>
      </c>
      <c r="AR32" s="116">
        <f t="shared" si="15"/>
        <v>792653</v>
      </c>
      <c r="AS32" s="3">
        <f t="shared" si="16"/>
        <v>13439</v>
      </c>
      <c r="AT32" s="26">
        <f t="shared" si="17"/>
        <v>473</v>
      </c>
    </row>
    <row r="33" spans="1:46" ht="25.5" customHeight="1">
      <c r="A33" s="177">
        <v>43862</v>
      </c>
      <c r="B33" s="3">
        <v>10809</v>
      </c>
      <c r="C33" s="115">
        <v>0.08485500306165707</v>
      </c>
      <c r="D33" s="3">
        <v>127382</v>
      </c>
      <c r="E33" s="178">
        <v>851</v>
      </c>
      <c r="F33" s="115">
        <v>0.46887052341597796</v>
      </c>
      <c r="G33" s="3">
        <v>1815</v>
      </c>
      <c r="H33" s="178">
        <v>32</v>
      </c>
      <c r="I33" s="115">
        <v>0.64</v>
      </c>
      <c r="J33" s="3">
        <v>50</v>
      </c>
      <c r="K33" s="195">
        <v>11692</v>
      </c>
      <c r="L33" s="115">
        <v>0.09046244787113047</v>
      </c>
      <c r="M33" s="23">
        <v>129247</v>
      </c>
      <c r="N33" s="3">
        <v>74234</v>
      </c>
      <c r="O33" s="67">
        <v>0.1306540977028083</v>
      </c>
      <c r="P33" s="174">
        <v>568172</v>
      </c>
      <c r="Q33" s="68">
        <v>4763</v>
      </c>
      <c r="R33" s="67">
        <v>0.4651821466940131</v>
      </c>
      <c r="S33" s="40">
        <v>10239</v>
      </c>
      <c r="T33" s="68">
        <v>310</v>
      </c>
      <c r="U33" s="67">
        <v>0.8781869688385269</v>
      </c>
      <c r="V33" s="40">
        <v>353</v>
      </c>
      <c r="W33" s="63">
        <v>79307</v>
      </c>
      <c r="X33" s="67">
        <v>0.1370282187558314</v>
      </c>
      <c r="Y33" s="26">
        <v>578764</v>
      </c>
      <c r="Z33" s="3">
        <v>393</v>
      </c>
      <c r="AA33" s="115">
        <v>0.011030340453001768</v>
      </c>
      <c r="AB33" s="40">
        <v>35629</v>
      </c>
      <c r="AC33" s="3">
        <v>80</v>
      </c>
      <c r="AD33" s="115">
        <v>0.39603960396039606</v>
      </c>
      <c r="AE33" s="40">
        <v>202</v>
      </c>
      <c r="AF33" s="3">
        <v>13</v>
      </c>
      <c r="AG33" s="7">
        <v>0.8666666666666667</v>
      </c>
      <c r="AH33" s="3">
        <v>15</v>
      </c>
      <c r="AI33" s="41">
        <v>486</v>
      </c>
      <c r="AJ33" s="7">
        <v>0.01355799810299615</v>
      </c>
      <c r="AK33" s="44">
        <v>35846</v>
      </c>
      <c r="AL33" s="117">
        <f t="shared" si="9"/>
        <v>0.11684626146942695</v>
      </c>
      <c r="AM33" s="115">
        <f t="shared" si="10"/>
        <v>0.464588772845953</v>
      </c>
      <c r="AN33" s="7">
        <f t="shared" si="11"/>
        <v>0.8492822966507177</v>
      </c>
      <c r="AO33" s="171">
        <f t="shared" si="12"/>
        <v>0.12019976140048455</v>
      </c>
      <c r="AP33" s="63">
        <f t="shared" si="13"/>
        <v>91485</v>
      </c>
      <c r="AQ33" s="3">
        <f t="shared" si="14"/>
        <v>761108</v>
      </c>
      <c r="AR33" s="116">
        <f t="shared" si="15"/>
        <v>731183</v>
      </c>
      <c r="AS33" s="3">
        <f t="shared" si="16"/>
        <v>12256</v>
      </c>
      <c r="AT33" s="26">
        <f t="shared" si="17"/>
        <v>418</v>
      </c>
    </row>
    <row r="34" spans="1:46" ht="21" customHeight="1">
      <c r="A34" s="177">
        <v>43831</v>
      </c>
      <c r="B34" s="3">
        <v>10898</v>
      </c>
      <c r="C34" s="206">
        <v>0.08560879811468972</v>
      </c>
      <c r="D34" s="3">
        <v>127300</v>
      </c>
      <c r="E34" s="178">
        <v>854</v>
      </c>
      <c r="F34" s="206">
        <v>0.4684585847504114</v>
      </c>
      <c r="G34" s="3">
        <v>1823</v>
      </c>
      <c r="H34" s="178">
        <v>32</v>
      </c>
      <c r="I34" s="206">
        <v>0.64</v>
      </c>
      <c r="J34" s="3">
        <v>50</v>
      </c>
      <c r="K34" s="207">
        <v>11784</v>
      </c>
      <c r="L34" s="206">
        <v>0.09122649470090499</v>
      </c>
      <c r="M34" s="23">
        <v>129173</v>
      </c>
      <c r="N34" s="3">
        <v>82958</v>
      </c>
      <c r="O34" s="67">
        <v>0.13179421432327537</v>
      </c>
      <c r="P34" s="174">
        <v>629451</v>
      </c>
      <c r="Q34" s="68">
        <v>5202</v>
      </c>
      <c r="R34" s="67">
        <v>0.4550782958621293</v>
      </c>
      <c r="S34" s="40">
        <v>11431</v>
      </c>
      <c r="T34" s="68">
        <v>355</v>
      </c>
      <c r="U34" s="67">
        <v>0.8679706601466992</v>
      </c>
      <c r="V34" s="40">
        <v>409</v>
      </c>
      <c r="W34" s="63">
        <v>88515</v>
      </c>
      <c r="X34" s="67">
        <v>0.1380262626483141</v>
      </c>
      <c r="Y34" s="26">
        <v>641291</v>
      </c>
      <c r="Z34" s="3">
        <v>397</v>
      </c>
      <c r="AA34" s="206">
        <v>0.011140732425985688</v>
      </c>
      <c r="AB34" s="3">
        <v>35635</v>
      </c>
      <c r="AC34" s="178">
        <v>77</v>
      </c>
      <c r="AD34" s="206">
        <v>0.4117647058823529</v>
      </c>
      <c r="AE34" s="3">
        <v>187</v>
      </c>
      <c r="AF34" s="178">
        <v>13</v>
      </c>
      <c r="AG34" s="206">
        <v>0.8125</v>
      </c>
      <c r="AH34" s="3">
        <v>16</v>
      </c>
      <c r="AI34" s="207">
        <v>487</v>
      </c>
      <c r="AJ34" s="206">
        <v>0.013588927953568837</v>
      </c>
      <c r="AK34" s="23">
        <v>35838</v>
      </c>
      <c r="AL34" s="117">
        <f t="shared" si="9"/>
        <v>0.11894834083388652</v>
      </c>
      <c r="AM34" s="115">
        <f t="shared" si="10"/>
        <v>0.45629045457927236</v>
      </c>
      <c r="AN34" s="7">
        <f t="shared" si="11"/>
        <v>0.8421052631578947</v>
      </c>
      <c r="AO34" s="171">
        <f t="shared" si="12"/>
        <v>0.12229381286932887</v>
      </c>
      <c r="AP34" s="63">
        <f t="shared" si="13"/>
        <v>100786</v>
      </c>
      <c r="AQ34" s="3">
        <f t="shared" si="14"/>
        <v>824130</v>
      </c>
      <c r="AR34" s="116">
        <f t="shared" si="15"/>
        <v>792386</v>
      </c>
      <c r="AS34" s="3">
        <f t="shared" si="16"/>
        <v>13441</v>
      </c>
      <c r="AT34" s="26">
        <f t="shared" si="17"/>
        <v>475</v>
      </c>
    </row>
    <row r="35" spans="1:46" ht="21" customHeight="1">
      <c r="A35" s="146">
        <v>43800</v>
      </c>
      <c r="B35" s="3">
        <v>11076</v>
      </c>
      <c r="C35" s="206">
        <v>0.08704057335502274</v>
      </c>
      <c r="D35" s="3">
        <v>127251</v>
      </c>
      <c r="E35" s="178">
        <v>841</v>
      </c>
      <c r="F35" s="206">
        <v>0.4593118514472966</v>
      </c>
      <c r="G35" s="3">
        <v>1831</v>
      </c>
      <c r="H35" s="178">
        <v>32</v>
      </c>
      <c r="I35" s="206">
        <v>0.64</v>
      </c>
      <c r="J35" s="3">
        <v>50</v>
      </c>
      <c r="K35" s="207">
        <v>11949</v>
      </c>
      <c r="L35" s="206">
        <v>0.0925332218195335</v>
      </c>
      <c r="M35" s="23">
        <v>129132</v>
      </c>
      <c r="N35" s="3">
        <v>84664</v>
      </c>
      <c r="O35" s="67">
        <v>0.13457613540269203</v>
      </c>
      <c r="P35" s="174">
        <v>629116</v>
      </c>
      <c r="Q35" s="68">
        <v>5156</v>
      </c>
      <c r="R35" s="67">
        <v>0.45228070175438595</v>
      </c>
      <c r="S35" s="40">
        <v>11400</v>
      </c>
      <c r="T35" s="68">
        <v>351</v>
      </c>
      <c r="U35" s="67">
        <v>0.8709677419354839</v>
      </c>
      <c r="V35" s="40">
        <v>403</v>
      </c>
      <c r="W35" s="63">
        <v>90171</v>
      </c>
      <c r="X35" s="67">
        <v>0.14069016521588532</v>
      </c>
      <c r="Y35" s="26">
        <v>640919</v>
      </c>
      <c r="Z35" s="3">
        <v>397</v>
      </c>
      <c r="AA35" s="206">
        <v>0.011128864967902895</v>
      </c>
      <c r="AB35" s="3">
        <v>35673</v>
      </c>
      <c r="AC35" s="178">
        <v>76</v>
      </c>
      <c r="AD35" s="206">
        <v>0.41304347826086957</v>
      </c>
      <c r="AE35" s="3">
        <v>184</v>
      </c>
      <c r="AF35" s="178">
        <v>13</v>
      </c>
      <c r="AG35" s="206">
        <v>0.8125</v>
      </c>
      <c r="AH35" s="3">
        <v>16</v>
      </c>
      <c r="AI35" s="207">
        <v>486</v>
      </c>
      <c r="AJ35" s="206">
        <v>0.013547793605218409</v>
      </c>
      <c r="AK35" s="23">
        <v>35873</v>
      </c>
      <c r="AL35" s="117">
        <f t="shared" si="9"/>
        <v>0.12137897075905257</v>
      </c>
      <c r="AM35" s="115">
        <f t="shared" si="10"/>
        <v>0.4527021990309355</v>
      </c>
      <c r="AN35" s="7">
        <f t="shared" si="11"/>
        <v>0.8443496801705757</v>
      </c>
      <c r="AO35" s="171">
        <f t="shared" si="12"/>
        <v>0.12454209786542957</v>
      </c>
      <c r="AP35" s="63">
        <f t="shared" si="13"/>
        <v>102606</v>
      </c>
      <c r="AQ35" s="3">
        <f t="shared" si="14"/>
        <v>823866</v>
      </c>
      <c r="AR35" s="116">
        <f t="shared" si="15"/>
        <v>792040</v>
      </c>
      <c r="AS35" s="3">
        <f t="shared" si="16"/>
        <v>13415</v>
      </c>
      <c r="AT35" s="26">
        <f t="shared" si="17"/>
        <v>469</v>
      </c>
    </row>
    <row r="36" spans="1:46" ht="21" customHeight="1">
      <c r="A36" s="146">
        <v>43770</v>
      </c>
      <c r="B36" s="3">
        <v>11282</v>
      </c>
      <c r="C36" s="115">
        <v>0.089</v>
      </c>
      <c r="D36" s="3">
        <v>127322</v>
      </c>
      <c r="E36" s="178">
        <v>838</v>
      </c>
      <c r="F36" s="115">
        <v>0.455</v>
      </c>
      <c r="G36" s="3">
        <v>1841</v>
      </c>
      <c r="H36" s="178">
        <v>32</v>
      </c>
      <c r="I36" s="115">
        <v>0.64</v>
      </c>
      <c r="J36" s="3">
        <v>50</v>
      </c>
      <c r="K36" s="195">
        <v>12152</v>
      </c>
      <c r="L36" s="115">
        <v>0.094</v>
      </c>
      <c r="M36" s="23">
        <v>129213</v>
      </c>
      <c r="N36" s="3">
        <v>77025</v>
      </c>
      <c r="O36" s="67">
        <v>0.13538215468982062</v>
      </c>
      <c r="P36" s="174">
        <v>568945</v>
      </c>
      <c r="Q36" s="68">
        <v>4609</v>
      </c>
      <c r="R36" s="67">
        <v>0.4523949744797801</v>
      </c>
      <c r="S36" s="40">
        <v>10188</v>
      </c>
      <c r="T36" s="68">
        <v>298</v>
      </c>
      <c r="U36" s="67">
        <v>0.8790560471976401</v>
      </c>
      <c r="V36" s="40">
        <v>339</v>
      </c>
      <c r="W36" s="63">
        <v>81932</v>
      </c>
      <c r="X36" s="67">
        <v>0.1413907833337935</v>
      </c>
      <c r="Y36" s="26">
        <v>579472</v>
      </c>
      <c r="Z36" s="3">
        <v>398</v>
      </c>
      <c r="AA36" s="115">
        <v>0.011</v>
      </c>
      <c r="AB36" s="40">
        <v>36922</v>
      </c>
      <c r="AC36" s="3">
        <v>75</v>
      </c>
      <c r="AD36" s="115">
        <v>0.408</v>
      </c>
      <c r="AE36" s="40">
        <v>184</v>
      </c>
      <c r="AF36" s="3">
        <v>13</v>
      </c>
      <c r="AG36" s="7">
        <v>0.867</v>
      </c>
      <c r="AH36" s="3">
        <v>15</v>
      </c>
      <c r="AI36" s="41">
        <v>486</v>
      </c>
      <c r="AJ36" s="7">
        <v>0.013</v>
      </c>
      <c r="AK36" s="26">
        <v>37121</v>
      </c>
      <c r="AL36" s="117">
        <f aca="true" t="shared" si="18" ref="AL36:AL42">(B36+N36+Z36)/AR36</f>
        <v>0.12098517571867554</v>
      </c>
      <c r="AM36" s="115">
        <f aca="true" t="shared" si="19" ref="AM36:AM42">(E36+Q36+AC36)/AS36</f>
        <v>0.45214116105788915</v>
      </c>
      <c r="AN36" s="7">
        <f aca="true" t="shared" si="20" ref="AN36:AN42">(H36+T36+AF36)/AT36</f>
        <v>0.849009900990099</v>
      </c>
      <c r="AO36" s="171">
        <f aca="true" t="shared" si="21" ref="AO36:AO42">AP36/AQ36</f>
        <v>0.12388796241833704</v>
      </c>
      <c r="AP36" s="63">
        <f aca="true" t="shared" si="22" ref="AP36:AP42">AF36+AC36+Z36+T36+Q36+N36+H36+E36+B36</f>
        <v>94570</v>
      </c>
      <c r="AQ36" s="3">
        <f aca="true" t="shared" si="23" ref="AQ36:AQ42">AH36+AF36+AE36+AC36+Z36+AB36+V36+T36+S36+Q36+P36+J36+H36+G36+E36+D36+B36</f>
        <v>763351</v>
      </c>
      <c r="AR36" s="116">
        <f aca="true" t="shared" si="24" ref="AR36:AR42">+D36+P36+AB36</f>
        <v>733189</v>
      </c>
      <c r="AS36" s="3">
        <f aca="true" t="shared" si="25" ref="AS36:AS42">G36+S36+AE36</f>
        <v>12213</v>
      </c>
      <c r="AT36" s="26">
        <f aca="true" t="shared" si="26" ref="AT36:AT42">J36+V36+AH36</f>
        <v>404</v>
      </c>
    </row>
    <row r="37" spans="1:46" ht="21" customHeight="1">
      <c r="A37" s="146">
        <v>43739</v>
      </c>
      <c r="B37" s="3">
        <v>11110</v>
      </c>
      <c r="C37" s="115">
        <v>0.087</v>
      </c>
      <c r="D37" s="3">
        <v>127611</v>
      </c>
      <c r="E37" s="178">
        <v>831</v>
      </c>
      <c r="F37" s="115">
        <v>0.445</v>
      </c>
      <c r="G37" s="3">
        <v>1866</v>
      </c>
      <c r="H37" s="178">
        <v>32</v>
      </c>
      <c r="I37" s="115">
        <v>0.64</v>
      </c>
      <c r="J37" s="3">
        <v>50</v>
      </c>
      <c r="K37" s="195">
        <v>11973</v>
      </c>
      <c r="L37" s="115">
        <v>0.092</v>
      </c>
      <c r="M37" s="23">
        <v>129527</v>
      </c>
      <c r="N37" s="3">
        <v>85929</v>
      </c>
      <c r="O37" s="67">
        <v>0.1365172368322803</v>
      </c>
      <c r="P37" s="174">
        <v>629437</v>
      </c>
      <c r="Q37" s="68">
        <v>5153</v>
      </c>
      <c r="R37" s="67">
        <v>0.4498472282845919</v>
      </c>
      <c r="S37" s="40">
        <v>11455</v>
      </c>
      <c r="T37" s="68">
        <v>358</v>
      </c>
      <c r="U37" s="67">
        <v>0.8689320388349514</v>
      </c>
      <c r="V37" s="40">
        <v>412</v>
      </c>
      <c r="W37" s="63">
        <v>91440</v>
      </c>
      <c r="X37" s="67">
        <v>0.14258448411361851</v>
      </c>
      <c r="Y37" s="26">
        <v>641304</v>
      </c>
      <c r="Z37" s="3">
        <v>399</v>
      </c>
      <c r="AA37" s="115">
        <v>0.011</v>
      </c>
      <c r="AB37" s="40">
        <v>36955</v>
      </c>
      <c r="AC37" s="3">
        <v>75</v>
      </c>
      <c r="AD37" s="115">
        <v>0.408</v>
      </c>
      <c r="AE37" s="40">
        <v>184</v>
      </c>
      <c r="AF37" s="3">
        <v>14</v>
      </c>
      <c r="AG37" s="7">
        <v>0.875</v>
      </c>
      <c r="AH37" s="3">
        <v>16</v>
      </c>
      <c r="AI37" s="41">
        <v>488</v>
      </c>
      <c r="AJ37" s="7">
        <v>0.013</v>
      </c>
      <c r="AK37" s="26">
        <v>37155</v>
      </c>
      <c r="AL37" s="117">
        <f t="shared" si="18"/>
        <v>0.12271742046314686</v>
      </c>
      <c r="AM37" s="115">
        <f t="shared" si="19"/>
        <v>0.4486486486486487</v>
      </c>
      <c r="AN37" s="7">
        <f t="shared" si="20"/>
        <v>0.8451882845188284</v>
      </c>
      <c r="AO37" s="171">
        <f t="shared" si="21"/>
        <v>0.12579453192535214</v>
      </c>
      <c r="AP37" s="63">
        <f t="shared" si="22"/>
        <v>103901</v>
      </c>
      <c r="AQ37" s="3">
        <f t="shared" si="23"/>
        <v>825958</v>
      </c>
      <c r="AR37" s="116">
        <f t="shared" si="24"/>
        <v>794003</v>
      </c>
      <c r="AS37" s="3">
        <f t="shared" si="25"/>
        <v>13505</v>
      </c>
      <c r="AT37" s="26">
        <f t="shared" si="26"/>
        <v>478</v>
      </c>
    </row>
    <row r="38" spans="1:46" ht="21" customHeight="1">
      <c r="A38" s="146">
        <v>43709</v>
      </c>
      <c r="B38" s="3">
        <v>11141</v>
      </c>
      <c r="C38" s="115">
        <v>0.087</v>
      </c>
      <c r="D38" s="3">
        <v>128113</v>
      </c>
      <c r="E38" s="178">
        <v>826</v>
      </c>
      <c r="F38" s="115">
        <v>0.44</v>
      </c>
      <c r="G38" s="3">
        <v>1876</v>
      </c>
      <c r="H38" s="178">
        <v>32</v>
      </c>
      <c r="I38" s="115">
        <v>0.64</v>
      </c>
      <c r="J38" s="3">
        <v>50</v>
      </c>
      <c r="K38" s="195">
        <v>11999</v>
      </c>
      <c r="L38" s="115">
        <v>0.092</v>
      </c>
      <c r="M38" s="23">
        <v>130039</v>
      </c>
      <c r="N38" s="3">
        <v>81455</v>
      </c>
      <c r="O38" s="67">
        <v>0.13584436809979653</v>
      </c>
      <c r="P38" s="174">
        <v>599620</v>
      </c>
      <c r="Q38" s="68">
        <v>4851</v>
      </c>
      <c r="R38" s="67">
        <v>0.44854368932038835</v>
      </c>
      <c r="S38" s="40">
        <v>10815</v>
      </c>
      <c r="T38" s="68">
        <v>316</v>
      </c>
      <c r="U38" s="67">
        <v>0.8851540616246498</v>
      </c>
      <c r="V38" s="40">
        <v>357</v>
      </c>
      <c r="W38" s="63">
        <v>86622</v>
      </c>
      <c r="X38" s="67">
        <v>0.14181914628875297</v>
      </c>
      <c r="Y38" s="26">
        <v>610792</v>
      </c>
      <c r="Z38" s="3">
        <v>391</v>
      </c>
      <c r="AA38" s="115">
        <v>0.011</v>
      </c>
      <c r="AB38" s="40">
        <v>35776</v>
      </c>
      <c r="AC38" s="3">
        <v>74</v>
      </c>
      <c r="AD38" s="115">
        <v>0.409</v>
      </c>
      <c r="AE38" s="40">
        <v>181</v>
      </c>
      <c r="AF38" s="3">
        <v>13</v>
      </c>
      <c r="AG38" s="7">
        <v>0.813</v>
      </c>
      <c r="AH38" s="3">
        <v>16</v>
      </c>
      <c r="AI38" s="41">
        <v>478</v>
      </c>
      <c r="AJ38" s="7">
        <v>0.013</v>
      </c>
      <c r="AK38" s="26">
        <v>35973</v>
      </c>
      <c r="AL38" s="117">
        <f t="shared" si="18"/>
        <v>0.12178900314207167</v>
      </c>
      <c r="AM38" s="115">
        <f t="shared" si="19"/>
        <v>0.4467837165941579</v>
      </c>
      <c r="AN38" s="7">
        <f t="shared" si="20"/>
        <v>0.8534278959810875</v>
      </c>
      <c r="AO38" s="171">
        <f t="shared" si="21"/>
        <v>0.1247394417255755</v>
      </c>
      <c r="AP38" s="63">
        <f t="shared" si="22"/>
        <v>99099</v>
      </c>
      <c r="AQ38" s="3">
        <f t="shared" si="23"/>
        <v>794448</v>
      </c>
      <c r="AR38" s="116">
        <f t="shared" si="24"/>
        <v>763509</v>
      </c>
      <c r="AS38" s="3">
        <f t="shared" si="25"/>
        <v>12872</v>
      </c>
      <c r="AT38" s="26">
        <f t="shared" si="26"/>
        <v>423</v>
      </c>
    </row>
    <row r="39" spans="1:46" ht="15.75" customHeight="1">
      <c r="A39" s="146">
        <v>43678</v>
      </c>
      <c r="B39" s="3">
        <v>11219</v>
      </c>
      <c r="C39" s="115">
        <v>0.088</v>
      </c>
      <c r="D39" s="3">
        <v>128117</v>
      </c>
      <c r="E39" s="178">
        <v>824</v>
      </c>
      <c r="F39" s="115">
        <v>0.438</v>
      </c>
      <c r="G39" s="3">
        <v>1881</v>
      </c>
      <c r="H39" s="178">
        <v>32</v>
      </c>
      <c r="I39" s="115">
        <v>0.64</v>
      </c>
      <c r="J39" s="3">
        <v>50</v>
      </c>
      <c r="K39" s="195">
        <v>12075</v>
      </c>
      <c r="L39" s="115">
        <v>0.093</v>
      </c>
      <c r="M39" s="23">
        <v>130048</v>
      </c>
      <c r="N39" s="3">
        <v>88410</v>
      </c>
      <c r="O39" s="67">
        <v>0.1407567206119996</v>
      </c>
      <c r="P39" s="174">
        <v>628105</v>
      </c>
      <c r="Q39" s="68">
        <v>5111</v>
      </c>
      <c r="R39" s="67">
        <v>0.4493186813186813</v>
      </c>
      <c r="S39" s="40">
        <v>11375</v>
      </c>
      <c r="T39" s="68">
        <v>358</v>
      </c>
      <c r="U39" s="67">
        <v>0.8753056234718827</v>
      </c>
      <c r="V39" s="40">
        <v>409</v>
      </c>
      <c r="W39" s="63">
        <v>93879</v>
      </c>
      <c r="X39" s="67">
        <v>0.14671138275544665</v>
      </c>
      <c r="Y39" s="26">
        <v>639889</v>
      </c>
      <c r="Z39" s="3">
        <v>389</v>
      </c>
      <c r="AA39" s="115">
        <v>0.011</v>
      </c>
      <c r="AB39" s="40">
        <v>35783</v>
      </c>
      <c r="AC39" s="3">
        <v>74</v>
      </c>
      <c r="AD39" s="115">
        <v>0.411</v>
      </c>
      <c r="AE39" s="40">
        <v>180</v>
      </c>
      <c r="AF39" s="3">
        <v>13</v>
      </c>
      <c r="AG39" s="7">
        <v>0.813</v>
      </c>
      <c r="AH39" s="3">
        <v>16</v>
      </c>
      <c r="AI39" s="41">
        <v>476</v>
      </c>
      <c r="AJ39" s="7">
        <v>0.013</v>
      </c>
      <c r="AK39" s="26">
        <v>35979</v>
      </c>
      <c r="AL39" s="117">
        <f t="shared" si="18"/>
        <v>0.12628455628436688</v>
      </c>
      <c r="AM39" s="115">
        <f t="shared" si="19"/>
        <v>0.4472313188448943</v>
      </c>
      <c r="AN39" s="7">
        <f t="shared" si="20"/>
        <v>0.848421052631579</v>
      </c>
      <c r="AO39" s="171">
        <f t="shared" si="21"/>
        <v>0.12917265418673296</v>
      </c>
      <c r="AP39" s="63">
        <f t="shared" si="22"/>
        <v>106430</v>
      </c>
      <c r="AQ39" s="3">
        <f t="shared" si="23"/>
        <v>823936</v>
      </c>
      <c r="AR39" s="116">
        <f t="shared" si="24"/>
        <v>792005</v>
      </c>
      <c r="AS39" s="3">
        <f t="shared" si="25"/>
        <v>13436</v>
      </c>
      <c r="AT39" s="26">
        <f t="shared" si="26"/>
        <v>475</v>
      </c>
    </row>
    <row r="40" spans="1:46" ht="15.75" customHeight="1">
      <c r="A40" s="146">
        <v>43647</v>
      </c>
      <c r="B40" s="3">
        <v>11366</v>
      </c>
      <c r="C40" s="115">
        <v>0.08877606810903695</v>
      </c>
      <c r="D40" s="3">
        <v>128030</v>
      </c>
      <c r="E40" s="178">
        <v>830</v>
      </c>
      <c r="F40" s="115">
        <v>0.4403183023872679</v>
      </c>
      <c r="G40" s="3">
        <v>1885</v>
      </c>
      <c r="H40" s="178">
        <v>32</v>
      </c>
      <c r="I40" s="115">
        <v>0.64</v>
      </c>
      <c r="J40" s="3">
        <v>50</v>
      </c>
      <c r="K40" s="195">
        <v>12228</v>
      </c>
      <c r="L40" s="115">
        <v>0.09408686954179972</v>
      </c>
      <c r="M40" s="23">
        <v>129965</v>
      </c>
      <c r="N40" s="3">
        <v>89985</v>
      </c>
      <c r="O40" s="67">
        <v>0.143163062863834</v>
      </c>
      <c r="P40" s="174">
        <v>628549</v>
      </c>
      <c r="Q40" s="68">
        <v>5109</v>
      </c>
      <c r="R40" s="67">
        <v>0.44733385868137643</v>
      </c>
      <c r="S40" s="40">
        <v>11421</v>
      </c>
      <c r="T40" s="68">
        <v>357</v>
      </c>
      <c r="U40" s="67">
        <v>0.8728606356968215</v>
      </c>
      <c r="V40" s="40">
        <v>409</v>
      </c>
      <c r="W40" s="63">
        <v>95451</v>
      </c>
      <c r="X40" s="67">
        <v>0.14905391963196796</v>
      </c>
      <c r="Y40" s="26">
        <v>640379</v>
      </c>
      <c r="Z40" s="3">
        <v>391</v>
      </c>
      <c r="AA40" s="115">
        <v>0.010576428899889096</v>
      </c>
      <c r="AB40" s="40">
        <v>36969</v>
      </c>
      <c r="AC40" s="3">
        <v>72</v>
      </c>
      <c r="AD40" s="115">
        <v>0.4</v>
      </c>
      <c r="AE40" s="40">
        <v>180</v>
      </c>
      <c r="AF40" s="3">
        <v>13</v>
      </c>
      <c r="AG40" s="7">
        <v>0.8125</v>
      </c>
      <c r="AH40" s="3">
        <v>16</v>
      </c>
      <c r="AI40" s="41">
        <v>476</v>
      </c>
      <c r="AJ40" s="7">
        <v>0.012807749226422709</v>
      </c>
      <c r="AK40" s="44">
        <v>37165</v>
      </c>
      <c r="AL40" s="117">
        <f t="shared" si="18"/>
        <v>0.12821152595684193</v>
      </c>
      <c r="AM40" s="115">
        <f t="shared" si="19"/>
        <v>0.44572148895150526</v>
      </c>
      <c r="AN40" s="7">
        <f t="shared" si="20"/>
        <v>0.8463157894736842</v>
      </c>
      <c r="AO40" s="171">
        <f t="shared" si="21"/>
        <v>0.13098916164756522</v>
      </c>
      <c r="AP40" s="63">
        <f t="shared" si="22"/>
        <v>108155</v>
      </c>
      <c r="AQ40" s="3">
        <f t="shared" si="23"/>
        <v>825679</v>
      </c>
      <c r="AR40" s="116">
        <f t="shared" si="24"/>
        <v>793548</v>
      </c>
      <c r="AS40" s="3">
        <f t="shared" si="25"/>
        <v>13486</v>
      </c>
      <c r="AT40" s="26">
        <f t="shared" si="26"/>
        <v>475</v>
      </c>
    </row>
    <row r="41" spans="1:46" ht="15.75" customHeight="1">
      <c r="A41" s="146">
        <v>43617</v>
      </c>
      <c r="B41" s="3">
        <v>11478</v>
      </c>
      <c r="C41" s="115">
        <v>0.09</v>
      </c>
      <c r="D41" s="3">
        <v>127819</v>
      </c>
      <c r="E41" s="178">
        <v>831</v>
      </c>
      <c r="F41" s="115">
        <v>0.441</v>
      </c>
      <c r="G41" s="3">
        <v>1885</v>
      </c>
      <c r="H41" s="178">
        <v>32</v>
      </c>
      <c r="I41" s="115">
        <v>0.64</v>
      </c>
      <c r="J41" s="3">
        <v>50</v>
      </c>
      <c r="K41" s="195">
        <v>12341</v>
      </c>
      <c r="L41" s="115">
        <v>0.095</v>
      </c>
      <c r="M41" s="23">
        <v>129754</v>
      </c>
      <c r="N41" s="3">
        <v>83965</v>
      </c>
      <c r="O41" s="67">
        <v>0.14137021266565308</v>
      </c>
      <c r="P41" s="174">
        <v>593937</v>
      </c>
      <c r="Q41" s="68">
        <v>4787</v>
      </c>
      <c r="R41" s="67">
        <v>0.4436104160874803</v>
      </c>
      <c r="S41" s="40">
        <v>10791</v>
      </c>
      <c r="T41" s="68">
        <v>311</v>
      </c>
      <c r="U41" s="67">
        <v>0.8760563380281691</v>
      </c>
      <c r="V41" s="40">
        <v>355</v>
      </c>
      <c r="W41" s="63">
        <v>89063</v>
      </c>
      <c r="X41" s="67">
        <v>0.14719137705075172</v>
      </c>
      <c r="Y41" s="26">
        <v>605083</v>
      </c>
      <c r="Z41" s="3">
        <v>393</v>
      </c>
      <c r="AA41" s="115">
        <v>0.011</v>
      </c>
      <c r="AB41" s="40">
        <v>37001</v>
      </c>
      <c r="AC41" s="3">
        <v>72</v>
      </c>
      <c r="AD41" s="115">
        <v>0.4</v>
      </c>
      <c r="AE41" s="40">
        <v>180</v>
      </c>
      <c r="AF41" s="3">
        <v>13</v>
      </c>
      <c r="AG41" s="7">
        <v>0.813</v>
      </c>
      <c r="AH41" s="3">
        <v>16</v>
      </c>
      <c r="AI41" s="41">
        <v>478</v>
      </c>
      <c r="AJ41" s="7">
        <v>0.013</v>
      </c>
      <c r="AK41" s="26">
        <v>37197</v>
      </c>
      <c r="AL41" s="117">
        <f t="shared" si="18"/>
        <v>0.12630657773173756</v>
      </c>
      <c r="AM41" s="115">
        <f t="shared" si="19"/>
        <v>0.4425948973242066</v>
      </c>
      <c r="AN41" s="7">
        <f t="shared" si="20"/>
        <v>0.8456057007125891</v>
      </c>
      <c r="AO41" s="171">
        <f t="shared" si="21"/>
        <v>0.12897255652565792</v>
      </c>
      <c r="AP41" s="63">
        <f t="shared" si="22"/>
        <v>101882</v>
      </c>
      <c r="AQ41" s="3">
        <f t="shared" si="23"/>
        <v>789951</v>
      </c>
      <c r="AR41" s="116">
        <f t="shared" si="24"/>
        <v>758757</v>
      </c>
      <c r="AS41" s="3">
        <f t="shared" si="25"/>
        <v>12856</v>
      </c>
      <c r="AT41" s="26">
        <f t="shared" si="26"/>
        <v>421</v>
      </c>
    </row>
    <row r="42" spans="1:46" ht="15.75" customHeight="1">
      <c r="A42" s="146">
        <v>43586</v>
      </c>
      <c r="B42" s="3">
        <v>11563</v>
      </c>
      <c r="C42" s="115">
        <v>0.09068237250119597</v>
      </c>
      <c r="D42" s="3">
        <v>127511</v>
      </c>
      <c r="E42" s="178">
        <v>829</v>
      </c>
      <c r="F42" s="115">
        <v>0.4400212314225053</v>
      </c>
      <c r="G42" s="3">
        <v>1884</v>
      </c>
      <c r="H42" s="178">
        <v>32</v>
      </c>
      <c r="I42" s="115">
        <v>0.6530612244897959</v>
      </c>
      <c r="J42" s="3">
        <v>49</v>
      </c>
      <c r="K42" s="195">
        <v>12424</v>
      </c>
      <c r="L42" s="115">
        <v>0.09597972868576372</v>
      </c>
      <c r="M42" s="23">
        <v>129444</v>
      </c>
      <c r="N42" s="3">
        <v>90874</v>
      </c>
      <c r="O42" s="67">
        <v>0.14492721264624453</v>
      </c>
      <c r="P42" s="174">
        <v>627032</v>
      </c>
      <c r="Q42" s="68">
        <v>5067</v>
      </c>
      <c r="R42" s="67">
        <v>0.44303576112616944</v>
      </c>
      <c r="S42" s="40">
        <v>11437</v>
      </c>
      <c r="T42" s="68">
        <v>354</v>
      </c>
      <c r="U42" s="67">
        <v>0.8719211822660099</v>
      </c>
      <c r="V42" s="40">
        <v>406</v>
      </c>
      <c r="W42" s="63">
        <v>96295</v>
      </c>
      <c r="X42" s="67">
        <v>0.1507258853453336</v>
      </c>
      <c r="Y42" s="26">
        <v>638875</v>
      </c>
      <c r="Z42" s="3">
        <v>389</v>
      </c>
      <c r="AA42" s="115">
        <v>0.010514934450601433</v>
      </c>
      <c r="AB42" s="40">
        <v>36995</v>
      </c>
      <c r="AC42" s="3">
        <v>72</v>
      </c>
      <c r="AD42" s="115">
        <v>0.4</v>
      </c>
      <c r="AE42" s="40">
        <v>180</v>
      </c>
      <c r="AF42" s="3">
        <v>13</v>
      </c>
      <c r="AG42" s="7">
        <v>0.8125</v>
      </c>
      <c r="AH42" s="3">
        <v>16</v>
      </c>
      <c r="AI42" s="41">
        <v>474</v>
      </c>
      <c r="AJ42" s="7">
        <v>0.01274501895619908</v>
      </c>
      <c r="AK42" s="44">
        <v>37191</v>
      </c>
      <c r="AL42" s="117">
        <f t="shared" si="18"/>
        <v>0.12990658692317994</v>
      </c>
      <c r="AM42" s="115">
        <f t="shared" si="19"/>
        <v>0.44204133027183173</v>
      </c>
      <c r="AN42" s="7">
        <f t="shared" si="20"/>
        <v>0.8471337579617835</v>
      </c>
      <c r="AO42" s="171">
        <f t="shared" si="21"/>
        <v>0.1325432826472484</v>
      </c>
      <c r="AP42" s="63">
        <f t="shared" si="22"/>
        <v>109193</v>
      </c>
      <c r="AQ42" s="3">
        <f t="shared" si="23"/>
        <v>823829</v>
      </c>
      <c r="AR42" s="116">
        <f t="shared" si="24"/>
        <v>791538</v>
      </c>
      <c r="AS42" s="3">
        <f t="shared" si="25"/>
        <v>13501</v>
      </c>
      <c r="AT42" s="26">
        <f t="shared" si="26"/>
        <v>471</v>
      </c>
    </row>
    <row r="43" spans="1:46" ht="15.75" customHeight="1">
      <c r="A43" s="146">
        <v>43556</v>
      </c>
      <c r="B43" s="3">
        <v>11711</v>
      </c>
      <c r="C43" s="115">
        <v>0.09228090082423211</v>
      </c>
      <c r="D43" s="3">
        <v>126906</v>
      </c>
      <c r="E43" s="178">
        <v>827</v>
      </c>
      <c r="F43" s="115">
        <v>0.43965975544922914</v>
      </c>
      <c r="G43" s="3">
        <v>1881</v>
      </c>
      <c r="H43" s="178">
        <v>33</v>
      </c>
      <c r="I43" s="115">
        <v>0.673469387755102</v>
      </c>
      <c r="J43" s="3">
        <v>49</v>
      </c>
      <c r="K43" s="195">
        <v>12571</v>
      </c>
      <c r="L43" s="115">
        <v>0.09757365953615449</v>
      </c>
      <c r="M43" s="23">
        <v>128836</v>
      </c>
      <c r="N43" s="3">
        <v>86621</v>
      </c>
      <c r="O43" s="67">
        <v>0.14462311104729497</v>
      </c>
      <c r="P43" s="174">
        <v>598943</v>
      </c>
      <c r="Q43" s="68">
        <v>4906</v>
      </c>
      <c r="R43" s="67">
        <v>0.4369044438507436</v>
      </c>
      <c r="S43" s="40">
        <v>11229</v>
      </c>
      <c r="T43" s="68">
        <v>350</v>
      </c>
      <c r="U43" s="67">
        <v>0.8641975308641975</v>
      </c>
      <c r="V43" s="40">
        <v>405</v>
      </c>
      <c r="W43" s="63">
        <v>91877</v>
      </c>
      <c r="X43" s="67">
        <v>0.15047569757786486</v>
      </c>
      <c r="Y43" s="26">
        <v>610577</v>
      </c>
      <c r="Z43" s="3">
        <v>394</v>
      </c>
      <c r="AA43" s="115">
        <v>0.010679243237382773</v>
      </c>
      <c r="AB43" s="40">
        <v>36894</v>
      </c>
      <c r="AC43" s="3">
        <v>72</v>
      </c>
      <c r="AD43" s="115">
        <v>0.39779005524861877</v>
      </c>
      <c r="AE43" s="40">
        <v>181</v>
      </c>
      <c r="AF43" s="3">
        <v>13</v>
      </c>
      <c r="AG43" s="7">
        <v>0.8125</v>
      </c>
      <c r="AH43" s="3">
        <v>16</v>
      </c>
      <c r="AI43" s="41">
        <v>479</v>
      </c>
      <c r="AJ43" s="7">
        <v>0.012914184033862661</v>
      </c>
      <c r="AK43" s="44">
        <v>37091</v>
      </c>
      <c r="AL43" s="117">
        <f aca="true" t="shared" si="27" ref="AL43:AL48">(B43+N43+Z43)/AR43</f>
        <v>0.1294354717119659</v>
      </c>
      <c r="AM43" s="115">
        <f aca="true" t="shared" si="28" ref="AM43:AM48">(E43+Q43+AC43)/AS43</f>
        <v>0.4367617184560981</v>
      </c>
      <c r="AN43" s="7">
        <f aca="true" t="shared" si="29" ref="AN43:AN48">(H43+T43+AF43)/AT43</f>
        <v>0.8425531914893617</v>
      </c>
      <c r="AO43" s="171">
        <f aca="true" t="shared" si="30" ref="AO43:AO48">AP43/AQ43</f>
        <v>0.13201519860092348</v>
      </c>
      <c r="AP43" s="63">
        <f aca="true" t="shared" si="31" ref="AP43:AP48">AF43+AC43+Z43+T43+Q43+N43+H43+E43+B43</f>
        <v>104927</v>
      </c>
      <c r="AQ43" s="3">
        <f aca="true" t="shared" si="32" ref="AQ43:AQ48">AH43+AF43+AE43+AC43+Z43+AB43+V43+T43+S43+Q43+P43+J43+H43+G43+E43+D43+B43</f>
        <v>794810</v>
      </c>
      <c r="AR43" s="116">
        <f aca="true" t="shared" si="33" ref="AR43:AR48">+D43+P43+AB43</f>
        <v>762743</v>
      </c>
      <c r="AS43" s="3">
        <f aca="true" t="shared" si="34" ref="AS43:AS48">G43+S43+AE43</f>
        <v>13291</v>
      </c>
      <c r="AT43" s="26">
        <f aca="true" t="shared" si="35" ref="AT43:AT48">J43+V43+AH43</f>
        <v>470</v>
      </c>
    </row>
    <row r="44" spans="1:46" ht="15.75" customHeight="1">
      <c r="A44" s="146">
        <v>43525</v>
      </c>
      <c r="B44" s="3">
        <v>11722</v>
      </c>
      <c r="C44" s="115">
        <v>0.093</v>
      </c>
      <c r="D44" s="3">
        <v>126690</v>
      </c>
      <c r="E44" s="178">
        <v>820</v>
      </c>
      <c r="F44" s="115">
        <v>0.442</v>
      </c>
      <c r="G44" s="3">
        <v>1854</v>
      </c>
      <c r="H44" s="178">
        <v>33</v>
      </c>
      <c r="I44" s="115">
        <v>0.673</v>
      </c>
      <c r="J44" s="3">
        <v>49</v>
      </c>
      <c r="K44" s="195">
        <v>12575</v>
      </c>
      <c r="L44" s="115">
        <v>0.098</v>
      </c>
      <c r="M44" s="23">
        <v>128593</v>
      </c>
      <c r="N44" s="3">
        <v>91321</v>
      </c>
      <c r="O44" s="67">
        <v>0.1464653511874117</v>
      </c>
      <c r="P44" s="174">
        <v>623499</v>
      </c>
      <c r="Q44" s="68">
        <v>4992</v>
      </c>
      <c r="R44" s="67">
        <v>0.43071613459879204</v>
      </c>
      <c r="S44" s="40">
        <v>11590</v>
      </c>
      <c r="T44" s="68">
        <v>355</v>
      </c>
      <c r="U44" s="67">
        <v>0.8616504854368932</v>
      </c>
      <c r="V44" s="40">
        <v>412</v>
      </c>
      <c r="W44" s="63">
        <v>96668</v>
      </c>
      <c r="X44" s="67">
        <v>0.15211305725718763</v>
      </c>
      <c r="Y44" s="26">
        <v>635501</v>
      </c>
      <c r="Z44" s="3">
        <v>393</v>
      </c>
      <c r="AA44" s="115">
        <v>0.011</v>
      </c>
      <c r="AB44" s="40">
        <v>36892</v>
      </c>
      <c r="AC44" s="3">
        <v>72</v>
      </c>
      <c r="AD44" s="115">
        <v>0.398</v>
      </c>
      <c r="AE44" s="40">
        <v>181</v>
      </c>
      <c r="AF44" s="3">
        <v>13</v>
      </c>
      <c r="AG44" s="7">
        <v>0.813</v>
      </c>
      <c r="AH44" s="3">
        <v>16</v>
      </c>
      <c r="AI44" s="41">
        <v>478</v>
      </c>
      <c r="AJ44" s="7">
        <v>0.013</v>
      </c>
      <c r="AK44" s="26">
        <v>37089</v>
      </c>
      <c r="AL44" s="117">
        <f t="shared" si="27"/>
        <v>0.1314172238943641</v>
      </c>
      <c r="AM44" s="115">
        <f t="shared" si="28"/>
        <v>0.4318532110091743</v>
      </c>
      <c r="AN44" s="7">
        <f t="shared" si="29"/>
        <v>0.8406708595387841</v>
      </c>
      <c r="AO44" s="171">
        <f t="shared" si="30"/>
        <v>0.13387417747805896</v>
      </c>
      <c r="AP44" s="63">
        <f t="shared" si="31"/>
        <v>109721</v>
      </c>
      <c r="AQ44" s="3">
        <f t="shared" si="32"/>
        <v>819583</v>
      </c>
      <c r="AR44" s="116">
        <f t="shared" si="33"/>
        <v>787081</v>
      </c>
      <c r="AS44" s="3">
        <f t="shared" si="34"/>
        <v>13625</v>
      </c>
      <c r="AT44" s="26">
        <f t="shared" si="35"/>
        <v>477</v>
      </c>
    </row>
    <row r="45" spans="1:46" ht="15.75" customHeight="1">
      <c r="A45" s="146">
        <v>43497</v>
      </c>
      <c r="B45" s="3">
        <v>11757</v>
      </c>
      <c r="C45" s="115">
        <v>0.08361484684479656</v>
      </c>
      <c r="D45" s="3">
        <v>140609</v>
      </c>
      <c r="E45" s="178">
        <v>816</v>
      </c>
      <c r="F45" s="115">
        <v>0.4396551724137931</v>
      </c>
      <c r="G45" s="3">
        <v>1856</v>
      </c>
      <c r="H45" s="178">
        <v>31</v>
      </c>
      <c r="I45" s="115">
        <v>0.6326530612244898</v>
      </c>
      <c r="J45" s="3">
        <v>49</v>
      </c>
      <c r="K45" s="195">
        <v>12604</v>
      </c>
      <c r="L45" s="115">
        <v>0.08844043392228132</v>
      </c>
      <c r="M45" s="23">
        <v>142514</v>
      </c>
      <c r="N45" s="3">
        <v>86234</v>
      </c>
      <c r="O45" s="67">
        <v>0.14589917638380379</v>
      </c>
      <c r="P45" s="174">
        <v>591052</v>
      </c>
      <c r="Q45" s="68">
        <v>4604</v>
      </c>
      <c r="R45" s="67">
        <v>0.42609902822767237</v>
      </c>
      <c r="S45" s="40">
        <v>10805</v>
      </c>
      <c r="T45" s="68">
        <v>296</v>
      </c>
      <c r="U45" s="67">
        <v>0.8731563421828908</v>
      </c>
      <c r="V45" s="40">
        <v>339</v>
      </c>
      <c r="W45" s="63">
        <v>91134</v>
      </c>
      <c r="X45" s="67">
        <v>0.15133610983799295</v>
      </c>
      <c r="Y45" s="26">
        <v>602196</v>
      </c>
      <c r="Z45" s="3">
        <v>386</v>
      </c>
      <c r="AA45" s="115">
        <v>0.010455604312259602</v>
      </c>
      <c r="AB45" s="40">
        <v>36918</v>
      </c>
      <c r="AC45" s="3">
        <v>70</v>
      </c>
      <c r="AD45" s="115">
        <v>0.3867403314917127</v>
      </c>
      <c r="AE45" s="40">
        <v>181</v>
      </c>
      <c r="AF45" s="3">
        <v>13</v>
      </c>
      <c r="AG45" s="7">
        <v>0.8125</v>
      </c>
      <c r="AH45" s="3">
        <v>16</v>
      </c>
      <c r="AI45" s="41">
        <v>469</v>
      </c>
      <c r="AJ45" s="7">
        <v>0.01263640037720598</v>
      </c>
      <c r="AK45" s="44">
        <v>37115</v>
      </c>
      <c r="AL45" s="117">
        <f t="shared" si="27"/>
        <v>0.1279985531741044</v>
      </c>
      <c r="AM45" s="115">
        <f t="shared" si="28"/>
        <v>0.427503504127083</v>
      </c>
      <c r="AN45" s="7">
        <f t="shared" si="29"/>
        <v>0.8415841584158416</v>
      </c>
      <c r="AO45" s="171">
        <f t="shared" si="30"/>
        <v>0.13029164864128193</v>
      </c>
      <c r="AP45" s="63">
        <f t="shared" si="31"/>
        <v>104207</v>
      </c>
      <c r="AQ45" s="3">
        <f t="shared" si="32"/>
        <v>799798</v>
      </c>
      <c r="AR45" s="116">
        <f t="shared" si="33"/>
        <v>768579</v>
      </c>
      <c r="AS45" s="3">
        <f t="shared" si="34"/>
        <v>12842</v>
      </c>
      <c r="AT45" s="26">
        <f t="shared" si="35"/>
        <v>404</v>
      </c>
    </row>
    <row r="46" spans="1:46" ht="15.75" customHeight="1">
      <c r="A46" s="146">
        <v>43466</v>
      </c>
      <c r="B46" s="3">
        <v>11808</v>
      </c>
      <c r="C46" s="115">
        <v>0.08400204883045928</v>
      </c>
      <c r="D46" s="3">
        <v>140568</v>
      </c>
      <c r="E46" s="178">
        <v>814</v>
      </c>
      <c r="F46" s="115">
        <v>0.4369296833064949</v>
      </c>
      <c r="G46" s="3">
        <v>1863</v>
      </c>
      <c r="H46" s="178">
        <v>31</v>
      </c>
      <c r="I46" s="115">
        <v>0.6326530612244898</v>
      </c>
      <c r="J46" s="3">
        <v>49</v>
      </c>
      <c r="K46" s="195">
        <v>12653</v>
      </c>
      <c r="L46" s="115">
        <v>0.08880544637843908</v>
      </c>
      <c r="M46" s="23">
        <v>142480</v>
      </c>
      <c r="N46" s="3">
        <v>93299</v>
      </c>
      <c r="O46" s="67">
        <v>0.15018503703155206</v>
      </c>
      <c r="P46" s="174">
        <v>621227</v>
      </c>
      <c r="Q46" s="68">
        <v>4900</v>
      </c>
      <c r="R46" s="67">
        <v>0.420636964546313</v>
      </c>
      <c r="S46" s="40">
        <v>11649</v>
      </c>
      <c r="T46" s="68">
        <v>347</v>
      </c>
      <c r="U46" s="67">
        <v>0.8631840796019901</v>
      </c>
      <c r="V46" s="40">
        <v>402</v>
      </c>
      <c r="W46" s="63">
        <v>98546</v>
      </c>
      <c r="X46" s="67">
        <v>0.15561254299059812</v>
      </c>
      <c r="Y46" s="26">
        <v>633278</v>
      </c>
      <c r="Z46" s="3">
        <v>368</v>
      </c>
      <c r="AA46" s="115">
        <v>0.009963449302829294</v>
      </c>
      <c r="AB46" s="40">
        <v>36935</v>
      </c>
      <c r="AC46" s="3">
        <v>69</v>
      </c>
      <c r="AD46" s="115">
        <v>0.3791208791208791</v>
      </c>
      <c r="AE46" s="40">
        <v>182</v>
      </c>
      <c r="AF46" s="3">
        <v>13</v>
      </c>
      <c r="AG46" s="7">
        <v>0.8125</v>
      </c>
      <c r="AH46" s="3">
        <v>16</v>
      </c>
      <c r="AI46" s="41">
        <v>450</v>
      </c>
      <c r="AJ46" s="7">
        <v>0.012118600705571863</v>
      </c>
      <c r="AK46" s="44">
        <v>37133</v>
      </c>
      <c r="AL46" s="117">
        <f t="shared" si="27"/>
        <v>0.1320533847482879</v>
      </c>
      <c r="AM46" s="115">
        <f t="shared" si="28"/>
        <v>0.42230173798743975</v>
      </c>
      <c r="AN46" s="7">
        <f t="shared" si="29"/>
        <v>0.8372591006423983</v>
      </c>
      <c r="AO46" s="171">
        <f t="shared" si="30"/>
        <v>0.13431604071502729</v>
      </c>
      <c r="AP46" s="63">
        <f t="shared" si="31"/>
        <v>111649</v>
      </c>
      <c r="AQ46" s="3">
        <f t="shared" si="32"/>
        <v>831241</v>
      </c>
      <c r="AR46" s="116">
        <f t="shared" si="33"/>
        <v>798730</v>
      </c>
      <c r="AS46" s="3">
        <f t="shared" si="34"/>
        <v>13694</v>
      </c>
      <c r="AT46" s="26">
        <f t="shared" si="35"/>
        <v>467</v>
      </c>
    </row>
    <row r="47" spans="1:46" ht="15.75" customHeight="1">
      <c r="A47" s="146">
        <v>43435</v>
      </c>
      <c r="B47" s="3">
        <v>11933</v>
      </c>
      <c r="C47" s="115">
        <v>0.09426122674671196</v>
      </c>
      <c r="D47" s="3">
        <v>126595</v>
      </c>
      <c r="E47" s="178">
        <v>807</v>
      </c>
      <c r="F47" s="115">
        <v>0.43293991416309013</v>
      </c>
      <c r="G47" s="3">
        <v>1864</v>
      </c>
      <c r="H47" s="178">
        <v>31</v>
      </c>
      <c r="I47" s="115">
        <v>0.6326530612244898</v>
      </c>
      <c r="J47" s="3">
        <v>49</v>
      </c>
      <c r="K47" s="195">
        <v>12771</v>
      </c>
      <c r="L47" s="115">
        <v>0.09937902698664675</v>
      </c>
      <c r="M47" s="23">
        <v>128508</v>
      </c>
      <c r="N47" s="3">
        <v>92841</v>
      </c>
      <c r="O47" s="67">
        <v>0.15101696238605533</v>
      </c>
      <c r="P47" s="174">
        <v>614772</v>
      </c>
      <c r="Q47" s="68">
        <v>4465</v>
      </c>
      <c r="R47" s="67">
        <v>0.40742768500775617</v>
      </c>
      <c r="S47" s="40">
        <v>10959</v>
      </c>
      <c r="T47" s="68">
        <v>321</v>
      </c>
      <c r="U47" s="67">
        <v>0.8746594005449592</v>
      </c>
      <c r="V47" s="40">
        <v>367</v>
      </c>
      <c r="W47" s="63">
        <v>97627</v>
      </c>
      <c r="X47" s="67">
        <v>0.15592926346993602</v>
      </c>
      <c r="Y47" s="26">
        <v>626098</v>
      </c>
      <c r="Z47" s="3">
        <v>369</v>
      </c>
      <c r="AA47" s="115">
        <v>0.00999079438999296</v>
      </c>
      <c r="AB47" s="40">
        <v>36934</v>
      </c>
      <c r="AC47" s="3">
        <v>71</v>
      </c>
      <c r="AD47" s="115">
        <v>0.3858695652173913</v>
      </c>
      <c r="AE47" s="40">
        <v>184</v>
      </c>
      <c r="AF47" s="3">
        <v>13</v>
      </c>
      <c r="AG47" s="7">
        <v>0.8125</v>
      </c>
      <c r="AH47" s="3">
        <v>16</v>
      </c>
      <c r="AI47" s="41">
        <v>453</v>
      </c>
      <c r="AJ47" s="7">
        <v>0.012199062853449669</v>
      </c>
      <c r="AK47" s="44">
        <v>37134</v>
      </c>
      <c r="AL47" s="117">
        <f t="shared" si="27"/>
        <v>0.1350929781665448</v>
      </c>
      <c r="AM47" s="115">
        <f t="shared" si="28"/>
        <v>0.41077881140924116</v>
      </c>
      <c r="AN47" s="7">
        <f t="shared" si="29"/>
        <v>0.8449074074074074</v>
      </c>
      <c r="AO47" s="171">
        <f t="shared" si="30"/>
        <v>0.13689533806730472</v>
      </c>
      <c r="AP47" s="63">
        <f t="shared" si="31"/>
        <v>110851</v>
      </c>
      <c r="AQ47" s="3">
        <f t="shared" si="32"/>
        <v>809750</v>
      </c>
      <c r="AR47" s="116">
        <f t="shared" si="33"/>
        <v>778301</v>
      </c>
      <c r="AS47" s="3">
        <f t="shared" si="34"/>
        <v>13007</v>
      </c>
      <c r="AT47" s="26">
        <f t="shared" si="35"/>
        <v>432</v>
      </c>
    </row>
    <row r="48" spans="1:46" ht="15.75" customHeight="1">
      <c r="A48" s="146">
        <v>43405</v>
      </c>
      <c r="B48" s="3">
        <v>11953</v>
      </c>
      <c r="C48" s="115">
        <v>0.09439385922655948</v>
      </c>
      <c r="D48" s="3">
        <v>126629</v>
      </c>
      <c r="E48" s="178">
        <v>807</v>
      </c>
      <c r="F48" s="115">
        <v>0.43201284796573874</v>
      </c>
      <c r="G48" s="3">
        <v>1868</v>
      </c>
      <c r="H48" s="178">
        <v>31</v>
      </c>
      <c r="I48" s="115">
        <v>0.6326530612244898</v>
      </c>
      <c r="J48" s="3">
        <v>49</v>
      </c>
      <c r="K48" s="195">
        <v>12791</v>
      </c>
      <c r="L48" s="115">
        <v>0.09950523547990603</v>
      </c>
      <c r="M48" s="23">
        <v>128546</v>
      </c>
      <c r="N48" s="3">
        <v>91004</v>
      </c>
      <c r="O48" s="67">
        <v>0.15492996111599147</v>
      </c>
      <c r="P48" s="174">
        <v>587388</v>
      </c>
      <c r="Q48" s="68">
        <v>4218</v>
      </c>
      <c r="R48" s="67">
        <v>0.4070249927627135</v>
      </c>
      <c r="S48" s="40">
        <v>10363</v>
      </c>
      <c r="T48" s="68">
        <v>328</v>
      </c>
      <c r="U48" s="67">
        <v>0.8677248677248677</v>
      </c>
      <c r="V48" s="40">
        <v>378</v>
      </c>
      <c r="W48" s="63">
        <v>95550</v>
      </c>
      <c r="X48" s="67">
        <v>0.159748147974768</v>
      </c>
      <c r="Y48" s="26">
        <v>598129</v>
      </c>
      <c r="Z48" s="3">
        <v>370</v>
      </c>
      <c r="AA48" s="115">
        <v>0.010005408328826392</v>
      </c>
      <c r="AB48" s="40">
        <v>36980</v>
      </c>
      <c r="AC48" s="3">
        <v>71</v>
      </c>
      <c r="AD48" s="115">
        <v>0.3858695652173913</v>
      </c>
      <c r="AE48" s="40">
        <v>184</v>
      </c>
      <c r="AF48" s="3">
        <v>13</v>
      </c>
      <c r="AG48" s="7">
        <v>0.8125</v>
      </c>
      <c r="AH48" s="3">
        <v>16</v>
      </c>
      <c r="AI48" s="41">
        <v>454</v>
      </c>
      <c r="AJ48" s="7">
        <v>0.012210866057019903</v>
      </c>
      <c r="AK48" s="44">
        <v>37180</v>
      </c>
      <c r="AL48" s="117">
        <f t="shared" si="27"/>
        <v>0.1375864350989418</v>
      </c>
      <c r="AM48" s="115">
        <f t="shared" si="28"/>
        <v>0.41047120418848165</v>
      </c>
      <c r="AN48" s="7">
        <f t="shared" si="29"/>
        <v>0.8397291196388262</v>
      </c>
      <c r="AO48" s="171">
        <f t="shared" si="30"/>
        <v>0.13918704886866945</v>
      </c>
      <c r="AP48" s="63">
        <f t="shared" si="31"/>
        <v>108795</v>
      </c>
      <c r="AQ48" s="3">
        <f t="shared" si="32"/>
        <v>781646</v>
      </c>
      <c r="AR48" s="116">
        <f t="shared" si="33"/>
        <v>750997</v>
      </c>
      <c r="AS48" s="3">
        <f t="shared" si="34"/>
        <v>12415</v>
      </c>
      <c r="AT48" s="26">
        <f t="shared" si="35"/>
        <v>443</v>
      </c>
    </row>
    <row r="49" spans="1:46" ht="15.75" customHeight="1">
      <c r="A49" s="146">
        <v>43404</v>
      </c>
      <c r="B49" s="3">
        <v>11693</v>
      </c>
      <c r="C49" s="115">
        <v>0.09204477470953115</v>
      </c>
      <c r="D49" s="3">
        <v>127036</v>
      </c>
      <c r="E49" s="178">
        <v>812</v>
      </c>
      <c r="F49" s="115">
        <v>0.43868179362506754</v>
      </c>
      <c r="G49" s="3">
        <v>1851</v>
      </c>
      <c r="H49" s="178">
        <v>31</v>
      </c>
      <c r="I49" s="115">
        <v>0.62</v>
      </c>
      <c r="J49" s="3">
        <v>50</v>
      </c>
      <c r="K49" s="195">
        <v>12536</v>
      </c>
      <c r="L49" s="115">
        <v>0.09722577692981844</v>
      </c>
      <c r="M49" s="23">
        <v>128937</v>
      </c>
      <c r="N49" s="3">
        <v>98088</v>
      </c>
      <c r="O49" s="67">
        <v>0.15840292233431466</v>
      </c>
      <c r="P49" s="174">
        <v>619231</v>
      </c>
      <c r="Q49" s="68">
        <v>4755</v>
      </c>
      <c r="R49" s="67">
        <v>0.42001589965550745</v>
      </c>
      <c r="S49" s="40">
        <v>11321</v>
      </c>
      <c r="T49" s="68">
        <v>350</v>
      </c>
      <c r="U49" s="67">
        <v>0.8728179551122195</v>
      </c>
      <c r="V49" s="40">
        <v>401</v>
      </c>
      <c r="W49" s="63">
        <v>103193</v>
      </c>
      <c r="X49" s="67">
        <v>0.1635510093461795</v>
      </c>
      <c r="Y49" s="26">
        <v>630953</v>
      </c>
      <c r="Z49" s="3">
        <v>371</v>
      </c>
      <c r="AA49" s="115">
        <v>0.010003505271388897</v>
      </c>
      <c r="AB49" s="40">
        <v>37087</v>
      </c>
      <c r="AC49" s="3">
        <v>71</v>
      </c>
      <c r="AD49" s="115">
        <v>0.3858695652173913</v>
      </c>
      <c r="AE49" s="40">
        <v>184</v>
      </c>
      <c r="AF49" s="3">
        <v>13</v>
      </c>
      <c r="AG49" s="7">
        <v>0.8125</v>
      </c>
      <c r="AH49" s="3">
        <v>16</v>
      </c>
      <c r="AI49" s="41">
        <v>455</v>
      </c>
      <c r="AJ49" s="7">
        <v>0.012202644353259849</v>
      </c>
      <c r="AK49" s="44">
        <v>37287</v>
      </c>
      <c r="AL49" s="117">
        <f>(B49+N49+Z49)/AR49</f>
        <v>0.14061586460272113</v>
      </c>
      <c r="AM49" s="115">
        <f>(E49+Q49+AC49)/AS49</f>
        <v>0.4221323749625636</v>
      </c>
      <c r="AN49" s="7">
        <f>(H49+T49+AF49)/AT49</f>
        <v>0.8436830835117773</v>
      </c>
      <c r="AO49" s="171">
        <f>AP49/AQ49</f>
        <v>0.14250931896432237</v>
      </c>
      <c r="AP49" s="63">
        <f>AF49+AC49+Z49+T49+Q49+N49+H49+E49+B49</f>
        <v>116184</v>
      </c>
      <c r="AQ49" s="3">
        <f>AH49+AF49+AE49+AC49+Z49+AB49+V49+T49+S49+Q49+P49+J49+H49+G49+E49+D49+B49</f>
        <v>815273</v>
      </c>
      <c r="AR49" s="116">
        <f>+D49+P49+AB49</f>
        <v>783354</v>
      </c>
      <c r="AS49" s="3">
        <f>G49+S49+AE49</f>
        <v>13356</v>
      </c>
      <c r="AT49" s="26">
        <f>J49+V49+AH49</f>
        <v>467</v>
      </c>
    </row>
    <row r="50" spans="1:46" ht="15.75" customHeight="1">
      <c r="A50" s="146">
        <v>43344</v>
      </c>
      <c r="B50" s="3">
        <v>11454</v>
      </c>
      <c r="C50" s="115">
        <v>0.08994181344180166</v>
      </c>
      <c r="D50" s="3">
        <v>127349</v>
      </c>
      <c r="E50" s="178">
        <v>810</v>
      </c>
      <c r="F50" s="115">
        <v>0.43571812802582033</v>
      </c>
      <c r="G50" s="3">
        <v>1859</v>
      </c>
      <c r="H50" s="178">
        <v>31</v>
      </c>
      <c r="I50" s="115">
        <v>0.6458333333333334</v>
      </c>
      <c r="J50" s="3">
        <v>48</v>
      </c>
      <c r="K50" s="195">
        <v>12295</v>
      </c>
      <c r="L50" s="115">
        <v>0.09512130964906851</v>
      </c>
      <c r="M50" s="23">
        <v>129256</v>
      </c>
      <c r="N50" s="3">
        <v>94275</v>
      </c>
      <c r="O50" s="67">
        <v>0.16045743346399133</v>
      </c>
      <c r="P50" s="174">
        <v>587539</v>
      </c>
      <c r="Q50" s="68">
        <v>4412</v>
      </c>
      <c r="R50" s="67">
        <v>0.42529400424137265</v>
      </c>
      <c r="S50" s="40">
        <v>10374</v>
      </c>
      <c r="T50" s="68">
        <v>312</v>
      </c>
      <c r="U50" s="67">
        <v>0.8690807799442897</v>
      </c>
      <c r="V50" s="40">
        <v>359</v>
      </c>
      <c r="W50" s="63">
        <v>98999</v>
      </c>
      <c r="X50" s="67">
        <v>0.16547490104835258</v>
      </c>
      <c r="Y50" s="26">
        <v>598272</v>
      </c>
      <c r="Z50" s="3">
        <v>372</v>
      </c>
      <c r="AA50" s="115">
        <v>0.010029387182874551</v>
      </c>
      <c r="AB50" s="40">
        <v>37091</v>
      </c>
      <c r="AC50" s="3">
        <v>71</v>
      </c>
      <c r="AD50" s="115">
        <v>0.3858695652173913</v>
      </c>
      <c r="AE50" s="40">
        <v>184</v>
      </c>
      <c r="AF50" s="3">
        <v>13</v>
      </c>
      <c r="AG50" s="7">
        <v>0.8125</v>
      </c>
      <c r="AH50" s="3">
        <v>16</v>
      </c>
      <c r="AI50" s="41">
        <v>456</v>
      </c>
      <c r="AJ50" s="7">
        <v>0.01222815156472071</v>
      </c>
      <c r="AK50" s="44">
        <v>37291</v>
      </c>
      <c r="AL50" s="117">
        <f>(B50+N50+Z50)/AR50</f>
        <v>0.14109569549149645</v>
      </c>
      <c r="AM50" s="115">
        <f>(E50+Q50+AC50)/AS50</f>
        <v>0.42627043569300155</v>
      </c>
      <c r="AN50" s="7">
        <f>(H50+T50+AF50)/AT50</f>
        <v>0.8416075650118203</v>
      </c>
      <c r="AO50" s="171">
        <f>AP50/AQ50</f>
        <v>0.1428491078801576</v>
      </c>
      <c r="AP50" s="63">
        <f>AF50+AC50+Z50+T50+Q50+N50+H50+E50+B50</f>
        <v>111750</v>
      </c>
      <c r="AQ50" s="3">
        <f>AH50+AF50+AE50+AC50+Z50+AB50+V50+T50+S50+Q50+P50+J50+H50+G50+E50+D50+B50</f>
        <v>782294</v>
      </c>
      <c r="AR50" s="116">
        <f>+D50+P50+AB50</f>
        <v>751979</v>
      </c>
      <c r="AS50" s="3">
        <f>G50+S50+AE50</f>
        <v>12417</v>
      </c>
      <c r="AT50" s="26">
        <f>J50+V50+AH50</f>
        <v>423</v>
      </c>
    </row>
    <row r="51" spans="1:46" ht="15.75" customHeight="1">
      <c r="A51" s="146">
        <v>43313</v>
      </c>
      <c r="B51" s="3">
        <v>11627</v>
      </c>
      <c r="C51" s="115">
        <v>0.09127304984025057</v>
      </c>
      <c r="D51" s="3">
        <v>127387</v>
      </c>
      <c r="E51" s="178">
        <v>805</v>
      </c>
      <c r="F51" s="115">
        <v>0.43186695278969955</v>
      </c>
      <c r="G51" s="3">
        <v>1864</v>
      </c>
      <c r="H51" s="178">
        <v>31</v>
      </c>
      <c r="I51" s="115">
        <v>0.6458333333333334</v>
      </c>
      <c r="J51" s="3">
        <v>48</v>
      </c>
      <c r="K51" s="195">
        <v>12463</v>
      </c>
      <c r="L51" s="115">
        <v>0.09638898986071044</v>
      </c>
      <c r="M51" s="23">
        <v>129299</v>
      </c>
      <c r="N51" s="3">
        <v>100400</v>
      </c>
      <c r="O51" s="67">
        <v>0.16240698802976383</v>
      </c>
      <c r="P51" s="174">
        <v>618200</v>
      </c>
      <c r="Q51" s="68">
        <v>4702</v>
      </c>
      <c r="R51" s="67">
        <v>0.42862351868732906</v>
      </c>
      <c r="S51" s="40">
        <v>10970</v>
      </c>
      <c r="T51" s="68">
        <v>363</v>
      </c>
      <c r="U51" s="67">
        <v>0.8832116788321168</v>
      </c>
      <c r="V51" s="40">
        <v>411</v>
      </c>
      <c r="W51" s="63">
        <v>105465</v>
      </c>
      <c r="X51" s="67">
        <v>0.1675161734550439</v>
      </c>
      <c r="Y51" s="26">
        <v>629581</v>
      </c>
      <c r="Z51" s="3">
        <v>372</v>
      </c>
      <c r="AA51" s="115">
        <v>0.010032362459546926</v>
      </c>
      <c r="AB51" s="40">
        <v>37080</v>
      </c>
      <c r="AC51" s="3">
        <v>72</v>
      </c>
      <c r="AD51" s="115">
        <v>0.3891891891891892</v>
      </c>
      <c r="AE51" s="40">
        <v>185</v>
      </c>
      <c r="AF51" s="3">
        <v>13</v>
      </c>
      <c r="AG51" s="7">
        <v>0.8125</v>
      </c>
      <c r="AH51" s="3">
        <v>16</v>
      </c>
      <c r="AI51" s="41">
        <v>457</v>
      </c>
      <c r="AJ51" s="7">
        <v>0.012258254875137469</v>
      </c>
      <c r="AK51" s="44">
        <v>37281</v>
      </c>
      <c r="AL51" s="117">
        <f>(B51+N51+Z51)/AR51</f>
        <v>0.14361024548115608</v>
      </c>
      <c r="AM51" s="115">
        <f>(E51+Q51+AC51)/AS51</f>
        <v>0.42852753667716414</v>
      </c>
      <c r="AN51" s="7">
        <f>(H51+T51+AF51)/AT51</f>
        <v>0.8568421052631578</v>
      </c>
      <c r="AO51" s="171">
        <f>AP51/AQ51</f>
        <v>0.14541003702038702</v>
      </c>
      <c r="AP51" s="63">
        <f>AF51+AC51+Z51+T51+Q51+N51+H51+E51+B51</f>
        <v>118385</v>
      </c>
      <c r="AQ51" s="3">
        <f>AH51+AF51+AE51+AC51+Z51+AB51+V51+T51+S51+Q51+P51+J51+H51+G51+E51+D51+B51</f>
        <v>814146</v>
      </c>
      <c r="AR51" s="116">
        <f>+D51+P51+AB51</f>
        <v>782667</v>
      </c>
      <c r="AS51" s="3">
        <f>G51+S51+AE51</f>
        <v>13019</v>
      </c>
      <c r="AT51" s="26">
        <f>J51+V51+AH51</f>
        <v>475</v>
      </c>
    </row>
    <row r="52" spans="1:46" ht="15.75" customHeight="1">
      <c r="A52" s="146">
        <v>43282</v>
      </c>
      <c r="B52" s="3">
        <v>11836</v>
      </c>
      <c r="C52" s="115">
        <v>0.09314331132498642</v>
      </c>
      <c r="D52" s="3">
        <v>127073</v>
      </c>
      <c r="E52" s="178">
        <v>803</v>
      </c>
      <c r="F52" s="115">
        <v>0.43148844707146694</v>
      </c>
      <c r="G52" s="3">
        <v>1861</v>
      </c>
      <c r="H52" s="178">
        <v>30</v>
      </c>
      <c r="I52" s="115">
        <v>0.6382978723404256</v>
      </c>
      <c r="J52" s="3">
        <v>47</v>
      </c>
      <c r="K52" s="195">
        <v>12669</v>
      </c>
      <c r="L52" s="115">
        <v>0.09822376939239112</v>
      </c>
      <c r="M52" s="23">
        <v>128981</v>
      </c>
      <c r="N52" s="3">
        <v>100682</v>
      </c>
      <c r="O52" s="67">
        <v>0.1632444597215106</v>
      </c>
      <c r="P52" s="174">
        <v>616756</v>
      </c>
      <c r="Q52" s="68">
        <v>4701</v>
      </c>
      <c r="R52" s="67">
        <v>0.43112619222303744</v>
      </c>
      <c r="S52" s="40">
        <v>10904</v>
      </c>
      <c r="T52" s="68">
        <v>303</v>
      </c>
      <c r="U52" s="67">
        <v>0.8632478632478633</v>
      </c>
      <c r="V52" s="40">
        <v>351</v>
      </c>
      <c r="W52" s="63">
        <v>105686</v>
      </c>
      <c r="X52" s="67">
        <v>0.16828686121739905</v>
      </c>
      <c r="Y52" s="26">
        <v>628011</v>
      </c>
      <c r="Z52" s="3">
        <v>373</v>
      </c>
      <c r="AA52" s="115">
        <v>0.010069922518290543</v>
      </c>
      <c r="AB52" s="40">
        <v>37041</v>
      </c>
      <c r="AC52" s="3">
        <v>72</v>
      </c>
      <c r="AD52" s="115">
        <v>0.3891891891891892</v>
      </c>
      <c r="AE52" s="40">
        <v>185</v>
      </c>
      <c r="AF52" s="3">
        <v>13</v>
      </c>
      <c r="AG52" s="7">
        <v>0.8125</v>
      </c>
      <c r="AH52" s="3">
        <v>16</v>
      </c>
      <c r="AI52" s="41">
        <v>458</v>
      </c>
      <c r="AJ52" s="7">
        <v>0.01229794318242844</v>
      </c>
      <c r="AK52" s="44">
        <v>37242</v>
      </c>
      <c r="AL52" s="117">
        <f>(B52+N52+Z52)/AR52</f>
        <v>0.14457079923674876</v>
      </c>
      <c r="AM52" s="115">
        <f>(E52+Q52+AC52)/AS52</f>
        <v>0.4305791505791506</v>
      </c>
      <c r="AN52" s="7">
        <f>(H52+T52+AF52)/AT52</f>
        <v>0.8357487922705314</v>
      </c>
      <c r="AO52" s="171">
        <f>AP52/AQ52</f>
        <v>0.1462556855600623</v>
      </c>
      <c r="AP52" s="63">
        <f>AF52+AC52+Z52+T52+Q52+N52+H52+E52+B52</f>
        <v>118813</v>
      </c>
      <c r="AQ52" s="3">
        <f>AH52+AF52+AE52+AC52+Z52+AB52+V52+T52+S52+Q52+P52+J52+H52+G52+E52+D52+B52</f>
        <v>812365</v>
      </c>
      <c r="AR52" s="116">
        <f>+D52+P52+AB52</f>
        <v>780870</v>
      </c>
      <c r="AS52" s="3">
        <f>G52+S52+AE52</f>
        <v>12950</v>
      </c>
      <c r="AT52" s="26">
        <f>J52+V52+AH52</f>
        <v>414</v>
      </c>
    </row>
    <row r="53" spans="1:46" ht="15.75" customHeight="1">
      <c r="A53" s="146">
        <v>43252</v>
      </c>
      <c r="B53" s="3">
        <v>11654</v>
      </c>
      <c r="C53" s="115">
        <v>0.0917384972645334</v>
      </c>
      <c r="D53" s="3">
        <v>127035</v>
      </c>
      <c r="E53" s="178">
        <v>810</v>
      </c>
      <c r="F53" s="115">
        <v>0.434549356223176</v>
      </c>
      <c r="G53" s="3">
        <v>1864</v>
      </c>
      <c r="H53" s="178">
        <v>30</v>
      </c>
      <c r="I53" s="115">
        <v>0.6382978723404256</v>
      </c>
      <c r="J53" s="3">
        <v>47</v>
      </c>
      <c r="K53" s="195">
        <v>12494</v>
      </c>
      <c r="L53" s="115">
        <v>0.09689327315310285</v>
      </c>
      <c r="M53" s="23">
        <v>128946</v>
      </c>
      <c r="N53" s="3">
        <v>100272</v>
      </c>
      <c r="O53" s="67">
        <v>0.15149871499863266</v>
      </c>
      <c r="P53" s="174">
        <v>661867</v>
      </c>
      <c r="Q53" s="68">
        <v>4639</v>
      </c>
      <c r="R53" s="67">
        <v>0.4306535462309692</v>
      </c>
      <c r="S53" s="40">
        <v>10772</v>
      </c>
      <c r="T53" s="68">
        <v>307</v>
      </c>
      <c r="U53" s="67">
        <v>0.8647887323943662</v>
      </c>
      <c r="V53" s="40">
        <v>355</v>
      </c>
      <c r="W53" s="63">
        <v>105218</v>
      </c>
      <c r="X53" s="67">
        <v>0.15634314719001952</v>
      </c>
      <c r="Y53" s="26">
        <v>672994</v>
      </c>
      <c r="Z53" s="3">
        <v>417</v>
      </c>
      <c r="AA53" s="115">
        <v>0.011246257989697672</v>
      </c>
      <c r="AB53" s="40">
        <v>37079</v>
      </c>
      <c r="AC53" s="3">
        <v>72</v>
      </c>
      <c r="AD53" s="115">
        <v>0.3891891891891892</v>
      </c>
      <c r="AE53" s="40">
        <v>185</v>
      </c>
      <c r="AF53" s="3">
        <v>13</v>
      </c>
      <c r="AG53" s="7">
        <v>0.8125</v>
      </c>
      <c r="AH53" s="3">
        <v>16</v>
      </c>
      <c r="AI53" s="41">
        <v>502</v>
      </c>
      <c r="AJ53" s="7">
        <v>0.013465665236051503</v>
      </c>
      <c r="AK53" s="44">
        <v>37280</v>
      </c>
      <c r="AL53" s="117">
        <f aca="true" t="shared" si="36" ref="AL53:AL60">(B53+N53+Z53)/AR53</f>
        <v>0.13601160317247007</v>
      </c>
      <c r="AM53" s="115">
        <f aca="true" t="shared" si="37" ref="AM53:AM60">(E53+Q53+AC53)/AS53</f>
        <v>0.43062163637781764</v>
      </c>
      <c r="AN53" s="7">
        <f aca="true" t="shared" si="38" ref="AN53:AN60">(H53+T53+AF53)/AT53</f>
        <v>0.8373205741626795</v>
      </c>
      <c r="AO53" s="171">
        <f aca="true" t="shared" si="39" ref="AO53:AO60">AP53/AQ53</f>
        <v>0.13791325327067697</v>
      </c>
      <c r="AP53" s="63">
        <f aca="true" t="shared" si="40" ref="AP53:AP60">AF53+AC53+Z53+T53+Q53+N53+H53+E53+B53</f>
        <v>118214</v>
      </c>
      <c r="AQ53" s="3">
        <f aca="true" t="shared" si="41" ref="AQ53:AQ60">AH53+AF53+AE53+AC53+Z53+AB53+V53+T53+S53+Q53+P53+J53+H53+G53+E53+D53+B53</f>
        <v>857162</v>
      </c>
      <c r="AR53" s="116">
        <f aca="true" t="shared" si="42" ref="AR53:AR60">+D53+P53+AB53</f>
        <v>825981</v>
      </c>
      <c r="AS53" s="3">
        <f aca="true" t="shared" si="43" ref="AS53:AS60">G53+S53+AE53</f>
        <v>12821</v>
      </c>
      <c r="AT53" s="26">
        <f aca="true" t="shared" si="44" ref="AT53:AT60">J53+V53+AH53</f>
        <v>418</v>
      </c>
    </row>
    <row r="54" spans="1:46" ht="15.75" customHeight="1">
      <c r="A54" s="146">
        <v>43221</v>
      </c>
      <c r="B54" s="3">
        <v>10252</v>
      </c>
      <c r="C54" s="115">
        <v>0.08090469313509632</v>
      </c>
      <c r="D54" s="3">
        <v>126717</v>
      </c>
      <c r="E54" s="178">
        <v>810</v>
      </c>
      <c r="F54" s="115">
        <v>0.43618739903069464</v>
      </c>
      <c r="G54" s="3">
        <v>1857</v>
      </c>
      <c r="H54" s="178">
        <v>29</v>
      </c>
      <c r="I54" s="115">
        <v>0.6304347826086957</v>
      </c>
      <c r="J54" s="3">
        <v>46</v>
      </c>
      <c r="K54" s="195">
        <v>11091</v>
      </c>
      <c r="L54" s="115">
        <v>0.08623075726947597</v>
      </c>
      <c r="M54" s="23">
        <v>128620</v>
      </c>
      <c r="N54" s="3">
        <v>100344</v>
      </c>
      <c r="O54" s="67">
        <v>0.16295853606251745</v>
      </c>
      <c r="P54" s="174">
        <v>615764</v>
      </c>
      <c r="Q54" s="68">
        <v>4750</v>
      </c>
      <c r="R54" s="67">
        <v>0.4316219900045434</v>
      </c>
      <c r="S54" s="40">
        <v>11005</v>
      </c>
      <c r="T54" s="68">
        <v>322</v>
      </c>
      <c r="U54" s="67">
        <v>0.8679245283018868</v>
      </c>
      <c r="V54" s="40">
        <v>371</v>
      </c>
      <c r="W54" s="63">
        <v>105416</v>
      </c>
      <c r="X54" s="67">
        <v>0.168090059635807</v>
      </c>
      <c r="Y54" s="26">
        <v>627140</v>
      </c>
      <c r="Z54" s="3">
        <v>415</v>
      </c>
      <c r="AA54" s="115">
        <v>0.011183572275520104</v>
      </c>
      <c r="AB54" s="40">
        <v>37108</v>
      </c>
      <c r="AC54" s="3">
        <v>68</v>
      </c>
      <c r="AD54" s="115">
        <v>0.3655913978494624</v>
      </c>
      <c r="AE54" s="40">
        <v>186</v>
      </c>
      <c r="AF54" s="3">
        <v>13</v>
      </c>
      <c r="AG54" s="7">
        <v>0.8125</v>
      </c>
      <c r="AH54" s="3">
        <v>16</v>
      </c>
      <c r="AI54" s="41">
        <v>496</v>
      </c>
      <c r="AJ54" s="7">
        <v>0.013294023050120611</v>
      </c>
      <c r="AK54" s="44">
        <v>37310</v>
      </c>
      <c r="AL54" s="117">
        <f t="shared" si="36"/>
        <v>0.14239682704604606</v>
      </c>
      <c r="AM54" s="115">
        <f t="shared" si="37"/>
        <v>0.4313304721030043</v>
      </c>
      <c r="AN54" s="7">
        <f t="shared" si="38"/>
        <v>0.8406466512702079</v>
      </c>
      <c r="AO54" s="171">
        <f t="shared" si="39"/>
        <v>0.14449649203622447</v>
      </c>
      <c r="AP54" s="63">
        <f t="shared" si="40"/>
        <v>117003</v>
      </c>
      <c r="AQ54" s="3">
        <f t="shared" si="41"/>
        <v>809729</v>
      </c>
      <c r="AR54" s="116">
        <f t="shared" si="42"/>
        <v>779589</v>
      </c>
      <c r="AS54" s="3">
        <f t="shared" si="43"/>
        <v>13048</v>
      </c>
      <c r="AT54" s="26">
        <f t="shared" si="44"/>
        <v>433</v>
      </c>
    </row>
    <row r="55" spans="1:46" ht="15.75" customHeight="1">
      <c r="A55" s="146">
        <v>43191</v>
      </c>
      <c r="B55" s="3">
        <v>10129</v>
      </c>
      <c r="C55" s="115">
        <v>0.08043996188055909</v>
      </c>
      <c r="D55" s="3">
        <v>125920</v>
      </c>
      <c r="E55" s="178">
        <v>816</v>
      </c>
      <c r="F55" s="115">
        <v>0.4413196322336398</v>
      </c>
      <c r="G55" s="3">
        <v>1849</v>
      </c>
      <c r="H55" s="178">
        <v>29</v>
      </c>
      <c r="I55" s="115">
        <v>0.6304347826086957</v>
      </c>
      <c r="J55" s="3">
        <v>46</v>
      </c>
      <c r="K55" s="195">
        <v>10974</v>
      </c>
      <c r="L55" s="115">
        <v>0.08585846731604271</v>
      </c>
      <c r="M55" s="23">
        <v>127815</v>
      </c>
      <c r="N55" s="3">
        <v>99058</v>
      </c>
      <c r="O55" s="67">
        <v>0.16163867657905215</v>
      </c>
      <c r="P55" s="174">
        <v>612836</v>
      </c>
      <c r="Q55" s="68">
        <v>4845</v>
      </c>
      <c r="R55" s="67">
        <v>0.43901776005799203</v>
      </c>
      <c r="S55" s="40">
        <v>11036</v>
      </c>
      <c r="T55" s="68">
        <v>330</v>
      </c>
      <c r="U55" s="67">
        <v>0.88</v>
      </c>
      <c r="V55" s="40">
        <v>375</v>
      </c>
      <c r="W55" s="63">
        <v>104233</v>
      </c>
      <c r="X55" s="67">
        <v>0.16697397023934435</v>
      </c>
      <c r="Y55" s="26">
        <v>624247</v>
      </c>
      <c r="Z55" s="3">
        <v>415</v>
      </c>
      <c r="AA55" s="115">
        <v>0.011207734687263693</v>
      </c>
      <c r="AB55" s="40">
        <v>37028</v>
      </c>
      <c r="AC55" s="3">
        <v>68</v>
      </c>
      <c r="AD55" s="115">
        <v>0.3655913978494624</v>
      </c>
      <c r="AE55" s="40">
        <v>186</v>
      </c>
      <c r="AF55" s="3">
        <v>13</v>
      </c>
      <c r="AG55" s="7">
        <v>0.8666666666666667</v>
      </c>
      <c r="AH55" s="3">
        <v>15</v>
      </c>
      <c r="AI55" s="41">
        <v>496</v>
      </c>
      <c r="AJ55" s="7">
        <v>0.01332294716484461</v>
      </c>
      <c r="AK55" s="44">
        <v>37229</v>
      </c>
      <c r="AL55" s="117">
        <f t="shared" si="36"/>
        <v>0.14127901580852403</v>
      </c>
      <c r="AM55" s="115">
        <f t="shared" si="37"/>
        <v>0.4382985234488562</v>
      </c>
      <c r="AN55" s="7">
        <f t="shared" si="38"/>
        <v>0.8532110091743119</v>
      </c>
      <c r="AO55" s="171">
        <f t="shared" si="39"/>
        <v>0.14356350876496396</v>
      </c>
      <c r="AP55" s="63">
        <f t="shared" si="40"/>
        <v>115703</v>
      </c>
      <c r="AQ55" s="3">
        <f t="shared" si="41"/>
        <v>805936</v>
      </c>
      <c r="AR55" s="116">
        <f t="shared" si="42"/>
        <v>775784</v>
      </c>
      <c r="AS55" s="3">
        <f t="shared" si="43"/>
        <v>13071</v>
      </c>
      <c r="AT55" s="26">
        <f t="shared" si="44"/>
        <v>436</v>
      </c>
    </row>
    <row r="56" spans="1:46" ht="15.75" customHeight="1">
      <c r="A56" s="146">
        <v>43160</v>
      </c>
      <c r="B56" s="3">
        <v>10881</v>
      </c>
      <c r="C56" s="115">
        <v>0.08672538158052047</v>
      </c>
      <c r="D56" s="3">
        <v>125465</v>
      </c>
      <c r="E56" s="178">
        <v>827</v>
      </c>
      <c r="F56" s="115">
        <v>0.4526546250684182</v>
      </c>
      <c r="G56" s="3">
        <v>1827</v>
      </c>
      <c r="H56" s="178">
        <v>29</v>
      </c>
      <c r="I56" s="115">
        <v>0.6590909090909091</v>
      </c>
      <c r="J56" s="3">
        <v>44</v>
      </c>
      <c r="K56" s="195">
        <v>11737</v>
      </c>
      <c r="L56" s="115">
        <v>0.09217346233586732</v>
      </c>
      <c r="M56" s="23">
        <v>127336</v>
      </c>
      <c r="N56" s="3">
        <v>102134</v>
      </c>
      <c r="O56" s="67">
        <v>0.1655619369971778</v>
      </c>
      <c r="P56" s="174">
        <v>616893</v>
      </c>
      <c r="Q56" s="68">
        <v>4957</v>
      </c>
      <c r="R56" s="67">
        <v>0.4387890590422236</v>
      </c>
      <c r="S56" s="40">
        <v>11297</v>
      </c>
      <c r="T56" s="68">
        <v>334</v>
      </c>
      <c r="U56" s="67">
        <v>0.8652849740932642</v>
      </c>
      <c r="V56" s="40">
        <v>386</v>
      </c>
      <c r="W56" s="63">
        <v>107425</v>
      </c>
      <c r="X56" s="67">
        <v>0.17090216616606424</v>
      </c>
      <c r="Y56" s="26">
        <v>628576</v>
      </c>
      <c r="Z56" s="3">
        <v>415</v>
      </c>
      <c r="AA56" s="115">
        <v>0.01120380119327232</v>
      </c>
      <c r="AB56" s="40">
        <v>37041</v>
      </c>
      <c r="AC56" s="3">
        <v>68</v>
      </c>
      <c r="AD56" s="115">
        <v>0.36363636363636365</v>
      </c>
      <c r="AE56" s="40">
        <v>187</v>
      </c>
      <c r="AF56" s="3">
        <v>13</v>
      </c>
      <c r="AG56" s="7">
        <v>0.8666666666666667</v>
      </c>
      <c r="AH56" s="3">
        <v>15</v>
      </c>
      <c r="AI56" s="41">
        <v>496</v>
      </c>
      <c r="AJ56" s="7">
        <v>0.013317938941546063</v>
      </c>
      <c r="AK56" s="44">
        <v>37243</v>
      </c>
      <c r="AL56" s="117">
        <f t="shared" si="36"/>
        <v>0.14553521367104655</v>
      </c>
      <c r="AM56" s="115">
        <f t="shared" si="37"/>
        <v>0.43963639095484935</v>
      </c>
      <c r="AN56" s="7">
        <f t="shared" si="38"/>
        <v>0.8449438202247191</v>
      </c>
      <c r="AO56" s="171">
        <f t="shared" si="39"/>
        <v>0.14760219519686585</v>
      </c>
      <c r="AP56" s="63">
        <f t="shared" si="40"/>
        <v>119658</v>
      </c>
      <c r="AQ56" s="3">
        <f t="shared" si="41"/>
        <v>810679</v>
      </c>
      <c r="AR56" s="116">
        <f t="shared" si="42"/>
        <v>779399</v>
      </c>
      <c r="AS56" s="3">
        <f t="shared" si="43"/>
        <v>13311</v>
      </c>
      <c r="AT56" s="26">
        <f t="shared" si="44"/>
        <v>445</v>
      </c>
    </row>
    <row r="57" spans="1:46" ht="15.75" customHeight="1">
      <c r="A57" s="146">
        <v>43132</v>
      </c>
      <c r="B57" s="3">
        <v>11011</v>
      </c>
      <c r="C57" s="115">
        <v>0.08780491694776042</v>
      </c>
      <c r="D57" s="3">
        <v>125403</v>
      </c>
      <c r="E57" s="178">
        <v>830</v>
      </c>
      <c r="F57" s="115">
        <v>0.4547945205479452</v>
      </c>
      <c r="G57" s="3">
        <v>1825</v>
      </c>
      <c r="H57" s="178">
        <v>29</v>
      </c>
      <c r="I57" s="115">
        <v>0.6590909090909091</v>
      </c>
      <c r="J57" s="3">
        <v>44</v>
      </c>
      <c r="K57" s="195">
        <v>11870</v>
      </c>
      <c r="L57" s="115">
        <v>0.09326481865610661</v>
      </c>
      <c r="M57" s="23">
        <v>127272</v>
      </c>
      <c r="N57" s="3">
        <v>97378</v>
      </c>
      <c r="O57" s="67">
        <v>0.16626485452806994</v>
      </c>
      <c r="P57" s="174">
        <v>585680</v>
      </c>
      <c r="Q57" s="68">
        <v>4605</v>
      </c>
      <c r="R57" s="67">
        <v>0.43439298179417035</v>
      </c>
      <c r="S57" s="40">
        <v>10601</v>
      </c>
      <c r="T57" s="68">
        <v>285</v>
      </c>
      <c r="U57" s="67">
        <v>0.858433734939759</v>
      </c>
      <c r="V57" s="40">
        <v>332</v>
      </c>
      <c r="W57" s="63">
        <v>102268</v>
      </c>
      <c r="X57" s="67">
        <v>0.17141430039238167</v>
      </c>
      <c r="Y57" s="26">
        <v>596613</v>
      </c>
      <c r="Z57" s="3">
        <v>415</v>
      </c>
      <c r="AA57" s="115">
        <v>0.011198359372891875</v>
      </c>
      <c r="AB57" s="40">
        <v>37059</v>
      </c>
      <c r="AC57" s="3">
        <v>68</v>
      </c>
      <c r="AD57" s="115">
        <v>0.36363636363636365</v>
      </c>
      <c r="AE57" s="40">
        <v>187</v>
      </c>
      <c r="AF57" s="3">
        <v>13</v>
      </c>
      <c r="AG57" s="7">
        <v>0.8666666666666667</v>
      </c>
      <c r="AH57" s="3">
        <v>15</v>
      </c>
      <c r="AI57" s="41">
        <v>496</v>
      </c>
      <c r="AJ57" s="7">
        <v>0.013311505327285903</v>
      </c>
      <c r="AK57" s="44">
        <v>37261</v>
      </c>
      <c r="AL57" s="117">
        <f t="shared" si="36"/>
        <v>0.1454322842455042</v>
      </c>
      <c r="AM57" s="115">
        <f t="shared" si="37"/>
        <v>0.43629588519781176</v>
      </c>
      <c r="AN57" s="7">
        <f t="shared" si="38"/>
        <v>0.8363171355498721</v>
      </c>
      <c r="AO57" s="171">
        <f t="shared" si="39"/>
        <v>0.14726837803602766</v>
      </c>
      <c r="AP57" s="63">
        <f t="shared" si="40"/>
        <v>114634</v>
      </c>
      <c r="AQ57" s="3">
        <f t="shared" si="41"/>
        <v>778402</v>
      </c>
      <c r="AR57" s="116">
        <f t="shared" si="42"/>
        <v>748142</v>
      </c>
      <c r="AS57" s="3">
        <f t="shared" si="43"/>
        <v>12613</v>
      </c>
      <c r="AT57" s="26">
        <f t="shared" si="44"/>
        <v>391</v>
      </c>
    </row>
    <row r="58" spans="1:46" ht="15.75" customHeight="1">
      <c r="A58" s="146">
        <v>43101</v>
      </c>
      <c r="B58" s="3">
        <v>11150</v>
      </c>
      <c r="C58" s="115">
        <v>0.08891050738794486</v>
      </c>
      <c r="D58" s="3">
        <v>125407</v>
      </c>
      <c r="E58" s="178">
        <v>829</v>
      </c>
      <c r="F58" s="115">
        <v>0.4537493158182813</v>
      </c>
      <c r="G58" s="3">
        <v>1827</v>
      </c>
      <c r="H58" s="178">
        <v>30</v>
      </c>
      <c r="I58" s="115">
        <v>0.625</v>
      </c>
      <c r="J58" s="3">
        <v>48</v>
      </c>
      <c r="K58" s="195">
        <v>12009</v>
      </c>
      <c r="L58" s="115">
        <v>0.0943495545324555</v>
      </c>
      <c r="M58" s="23">
        <v>127282</v>
      </c>
      <c r="N58" s="3">
        <v>117740</v>
      </c>
      <c r="O58" s="67">
        <v>0.18701861449926377</v>
      </c>
      <c r="P58" s="174">
        <v>629563</v>
      </c>
      <c r="Q58" s="68">
        <v>4815</v>
      </c>
      <c r="R58" s="67">
        <v>0.43413578577224776</v>
      </c>
      <c r="S58" s="40">
        <v>11091</v>
      </c>
      <c r="T58" s="68">
        <v>300</v>
      </c>
      <c r="U58" s="67">
        <v>0.8547008547008547</v>
      </c>
      <c r="V58" s="40">
        <v>351</v>
      </c>
      <c r="W58" s="63">
        <v>122855</v>
      </c>
      <c r="X58" s="67">
        <v>0.1916599714510807</v>
      </c>
      <c r="Y58" s="26">
        <v>641005</v>
      </c>
      <c r="Z58" s="3">
        <v>416</v>
      </c>
      <c r="AA58" s="115">
        <v>0.011226858098990662</v>
      </c>
      <c r="AB58" s="40">
        <v>37054</v>
      </c>
      <c r="AC58" s="3">
        <v>72</v>
      </c>
      <c r="AD58" s="115">
        <v>0.3850267379679144</v>
      </c>
      <c r="AE58" s="40">
        <v>187</v>
      </c>
      <c r="AF58" s="3">
        <v>13</v>
      </c>
      <c r="AG58" s="7">
        <v>0.8666666666666667</v>
      </c>
      <c r="AH58" s="3">
        <v>15</v>
      </c>
      <c r="AI58" s="41">
        <v>501</v>
      </c>
      <c r="AJ58" s="7">
        <v>0.01344749838952115</v>
      </c>
      <c r="AK58" s="44">
        <v>37256</v>
      </c>
      <c r="AL58" s="117">
        <f t="shared" si="36"/>
        <v>0.16326020423623527</v>
      </c>
      <c r="AM58" s="115">
        <f t="shared" si="37"/>
        <v>0.4361694009919878</v>
      </c>
      <c r="AN58" s="7">
        <f t="shared" si="38"/>
        <v>0.8285024154589372</v>
      </c>
      <c r="AO58" s="171">
        <f t="shared" si="39"/>
        <v>0.1644439531177111</v>
      </c>
      <c r="AP58" s="63">
        <f t="shared" si="40"/>
        <v>135365</v>
      </c>
      <c r="AQ58" s="3">
        <f t="shared" si="41"/>
        <v>823168</v>
      </c>
      <c r="AR58" s="116">
        <f t="shared" si="42"/>
        <v>792024</v>
      </c>
      <c r="AS58" s="3">
        <f t="shared" si="43"/>
        <v>13105</v>
      </c>
      <c r="AT58" s="26">
        <f t="shared" si="44"/>
        <v>414</v>
      </c>
    </row>
    <row r="59" spans="1:46" ht="12.75">
      <c r="A59" s="146">
        <v>43070</v>
      </c>
      <c r="B59" s="3">
        <v>11188</v>
      </c>
      <c r="C59" s="115">
        <v>0.0892298857908505</v>
      </c>
      <c r="D59" s="3">
        <v>125384</v>
      </c>
      <c r="E59" s="178">
        <v>832</v>
      </c>
      <c r="F59" s="115">
        <v>0.454396504642272</v>
      </c>
      <c r="G59" s="3">
        <v>1831</v>
      </c>
      <c r="H59" s="178">
        <v>35</v>
      </c>
      <c r="I59" s="115">
        <v>0.7291666666666666</v>
      </c>
      <c r="J59" s="3">
        <v>48</v>
      </c>
      <c r="K59" s="195">
        <v>12055</v>
      </c>
      <c r="L59" s="115">
        <v>0.09472509684668756</v>
      </c>
      <c r="M59" s="23">
        <v>127263</v>
      </c>
      <c r="N59" s="3">
        <v>101870</v>
      </c>
      <c r="O59" s="67">
        <v>0.16876707426778417</v>
      </c>
      <c r="P59" s="174">
        <v>603613</v>
      </c>
      <c r="Q59" s="68">
        <v>3692</v>
      </c>
      <c r="R59" s="67">
        <v>0.37742792884890614</v>
      </c>
      <c r="S59" s="40">
        <v>9782</v>
      </c>
      <c r="T59" s="68">
        <v>284</v>
      </c>
      <c r="U59" s="67">
        <v>0.8632218844984803</v>
      </c>
      <c r="V59" s="40">
        <v>329</v>
      </c>
      <c r="W59" s="63">
        <v>105846</v>
      </c>
      <c r="X59" s="67">
        <v>0.17246514719971845</v>
      </c>
      <c r="Y59" s="26">
        <v>613724</v>
      </c>
      <c r="Z59" s="3">
        <v>419</v>
      </c>
      <c r="AA59" s="115">
        <v>0.011301720882559206</v>
      </c>
      <c r="AB59" s="40">
        <v>37074</v>
      </c>
      <c r="AC59" s="3">
        <v>72</v>
      </c>
      <c r="AD59" s="115">
        <v>0.3870967741935484</v>
      </c>
      <c r="AE59" s="40">
        <v>186</v>
      </c>
      <c r="AF59" s="3">
        <v>13</v>
      </c>
      <c r="AG59" s="7">
        <v>0.9285714285714286</v>
      </c>
      <c r="AH59" s="3">
        <v>14</v>
      </c>
      <c r="AI59" s="41">
        <v>504</v>
      </c>
      <c r="AJ59" s="7">
        <v>0.013521489510114289</v>
      </c>
      <c r="AK59" s="44">
        <v>37274</v>
      </c>
      <c r="AL59" s="117">
        <f t="shared" si="36"/>
        <v>0.14812856771761365</v>
      </c>
      <c r="AM59" s="115">
        <f t="shared" si="37"/>
        <v>0.3895245359776252</v>
      </c>
      <c r="AN59" s="7">
        <f t="shared" si="38"/>
        <v>0.8491048593350383</v>
      </c>
      <c r="AO59" s="171">
        <f t="shared" si="39"/>
        <v>0.14897533455125592</v>
      </c>
      <c r="AP59" s="63">
        <f t="shared" si="40"/>
        <v>118405</v>
      </c>
      <c r="AQ59" s="3">
        <f t="shared" si="41"/>
        <v>794796</v>
      </c>
      <c r="AR59" s="116">
        <f t="shared" si="42"/>
        <v>766071</v>
      </c>
      <c r="AS59" s="3">
        <f t="shared" si="43"/>
        <v>11799</v>
      </c>
      <c r="AT59" s="26">
        <f t="shared" si="44"/>
        <v>391</v>
      </c>
    </row>
    <row r="60" spans="1:46" ht="12.75">
      <c r="A60" s="146">
        <v>43040</v>
      </c>
      <c r="B60" s="3">
        <v>11200</v>
      </c>
      <c r="C60" s="115">
        <v>0.08925298439666576</v>
      </c>
      <c r="D60" s="3">
        <v>125486</v>
      </c>
      <c r="E60" s="178">
        <v>836</v>
      </c>
      <c r="F60" s="115">
        <v>0.4558342420937841</v>
      </c>
      <c r="G60" s="3">
        <v>1834</v>
      </c>
      <c r="H60" s="178">
        <v>35</v>
      </c>
      <c r="I60" s="115">
        <v>0.7446808510638298</v>
      </c>
      <c r="J60" s="3">
        <v>47</v>
      </c>
      <c r="K60" s="195">
        <v>12071</v>
      </c>
      <c r="L60" s="115">
        <v>0.09477337143844167</v>
      </c>
      <c r="M60" s="23">
        <v>127367</v>
      </c>
      <c r="N60" s="3">
        <v>105884</v>
      </c>
      <c r="O60" s="67">
        <v>0.17318767450190797</v>
      </c>
      <c r="P60" s="174">
        <v>611383</v>
      </c>
      <c r="Q60" s="68">
        <v>4690</v>
      </c>
      <c r="R60" s="67">
        <v>0.4532276768457673</v>
      </c>
      <c r="S60" s="40">
        <v>10348</v>
      </c>
      <c r="T60" s="68">
        <v>256</v>
      </c>
      <c r="U60" s="67">
        <v>0.89198606271777</v>
      </c>
      <c r="V60" s="40">
        <v>287</v>
      </c>
      <c r="W60" s="63">
        <v>110830</v>
      </c>
      <c r="X60" s="67">
        <v>0.17817812346266507</v>
      </c>
      <c r="Y60" s="26">
        <v>622018</v>
      </c>
      <c r="Z60" s="3">
        <v>414</v>
      </c>
      <c r="AA60" s="115">
        <v>0.011162640207075065</v>
      </c>
      <c r="AB60" s="40">
        <v>37088</v>
      </c>
      <c r="AC60" s="3">
        <v>72</v>
      </c>
      <c r="AD60" s="115">
        <v>0.3850267379679144</v>
      </c>
      <c r="AE60" s="40">
        <v>187</v>
      </c>
      <c r="AF60" s="3">
        <v>13</v>
      </c>
      <c r="AG60" s="7">
        <v>0.9285714285714286</v>
      </c>
      <c r="AH60" s="3">
        <v>14</v>
      </c>
      <c r="AI60" s="41">
        <v>499</v>
      </c>
      <c r="AJ60" s="7">
        <v>0.013381962509050927</v>
      </c>
      <c r="AK60" s="44">
        <v>37289</v>
      </c>
      <c r="AL60" s="117">
        <f t="shared" si="36"/>
        <v>0.1518146356968152</v>
      </c>
      <c r="AM60" s="115">
        <f t="shared" si="37"/>
        <v>0.452583070579675</v>
      </c>
      <c r="AN60" s="7">
        <f t="shared" si="38"/>
        <v>0.8735632183908046</v>
      </c>
      <c r="AO60" s="171">
        <f t="shared" si="39"/>
        <v>0.15344632487347518</v>
      </c>
      <c r="AP60" s="63">
        <f t="shared" si="40"/>
        <v>123400</v>
      </c>
      <c r="AQ60" s="3">
        <f t="shared" si="41"/>
        <v>804190</v>
      </c>
      <c r="AR60" s="116">
        <f t="shared" si="42"/>
        <v>773957</v>
      </c>
      <c r="AS60" s="3">
        <f t="shared" si="43"/>
        <v>12369</v>
      </c>
      <c r="AT60" s="26">
        <f t="shared" si="44"/>
        <v>348</v>
      </c>
    </row>
    <row r="61" spans="1:46" ht="12.75">
      <c r="A61" s="146">
        <v>43009</v>
      </c>
      <c r="B61" s="3">
        <v>11378</v>
      </c>
      <c r="C61" s="115">
        <v>0.09054591755530797</v>
      </c>
      <c r="D61" s="3">
        <v>125660</v>
      </c>
      <c r="E61" s="178">
        <v>842</v>
      </c>
      <c r="F61" s="115">
        <v>0.45293168370091447</v>
      </c>
      <c r="G61" s="3">
        <v>1859</v>
      </c>
      <c r="H61" s="178">
        <v>31</v>
      </c>
      <c r="I61" s="115">
        <v>0.6458333333333334</v>
      </c>
      <c r="J61" s="3">
        <v>48</v>
      </c>
      <c r="K61" s="195">
        <v>12251</v>
      </c>
      <c r="L61" s="115">
        <v>0.09603580863389434</v>
      </c>
      <c r="M61" s="23">
        <v>127567</v>
      </c>
      <c r="N61" s="3">
        <v>106774</v>
      </c>
      <c r="O61" s="67">
        <v>0.1724946243854998</v>
      </c>
      <c r="P61" s="174">
        <v>618999</v>
      </c>
      <c r="Q61" s="68">
        <v>5345</v>
      </c>
      <c r="R61" s="67">
        <v>0.4616115381293721</v>
      </c>
      <c r="S61" s="40">
        <v>11579</v>
      </c>
      <c r="T61" s="68">
        <v>365</v>
      </c>
      <c r="U61" s="67">
        <v>0.8795180722891566</v>
      </c>
      <c r="V61" s="40">
        <v>415</v>
      </c>
      <c r="W61" s="63">
        <v>112484</v>
      </c>
      <c r="X61" s="67">
        <v>0.17826505206872342</v>
      </c>
      <c r="Y61" s="26">
        <v>630993</v>
      </c>
      <c r="Z61" s="3">
        <v>412</v>
      </c>
      <c r="AA61" s="115">
        <v>0.011100035024382358</v>
      </c>
      <c r="AB61" s="40">
        <v>37117</v>
      </c>
      <c r="AC61" s="3">
        <v>72</v>
      </c>
      <c r="AD61" s="115">
        <v>0.3850267379679144</v>
      </c>
      <c r="AE61" s="40">
        <v>187</v>
      </c>
      <c r="AF61" s="3">
        <v>13</v>
      </c>
      <c r="AG61" s="7">
        <v>0.9285714285714286</v>
      </c>
      <c r="AH61" s="3">
        <v>14</v>
      </c>
      <c r="AI61" s="41">
        <v>497</v>
      </c>
      <c r="AJ61" s="7">
        <v>0.013317969880486629</v>
      </c>
      <c r="AK61" s="44">
        <v>37318</v>
      </c>
      <c r="AL61" s="117">
        <f aca="true" t="shared" si="45" ref="AL61:AL66">(B61+N61+Z61)/AR61</f>
        <v>0.15165981048279814</v>
      </c>
      <c r="AM61" s="115">
        <f aca="true" t="shared" si="46" ref="AM61:AM66">(E61+Q61+AC61)/AS61</f>
        <v>0.4593761467889908</v>
      </c>
      <c r="AN61" s="7">
        <f aca="true" t="shared" si="47" ref="AN61:AN66">(H61+T61+AF61)/AT61</f>
        <v>0.8574423480083857</v>
      </c>
      <c r="AO61" s="171">
        <f aca="true" t="shared" si="48" ref="AO61:AO66">AP61/AQ61</f>
        <v>0.15378418736246463</v>
      </c>
      <c r="AP61" s="63">
        <f aca="true" t="shared" si="49" ref="AP61:AP66">AF61+AC61+Z61+T61+Q61+N61+H61+E61+B61</f>
        <v>125232</v>
      </c>
      <c r="AQ61" s="3">
        <f aca="true" t="shared" si="50" ref="AQ61:AQ66">AH61+AF61+AE61+AC61+Z61+AB61+V61+T61+S61+Q61+P61+J61+H61+G61+E61+D61+B61</f>
        <v>814336</v>
      </c>
      <c r="AR61" s="116">
        <f aca="true" t="shared" si="51" ref="AR61:AR66">+D61+P61+AB61</f>
        <v>781776</v>
      </c>
      <c r="AS61" s="3">
        <f aca="true" t="shared" si="52" ref="AS61:AS66">G61+S61+AE61</f>
        <v>13625</v>
      </c>
      <c r="AT61" s="26">
        <f aca="true" t="shared" si="53" ref="AT61:AT66">J61+V61+AH61</f>
        <v>477</v>
      </c>
    </row>
    <row r="62" spans="1:46" ht="12.75">
      <c r="A62" s="146">
        <v>42979</v>
      </c>
      <c r="B62" s="3">
        <v>11518</v>
      </c>
      <c r="C62" s="115">
        <v>0.09132137703566275</v>
      </c>
      <c r="D62" s="3">
        <v>126126</v>
      </c>
      <c r="E62" s="178">
        <v>844</v>
      </c>
      <c r="F62" s="115">
        <v>0.4542518837459634</v>
      </c>
      <c r="G62" s="3">
        <v>1858</v>
      </c>
      <c r="H62" s="178">
        <v>31</v>
      </c>
      <c r="I62" s="115">
        <v>0.6458333333333334</v>
      </c>
      <c r="J62" s="3">
        <v>48</v>
      </c>
      <c r="K62" s="195">
        <v>12393</v>
      </c>
      <c r="L62" s="115">
        <v>0.0967961134716321</v>
      </c>
      <c r="M62" s="23">
        <v>128032</v>
      </c>
      <c r="N62" s="3">
        <v>108114</v>
      </c>
      <c r="O62" s="67">
        <v>0.17476020056834163</v>
      </c>
      <c r="P62" s="174">
        <v>618642</v>
      </c>
      <c r="Q62" s="68">
        <v>5322</v>
      </c>
      <c r="R62" s="67">
        <v>0.4627826086956522</v>
      </c>
      <c r="S62" s="40">
        <v>11500</v>
      </c>
      <c r="T62" s="68">
        <v>358</v>
      </c>
      <c r="U62" s="67">
        <v>0.8839506172839506</v>
      </c>
      <c r="V62" s="40">
        <v>405</v>
      </c>
      <c r="W62" s="63">
        <v>113794</v>
      </c>
      <c r="X62" s="67">
        <v>0.18046870415686697</v>
      </c>
      <c r="Y62" s="26">
        <v>630547</v>
      </c>
      <c r="Z62" s="3">
        <v>414</v>
      </c>
      <c r="AA62" s="115">
        <v>0.01113202473783275</v>
      </c>
      <c r="AB62" s="40">
        <v>37190</v>
      </c>
      <c r="AC62" s="3">
        <v>72</v>
      </c>
      <c r="AD62" s="115">
        <v>0.3850267379679144</v>
      </c>
      <c r="AE62" s="40">
        <v>187</v>
      </c>
      <c r="AF62" s="3">
        <v>13</v>
      </c>
      <c r="AG62" s="7">
        <v>0.9285714285714286</v>
      </c>
      <c r="AH62" s="3">
        <v>14</v>
      </c>
      <c r="AI62" s="41">
        <v>499</v>
      </c>
      <c r="AJ62" s="7">
        <v>0.013345457463025862</v>
      </c>
      <c r="AK62" s="44">
        <v>37391</v>
      </c>
      <c r="AL62" s="117">
        <f t="shared" si="45"/>
        <v>0.15351975425790132</v>
      </c>
      <c r="AM62" s="115">
        <f t="shared" si="46"/>
        <v>0.4605389442598745</v>
      </c>
      <c r="AN62" s="7">
        <f t="shared" si="47"/>
        <v>0.860813704496788</v>
      </c>
      <c r="AO62" s="171">
        <f t="shared" si="48"/>
        <v>0.15553034711531144</v>
      </c>
      <c r="AP62" s="63">
        <f t="shared" si="49"/>
        <v>126686</v>
      </c>
      <c r="AQ62" s="3">
        <f t="shared" si="50"/>
        <v>814542</v>
      </c>
      <c r="AR62" s="116">
        <f t="shared" si="51"/>
        <v>781958</v>
      </c>
      <c r="AS62" s="3">
        <f t="shared" si="52"/>
        <v>13545</v>
      </c>
      <c r="AT62" s="26">
        <f t="shared" si="53"/>
        <v>467</v>
      </c>
    </row>
    <row r="63" spans="1:46" ht="12.75">
      <c r="A63" s="146">
        <v>42948</v>
      </c>
      <c r="B63" s="3">
        <v>11621</v>
      </c>
      <c r="C63" s="115">
        <v>0.092075238487624</v>
      </c>
      <c r="D63" s="3">
        <v>126212</v>
      </c>
      <c r="E63" s="178">
        <v>847</v>
      </c>
      <c r="F63" s="115">
        <v>0.45709660010793307</v>
      </c>
      <c r="G63" s="3">
        <v>1853</v>
      </c>
      <c r="H63" s="178">
        <v>31</v>
      </c>
      <c r="I63" s="115">
        <v>0.6458333333333334</v>
      </c>
      <c r="J63" s="3">
        <v>48</v>
      </c>
      <c r="K63" s="195">
        <v>12499</v>
      </c>
      <c r="L63" s="115">
        <v>0.09756230827472621</v>
      </c>
      <c r="M63" s="23">
        <v>128113</v>
      </c>
      <c r="N63" s="3">
        <v>108114</v>
      </c>
      <c r="O63" s="67">
        <v>0.17476020056834163</v>
      </c>
      <c r="P63" s="174">
        <v>618642</v>
      </c>
      <c r="Q63" s="68">
        <v>5322</v>
      </c>
      <c r="R63" s="67">
        <v>0.4627826086956522</v>
      </c>
      <c r="S63" s="40">
        <v>11500</v>
      </c>
      <c r="T63" s="68">
        <v>358</v>
      </c>
      <c r="U63" s="67">
        <v>0.8839506172839506</v>
      </c>
      <c r="V63" s="40">
        <v>405</v>
      </c>
      <c r="W63" s="63">
        <v>113794</v>
      </c>
      <c r="X63" s="67">
        <v>0.18046870415686697</v>
      </c>
      <c r="Y63" s="26">
        <v>630547</v>
      </c>
      <c r="Z63" s="3">
        <v>414</v>
      </c>
      <c r="AA63" s="115">
        <v>0.011162640207075065</v>
      </c>
      <c r="AB63" s="40">
        <v>37088</v>
      </c>
      <c r="AC63" s="3">
        <v>72</v>
      </c>
      <c r="AD63" s="115">
        <v>0.3850267379679144</v>
      </c>
      <c r="AE63" s="40">
        <v>187</v>
      </c>
      <c r="AF63" s="3">
        <v>13</v>
      </c>
      <c r="AG63" s="7">
        <v>0.9285714285714286</v>
      </c>
      <c r="AH63" s="3">
        <v>14</v>
      </c>
      <c r="AI63" s="41">
        <v>499</v>
      </c>
      <c r="AJ63" s="7">
        <v>0.013381962509050927</v>
      </c>
      <c r="AK63" s="44">
        <v>37289</v>
      </c>
      <c r="AL63" s="117">
        <f t="shared" si="45"/>
        <v>0.15365461888477663</v>
      </c>
      <c r="AM63" s="115">
        <f t="shared" si="46"/>
        <v>0.46093057607090104</v>
      </c>
      <c r="AN63" s="7">
        <f t="shared" si="47"/>
        <v>0.860813704496788</v>
      </c>
      <c r="AO63" s="171">
        <f t="shared" si="48"/>
        <v>0.1556442396335992</v>
      </c>
      <c r="AP63" s="63">
        <f t="shared" si="49"/>
        <v>126792</v>
      </c>
      <c r="AQ63" s="3">
        <f t="shared" si="50"/>
        <v>814627</v>
      </c>
      <c r="AR63" s="116">
        <f t="shared" si="51"/>
        <v>781942</v>
      </c>
      <c r="AS63" s="3">
        <f t="shared" si="52"/>
        <v>13540</v>
      </c>
      <c r="AT63" s="26">
        <f t="shared" si="53"/>
        <v>467</v>
      </c>
    </row>
    <row r="64" spans="1:46" ht="12.75">
      <c r="A64" s="146">
        <v>42917</v>
      </c>
      <c r="B64" s="3">
        <v>11871</v>
      </c>
      <c r="C64" s="115">
        <v>0.0941970910071971</v>
      </c>
      <c r="D64" s="3">
        <v>126023</v>
      </c>
      <c r="E64" s="178">
        <v>855</v>
      </c>
      <c r="F64" s="115">
        <v>0.46116504854368934</v>
      </c>
      <c r="G64" s="3">
        <v>1854</v>
      </c>
      <c r="H64" s="178">
        <v>32</v>
      </c>
      <c r="I64" s="115">
        <v>0.6666666666666666</v>
      </c>
      <c r="J64" s="3">
        <v>48</v>
      </c>
      <c r="K64" s="195">
        <v>12758</v>
      </c>
      <c r="L64" s="115">
        <v>0.09973031072894274</v>
      </c>
      <c r="M64" s="23">
        <v>127925</v>
      </c>
      <c r="N64" s="3">
        <v>111443</v>
      </c>
      <c r="O64" s="67">
        <v>0.18042891188622792</v>
      </c>
      <c r="P64" s="174">
        <v>617656</v>
      </c>
      <c r="Q64" s="68">
        <v>5380</v>
      </c>
      <c r="R64" s="67">
        <v>0.4654381866943507</v>
      </c>
      <c r="S64" s="40">
        <v>11559</v>
      </c>
      <c r="T64" s="68">
        <v>349</v>
      </c>
      <c r="U64" s="67">
        <v>0.8790931989924433</v>
      </c>
      <c r="V64" s="40">
        <v>397</v>
      </c>
      <c r="W64" s="63">
        <v>117172</v>
      </c>
      <c r="X64" s="67">
        <v>0.18610191673602156</v>
      </c>
      <c r="Y64" s="26">
        <v>629612</v>
      </c>
      <c r="Z64" s="3">
        <v>414</v>
      </c>
      <c r="AA64" s="115">
        <v>0.01115572202311983</v>
      </c>
      <c r="AB64" s="40">
        <v>37111</v>
      </c>
      <c r="AC64" s="3">
        <v>72</v>
      </c>
      <c r="AD64" s="115">
        <v>0.3850267379679144</v>
      </c>
      <c r="AE64" s="40">
        <v>187</v>
      </c>
      <c r="AF64" s="3">
        <v>13</v>
      </c>
      <c r="AG64" s="7">
        <v>0.9285714285714286</v>
      </c>
      <c r="AH64" s="3">
        <v>14</v>
      </c>
      <c r="AI64" s="41">
        <v>499</v>
      </c>
      <c r="AJ64" s="7">
        <v>0.013373713550600344</v>
      </c>
      <c r="AK64" s="44">
        <v>37312</v>
      </c>
      <c r="AL64" s="117">
        <f t="shared" si="45"/>
        <v>0.15846514427695027</v>
      </c>
      <c r="AM64" s="115">
        <f t="shared" si="46"/>
        <v>0.46375</v>
      </c>
      <c r="AN64" s="7">
        <f t="shared" si="47"/>
        <v>0.8583877995642701</v>
      </c>
      <c r="AO64" s="171">
        <f t="shared" si="48"/>
        <v>0.160264672814514</v>
      </c>
      <c r="AP64" s="63">
        <f t="shared" si="49"/>
        <v>130429</v>
      </c>
      <c r="AQ64" s="3">
        <f t="shared" si="50"/>
        <v>813835</v>
      </c>
      <c r="AR64" s="116">
        <f t="shared" si="51"/>
        <v>780790</v>
      </c>
      <c r="AS64" s="3">
        <f t="shared" si="52"/>
        <v>13600</v>
      </c>
      <c r="AT64" s="26">
        <f t="shared" si="53"/>
        <v>459</v>
      </c>
    </row>
    <row r="65" spans="1:46" ht="12.75">
      <c r="A65" s="146">
        <v>42887</v>
      </c>
      <c r="B65" s="3">
        <v>11913</v>
      </c>
      <c r="C65" s="115">
        <v>0.09457313878348125</v>
      </c>
      <c r="D65" s="3">
        <v>125966</v>
      </c>
      <c r="E65" s="178">
        <v>848</v>
      </c>
      <c r="F65" s="115">
        <v>0.45788336933045354</v>
      </c>
      <c r="G65" s="3">
        <v>1852</v>
      </c>
      <c r="H65" s="178">
        <v>33</v>
      </c>
      <c r="I65" s="115">
        <v>0.7021276595744681</v>
      </c>
      <c r="J65" s="3">
        <v>47</v>
      </c>
      <c r="K65" s="195">
        <v>12794</v>
      </c>
      <c r="L65" s="115">
        <v>0.10005865561334219</v>
      </c>
      <c r="M65" s="23">
        <v>127865</v>
      </c>
      <c r="N65" s="3">
        <v>112841</v>
      </c>
      <c r="O65" s="67">
        <v>0.1828021092364143</v>
      </c>
      <c r="P65" s="174">
        <v>617285</v>
      </c>
      <c r="Q65" s="68">
        <v>5404</v>
      </c>
      <c r="R65" s="67">
        <v>0.4670296430732002</v>
      </c>
      <c r="S65" s="40">
        <v>11571</v>
      </c>
      <c r="T65" s="68">
        <v>353</v>
      </c>
      <c r="U65" s="67">
        <v>0.8781094527363185</v>
      </c>
      <c r="V65" s="40">
        <v>402</v>
      </c>
      <c r="W65" s="63">
        <v>118598</v>
      </c>
      <c r="X65" s="67">
        <v>0.18847277269418902</v>
      </c>
      <c r="Y65" s="26">
        <v>629258</v>
      </c>
      <c r="Z65" s="3">
        <v>417</v>
      </c>
      <c r="AA65" s="115">
        <v>0.011244135253195276</v>
      </c>
      <c r="AB65" s="40">
        <v>37086</v>
      </c>
      <c r="AC65" s="3">
        <v>72</v>
      </c>
      <c r="AD65" s="115">
        <v>0.3829787234042553</v>
      </c>
      <c r="AE65" s="40">
        <v>188</v>
      </c>
      <c r="AF65" s="3">
        <v>13</v>
      </c>
      <c r="AG65" s="7">
        <v>0.9285714285714286</v>
      </c>
      <c r="AH65" s="3">
        <v>14</v>
      </c>
      <c r="AI65" s="41">
        <v>502</v>
      </c>
      <c r="AJ65" s="7">
        <v>0.013462776228277193</v>
      </c>
      <c r="AK65" s="44">
        <v>37288</v>
      </c>
      <c r="AL65" s="117">
        <f t="shared" si="45"/>
        <v>0.16040633726197784</v>
      </c>
      <c r="AM65" s="115">
        <f t="shared" si="46"/>
        <v>0.46462420101388585</v>
      </c>
      <c r="AN65" s="7">
        <f t="shared" si="47"/>
        <v>0.8617710583153347</v>
      </c>
      <c r="AO65" s="171">
        <f t="shared" si="48"/>
        <v>0.16213870558500437</v>
      </c>
      <c r="AP65" s="63">
        <f t="shared" si="49"/>
        <v>131894</v>
      </c>
      <c r="AQ65" s="3">
        <f t="shared" si="50"/>
        <v>813464</v>
      </c>
      <c r="AR65" s="116">
        <f t="shared" si="51"/>
        <v>780337</v>
      </c>
      <c r="AS65" s="3">
        <f t="shared" si="52"/>
        <v>13611</v>
      </c>
      <c r="AT65" s="26">
        <f t="shared" si="53"/>
        <v>463</v>
      </c>
    </row>
    <row r="66" spans="1:46" ht="12.75">
      <c r="A66" s="146">
        <v>42856</v>
      </c>
      <c r="B66" s="3">
        <v>11670</v>
      </c>
      <c r="C66" s="115">
        <v>0.09159406639981163</v>
      </c>
      <c r="D66" s="3">
        <v>127410</v>
      </c>
      <c r="E66" s="178">
        <v>839</v>
      </c>
      <c r="F66" s="115">
        <v>0.4684533780011167</v>
      </c>
      <c r="G66" s="3">
        <v>1791</v>
      </c>
      <c r="H66" s="178">
        <v>32</v>
      </c>
      <c r="I66" s="115">
        <v>0.7111111111111111</v>
      </c>
      <c r="J66" s="3">
        <v>45</v>
      </c>
      <c r="K66" s="195">
        <v>12541</v>
      </c>
      <c r="L66" s="115">
        <v>0.09703201646472619</v>
      </c>
      <c r="M66" s="23">
        <v>129246</v>
      </c>
      <c r="N66" s="3">
        <v>113790</v>
      </c>
      <c r="O66" s="67">
        <v>0.1843639774920083</v>
      </c>
      <c r="P66" s="174">
        <v>617203</v>
      </c>
      <c r="Q66" s="68">
        <v>5603</v>
      </c>
      <c r="R66" s="67">
        <v>0.4703265340384454</v>
      </c>
      <c r="S66" s="40">
        <v>11913</v>
      </c>
      <c r="T66" s="68">
        <v>363</v>
      </c>
      <c r="U66" s="67">
        <v>0.8875305623471883</v>
      </c>
      <c r="V66" s="40">
        <v>409</v>
      </c>
      <c r="W66" s="63">
        <v>119756</v>
      </c>
      <c r="X66" s="67">
        <v>0.19023231801755291</v>
      </c>
      <c r="Y66" s="26">
        <v>629525</v>
      </c>
      <c r="Z66" s="3">
        <v>419</v>
      </c>
      <c r="AA66" s="115">
        <v>0.01131331677286964</v>
      </c>
      <c r="AB66" s="40">
        <v>37036</v>
      </c>
      <c r="AC66" s="3">
        <v>72</v>
      </c>
      <c r="AD66" s="115">
        <v>0.3829787234042553</v>
      </c>
      <c r="AE66" s="40">
        <v>188</v>
      </c>
      <c r="AF66" s="3">
        <v>13</v>
      </c>
      <c r="AG66" s="7">
        <v>0.9285714285714286</v>
      </c>
      <c r="AH66" s="3">
        <v>14</v>
      </c>
      <c r="AI66" s="41">
        <v>504</v>
      </c>
      <c r="AJ66" s="7">
        <v>0.013534561469466674</v>
      </c>
      <c r="AK66" s="44">
        <v>37238</v>
      </c>
      <c r="AL66" s="117">
        <f t="shared" si="45"/>
        <v>0.16104287218431804</v>
      </c>
      <c r="AM66" s="115">
        <f t="shared" si="46"/>
        <v>0.4689029657356752</v>
      </c>
      <c r="AN66" s="7">
        <f t="shared" si="47"/>
        <v>0.8717948717948718</v>
      </c>
      <c r="AO66" s="171">
        <f t="shared" si="48"/>
        <v>0.1629420136929155</v>
      </c>
      <c r="AP66" s="63">
        <f t="shared" si="49"/>
        <v>132801</v>
      </c>
      <c r="AQ66" s="3">
        <f t="shared" si="50"/>
        <v>815020</v>
      </c>
      <c r="AR66" s="116">
        <f t="shared" si="51"/>
        <v>781649</v>
      </c>
      <c r="AS66" s="3">
        <f t="shared" si="52"/>
        <v>13892</v>
      </c>
      <c r="AT66" s="26">
        <f t="shared" si="53"/>
        <v>468</v>
      </c>
    </row>
    <row r="67" spans="1:46" ht="12.75">
      <c r="A67" s="146">
        <v>42826</v>
      </c>
      <c r="B67" s="3">
        <v>11257</v>
      </c>
      <c r="C67" s="115">
        <v>0.08901980941837018</v>
      </c>
      <c r="D67" s="3">
        <v>126455</v>
      </c>
      <c r="E67" s="178">
        <v>825</v>
      </c>
      <c r="F67" s="115">
        <v>0.46928327645051193</v>
      </c>
      <c r="G67" s="3">
        <v>1758</v>
      </c>
      <c r="H67" s="178">
        <v>30</v>
      </c>
      <c r="I67" s="115">
        <v>0.6976744186046512</v>
      </c>
      <c r="J67" s="3">
        <v>43</v>
      </c>
      <c r="K67" s="195">
        <v>12112</v>
      </c>
      <c r="L67" s="115">
        <v>0.09443612774451098</v>
      </c>
      <c r="M67" s="23">
        <v>128256</v>
      </c>
      <c r="N67" s="3">
        <f>SUM('[5]2000-Present'!$C$5,'[5]2000-Present'!$C$6,'[5]2000-Present'!$C$9)</f>
        <v>112935</v>
      </c>
      <c r="O67" s="67">
        <f>N67/P67</f>
        <v>0.18322241726721417</v>
      </c>
      <c r="P67" s="174">
        <f>N67+SUM('[5]2000-Present'!$G$5,'[5]2000-Present'!$G$6,'[5]2000-Present'!$G$9)</f>
        <v>616382</v>
      </c>
      <c r="Q67" s="68">
        <f>'[5]2000-Present'!$C$7</f>
        <v>5326</v>
      </c>
      <c r="R67" s="67">
        <f aca="true" t="shared" si="54" ref="R67:R78">Q67/S67</f>
        <v>0.4760883167962814</v>
      </c>
      <c r="S67" s="40">
        <f>'[5]2000-Present'!$B$7</f>
        <v>11187</v>
      </c>
      <c r="T67" s="68">
        <f>'[5]2000-Present'!$C$8</f>
        <v>341</v>
      </c>
      <c r="U67" s="67">
        <f aca="true" t="shared" si="55" ref="U67:U78">T67/V67</f>
        <v>0.8857142857142857</v>
      </c>
      <c r="V67" s="40">
        <f>'[5]2000-Present'!$B$8</f>
        <v>385</v>
      </c>
      <c r="W67" s="63">
        <f aca="true" t="shared" si="56" ref="W67:W72">+T67+Q67+N67</f>
        <v>118602</v>
      </c>
      <c r="X67" s="67">
        <f aca="true" t="shared" si="57" ref="X67:X72">W67/Y67</f>
        <v>0.18887052236310303</v>
      </c>
      <c r="Y67" s="26">
        <f aca="true" t="shared" si="58" ref="Y67:Y72">+V67+S67+P67</f>
        <v>627954</v>
      </c>
      <c r="Z67" s="3">
        <v>420</v>
      </c>
      <c r="AA67" s="115">
        <v>0.011363328914260978</v>
      </c>
      <c r="AB67" s="40">
        <v>36961</v>
      </c>
      <c r="AC67" s="3">
        <v>71</v>
      </c>
      <c r="AD67" s="115">
        <v>0.37967914438502676</v>
      </c>
      <c r="AE67" s="40">
        <v>187</v>
      </c>
      <c r="AF67" s="3">
        <v>13</v>
      </c>
      <c r="AG67" s="7">
        <v>0.9285714285714286</v>
      </c>
      <c r="AH67" s="3">
        <v>14</v>
      </c>
      <c r="AI67" s="41">
        <v>504</v>
      </c>
      <c r="AJ67" s="7">
        <v>0.013562240998869813</v>
      </c>
      <c r="AK67" s="44">
        <v>37162</v>
      </c>
      <c r="AL67" s="117">
        <f aca="true" t="shared" si="59" ref="AL67:AL72">(B67+N67+Z67)/AR67</f>
        <v>0.15980035855439487</v>
      </c>
      <c r="AM67" s="115">
        <f aca="true" t="shared" si="60" ref="AM67:AM72">(E67+Q67+AC67)/AS67</f>
        <v>0.4738044471519951</v>
      </c>
      <c r="AN67" s="7">
        <f aca="true" t="shared" si="61" ref="AN67:AN72">(H67+T67+AF67)/AT67</f>
        <v>0.8687782805429864</v>
      </c>
      <c r="AO67" s="171">
        <f aca="true" t="shared" si="62" ref="AO67:AO72">AP67/AQ67</f>
        <v>0.16166721082233215</v>
      </c>
      <c r="AP67" s="63">
        <f aca="true" t="shared" si="63" ref="AP67:AP72">AF67+AC67+Z67+T67+Q67+N67+H67+E67+B67</f>
        <v>131218</v>
      </c>
      <c r="AQ67" s="3">
        <f aca="true" t="shared" si="64" ref="AQ67:AQ72">AH67+AF67+AE67+AC67+Z67+AB67+V67+T67+S67+Q67+P67+J67+H67+G67+E67+D67+B67</f>
        <v>811655</v>
      </c>
      <c r="AR67" s="116">
        <f aca="true" t="shared" si="65" ref="AR67:AR72">+D67+P67+AB67</f>
        <v>779798</v>
      </c>
      <c r="AS67" s="3">
        <f aca="true" t="shared" si="66" ref="AS67:AS72">G67+S67+AE67</f>
        <v>13132</v>
      </c>
      <c r="AT67" s="26">
        <f aca="true" t="shared" si="67" ref="AT67:AT72">J67+V67+AH67</f>
        <v>442</v>
      </c>
    </row>
    <row r="68" spans="1:46" ht="12.75">
      <c r="A68" s="146">
        <v>42795</v>
      </c>
      <c r="B68" s="3">
        <f>'[9]BHD'!$C$17</f>
        <v>11108</v>
      </c>
      <c r="C68" s="115">
        <f aca="true" t="shared" si="68" ref="C68:C77">B68/D68</f>
        <v>0.08943135250026166</v>
      </c>
      <c r="D68" s="3">
        <f>'[9]BHD'!$E$17</f>
        <v>124207</v>
      </c>
      <c r="E68" s="178">
        <f>'[9]BHD'!$C$18</f>
        <v>843</v>
      </c>
      <c r="F68" s="115">
        <f aca="true" t="shared" si="69" ref="F68:F77">E68/G68</f>
        <v>0.4683333333333333</v>
      </c>
      <c r="G68" s="3">
        <f>'[9]BHD'!$E$18</f>
        <v>1800</v>
      </c>
      <c r="H68" s="178">
        <f>'[9]BHD'!$C$19</f>
        <v>32</v>
      </c>
      <c r="I68" s="115">
        <f aca="true" t="shared" si="70" ref="I68:I77">H68/J68</f>
        <v>0.6956521739130435</v>
      </c>
      <c r="J68" s="3">
        <f>'[9]BHD'!$E$19</f>
        <v>46</v>
      </c>
      <c r="K68" s="195">
        <f>+H68+E68+B68</f>
        <v>11983</v>
      </c>
      <c r="L68" s="115">
        <f>K68/M68</f>
        <v>0.09506318770675827</v>
      </c>
      <c r="M68" s="23">
        <f>+J68+G68+D68</f>
        <v>126053</v>
      </c>
      <c r="N68" s="3">
        <f>SUM('[5]2000-Present'!$C$16,'[5]2000-Present'!$C$17,'[5]2000-Present'!$C$20)</f>
        <v>115343</v>
      </c>
      <c r="O68" s="67">
        <f>N68/P68</f>
        <v>0.18493049654486862</v>
      </c>
      <c r="P68" s="174">
        <f>N68+SUM('[5]2000-Present'!$G$16,'[5]2000-Present'!$G$17,'[5]2000-Present'!$G$20)</f>
        <v>623710</v>
      </c>
      <c r="Q68" s="68">
        <f>'[5]2000-Present'!$C$18</f>
        <v>6119</v>
      </c>
      <c r="R68" s="67">
        <f t="shared" si="54"/>
        <v>0.47920745555642574</v>
      </c>
      <c r="S68" s="40">
        <f>'[5]2000-Present'!$B$18</f>
        <v>12769</v>
      </c>
      <c r="T68" s="68">
        <f>'[5]2000-Present'!$C$19</f>
        <v>419</v>
      </c>
      <c r="U68" s="67">
        <f t="shared" si="55"/>
        <v>0.8877118644067796</v>
      </c>
      <c r="V68" s="40">
        <f>'[5]2000-Present'!$B$19</f>
        <v>472</v>
      </c>
      <c r="W68" s="63">
        <f t="shared" si="56"/>
        <v>121881</v>
      </c>
      <c r="X68" s="67">
        <f t="shared" si="57"/>
        <v>0.19135066904675557</v>
      </c>
      <c r="Y68" s="26">
        <f t="shared" si="58"/>
        <v>636951</v>
      </c>
      <c r="Z68" s="3">
        <f>'[9]MPD'!$F$27</f>
        <v>418</v>
      </c>
      <c r="AA68" s="115">
        <f aca="true" t="shared" si="71" ref="AA68:AA77">Z68/AB68</f>
        <v>0.011308911855419079</v>
      </c>
      <c r="AB68" s="40">
        <f>'[9]MPD'!$G$27</f>
        <v>36962</v>
      </c>
      <c r="AC68" s="3">
        <f>'[9]MPD'!$D$17</f>
        <v>72</v>
      </c>
      <c r="AD68" s="115">
        <f aca="true" t="shared" si="72" ref="AD68:AD77">AC68/AE68</f>
        <v>0.3829787234042553</v>
      </c>
      <c r="AE68" s="40">
        <f>'[9]MPD'!$E$17</f>
        <v>188</v>
      </c>
      <c r="AF68" s="3">
        <f>'[9]MPD'!$D$18</f>
        <v>13</v>
      </c>
      <c r="AG68" s="7">
        <f aca="true" t="shared" si="73" ref="AG68:AG77">AF68/AH68</f>
        <v>0.9285714285714286</v>
      </c>
      <c r="AH68" s="3">
        <f>'[9]MPD'!$E$18</f>
        <v>14</v>
      </c>
      <c r="AI68" s="41">
        <f>+AF68+AC68+Z68</f>
        <v>503</v>
      </c>
      <c r="AJ68" s="7">
        <f>AI68/AK68</f>
        <v>0.013534603379614681</v>
      </c>
      <c r="AK68" s="44">
        <f>+AH68+AE68+AB68</f>
        <v>37164</v>
      </c>
      <c r="AL68" s="117">
        <f t="shared" si="59"/>
        <v>0.16164147594724793</v>
      </c>
      <c r="AM68" s="115">
        <f t="shared" si="60"/>
        <v>0.4766551467100359</v>
      </c>
      <c r="AN68" s="7">
        <f t="shared" si="61"/>
        <v>0.8721804511278195</v>
      </c>
      <c r="AO68" s="171">
        <f t="shared" si="62"/>
        <v>0.16402381859197843</v>
      </c>
      <c r="AP68" s="63">
        <f t="shared" si="63"/>
        <v>134367</v>
      </c>
      <c r="AQ68" s="3">
        <f t="shared" si="64"/>
        <v>819192</v>
      </c>
      <c r="AR68" s="116">
        <f t="shared" si="65"/>
        <v>784879</v>
      </c>
      <c r="AS68" s="3">
        <f t="shared" si="66"/>
        <v>14757</v>
      </c>
      <c r="AT68" s="26">
        <f t="shared" si="67"/>
        <v>532</v>
      </c>
    </row>
    <row r="69" spans="1:46" ht="12.75">
      <c r="A69" s="146">
        <v>42767</v>
      </c>
      <c r="B69" s="3">
        <f>'[8]BHD'!$C$17</f>
        <v>10883</v>
      </c>
      <c r="C69" s="115">
        <f t="shared" si="68"/>
        <v>0.08767279992266297</v>
      </c>
      <c r="D69" s="3">
        <f>'[8]BHD'!$E$17</f>
        <v>124132</v>
      </c>
      <c r="E69" s="178">
        <f>'[8]BHD'!$C$18</f>
        <v>836</v>
      </c>
      <c r="F69" s="115">
        <f t="shared" si="69"/>
        <v>0.46651785714285715</v>
      </c>
      <c r="G69" s="3">
        <f>'[8]BHD'!$E$18</f>
        <v>1792</v>
      </c>
      <c r="H69" s="178">
        <f>'[8]BHD'!$C$19</f>
        <v>34</v>
      </c>
      <c r="I69" s="115">
        <f t="shared" si="70"/>
        <v>0.723404255319149</v>
      </c>
      <c r="J69" s="3">
        <f>'[8]BHD'!$E$19</f>
        <v>47</v>
      </c>
      <c r="K69" s="195">
        <f>+H69+E69+B69</f>
        <v>11753</v>
      </c>
      <c r="L69" s="115">
        <f>K69/M69</f>
        <v>0.09329925141500822</v>
      </c>
      <c r="M69" s="23">
        <f>+J69+G69+D69</f>
        <v>125971</v>
      </c>
      <c r="N69" s="3">
        <f>SUM('[5]2000-Present'!$C$27,'[5]2000-Present'!$C$28,'[5]2000-Present'!$C$31)</f>
        <v>102593</v>
      </c>
      <c r="O69" s="67">
        <f>N69/P69</f>
        <v>0.16797623940048367</v>
      </c>
      <c r="P69" s="174">
        <f>N69+SUM('[5]2000-Present'!$G$27,'[5]2000-Present'!$G$28,'[5]2000-Present'!$G$31)</f>
        <v>610759</v>
      </c>
      <c r="Q69" s="68">
        <f>'[5]2000-Present'!$C$29</f>
        <v>4915</v>
      </c>
      <c r="R69" s="67">
        <f t="shared" si="54"/>
        <v>0.4763058435894951</v>
      </c>
      <c r="S69" s="40">
        <f>'[5]2000-Present'!$B$29</f>
        <v>10319</v>
      </c>
      <c r="T69" s="68">
        <f>'[5]2000-Present'!$C$30</f>
        <v>297</v>
      </c>
      <c r="U69" s="67">
        <f t="shared" si="55"/>
        <v>0.8892215568862275</v>
      </c>
      <c r="V69" s="40">
        <f>'[5]2000-Present'!$B$30</f>
        <v>334</v>
      </c>
      <c r="W69" s="63">
        <f t="shared" si="56"/>
        <v>107805</v>
      </c>
      <c r="X69" s="67">
        <f t="shared" si="57"/>
        <v>0.17348393658313646</v>
      </c>
      <c r="Y69" s="26">
        <f t="shared" si="58"/>
        <v>621412</v>
      </c>
      <c r="Z69" s="3">
        <f>'[8]MPD'!$C$16</f>
        <v>423</v>
      </c>
      <c r="AA69" s="115">
        <f t="shared" si="71"/>
        <v>0.011442638028511917</v>
      </c>
      <c r="AB69" s="40">
        <f>'[8]MPD'!$E$16</f>
        <v>36967</v>
      </c>
      <c r="AC69" s="3">
        <f>'[8]MPD'!$C$17</f>
        <v>72</v>
      </c>
      <c r="AD69" s="115">
        <f t="shared" si="72"/>
        <v>0.3829787234042553</v>
      </c>
      <c r="AE69" s="40">
        <f>'[8]MPD'!$E$17</f>
        <v>188</v>
      </c>
      <c r="AF69" s="3">
        <f>'[8]MPD'!$C$18</f>
        <v>13</v>
      </c>
      <c r="AG69" s="7">
        <f t="shared" si="73"/>
        <v>0.9285714285714286</v>
      </c>
      <c r="AH69" s="3">
        <f>'[8]MPD'!$E$18</f>
        <v>14</v>
      </c>
      <c r="AI69" s="41">
        <f>+AF69+AC69+Z69</f>
        <v>508</v>
      </c>
      <c r="AJ69" s="7">
        <f>AI69/AK69</f>
        <v>0.013667303397992952</v>
      </c>
      <c r="AK69" s="44">
        <f>+AH69+AE69+AB69</f>
        <v>37169</v>
      </c>
      <c r="AL69" s="117">
        <f t="shared" si="59"/>
        <v>0.1475647074980113</v>
      </c>
      <c r="AM69" s="115">
        <f t="shared" si="60"/>
        <v>0.4734531262704285</v>
      </c>
      <c r="AN69" s="7">
        <f t="shared" si="61"/>
        <v>0.8708860759493671</v>
      </c>
      <c r="AO69" s="171">
        <f t="shared" si="62"/>
        <v>0.14970356285651942</v>
      </c>
      <c r="AP69" s="63">
        <f t="shared" si="63"/>
        <v>120066</v>
      </c>
      <c r="AQ69" s="3">
        <f t="shared" si="64"/>
        <v>802025</v>
      </c>
      <c r="AR69" s="116">
        <f t="shared" si="65"/>
        <v>771858</v>
      </c>
      <c r="AS69" s="3">
        <f t="shared" si="66"/>
        <v>12299</v>
      </c>
      <c r="AT69" s="26">
        <f t="shared" si="67"/>
        <v>395</v>
      </c>
    </row>
    <row r="70" spans="1:46" ht="12.75">
      <c r="A70" s="146">
        <v>42736</v>
      </c>
      <c r="B70" s="3">
        <v>10804</v>
      </c>
      <c r="C70" s="115">
        <f t="shared" si="68"/>
        <v>0.08703988656778944</v>
      </c>
      <c r="D70" s="3">
        <v>124127</v>
      </c>
      <c r="E70" s="178">
        <v>838</v>
      </c>
      <c r="F70" s="115">
        <f t="shared" si="69"/>
        <v>0.46763392857142855</v>
      </c>
      <c r="G70" s="3">
        <v>1792</v>
      </c>
      <c r="H70" s="178">
        <v>34</v>
      </c>
      <c r="I70" s="115">
        <f t="shared" si="70"/>
        <v>0.723404255319149</v>
      </c>
      <c r="J70" s="3">
        <v>47</v>
      </c>
      <c r="K70" s="195">
        <f>+H70+E70+B70</f>
        <v>11676</v>
      </c>
      <c r="L70" s="115">
        <f>K70/M70</f>
        <v>0.09269167870695268</v>
      </c>
      <c r="M70" s="23">
        <f>+J70+G70+D70</f>
        <v>125966</v>
      </c>
      <c r="N70" s="3">
        <f>SUM('[5]2000-Present'!$C$38,'[5]2000-Present'!$C$39,'[5]2000-Present'!$C$42)</f>
        <v>119322</v>
      </c>
      <c r="O70" s="67">
        <f>N70/P70</f>
        <v>0.1930164543284007</v>
      </c>
      <c r="P70" s="174">
        <f>N70+SUM('[5]2000-Present'!$G$38,'[5]2000-Present'!$G$39,'[5]2000-Present'!$G$42)</f>
        <v>618196</v>
      </c>
      <c r="Q70" s="68">
        <f>'[5]2000-Present'!$C$40</f>
        <v>5845</v>
      </c>
      <c r="R70" s="67">
        <f t="shared" si="54"/>
        <v>0.4816646065100948</v>
      </c>
      <c r="S70" s="40">
        <f>'[5]2000-Present'!$C$40+'[5]2000-Present'!$G$40</f>
        <v>12135</v>
      </c>
      <c r="T70" s="68">
        <f>'[5]2000-Present'!$C$41</f>
        <v>373</v>
      </c>
      <c r="U70" s="67">
        <f t="shared" si="55"/>
        <v>0.8923444976076556</v>
      </c>
      <c r="V70" s="40">
        <f>'[5]2000-Present'!$B$41</f>
        <v>418</v>
      </c>
      <c r="W70" s="63">
        <f t="shared" si="56"/>
        <v>125540</v>
      </c>
      <c r="X70" s="67">
        <f t="shared" si="57"/>
        <v>0.19903321289451112</v>
      </c>
      <c r="Y70" s="26">
        <f t="shared" si="58"/>
        <v>630749</v>
      </c>
      <c r="Z70" s="3">
        <f>'[6]MPD'!$D$16</f>
        <v>423</v>
      </c>
      <c r="AA70" s="115">
        <f t="shared" si="71"/>
        <v>0.011441709494184474</v>
      </c>
      <c r="AB70" s="40">
        <f>'[6]MPD'!$E$16</f>
        <v>36970</v>
      </c>
      <c r="AC70" s="3">
        <f>'[6]MPD'!$D$17</f>
        <v>72</v>
      </c>
      <c r="AD70" s="115">
        <f t="shared" si="72"/>
        <v>0.38095238095238093</v>
      </c>
      <c r="AE70" s="40">
        <f>'[6]MPD'!$E$17</f>
        <v>189</v>
      </c>
      <c r="AF70" s="3">
        <f>'[6]MPD'!$D$18</f>
        <v>13</v>
      </c>
      <c r="AG70" s="7">
        <f t="shared" si="73"/>
        <v>0.9285714285714286</v>
      </c>
      <c r="AH70" s="3">
        <f>'[6]MPD'!$E$18</f>
        <v>14</v>
      </c>
      <c r="AI70" s="41">
        <f>+AF70+AC70+Z70</f>
        <v>508</v>
      </c>
      <c r="AJ70" s="7">
        <f>AI70/AK70</f>
        <v>0.01366583272805531</v>
      </c>
      <c r="AK70" s="44">
        <f>+AH70+AE70+AB70</f>
        <v>37173</v>
      </c>
      <c r="AL70" s="117">
        <f t="shared" si="59"/>
        <v>0.16752235680289698</v>
      </c>
      <c r="AM70" s="115">
        <f t="shared" si="60"/>
        <v>0.4785349957495041</v>
      </c>
      <c r="AN70" s="7">
        <f t="shared" si="61"/>
        <v>0.8768267223382046</v>
      </c>
      <c r="AO70" s="171">
        <f t="shared" si="62"/>
        <v>0.1695502837656502</v>
      </c>
      <c r="AP70" s="63">
        <f t="shared" si="63"/>
        <v>137724</v>
      </c>
      <c r="AQ70" s="3">
        <f t="shared" si="64"/>
        <v>812290</v>
      </c>
      <c r="AR70" s="116">
        <f t="shared" si="65"/>
        <v>779293</v>
      </c>
      <c r="AS70" s="3">
        <f t="shared" si="66"/>
        <v>14116</v>
      </c>
      <c r="AT70" s="26">
        <f t="shared" si="67"/>
        <v>479</v>
      </c>
    </row>
    <row r="71" spans="1:46" ht="12.75">
      <c r="A71" s="146">
        <v>42705</v>
      </c>
      <c r="B71" s="3">
        <v>10958</v>
      </c>
      <c r="C71" s="115">
        <f t="shared" si="68"/>
        <v>0.08817683648097334</v>
      </c>
      <c r="D71" s="3">
        <v>124273</v>
      </c>
      <c r="E71" s="178">
        <v>835</v>
      </c>
      <c r="F71" s="115">
        <f t="shared" si="69"/>
        <v>0.4618362831858407</v>
      </c>
      <c r="G71" s="3">
        <v>1808</v>
      </c>
      <c r="H71" s="178">
        <v>30</v>
      </c>
      <c r="I71" s="115">
        <f t="shared" si="70"/>
        <v>0.6976744186046512</v>
      </c>
      <c r="J71" s="3">
        <v>43</v>
      </c>
      <c r="K71" s="195">
        <f>+H71+E71+B71</f>
        <v>11823</v>
      </c>
      <c r="L71" s="115">
        <f>K71/M71</f>
        <v>0.09374108020678062</v>
      </c>
      <c r="M71" s="23">
        <f>+J71+G71+D71</f>
        <v>126124</v>
      </c>
      <c r="N71" s="3">
        <f>SUM('[3]2000-Present'!$C$5,'[3]2000-Present'!$C$6,'[3]2000-Present'!$C$9)</f>
        <v>122411</v>
      </c>
      <c r="O71" s="67">
        <f aca="true" t="shared" si="74" ref="O71:O78">N71/P71</f>
        <v>0.1981081081081081</v>
      </c>
      <c r="P71" s="174">
        <f>SUM('[3]2000-Present'!$B$5,'[3]2000-Present'!$B$6,'[3]2000-Present'!$B$9)</f>
        <v>617900</v>
      </c>
      <c r="Q71" s="68">
        <v>5930</v>
      </c>
      <c r="R71" s="67">
        <f t="shared" si="54"/>
        <v>0.4888705688375927</v>
      </c>
      <c r="S71" s="40">
        <v>12130</v>
      </c>
      <c r="T71" s="68">
        <v>374</v>
      </c>
      <c r="U71" s="67">
        <f t="shared" si="55"/>
        <v>0.8947368421052632</v>
      </c>
      <c r="V71" s="40">
        <v>418</v>
      </c>
      <c r="W71" s="63">
        <f t="shared" si="56"/>
        <v>128715</v>
      </c>
      <c r="X71" s="67">
        <f t="shared" si="57"/>
        <v>0.20416434027865898</v>
      </c>
      <c r="Y71" s="26">
        <f t="shared" si="58"/>
        <v>630448</v>
      </c>
      <c r="Z71" s="3">
        <v>470</v>
      </c>
      <c r="AA71" s="115">
        <f t="shared" si="71"/>
        <v>0.012524983344437041</v>
      </c>
      <c r="AB71" s="40">
        <v>37525</v>
      </c>
      <c r="AC71" s="3">
        <v>70</v>
      </c>
      <c r="AD71" s="115">
        <f t="shared" si="72"/>
        <v>0.3825136612021858</v>
      </c>
      <c r="AE71" s="40">
        <v>183</v>
      </c>
      <c r="AF71" s="3">
        <v>13</v>
      </c>
      <c r="AG71" s="7">
        <f t="shared" si="73"/>
        <v>0.9285714285714286</v>
      </c>
      <c r="AH71" s="3">
        <v>14</v>
      </c>
      <c r="AI71" s="41">
        <f>+AF71+AC71+Z71</f>
        <v>553</v>
      </c>
      <c r="AJ71" s="7">
        <f>AI71/AK71</f>
        <v>0.014659880176024601</v>
      </c>
      <c r="AK71" s="44">
        <f>+AH71+AE71+AB71</f>
        <v>37722</v>
      </c>
      <c r="AL71" s="117">
        <f t="shared" si="59"/>
        <v>0.1716549228034444</v>
      </c>
      <c r="AM71" s="115">
        <f t="shared" si="60"/>
        <v>0.48403087600028327</v>
      </c>
      <c r="AN71" s="7">
        <f t="shared" si="61"/>
        <v>0.8778947368421053</v>
      </c>
      <c r="AO71" s="171">
        <f t="shared" si="62"/>
        <v>0.17354921559607073</v>
      </c>
      <c r="AP71" s="63">
        <f t="shared" si="63"/>
        <v>141091</v>
      </c>
      <c r="AQ71" s="3">
        <f t="shared" si="64"/>
        <v>812974</v>
      </c>
      <c r="AR71" s="116">
        <f t="shared" si="65"/>
        <v>779698</v>
      </c>
      <c r="AS71" s="3">
        <f t="shared" si="66"/>
        <v>14121</v>
      </c>
      <c r="AT71" s="26">
        <f t="shared" si="67"/>
        <v>475</v>
      </c>
    </row>
    <row r="72" spans="1:46" ht="12.75">
      <c r="A72" s="146">
        <v>42675</v>
      </c>
      <c r="B72" s="3">
        <v>10833</v>
      </c>
      <c r="C72" s="115">
        <f t="shared" si="68"/>
        <v>0.08688991377581712</v>
      </c>
      <c r="D72" s="3">
        <v>124675</v>
      </c>
      <c r="E72" s="178">
        <v>836</v>
      </c>
      <c r="F72" s="115">
        <f t="shared" si="69"/>
        <v>0.45808219178082193</v>
      </c>
      <c r="G72" s="3">
        <v>1825</v>
      </c>
      <c r="H72" s="178">
        <v>34</v>
      </c>
      <c r="I72" s="115">
        <f t="shared" si="70"/>
        <v>0.7391304347826086</v>
      </c>
      <c r="J72" s="3">
        <v>46</v>
      </c>
      <c r="K72" s="195">
        <f aca="true" t="shared" si="75" ref="K72:K77">+H72+E72+B72</f>
        <v>11703</v>
      </c>
      <c r="L72" s="115">
        <f>K72/M72</f>
        <v>0.09248020482670333</v>
      </c>
      <c r="M72" s="23">
        <f aca="true" t="shared" si="76" ref="M72:M77">+J72+G72+D72</f>
        <v>126546</v>
      </c>
      <c r="N72" s="3">
        <f>100381+15712+636</f>
        <v>116729</v>
      </c>
      <c r="O72" s="67">
        <f t="shared" si="74"/>
        <v>0.19089117654273544</v>
      </c>
      <c r="P72" s="174">
        <f>554975+51272+5248</f>
        <v>611495</v>
      </c>
      <c r="Q72" s="68">
        <v>5420</v>
      </c>
      <c r="R72" s="67">
        <f t="shared" si="54"/>
        <v>0.49058653149891385</v>
      </c>
      <c r="S72" s="40">
        <v>11048</v>
      </c>
      <c r="T72" s="68">
        <v>337</v>
      </c>
      <c r="U72" s="67">
        <f t="shared" si="55"/>
        <v>0.8915343915343915</v>
      </c>
      <c r="V72" s="40">
        <v>378</v>
      </c>
      <c r="W72" s="63">
        <f t="shared" si="56"/>
        <v>122486</v>
      </c>
      <c r="X72" s="67">
        <f t="shared" si="57"/>
        <v>0.1966316756057349</v>
      </c>
      <c r="Y72" s="26">
        <f t="shared" si="58"/>
        <v>622921</v>
      </c>
      <c r="Z72" s="3">
        <v>474</v>
      </c>
      <c r="AA72" s="115">
        <f t="shared" si="71"/>
        <v>0.012605377230540116</v>
      </c>
      <c r="AB72" s="40">
        <v>37603</v>
      </c>
      <c r="AC72" s="3">
        <v>72</v>
      </c>
      <c r="AD72" s="115">
        <f t="shared" si="72"/>
        <v>0.39344262295081966</v>
      </c>
      <c r="AE72" s="40">
        <v>183</v>
      </c>
      <c r="AF72" s="3">
        <v>12</v>
      </c>
      <c r="AG72" s="7">
        <f t="shared" si="73"/>
        <v>0.9230769230769231</v>
      </c>
      <c r="AH72" s="3">
        <v>13</v>
      </c>
      <c r="AI72" s="41">
        <f>+AF72+AC72+Z72</f>
        <v>558</v>
      </c>
      <c r="AJ72" s="7">
        <f>AI72/AK72</f>
        <v>0.014762295298817429</v>
      </c>
      <c r="AK72" s="44">
        <f>+AH72+AE72+AB72</f>
        <v>37799</v>
      </c>
      <c r="AL72" s="117">
        <f t="shared" si="59"/>
        <v>0.16546971786299083</v>
      </c>
      <c r="AM72" s="115">
        <f t="shared" si="60"/>
        <v>0.4846813725490196</v>
      </c>
      <c r="AN72" s="7">
        <f t="shared" si="61"/>
        <v>0.8764302059496567</v>
      </c>
      <c r="AO72" s="171">
        <f t="shared" si="62"/>
        <v>0.16732854496053567</v>
      </c>
      <c r="AP72" s="63">
        <f t="shared" si="63"/>
        <v>134747</v>
      </c>
      <c r="AQ72" s="3">
        <f t="shared" si="64"/>
        <v>805284</v>
      </c>
      <c r="AR72" s="116">
        <f t="shared" si="65"/>
        <v>773773</v>
      </c>
      <c r="AS72" s="3">
        <f t="shared" si="66"/>
        <v>13056</v>
      </c>
      <c r="AT72" s="26">
        <f t="shared" si="67"/>
        <v>437</v>
      </c>
    </row>
    <row r="73" spans="1:46" ht="12.75">
      <c r="A73" s="146">
        <v>42644</v>
      </c>
      <c r="B73" s="3">
        <v>10865</v>
      </c>
      <c r="C73" s="115">
        <f t="shared" si="68"/>
        <v>0.08686301786028365</v>
      </c>
      <c r="D73" s="3">
        <v>125082</v>
      </c>
      <c r="E73" s="178">
        <v>835</v>
      </c>
      <c r="F73" s="115">
        <f t="shared" si="69"/>
        <v>0.4560349535772802</v>
      </c>
      <c r="G73" s="3">
        <v>1831</v>
      </c>
      <c r="H73" s="178">
        <v>34</v>
      </c>
      <c r="I73" s="115">
        <f t="shared" si="70"/>
        <v>0.7391304347826086</v>
      </c>
      <c r="J73" s="3">
        <v>46</v>
      </c>
      <c r="K73" s="195">
        <f t="shared" si="75"/>
        <v>11734</v>
      </c>
      <c r="L73" s="115">
        <f aca="true" t="shared" si="77" ref="L73:L80">K73/M73</f>
        <v>0.09242353830764262</v>
      </c>
      <c r="M73" s="23">
        <f t="shared" si="76"/>
        <v>126959</v>
      </c>
      <c r="N73" s="3">
        <f>107130+15833+641</f>
        <v>123604</v>
      </c>
      <c r="O73" s="67">
        <f t="shared" si="74"/>
        <v>0.2023661005183417</v>
      </c>
      <c r="P73" s="174">
        <f>554338+51257+5199</f>
        <v>610794</v>
      </c>
      <c r="Q73" s="68">
        <v>5387</v>
      </c>
      <c r="R73" s="67">
        <f t="shared" si="54"/>
        <v>0.49281858933308936</v>
      </c>
      <c r="S73" s="40">
        <v>10931</v>
      </c>
      <c r="T73" s="68">
        <v>318</v>
      </c>
      <c r="U73" s="67">
        <f t="shared" si="55"/>
        <v>0.8857938718662952</v>
      </c>
      <c r="V73" s="40">
        <v>359</v>
      </c>
      <c r="W73" s="63">
        <f aca="true" t="shared" si="78" ref="W73:W78">+T73+Q73+N73</f>
        <v>129309</v>
      </c>
      <c r="X73" s="67">
        <f aca="true" t="shared" si="79" ref="X73:X78">W73/Y73</f>
        <v>0.20786421126407367</v>
      </c>
      <c r="Y73" s="26">
        <f aca="true" t="shared" si="80" ref="Y73:Y78">+V73+S73+P73</f>
        <v>622084</v>
      </c>
      <c r="Z73" s="3">
        <v>430</v>
      </c>
      <c r="AA73" s="115">
        <f t="shared" si="71"/>
        <v>0.011185391358634863</v>
      </c>
      <c r="AB73" s="40">
        <v>38443</v>
      </c>
      <c r="AC73" s="3">
        <v>74</v>
      </c>
      <c r="AD73" s="115">
        <f t="shared" si="72"/>
        <v>0.3915343915343915</v>
      </c>
      <c r="AE73" s="40">
        <v>189</v>
      </c>
      <c r="AF73" s="3">
        <v>13</v>
      </c>
      <c r="AG73" s="7">
        <f t="shared" si="73"/>
        <v>0.9285714285714286</v>
      </c>
      <c r="AH73" s="3">
        <v>14</v>
      </c>
      <c r="AI73" s="41">
        <f aca="true" t="shared" si="81" ref="AI73:AI78">+AF73+AC73+Z73</f>
        <v>517</v>
      </c>
      <c r="AJ73" s="7">
        <f aca="true" t="shared" si="82" ref="AJ73:AJ78">AI73/AK73</f>
        <v>0.013377839879935828</v>
      </c>
      <c r="AK73" s="44">
        <f aca="true" t="shared" si="83" ref="AK73:AK78">+AH73+AE73+AB73</f>
        <v>38646</v>
      </c>
      <c r="AL73" s="117">
        <f aca="true" t="shared" si="84" ref="AL73:AL78">(B73+N73+Z73)/AR73</f>
        <v>0.17421631136521254</v>
      </c>
      <c r="AM73" s="115">
        <f aca="true" t="shared" si="85" ref="AM73:AM78">(E73+Q73+AC73)/AS73</f>
        <v>0.4861400664041387</v>
      </c>
      <c r="AN73" s="7">
        <f aca="true" t="shared" si="86" ref="AN73:AN78">(H73+T73+AF73)/AT73</f>
        <v>0.8711217183770883</v>
      </c>
      <c r="AO73" s="171">
        <f aca="true" t="shared" si="87" ref="AO73:AO78">AP73/AQ73</f>
        <v>0.17571014528731638</v>
      </c>
      <c r="AP73" s="63">
        <f aca="true" t="shared" si="88" ref="AP73:AP78">AF73+AC73+Z73+T73+Q73+N73+H73+E73+B73</f>
        <v>141560</v>
      </c>
      <c r="AQ73" s="3">
        <f aca="true" t="shared" si="89" ref="AQ73:AQ78">AH73+AF73+AE73+AC73+Z73+AB73+V73+T73+S73+Q73+P73+J73+H73+G73+E73+D73+B73</f>
        <v>805645</v>
      </c>
      <c r="AR73" s="116">
        <f aca="true" t="shared" si="90" ref="AR73:AR78">+D73+P73+AB73</f>
        <v>774319</v>
      </c>
      <c r="AS73" s="3">
        <f aca="true" t="shared" si="91" ref="AS73:AS78">G73+S73+AE73</f>
        <v>12951</v>
      </c>
      <c r="AT73" s="26">
        <f aca="true" t="shared" si="92" ref="AT73:AT78">J73+V73+AH73</f>
        <v>419</v>
      </c>
    </row>
    <row r="74" spans="1:46" ht="12.75">
      <c r="A74" s="146">
        <v>42614</v>
      </c>
      <c r="B74" s="3">
        <v>10899</v>
      </c>
      <c r="C74" s="115">
        <f t="shared" si="68"/>
        <v>0.08705480163262698</v>
      </c>
      <c r="D74" s="3">
        <v>125197</v>
      </c>
      <c r="E74" s="178">
        <v>837</v>
      </c>
      <c r="F74" s="115">
        <f t="shared" si="69"/>
        <v>0.45662847790507366</v>
      </c>
      <c r="G74" s="3">
        <v>1833</v>
      </c>
      <c r="H74" s="178">
        <v>35</v>
      </c>
      <c r="I74" s="115">
        <f t="shared" si="70"/>
        <v>0.7608695652173914</v>
      </c>
      <c r="J74" s="3">
        <v>46</v>
      </c>
      <c r="K74" s="195">
        <f t="shared" si="75"/>
        <v>11771</v>
      </c>
      <c r="L74" s="115">
        <f t="shared" si="77"/>
        <v>0.09262960747898895</v>
      </c>
      <c r="M74" s="23">
        <f t="shared" si="76"/>
        <v>127076</v>
      </c>
      <c r="N74" s="3">
        <f>101943+16606+629</f>
        <v>119178</v>
      </c>
      <c r="O74" s="67">
        <f t="shared" si="74"/>
        <v>0.1944401390699412</v>
      </c>
      <c r="P74" s="174">
        <f>553904+53606+5419</f>
        <v>612929</v>
      </c>
      <c r="Q74" s="68">
        <v>5780</v>
      </c>
      <c r="R74" s="67">
        <f t="shared" si="54"/>
        <v>0.5046272044700542</v>
      </c>
      <c r="S74" s="40">
        <v>11454</v>
      </c>
      <c r="T74" s="68">
        <v>354</v>
      </c>
      <c r="U74" s="67">
        <f t="shared" si="55"/>
        <v>0.8827930174563591</v>
      </c>
      <c r="V74" s="40">
        <v>401</v>
      </c>
      <c r="W74" s="63">
        <f t="shared" si="78"/>
        <v>125312</v>
      </c>
      <c r="X74" s="67">
        <f t="shared" si="79"/>
        <v>0.20056851647929524</v>
      </c>
      <c r="Y74" s="26">
        <f t="shared" si="80"/>
        <v>624784</v>
      </c>
      <c r="Z74" s="3">
        <v>430</v>
      </c>
      <c r="AA74" s="115">
        <f t="shared" si="71"/>
        <v>0.011647119369430374</v>
      </c>
      <c r="AB74" s="40">
        <v>36919</v>
      </c>
      <c r="AC74" s="3">
        <v>75</v>
      </c>
      <c r="AD74" s="115">
        <f t="shared" si="72"/>
        <v>0.3393665158371041</v>
      </c>
      <c r="AE74" s="40">
        <v>221</v>
      </c>
      <c r="AF74" s="3">
        <v>13</v>
      </c>
      <c r="AG74" s="7">
        <f t="shared" si="73"/>
        <v>0.7647058823529411</v>
      </c>
      <c r="AH74" s="3">
        <v>17</v>
      </c>
      <c r="AI74" s="41">
        <f t="shared" si="81"/>
        <v>518</v>
      </c>
      <c r="AJ74" s="7">
        <f t="shared" si="82"/>
        <v>0.013940845601098043</v>
      </c>
      <c r="AK74" s="44">
        <f t="shared" si="83"/>
        <v>37157</v>
      </c>
      <c r="AL74" s="117">
        <f t="shared" si="84"/>
        <v>0.16838635176022038</v>
      </c>
      <c r="AM74" s="115">
        <f t="shared" si="85"/>
        <v>0.49541012733195144</v>
      </c>
      <c r="AN74" s="7">
        <f t="shared" si="86"/>
        <v>0.8663793103448276</v>
      </c>
      <c r="AO74" s="171">
        <f t="shared" si="87"/>
        <v>0.1704163776875062</v>
      </c>
      <c r="AP74" s="63">
        <f t="shared" si="88"/>
        <v>137601</v>
      </c>
      <c r="AQ74" s="3">
        <f t="shared" si="89"/>
        <v>807440</v>
      </c>
      <c r="AR74" s="116">
        <f t="shared" si="90"/>
        <v>775045</v>
      </c>
      <c r="AS74" s="3">
        <f t="shared" si="91"/>
        <v>13508</v>
      </c>
      <c r="AT74" s="26">
        <f t="shared" si="92"/>
        <v>464</v>
      </c>
    </row>
    <row r="75" spans="1:46" ht="12.75">
      <c r="A75" s="146">
        <v>42583</v>
      </c>
      <c r="B75" s="3">
        <v>10998</v>
      </c>
      <c r="C75" s="115">
        <f t="shared" si="68"/>
        <v>0.0877992703352147</v>
      </c>
      <c r="D75" s="3">
        <v>125263</v>
      </c>
      <c r="E75" s="178">
        <v>831</v>
      </c>
      <c r="F75" s="115">
        <f t="shared" si="69"/>
        <v>0.45286103542234335</v>
      </c>
      <c r="G75" s="3">
        <v>1835</v>
      </c>
      <c r="H75" s="178">
        <v>35</v>
      </c>
      <c r="I75" s="115">
        <f t="shared" si="70"/>
        <v>0.7446808510638298</v>
      </c>
      <c r="J75" s="3">
        <v>47</v>
      </c>
      <c r="K75" s="195">
        <f t="shared" si="75"/>
        <v>11864</v>
      </c>
      <c r="L75" s="115">
        <f t="shared" si="77"/>
        <v>0.09331078689685006</v>
      </c>
      <c r="M75" s="23">
        <f t="shared" si="76"/>
        <v>127145</v>
      </c>
      <c r="N75" s="3">
        <f>108014+38909+678</f>
        <v>147601</v>
      </c>
      <c r="O75" s="67">
        <f t="shared" si="74"/>
        <v>0.2397357726878486</v>
      </c>
      <c r="P75" s="174">
        <f>553479+56265+5938</f>
        <v>615682</v>
      </c>
      <c r="Q75" s="68">
        <v>6029</v>
      </c>
      <c r="R75" s="67">
        <f t="shared" si="54"/>
        <v>0.4950730826079816</v>
      </c>
      <c r="S75" s="40">
        <v>12178</v>
      </c>
      <c r="T75" s="68">
        <v>390</v>
      </c>
      <c r="U75" s="67">
        <f t="shared" si="55"/>
        <v>0.8863636363636364</v>
      </c>
      <c r="V75" s="40">
        <v>440</v>
      </c>
      <c r="W75" s="63">
        <f t="shared" si="78"/>
        <v>154020</v>
      </c>
      <c r="X75" s="67">
        <f t="shared" si="79"/>
        <v>0.24513767308610537</v>
      </c>
      <c r="Y75" s="26">
        <f t="shared" si="80"/>
        <v>628300</v>
      </c>
      <c r="Z75" s="3">
        <v>481</v>
      </c>
      <c r="AA75" s="115">
        <f t="shared" si="71"/>
        <v>0.01273126703898785</v>
      </c>
      <c r="AB75" s="40">
        <v>37781</v>
      </c>
      <c r="AC75" s="3">
        <v>73</v>
      </c>
      <c r="AD75" s="115">
        <f t="shared" si="72"/>
        <v>0.3989071038251366</v>
      </c>
      <c r="AE75" s="40">
        <v>183</v>
      </c>
      <c r="AF75" s="3">
        <v>12</v>
      </c>
      <c r="AG75" s="7">
        <f t="shared" si="73"/>
        <v>0.9230769230769231</v>
      </c>
      <c r="AH75" s="3">
        <v>13</v>
      </c>
      <c r="AI75" s="41">
        <f t="shared" si="81"/>
        <v>566</v>
      </c>
      <c r="AJ75" s="7">
        <f t="shared" si="82"/>
        <v>0.014903757537456881</v>
      </c>
      <c r="AK75" s="44">
        <f t="shared" si="83"/>
        <v>37977</v>
      </c>
      <c r="AL75" s="117">
        <f t="shared" si="84"/>
        <v>0.20428237916802572</v>
      </c>
      <c r="AM75" s="115">
        <f t="shared" si="85"/>
        <v>0.48837700760777686</v>
      </c>
      <c r="AN75" s="7">
        <f t="shared" si="86"/>
        <v>0.874</v>
      </c>
      <c r="AO75" s="171">
        <f t="shared" si="87"/>
        <v>0.20491929417645097</v>
      </c>
      <c r="AP75" s="63">
        <f t="shared" si="88"/>
        <v>166450</v>
      </c>
      <c r="AQ75" s="3">
        <f t="shared" si="89"/>
        <v>812271</v>
      </c>
      <c r="AR75" s="116">
        <f t="shared" si="90"/>
        <v>778726</v>
      </c>
      <c r="AS75" s="3">
        <f t="shared" si="91"/>
        <v>14196</v>
      </c>
      <c r="AT75" s="26">
        <f t="shared" si="92"/>
        <v>500</v>
      </c>
    </row>
    <row r="76" spans="1:46" ht="12.75">
      <c r="A76" s="146">
        <v>42552</v>
      </c>
      <c r="B76" s="3">
        <v>10914</v>
      </c>
      <c r="C76" s="115">
        <f t="shared" si="68"/>
        <v>0.0872952393140517</v>
      </c>
      <c r="D76" s="3">
        <v>125024</v>
      </c>
      <c r="E76" s="178">
        <v>838</v>
      </c>
      <c r="F76" s="115">
        <f t="shared" si="69"/>
        <v>0.455930359085963</v>
      </c>
      <c r="G76" s="3">
        <v>1838</v>
      </c>
      <c r="H76" s="178">
        <v>34</v>
      </c>
      <c r="I76" s="115">
        <f t="shared" si="70"/>
        <v>0.723404255319149</v>
      </c>
      <c r="J76" s="3">
        <v>47</v>
      </c>
      <c r="K76" s="195">
        <f t="shared" si="75"/>
        <v>11786</v>
      </c>
      <c r="L76" s="115">
        <f t="shared" si="77"/>
        <v>0.09286969403273211</v>
      </c>
      <c r="M76" s="23">
        <f t="shared" si="76"/>
        <v>126909</v>
      </c>
      <c r="N76" s="3">
        <f>101943+15792+629</f>
        <v>118364</v>
      </c>
      <c r="O76" s="67">
        <f t="shared" si="74"/>
        <v>0.1942670507233889</v>
      </c>
      <c r="P76" s="174">
        <f>553155+51007+5123</f>
        <v>609285</v>
      </c>
      <c r="Q76" s="68">
        <v>5394</v>
      </c>
      <c r="R76" s="67">
        <f t="shared" si="54"/>
        <v>0.496410822749862</v>
      </c>
      <c r="S76" s="40">
        <v>10866</v>
      </c>
      <c r="T76" s="68">
        <v>321</v>
      </c>
      <c r="U76" s="67">
        <f t="shared" si="55"/>
        <v>0.8941504178272981</v>
      </c>
      <c r="V76" s="40">
        <v>359</v>
      </c>
      <c r="W76" s="63">
        <f t="shared" si="78"/>
        <v>124079</v>
      </c>
      <c r="X76" s="67">
        <f t="shared" si="79"/>
        <v>0.19996293371581442</v>
      </c>
      <c r="Y76" s="26">
        <f t="shared" si="80"/>
        <v>620510</v>
      </c>
      <c r="Z76" s="3">
        <v>253</v>
      </c>
      <c r="AA76" s="115">
        <f t="shared" si="71"/>
        <v>0.007121544784101785</v>
      </c>
      <c r="AB76" s="40">
        <v>35526</v>
      </c>
      <c r="AC76" s="3">
        <v>55</v>
      </c>
      <c r="AD76" s="115">
        <f t="shared" si="72"/>
        <v>0.3179190751445087</v>
      </c>
      <c r="AE76" s="40">
        <v>173</v>
      </c>
      <c r="AF76" s="3">
        <v>12</v>
      </c>
      <c r="AG76" s="7">
        <f t="shared" si="73"/>
        <v>0.8571428571428571</v>
      </c>
      <c r="AH76" s="3">
        <v>14</v>
      </c>
      <c r="AI76" s="41">
        <f t="shared" si="81"/>
        <v>320</v>
      </c>
      <c r="AJ76" s="7">
        <f t="shared" si="82"/>
        <v>0.008960322571612578</v>
      </c>
      <c r="AK76" s="44">
        <f t="shared" si="83"/>
        <v>35713</v>
      </c>
      <c r="AL76" s="117">
        <f t="shared" si="84"/>
        <v>0.16825813323634287</v>
      </c>
      <c r="AM76" s="115">
        <f t="shared" si="85"/>
        <v>0.4882348373068261</v>
      </c>
      <c r="AN76" s="7">
        <f t="shared" si="86"/>
        <v>0.8738095238095238</v>
      </c>
      <c r="AO76" s="171">
        <f t="shared" si="87"/>
        <v>0.1700287033071853</v>
      </c>
      <c r="AP76" s="63">
        <f t="shared" si="88"/>
        <v>136185</v>
      </c>
      <c r="AQ76" s="3">
        <f t="shared" si="89"/>
        <v>800953</v>
      </c>
      <c r="AR76" s="116">
        <f t="shared" si="90"/>
        <v>769835</v>
      </c>
      <c r="AS76" s="3">
        <f t="shared" si="91"/>
        <v>12877</v>
      </c>
      <c r="AT76" s="26">
        <f t="shared" si="92"/>
        <v>420</v>
      </c>
    </row>
    <row r="77" spans="1:46" ht="12.75">
      <c r="A77" s="146">
        <v>42522</v>
      </c>
      <c r="B77" s="3">
        <v>10623</v>
      </c>
      <c r="C77" s="115">
        <f t="shared" si="68"/>
        <v>0.08564932394843142</v>
      </c>
      <c r="D77" s="3">
        <v>124029</v>
      </c>
      <c r="E77" s="178">
        <v>835</v>
      </c>
      <c r="F77" s="115">
        <f t="shared" si="69"/>
        <v>0.4585392641405821</v>
      </c>
      <c r="G77" s="3">
        <v>1821</v>
      </c>
      <c r="H77" s="178">
        <v>35</v>
      </c>
      <c r="I77" s="115">
        <f t="shared" si="70"/>
        <v>0.7446808510638298</v>
      </c>
      <c r="J77" s="3">
        <v>47</v>
      </c>
      <c r="K77" s="195">
        <f t="shared" si="75"/>
        <v>11493</v>
      </c>
      <c r="L77" s="115">
        <f t="shared" si="77"/>
        <v>0.0912889107762695</v>
      </c>
      <c r="M77" s="23">
        <f t="shared" si="76"/>
        <v>125897</v>
      </c>
      <c r="N77" s="3">
        <f>103149+16693+626</f>
        <v>120468</v>
      </c>
      <c r="O77" s="67">
        <f t="shared" si="74"/>
        <v>0.19677883044756617</v>
      </c>
      <c r="P77" s="174">
        <f>552859+53689+5652</f>
        <v>612200</v>
      </c>
      <c r="Q77" s="68">
        <v>5726</v>
      </c>
      <c r="R77" s="67">
        <f t="shared" si="54"/>
        <v>0.4959722823733218</v>
      </c>
      <c r="S77" s="40">
        <v>11545</v>
      </c>
      <c r="T77" s="68">
        <v>370</v>
      </c>
      <c r="U77" s="67">
        <f t="shared" si="55"/>
        <v>0.8958837772397095</v>
      </c>
      <c r="V77" s="40">
        <v>413</v>
      </c>
      <c r="W77" s="63">
        <f t="shared" si="78"/>
        <v>126564</v>
      </c>
      <c r="X77" s="67">
        <f t="shared" si="79"/>
        <v>0.2027755792603796</v>
      </c>
      <c r="Y77" s="26">
        <f t="shared" si="80"/>
        <v>624158</v>
      </c>
      <c r="Z77" s="3">
        <v>249</v>
      </c>
      <c r="AA77" s="115">
        <f t="shared" si="71"/>
        <v>0.0067195595854922276</v>
      </c>
      <c r="AB77" s="40">
        <v>37056</v>
      </c>
      <c r="AC77" s="3">
        <v>63</v>
      </c>
      <c r="AD77" s="115">
        <f t="shared" si="72"/>
        <v>0.3351063829787234</v>
      </c>
      <c r="AE77" s="40">
        <v>188</v>
      </c>
      <c r="AF77" s="3">
        <v>12</v>
      </c>
      <c r="AG77" s="7">
        <f t="shared" si="73"/>
        <v>0.8571428571428571</v>
      </c>
      <c r="AH77" s="3">
        <v>14</v>
      </c>
      <c r="AI77" s="41">
        <f t="shared" si="81"/>
        <v>324</v>
      </c>
      <c r="AJ77" s="7">
        <f t="shared" si="82"/>
        <v>0.008696118954318535</v>
      </c>
      <c r="AK77" s="44">
        <f t="shared" si="83"/>
        <v>37258</v>
      </c>
      <c r="AL77" s="117">
        <f t="shared" si="84"/>
        <v>0.1698468223229469</v>
      </c>
      <c r="AM77" s="115">
        <f t="shared" si="85"/>
        <v>0.48871181938911024</v>
      </c>
      <c r="AN77" s="7">
        <f t="shared" si="86"/>
        <v>0.879746835443038</v>
      </c>
      <c r="AO77" s="171">
        <f t="shared" si="87"/>
        <v>0.1718536162518349</v>
      </c>
      <c r="AP77" s="63">
        <f t="shared" si="88"/>
        <v>138381</v>
      </c>
      <c r="AQ77" s="3">
        <f t="shared" si="89"/>
        <v>805226</v>
      </c>
      <c r="AR77" s="116">
        <f t="shared" si="90"/>
        <v>773285</v>
      </c>
      <c r="AS77" s="3">
        <f t="shared" si="91"/>
        <v>13554</v>
      </c>
      <c r="AT77" s="26">
        <f t="shared" si="92"/>
        <v>474</v>
      </c>
    </row>
    <row r="78" spans="1:46" ht="13.5" customHeight="1">
      <c r="A78" s="146">
        <v>42491</v>
      </c>
      <c r="B78" s="3">
        <v>10587</v>
      </c>
      <c r="C78" s="186">
        <f aca="true" t="shared" si="93" ref="C78:C131">B78/D78</f>
        <v>0.08554736740036847</v>
      </c>
      <c r="D78" s="4">
        <v>123756</v>
      </c>
      <c r="E78" s="187">
        <v>788</v>
      </c>
      <c r="F78" s="188">
        <f aca="true" t="shared" si="94" ref="F78:F131">E78/G78</f>
        <v>0.45105895821408126</v>
      </c>
      <c r="G78" s="4">
        <v>1747</v>
      </c>
      <c r="H78" s="187">
        <v>35</v>
      </c>
      <c r="I78" s="188">
        <f aca="true" t="shared" si="95" ref="I78:I131">H78/J78</f>
        <v>0.7446808510638298</v>
      </c>
      <c r="J78" s="4">
        <v>47</v>
      </c>
      <c r="K78" s="195">
        <f aca="true" t="shared" si="96" ref="K78:K85">+H78+E78+B78</f>
        <v>11410</v>
      </c>
      <c r="L78" s="115">
        <f t="shared" si="77"/>
        <v>0.09088012743926722</v>
      </c>
      <c r="M78" s="23">
        <f aca="true" t="shared" si="97" ref="M78:M85">+J78+G78+D78</f>
        <v>125550</v>
      </c>
      <c r="N78" s="3">
        <f>677+17407+108271</f>
        <v>126355</v>
      </c>
      <c r="O78" s="67">
        <f t="shared" si="74"/>
        <v>0.205683375710951</v>
      </c>
      <c r="P78" s="174">
        <f>552785+55695+5838</f>
        <v>614318</v>
      </c>
      <c r="Q78" s="68">
        <v>6029</v>
      </c>
      <c r="R78" s="67">
        <f t="shared" si="54"/>
        <v>0.4975654039778823</v>
      </c>
      <c r="S78" s="40">
        <v>12117</v>
      </c>
      <c r="T78" s="68">
        <v>383</v>
      </c>
      <c r="U78" s="67">
        <f t="shared" si="55"/>
        <v>0.8948598130841121</v>
      </c>
      <c r="V78" s="40">
        <v>428</v>
      </c>
      <c r="W78" s="63">
        <f t="shared" si="78"/>
        <v>132767</v>
      </c>
      <c r="X78" s="67">
        <f t="shared" si="79"/>
        <v>0.21179587884434078</v>
      </c>
      <c r="Y78" s="26">
        <f t="shared" si="80"/>
        <v>626863</v>
      </c>
      <c r="Z78" s="3">
        <v>294</v>
      </c>
      <c r="AA78" s="115">
        <f aca="true" t="shared" si="98" ref="AA78:AA131">Z78/AB78</f>
        <v>0.00779840848806366</v>
      </c>
      <c r="AB78" s="40">
        <v>37700</v>
      </c>
      <c r="AC78" s="3">
        <v>64</v>
      </c>
      <c r="AD78" s="115">
        <f aca="true" t="shared" si="99" ref="AD78:AD131">AC78/AE78</f>
        <v>0.34972677595628415</v>
      </c>
      <c r="AE78" s="40">
        <v>183</v>
      </c>
      <c r="AF78" s="3">
        <v>12</v>
      </c>
      <c r="AG78" s="7">
        <f aca="true" t="shared" si="100" ref="AG78:AG131">AF78/AH78</f>
        <v>0.9230769230769231</v>
      </c>
      <c r="AH78" s="3">
        <v>13</v>
      </c>
      <c r="AI78" s="41">
        <f t="shared" si="81"/>
        <v>370</v>
      </c>
      <c r="AJ78" s="7">
        <f t="shared" si="82"/>
        <v>0.00976356343677433</v>
      </c>
      <c r="AK78" s="44">
        <f t="shared" si="83"/>
        <v>37896</v>
      </c>
      <c r="AL78" s="117">
        <f t="shared" si="84"/>
        <v>0.17690203590220863</v>
      </c>
      <c r="AM78" s="115">
        <f t="shared" si="85"/>
        <v>0.489855485156973</v>
      </c>
      <c r="AN78" s="7">
        <f t="shared" si="86"/>
        <v>0.8811475409836066</v>
      </c>
      <c r="AO78" s="171">
        <f t="shared" si="87"/>
        <v>0.17878394708231654</v>
      </c>
      <c r="AP78" s="63">
        <f t="shared" si="88"/>
        <v>144547</v>
      </c>
      <c r="AQ78" s="3">
        <f t="shared" si="89"/>
        <v>808501</v>
      </c>
      <c r="AR78" s="116">
        <f t="shared" si="90"/>
        <v>775774</v>
      </c>
      <c r="AS78" s="3">
        <f t="shared" si="91"/>
        <v>14047</v>
      </c>
      <c r="AT78" s="26">
        <f t="shared" si="92"/>
        <v>488</v>
      </c>
    </row>
    <row r="79" spans="1:46" ht="12.75">
      <c r="A79" s="146">
        <v>42461</v>
      </c>
      <c r="B79" s="3">
        <v>10569</v>
      </c>
      <c r="C79" s="115">
        <f t="shared" si="93"/>
        <v>0.08569065745627903</v>
      </c>
      <c r="D79" s="3">
        <v>123339</v>
      </c>
      <c r="E79" s="178">
        <v>841</v>
      </c>
      <c r="F79" s="115">
        <f t="shared" si="94"/>
        <v>0.46464088397790054</v>
      </c>
      <c r="G79" s="3">
        <v>1810</v>
      </c>
      <c r="H79" s="178">
        <v>35</v>
      </c>
      <c r="I79" s="115">
        <f t="shared" si="95"/>
        <v>0.7446808510638298</v>
      </c>
      <c r="J79" s="3">
        <v>47</v>
      </c>
      <c r="K79" s="195">
        <f t="shared" si="96"/>
        <v>11445</v>
      </c>
      <c r="L79" s="115">
        <f t="shared" si="77"/>
        <v>0.09141665867919103</v>
      </c>
      <c r="M79" s="23">
        <f t="shared" si="97"/>
        <v>125196</v>
      </c>
      <c r="N79" s="3">
        <v>119726</v>
      </c>
      <c r="O79" s="67">
        <f aca="true" t="shared" si="101" ref="O79:O131">N79/P79</f>
        <v>0.19643958784537638</v>
      </c>
      <c r="P79" s="174">
        <v>609480</v>
      </c>
      <c r="Q79" s="68">
        <v>5402</v>
      </c>
      <c r="R79" s="67">
        <f aca="true" t="shared" si="102" ref="R79:R131">Q79/S79</f>
        <v>0.4931982105359262</v>
      </c>
      <c r="S79" s="40">
        <v>10953</v>
      </c>
      <c r="T79" s="68">
        <v>317</v>
      </c>
      <c r="U79" s="67">
        <f aca="true" t="shared" si="103" ref="U79:U131">T79/V79</f>
        <v>0.8929577464788733</v>
      </c>
      <c r="V79" s="40">
        <v>355</v>
      </c>
      <c r="W79" s="63">
        <f aca="true" t="shared" si="104" ref="W79:W85">+T79+Q79+N79</f>
        <v>125445</v>
      </c>
      <c r="X79" s="67">
        <f>W79/Y79</f>
        <v>0.20207381585984266</v>
      </c>
      <c r="Y79" s="26">
        <f aca="true" t="shared" si="105" ref="Y79:Y85">+V79+S79+P79</f>
        <v>620788</v>
      </c>
      <c r="Z79" s="3">
        <v>251</v>
      </c>
      <c r="AA79" s="115">
        <f t="shared" si="98"/>
        <v>0.007020193544778207</v>
      </c>
      <c r="AB79" s="40">
        <v>35754</v>
      </c>
      <c r="AC79" s="3">
        <v>55</v>
      </c>
      <c r="AD79" s="115">
        <f t="shared" si="99"/>
        <v>0.3055555555555556</v>
      </c>
      <c r="AE79" s="40">
        <v>180</v>
      </c>
      <c r="AF79" s="3">
        <v>12</v>
      </c>
      <c r="AG79" s="7">
        <f t="shared" si="100"/>
        <v>0.8571428571428571</v>
      </c>
      <c r="AH79" s="3">
        <v>14</v>
      </c>
      <c r="AI79" s="41">
        <f aca="true" t="shared" si="106" ref="AI79:AI85">+AF79+AC79+Z79</f>
        <v>318</v>
      </c>
      <c r="AJ79" s="7">
        <f>AI79/AK79</f>
        <v>0.008846111049293424</v>
      </c>
      <c r="AK79" s="44">
        <f aca="true" t="shared" si="107" ref="AK79:AK85">+AH79+AE79+AB79</f>
        <v>35948</v>
      </c>
      <c r="AL79" s="117">
        <f aca="true" t="shared" si="108" ref="AL79:AL85">(B79+N79+Z79)/AR79</f>
        <v>0.16985504304730975</v>
      </c>
      <c r="AM79" s="115">
        <f aca="true" t="shared" si="109" ref="AM79:AM85">(E79+Q79+AC79)/AS79</f>
        <v>0.48659507069458396</v>
      </c>
      <c r="AN79" s="7">
        <f aca="true" t="shared" si="110" ref="AN79:AN85">(H79+T79+AF79)/AT79</f>
        <v>0.875</v>
      </c>
      <c r="AO79" s="171">
        <f aca="true" t="shared" si="111" ref="AO79:AO85">AP79/AQ79</f>
        <v>0.17163572316721998</v>
      </c>
      <c r="AP79" s="63">
        <f aca="true" t="shared" si="112" ref="AP79:AP85">AF79+AC79+Z79+T79+Q79+N79+H79+E79+B79</f>
        <v>137208</v>
      </c>
      <c r="AQ79" s="3">
        <f aca="true" t="shared" si="113" ref="AQ79:AQ85">AH79+AF79+AE79+AC79+Z79+AB79+V79+T79+S79+Q79+P79+J79+H79+G79+E79+D79+B79</f>
        <v>799414</v>
      </c>
      <c r="AR79" s="116">
        <f aca="true" t="shared" si="114" ref="AR79:AR85">+D79+P79+AB79</f>
        <v>768573</v>
      </c>
      <c r="AS79" s="3">
        <f aca="true" t="shared" si="115" ref="AS79:AS85">G79+S79+AE79</f>
        <v>12943</v>
      </c>
      <c r="AT79" s="26">
        <f aca="true" t="shared" si="116" ref="AT79:AT85">J79+V79+AH79</f>
        <v>416</v>
      </c>
    </row>
    <row r="80" spans="1:46" ht="12.75">
      <c r="A80" s="146">
        <v>42430</v>
      </c>
      <c r="B80" s="3">
        <v>10544</v>
      </c>
      <c r="C80" s="115">
        <f t="shared" si="93"/>
        <v>0.0855170847628085</v>
      </c>
      <c r="D80" s="3">
        <v>123297</v>
      </c>
      <c r="E80" s="178">
        <v>833</v>
      </c>
      <c r="F80" s="115">
        <f t="shared" si="94"/>
        <v>0.45895316804407715</v>
      </c>
      <c r="G80" s="3">
        <v>1815</v>
      </c>
      <c r="H80" s="178">
        <v>35</v>
      </c>
      <c r="I80" s="115">
        <f t="shared" si="95"/>
        <v>0.7446808510638298</v>
      </c>
      <c r="J80" s="3">
        <v>47</v>
      </c>
      <c r="K80" s="195">
        <f t="shared" si="96"/>
        <v>11412</v>
      </c>
      <c r="L80" s="115">
        <f t="shared" si="77"/>
        <v>0.09118001901581188</v>
      </c>
      <c r="M80" s="23">
        <f t="shared" si="97"/>
        <v>125159</v>
      </c>
      <c r="N80" s="3">
        <v>127380</v>
      </c>
      <c r="O80" s="67">
        <f t="shared" si="101"/>
        <v>0.2071071337985575</v>
      </c>
      <c r="P80" s="174">
        <v>615044</v>
      </c>
      <c r="Q80" s="68">
        <v>6007</v>
      </c>
      <c r="R80" s="67">
        <f t="shared" si="102"/>
        <v>0.49367192636423407</v>
      </c>
      <c r="S80" s="40">
        <v>12168</v>
      </c>
      <c r="T80" s="68">
        <v>392</v>
      </c>
      <c r="U80" s="67">
        <f t="shared" si="103"/>
        <v>0.8909090909090909</v>
      </c>
      <c r="V80" s="40">
        <v>440</v>
      </c>
      <c r="W80" s="63">
        <f t="shared" si="104"/>
        <v>133779</v>
      </c>
      <c r="X80" s="67">
        <f>W80/Y80</f>
        <v>0.21314199588306895</v>
      </c>
      <c r="Y80" s="26">
        <f t="shared" si="105"/>
        <v>627652</v>
      </c>
      <c r="Z80" s="3">
        <v>251</v>
      </c>
      <c r="AA80" s="115">
        <f t="shared" si="98"/>
        <v>0.007017445761574592</v>
      </c>
      <c r="AB80" s="40">
        <v>35768</v>
      </c>
      <c r="AC80" s="3">
        <v>63</v>
      </c>
      <c r="AD80" s="115">
        <f t="shared" si="99"/>
        <v>0.3333333333333333</v>
      </c>
      <c r="AE80" s="40">
        <v>189</v>
      </c>
      <c r="AF80" s="3">
        <v>12</v>
      </c>
      <c r="AG80" s="7">
        <f t="shared" si="100"/>
        <v>0.8571428571428571</v>
      </c>
      <c r="AH80" s="3">
        <v>14</v>
      </c>
      <c r="AI80" s="41">
        <f t="shared" si="106"/>
        <v>326</v>
      </c>
      <c r="AJ80" s="7">
        <f>AI80/AK80</f>
        <v>0.009062856189708377</v>
      </c>
      <c r="AK80" s="44">
        <f t="shared" si="107"/>
        <v>35971</v>
      </c>
      <c r="AL80" s="117">
        <f t="shared" si="108"/>
        <v>0.17849553486653688</v>
      </c>
      <c r="AM80" s="115">
        <f t="shared" si="109"/>
        <v>0.4870872142252329</v>
      </c>
      <c r="AN80" s="7">
        <f t="shared" si="110"/>
        <v>0.8762475049900199</v>
      </c>
      <c r="AO80" s="171">
        <f t="shared" si="111"/>
        <v>0.1803365641408865</v>
      </c>
      <c r="AP80" s="63">
        <f t="shared" si="112"/>
        <v>145517</v>
      </c>
      <c r="AQ80" s="3">
        <f t="shared" si="113"/>
        <v>806919</v>
      </c>
      <c r="AR80" s="116">
        <f t="shared" si="114"/>
        <v>774109</v>
      </c>
      <c r="AS80" s="3">
        <f t="shared" si="115"/>
        <v>14172</v>
      </c>
      <c r="AT80" s="26">
        <f t="shared" si="116"/>
        <v>501</v>
      </c>
    </row>
    <row r="81" spans="1:46" ht="12.75">
      <c r="A81" s="146">
        <v>42401</v>
      </c>
      <c r="B81" s="3">
        <v>10481</v>
      </c>
      <c r="C81" s="115">
        <f t="shared" si="93"/>
        <v>0.08512971295830017</v>
      </c>
      <c r="D81" s="3">
        <v>123118</v>
      </c>
      <c r="E81" s="178">
        <v>830</v>
      </c>
      <c r="F81" s="115">
        <f t="shared" si="94"/>
        <v>0.4573002754820937</v>
      </c>
      <c r="G81" s="3">
        <v>1815</v>
      </c>
      <c r="H81" s="178">
        <v>35</v>
      </c>
      <c r="I81" s="115">
        <f t="shared" si="95"/>
        <v>0.7446808510638298</v>
      </c>
      <c r="J81" s="3">
        <v>47</v>
      </c>
      <c r="K81" s="195">
        <f t="shared" si="96"/>
        <v>11346</v>
      </c>
      <c r="L81" s="115">
        <f aca="true" t="shared" si="117" ref="L81:L86">K81/M81</f>
        <v>0.09078252520403264</v>
      </c>
      <c r="M81" s="23">
        <f t="shared" si="97"/>
        <v>124980</v>
      </c>
      <c r="N81" s="3">
        <v>120508</v>
      </c>
      <c r="O81" s="67">
        <f t="shared" si="101"/>
        <v>0.19795942840340303</v>
      </c>
      <c r="P81" s="174">
        <v>608751</v>
      </c>
      <c r="Q81" s="68">
        <v>5404</v>
      </c>
      <c r="R81" s="67">
        <f t="shared" si="102"/>
        <v>0.4929757343550447</v>
      </c>
      <c r="S81" s="40">
        <v>10962</v>
      </c>
      <c r="T81" s="68">
        <v>329</v>
      </c>
      <c r="U81" s="67">
        <f t="shared" si="103"/>
        <v>0.8891891891891892</v>
      </c>
      <c r="V81" s="40">
        <v>370</v>
      </c>
      <c r="W81" s="63">
        <f t="shared" si="104"/>
        <v>126241</v>
      </c>
      <c r="X81" s="67">
        <f>W81/Y81</f>
        <v>0.20358726170528785</v>
      </c>
      <c r="Y81" s="26">
        <f t="shared" si="105"/>
        <v>620083</v>
      </c>
      <c r="Z81" s="3">
        <v>253</v>
      </c>
      <c r="AA81" s="115">
        <f t="shared" si="98"/>
        <v>0.007071779964221825</v>
      </c>
      <c r="AB81" s="40">
        <v>35776</v>
      </c>
      <c r="AC81" s="3">
        <v>55</v>
      </c>
      <c r="AD81" s="115">
        <f t="shared" si="99"/>
        <v>0.291005291005291</v>
      </c>
      <c r="AE81" s="40">
        <v>189</v>
      </c>
      <c r="AF81" s="3">
        <v>12</v>
      </c>
      <c r="AG81" s="7">
        <f t="shared" si="100"/>
        <v>0.8571428571428571</v>
      </c>
      <c r="AH81" s="3">
        <v>14</v>
      </c>
      <c r="AI81" s="41">
        <f t="shared" si="106"/>
        <v>320</v>
      </c>
      <c r="AJ81" s="7">
        <f aca="true" t="shared" si="118" ref="AJ81:AJ86">AI81/AK81</f>
        <v>0.008894077100530865</v>
      </c>
      <c r="AK81" s="44">
        <f t="shared" si="107"/>
        <v>35979</v>
      </c>
      <c r="AL81" s="117">
        <f t="shared" si="108"/>
        <v>0.17096704857062836</v>
      </c>
      <c r="AM81" s="115">
        <f t="shared" si="109"/>
        <v>0.48503779114607437</v>
      </c>
      <c r="AN81" s="7">
        <f t="shared" si="110"/>
        <v>0.8723897911832946</v>
      </c>
      <c r="AO81" s="171">
        <f t="shared" si="111"/>
        <v>0.17272033876015885</v>
      </c>
      <c r="AP81" s="63">
        <f t="shared" si="112"/>
        <v>137907</v>
      </c>
      <c r="AQ81" s="3">
        <f t="shared" si="113"/>
        <v>798441</v>
      </c>
      <c r="AR81" s="116">
        <f t="shared" si="114"/>
        <v>767645</v>
      </c>
      <c r="AS81" s="3">
        <f t="shared" si="115"/>
        <v>12966</v>
      </c>
      <c r="AT81" s="26">
        <f t="shared" si="116"/>
        <v>431</v>
      </c>
    </row>
    <row r="82" spans="1:46" ht="12.75">
      <c r="A82" s="146">
        <v>42370</v>
      </c>
      <c r="B82" s="3">
        <v>10221</v>
      </c>
      <c r="C82" s="115">
        <f t="shared" si="93"/>
        <v>0.08316517493897478</v>
      </c>
      <c r="D82" s="3">
        <v>122900</v>
      </c>
      <c r="E82" s="178">
        <v>820</v>
      </c>
      <c r="F82" s="115">
        <f t="shared" si="94"/>
        <v>0.448332422088573</v>
      </c>
      <c r="G82" s="3">
        <v>1829</v>
      </c>
      <c r="H82" s="178">
        <v>32</v>
      </c>
      <c r="I82" s="115">
        <f t="shared" si="95"/>
        <v>0.6808510638297872</v>
      </c>
      <c r="J82" s="3">
        <v>47</v>
      </c>
      <c r="K82" s="195">
        <f t="shared" si="96"/>
        <v>11073</v>
      </c>
      <c r="L82" s="115">
        <f t="shared" si="117"/>
        <v>0.08874302750528948</v>
      </c>
      <c r="M82" s="23">
        <f t="shared" si="97"/>
        <v>124776</v>
      </c>
      <c r="N82" s="3">
        <v>127504</v>
      </c>
      <c r="O82" s="67">
        <f t="shared" si="101"/>
        <v>0.20865797040259088</v>
      </c>
      <c r="P82" s="174">
        <v>611067</v>
      </c>
      <c r="Q82" s="68">
        <v>5742</v>
      </c>
      <c r="R82" s="67">
        <f t="shared" si="102"/>
        <v>0.4936382393397524</v>
      </c>
      <c r="S82" s="40">
        <v>11632</v>
      </c>
      <c r="T82" s="68">
        <v>354</v>
      </c>
      <c r="U82" s="67">
        <f t="shared" si="103"/>
        <v>0.8916876574307305</v>
      </c>
      <c r="V82" s="40">
        <v>397</v>
      </c>
      <c r="W82" s="63">
        <f t="shared" si="104"/>
        <v>133600</v>
      </c>
      <c r="X82" s="67">
        <f aca="true" t="shared" si="119" ref="X82:X89">W82/Y82</f>
        <v>0.2144131883369497</v>
      </c>
      <c r="Y82" s="26">
        <f t="shared" si="105"/>
        <v>623096</v>
      </c>
      <c r="Z82" s="3">
        <v>253</v>
      </c>
      <c r="AA82" s="115">
        <f t="shared" si="98"/>
        <v>0.00707118700913944</v>
      </c>
      <c r="AB82" s="40">
        <v>35779</v>
      </c>
      <c r="AC82" s="3">
        <v>55</v>
      </c>
      <c r="AD82" s="115">
        <f t="shared" si="99"/>
        <v>0.3179190751445087</v>
      </c>
      <c r="AE82" s="40">
        <v>173</v>
      </c>
      <c r="AF82" s="3">
        <v>12</v>
      </c>
      <c r="AG82" s="7">
        <f t="shared" si="100"/>
        <v>0.8571428571428571</v>
      </c>
      <c r="AH82" s="3">
        <v>14</v>
      </c>
      <c r="AI82" s="41">
        <f t="shared" si="106"/>
        <v>320</v>
      </c>
      <c r="AJ82" s="7">
        <f t="shared" si="118"/>
        <v>0.00889729188678196</v>
      </c>
      <c r="AK82" s="44">
        <f t="shared" si="107"/>
        <v>35966</v>
      </c>
      <c r="AL82" s="117">
        <f t="shared" si="108"/>
        <v>0.17925133745417318</v>
      </c>
      <c r="AM82" s="115">
        <f t="shared" si="109"/>
        <v>0.48533079067038287</v>
      </c>
      <c r="AN82" s="7">
        <f t="shared" si="110"/>
        <v>0.868995633187773</v>
      </c>
      <c r="AO82" s="171">
        <f t="shared" si="111"/>
        <v>0.18094111392727313</v>
      </c>
      <c r="AP82" s="63">
        <f t="shared" si="112"/>
        <v>144993</v>
      </c>
      <c r="AQ82" s="3">
        <f t="shared" si="113"/>
        <v>801327</v>
      </c>
      <c r="AR82" s="116">
        <f t="shared" si="114"/>
        <v>769746</v>
      </c>
      <c r="AS82" s="3">
        <f t="shared" si="115"/>
        <v>13634</v>
      </c>
      <c r="AT82" s="26">
        <f t="shared" si="116"/>
        <v>458</v>
      </c>
    </row>
    <row r="83" spans="1:46" ht="12.75">
      <c r="A83" s="146">
        <v>42339</v>
      </c>
      <c r="B83" s="3">
        <v>10657</v>
      </c>
      <c r="C83" s="115">
        <f t="shared" si="93"/>
        <v>0.08647635431205167</v>
      </c>
      <c r="D83" s="3">
        <v>123236</v>
      </c>
      <c r="E83" s="178">
        <v>826</v>
      </c>
      <c r="F83" s="115">
        <f t="shared" si="94"/>
        <v>0.4443249058633674</v>
      </c>
      <c r="G83" s="3">
        <v>1859</v>
      </c>
      <c r="H83" s="178">
        <v>33</v>
      </c>
      <c r="I83" s="115">
        <f t="shared" si="95"/>
        <v>0.717391304347826</v>
      </c>
      <c r="J83" s="3">
        <v>46</v>
      </c>
      <c r="K83" s="195">
        <f t="shared" si="96"/>
        <v>11516</v>
      </c>
      <c r="L83" s="115">
        <f t="shared" si="117"/>
        <v>0.0920241967061155</v>
      </c>
      <c r="M83" s="23">
        <f t="shared" si="97"/>
        <v>125141</v>
      </c>
      <c r="N83" s="3">
        <v>132794</v>
      </c>
      <c r="O83" s="67">
        <f t="shared" si="101"/>
        <v>0.21560617622704617</v>
      </c>
      <c r="P83" s="174">
        <v>615910</v>
      </c>
      <c r="Q83" s="68">
        <v>6244</v>
      </c>
      <c r="R83" s="67">
        <f t="shared" si="102"/>
        <v>0.49254555494202096</v>
      </c>
      <c r="S83" s="40">
        <v>12677</v>
      </c>
      <c r="T83" s="68">
        <v>403</v>
      </c>
      <c r="U83" s="67">
        <f t="shared" si="103"/>
        <v>0.8896247240618101</v>
      </c>
      <c r="V83" s="40">
        <v>453</v>
      </c>
      <c r="W83" s="63">
        <f t="shared" si="104"/>
        <v>139441</v>
      </c>
      <c r="X83" s="67">
        <f t="shared" si="119"/>
        <v>0.22167270761795752</v>
      </c>
      <c r="Y83" s="26">
        <f t="shared" si="105"/>
        <v>629040</v>
      </c>
      <c r="Z83" s="3">
        <v>252</v>
      </c>
      <c r="AA83" s="115">
        <f t="shared" si="98"/>
        <v>0.007040089397960609</v>
      </c>
      <c r="AB83" s="40">
        <v>35795</v>
      </c>
      <c r="AC83" s="3">
        <v>64</v>
      </c>
      <c r="AD83" s="115">
        <f t="shared" si="99"/>
        <v>0.3368421052631579</v>
      </c>
      <c r="AE83" s="40">
        <v>190</v>
      </c>
      <c r="AF83" s="3">
        <v>13</v>
      </c>
      <c r="AG83" s="7">
        <f t="shared" si="100"/>
        <v>0.9285714285714286</v>
      </c>
      <c r="AH83" s="3">
        <v>14</v>
      </c>
      <c r="AI83" s="41">
        <f t="shared" si="106"/>
        <v>329</v>
      </c>
      <c r="AJ83" s="7">
        <f t="shared" si="118"/>
        <v>0.009139142753965388</v>
      </c>
      <c r="AK83" s="44">
        <f t="shared" si="107"/>
        <v>35999</v>
      </c>
      <c r="AL83" s="117">
        <f t="shared" si="108"/>
        <v>0.18543734297191658</v>
      </c>
      <c r="AM83" s="115">
        <f t="shared" si="109"/>
        <v>0.484449273393997</v>
      </c>
      <c r="AN83" s="7">
        <f t="shared" si="110"/>
        <v>0.8752436647173489</v>
      </c>
      <c r="AO83" s="171">
        <f t="shared" si="111"/>
        <v>0.18707955759566303</v>
      </c>
      <c r="AP83" s="63">
        <f t="shared" si="112"/>
        <v>151286</v>
      </c>
      <c r="AQ83" s="3">
        <f t="shared" si="113"/>
        <v>808672</v>
      </c>
      <c r="AR83" s="116">
        <f t="shared" si="114"/>
        <v>774941</v>
      </c>
      <c r="AS83" s="3">
        <f t="shared" si="115"/>
        <v>14726</v>
      </c>
      <c r="AT83" s="26">
        <f t="shared" si="116"/>
        <v>513</v>
      </c>
    </row>
    <row r="84" spans="1:46" ht="12.75">
      <c r="A84" s="146">
        <v>42309</v>
      </c>
      <c r="B84" s="3">
        <v>10800</v>
      </c>
      <c r="C84" s="115">
        <f t="shared" si="93"/>
        <v>0.0872487558973696</v>
      </c>
      <c r="D84" s="3">
        <v>123784</v>
      </c>
      <c r="E84" s="178">
        <v>837</v>
      </c>
      <c r="F84" s="115">
        <f t="shared" si="94"/>
        <v>0.4454497072911123</v>
      </c>
      <c r="G84" s="3">
        <v>1879</v>
      </c>
      <c r="H84" s="178">
        <v>33</v>
      </c>
      <c r="I84" s="115">
        <f t="shared" si="95"/>
        <v>0.7333333333333333</v>
      </c>
      <c r="J84" s="3">
        <v>45</v>
      </c>
      <c r="K84" s="195">
        <f t="shared" si="96"/>
        <v>11670</v>
      </c>
      <c r="L84" s="115">
        <f t="shared" si="117"/>
        <v>0.09283418716390365</v>
      </c>
      <c r="M84" s="23">
        <f t="shared" si="97"/>
        <v>125708</v>
      </c>
      <c r="N84" s="3">
        <v>119579</v>
      </c>
      <c r="O84" s="67">
        <f t="shared" si="101"/>
        <v>0.19784843405907043</v>
      </c>
      <c r="P84" s="174">
        <v>604397</v>
      </c>
      <c r="Q84" s="68">
        <v>5046</v>
      </c>
      <c r="R84" s="67">
        <f t="shared" si="102"/>
        <v>0.4847262247838617</v>
      </c>
      <c r="S84" s="40">
        <v>10410</v>
      </c>
      <c r="T84" s="68">
        <v>298</v>
      </c>
      <c r="U84" s="67">
        <f t="shared" si="103"/>
        <v>0.8764705882352941</v>
      </c>
      <c r="V84" s="40">
        <v>340</v>
      </c>
      <c r="W84" s="63">
        <f t="shared" si="104"/>
        <v>124923</v>
      </c>
      <c r="X84" s="67">
        <f t="shared" si="119"/>
        <v>0.20307828860418728</v>
      </c>
      <c r="Y84" s="26">
        <f t="shared" si="105"/>
        <v>615147</v>
      </c>
      <c r="Z84" s="3">
        <v>233</v>
      </c>
      <c r="AA84" s="115">
        <f t="shared" si="98"/>
        <v>0.006503293513453165</v>
      </c>
      <c r="AB84" s="40">
        <v>35828</v>
      </c>
      <c r="AC84" s="3">
        <v>47</v>
      </c>
      <c r="AD84" s="115">
        <f t="shared" si="99"/>
        <v>0.24479166666666666</v>
      </c>
      <c r="AE84" s="40">
        <v>192</v>
      </c>
      <c r="AF84" s="3">
        <v>12</v>
      </c>
      <c r="AG84" s="7">
        <f t="shared" si="100"/>
        <v>0.8571428571428571</v>
      </c>
      <c r="AH84" s="3">
        <v>14</v>
      </c>
      <c r="AI84" s="41">
        <f t="shared" si="106"/>
        <v>292</v>
      </c>
      <c r="AJ84" s="7">
        <f t="shared" si="118"/>
        <v>0.008103457845368263</v>
      </c>
      <c r="AK84" s="44">
        <f t="shared" si="107"/>
        <v>36034</v>
      </c>
      <c r="AL84" s="117">
        <f t="shared" si="108"/>
        <v>0.17095610130247157</v>
      </c>
      <c r="AM84" s="115">
        <f t="shared" si="109"/>
        <v>0.4751221857222979</v>
      </c>
      <c r="AN84" s="7">
        <f t="shared" si="110"/>
        <v>0.8596491228070176</v>
      </c>
      <c r="AO84" s="171">
        <f t="shared" si="111"/>
        <v>0.17235691486347812</v>
      </c>
      <c r="AP84" s="63">
        <f t="shared" si="112"/>
        <v>136885</v>
      </c>
      <c r="AQ84" s="3">
        <f t="shared" si="113"/>
        <v>794195</v>
      </c>
      <c r="AR84" s="116">
        <f t="shared" si="114"/>
        <v>764009</v>
      </c>
      <c r="AS84" s="3">
        <f t="shared" si="115"/>
        <v>12481</v>
      </c>
      <c r="AT84" s="26">
        <f t="shared" si="116"/>
        <v>399</v>
      </c>
    </row>
    <row r="85" spans="1:46" ht="12.75">
      <c r="A85" s="146">
        <v>42278</v>
      </c>
      <c r="B85" s="3">
        <v>10875</v>
      </c>
      <c r="C85" s="115">
        <f t="shared" si="93"/>
        <v>0.08771080839120231</v>
      </c>
      <c r="D85" s="3">
        <v>123987</v>
      </c>
      <c r="E85" s="178">
        <v>839</v>
      </c>
      <c r="F85" s="115">
        <f t="shared" si="94"/>
        <v>0.4460393407761829</v>
      </c>
      <c r="G85" s="3">
        <v>1881</v>
      </c>
      <c r="H85" s="178">
        <v>33</v>
      </c>
      <c r="I85" s="115">
        <f t="shared" si="95"/>
        <v>0.7333333333333333</v>
      </c>
      <c r="J85" s="3">
        <v>45</v>
      </c>
      <c r="K85" s="195">
        <f t="shared" si="96"/>
        <v>11747</v>
      </c>
      <c r="L85" s="115">
        <f t="shared" si="117"/>
        <v>0.09329457641387306</v>
      </c>
      <c r="M85" s="23">
        <f t="shared" si="97"/>
        <v>125913</v>
      </c>
      <c r="N85" s="3">
        <v>131076</v>
      </c>
      <c r="O85" s="67">
        <f t="shared" si="101"/>
        <v>0.2152675817624627</v>
      </c>
      <c r="P85" s="174">
        <v>608898</v>
      </c>
      <c r="Q85" s="68">
        <v>5669</v>
      </c>
      <c r="R85" s="67">
        <f t="shared" si="102"/>
        <v>0.48984705780696447</v>
      </c>
      <c r="S85" s="40">
        <v>11573</v>
      </c>
      <c r="T85" s="68">
        <v>358</v>
      </c>
      <c r="U85" s="67">
        <f t="shared" si="103"/>
        <v>0.8817733990147784</v>
      </c>
      <c r="V85" s="40">
        <v>406</v>
      </c>
      <c r="W85" s="63">
        <f t="shared" si="104"/>
        <v>137103</v>
      </c>
      <c r="X85" s="67">
        <f t="shared" si="119"/>
        <v>0.22082151537261002</v>
      </c>
      <c r="Y85" s="26">
        <f t="shared" si="105"/>
        <v>620877</v>
      </c>
      <c r="Z85" s="3">
        <v>170</v>
      </c>
      <c r="AA85" s="115">
        <f t="shared" si="98"/>
        <v>0.004733925538135947</v>
      </c>
      <c r="AB85" s="40">
        <v>35911</v>
      </c>
      <c r="AC85" s="3">
        <v>31</v>
      </c>
      <c r="AD85" s="115">
        <f t="shared" si="99"/>
        <v>0.16939890710382513</v>
      </c>
      <c r="AE85" s="40">
        <v>183</v>
      </c>
      <c r="AF85" s="3">
        <v>11</v>
      </c>
      <c r="AG85" s="7">
        <f t="shared" si="100"/>
        <v>0.7857142857142857</v>
      </c>
      <c r="AH85" s="3">
        <v>14</v>
      </c>
      <c r="AI85" s="41">
        <f t="shared" si="106"/>
        <v>212</v>
      </c>
      <c r="AJ85" s="7">
        <f t="shared" si="118"/>
        <v>0.005871275063697796</v>
      </c>
      <c r="AK85" s="44">
        <f t="shared" si="107"/>
        <v>36108</v>
      </c>
      <c r="AL85" s="117">
        <f t="shared" si="108"/>
        <v>0.18486178388024913</v>
      </c>
      <c r="AM85" s="115">
        <f t="shared" si="109"/>
        <v>0.47950428979980936</v>
      </c>
      <c r="AN85" s="7">
        <f t="shared" si="110"/>
        <v>0.864516129032258</v>
      </c>
      <c r="AO85" s="171">
        <f t="shared" si="111"/>
        <v>0.18612183537191404</v>
      </c>
      <c r="AP85" s="63">
        <f t="shared" si="112"/>
        <v>149062</v>
      </c>
      <c r="AQ85" s="3">
        <f t="shared" si="113"/>
        <v>800884</v>
      </c>
      <c r="AR85" s="116">
        <f t="shared" si="114"/>
        <v>768796</v>
      </c>
      <c r="AS85" s="3">
        <f t="shared" si="115"/>
        <v>13637</v>
      </c>
      <c r="AT85" s="26">
        <f t="shared" si="116"/>
        <v>465</v>
      </c>
    </row>
    <row r="86" spans="1:46" ht="12.75">
      <c r="A86" s="146">
        <v>42248</v>
      </c>
      <c r="B86" s="3">
        <v>10925</v>
      </c>
      <c r="C86" s="115">
        <f t="shared" si="93"/>
        <v>0.0880317155910816</v>
      </c>
      <c r="D86" s="3">
        <v>124103</v>
      </c>
      <c r="E86" s="178">
        <v>840</v>
      </c>
      <c r="F86" s="115">
        <f t="shared" si="94"/>
        <v>0.44680851063829785</v>
      </c>
      <c r="G86" s="3">
        <v>1880</v>
      </c>
      <c r="H86" s="178">
        <v>33</v>
      </c>
      <c r="I86" s="115">
        <f t="shared" si="95"/>
        <v>0.717391304347826</v>
      </c>
      <c r="J86" s="3">
        <v>46</v>
      </c>
      <c r="K86" s="195">
        <f aca="true" t="shared" si="120" ref="K86:K91">+H86+E86+B86</f>
        <v>11798</v>
      </c>
      <c r="L86" s="115">
        <f t="shared" si="117"/>
        <v>0.09361337469947394</v>
      </c>
      <c r="M86" s="23">
        <f aca="true" t="shared" si="121" ref="M86:M91">+J86+G86+D86</f>
        <v>126029</v>
      </c>
      <c r="N86" s="3">
        <v>132298</v>
      </c>
      <c r="O86" s="67">
        <f t="shared" si="101"/>
        <v>0.2173258820475923</v>
      </c>
      <c r="P86" s="174">
        <v>608754</v>
      </c>
      <c r="Q86" s="68">
        <v>5670</v>
      </c>
      <c r="R86" s="67">
        <f t="shared" si="102"/>
        <v>0.48993346582562863</v>
      </c>
      <c r="S86" s="40">
        <v>11573</v>
      </c>
      <c r="T86" s="68">
        <v>360</v>
      </c>
      <c r="U86" s="67">
        <f t="shared" si="103"/>
        <v>0.8823529411764706</v>
      </c>
      <c r="V86" s="40">
        <v>408</v>
      </c>
      <c r="W86" s="63">
        <f aca="true" t="shared" si="122" ref="W86:W91">+T86+Q86+N86</f>
        <v>138328</v>
      </c>
      <c r="X86" s="67">
        <f t="shared" si="119"/>
        <v>0.22284549767614198</v>
      </c>
      <c r="Y86" s="26">
        <f aca="true" t="shared" si="123" ref="Y86:Y91">+V86+S86+P86</f>
        <v>620735</v>
      </c>
      <c r="Z86" s="3">
        <v>78</v>
      </c>
      <c r="AA86" s="115">
        <f t="shared" si="98"/>
        <v>0.002171552660152009</v>
      </c>
      <c r="AB86" s="40">
        <v>35919</v>
      </c>
      <c r="AC86" s="3">
        <v>26</v>
      </c>
      <c r="AD86" s="115">
        <f t="shared" si="99"/>
        <v>0.14285714285714285</v>
      </c>
      <c r="AE86" s="40">
        <v>182</v>
      </c>
      <c r="AF86" s="3">
        <v>11</v>
      </c>
      <c r="AG86" s="7">
        <f t="shared" si="100"/>
        <v>0.7857142857142857</v>
      </c>
      <c r="AH86" s="3">
        <v>14</v>
      </c>
      <c r="AI86" s="41">
        <f aca="true" t="shared" si="124" ref="AI86:AI91">+AF86+AC86+Z86</f>
        <v>115</v>
      </c>
      <c r="AJ86" s="7">
        <f t="shared" si="118"/>
        <v>0.0031842724629655267</v>
      </c>
      <c r="AK86" s="44">
        <f aca="true" t="shared" si="125" ref="AK86:AK91">+AH86+AE86+AB86</f>
        <v>36115</v>
      </c>
      <c r="AL86" s="117">
        <f aca="true" t="shared" si="126" ref="AL86:AL91">(B86+N86+Z86)/AR86</f>
        <v>0.18640150056713528</v>
      </c>
      <c r="AM86" s="115">
        <f aca="true" t="shared" si="127" ref="AM86:AM91">(E86+Q86+AC86)/AS86</f>
        <v>0.47935460212687936</v>
      </c>
      <c r="AN86" s="7">
        <f aca="true" t="shared" si="128" ref="AN86:AN91">(H86+T86+AF86)/AT86</f>
        <v>0.8632478632478633</v>
      </c>
      <c r="AO86" s="171">
        <f aca="true" t="shared" si="129" ref="AO86:AO91">AP86/AQ86</f>
        <v>0.18760848228445273</v>
      </c>
      <c r="AP86" s="63">
        <f aca="true" t="shared" si="130" ref="AP86:AP91">AF86+AC86+Z86+T86+Q86+N86+H86+E86+B86</f>
        <v>150241</v>
      </c>
      <c r="AQ86" s="3">
        <f aca="true" t="shared" si="131" ref="AQ86:AQ91">AH86+AF86+AE86+AC86+Z86+AB86+V86+T86+S86+Q86+P86+J86+H86+G86+E86+D86+B86</f>
        <v>800822</v>
      </c>
      <c r="AR86" s="116">
        <f aca="true" t="shared" si="132" ref="AR86:AR91">+D86+P86+AB86</f>
        <v>768776</v>
      </c>
      <c r="AS86" s="3">
        <f aca="true" t="shared" si="133" ref="AS86:AS91">G86+S86+AE86</f>
        <v>13635</v>
      </c>
      <c r="AT86" s="26">
        <f aca="true" t="shared" si="134" ref="AT86:AT91">J86+V86+AH86</f>
        <v>468</v>
      </c>
    </row>
    <row r="87" spans="1:46" ht="12.75">
      <c r="A87" s="146">
        <v>42217</v>
      </c>
      <c r="B87" s="3">
        <v>11059</v>
      </c>
      <c r="C87" s="115">
        <f t="shared" si="93"/>
        <v>0.08913803943062563</v>
      </c>
      <c r="D87" s="3">
        <v>124066</v>
      </c>
      <c r="E87" s="178">
        <v>836</v>
      </c>
      <c r="F87" s="115">
        <f t="shared" si="94"/>
        <v>0.4439723844928306</v>
      </c>
      <c r="G87" s="3">
        <v>1883</v>
      </c>
      <c r="H87" s="178">
        <v>33</v>
      </c>
      <c r="I87" s="115">
        <f t="shared" si="95"/>
        <v>0.75</v>
      </c>
      <c r="J87" s="3">
        <v>44</v>
      </c>
      <c r="K87" s="195">
        <f t="shared" si="120"/>
        <v>11928</v>
      </c>
      <c r="L87" s="115">
        <f aca="true" t="shared" si="135" ref="L87:L92">K87/M87</f>
        <v>0.09467192621812323</v>
      </c>
      <c r="M87" s="23">
        <f t="shared" si="121"/>
        <v>125993</v>
      </c>
      <c r="N87" s="3">
        <v>132862</v>
      </c>
      <c r="O87" s="67">
        <f t="shared" si="101"/>
        <v>0.2185165570756129</v>
      </c>
      <c r="P87" s="174">
        <v>608018</v>
      </c>
      <c r="Q87" s="68">
        <v>5691</v>
      </c>
      <c r="R87" s="67">
        <f t="shared" si="102"/>
        <v>0.49085734000345005</v>
      </c>
      <c r="S87" s="40">
        <v>11594</v>
      </c>
      <c r="T87" s="68">
        <v>360</v>
      </c>
      <c r="U87" s="67">
        <f t="shared" si="103"/>
        <v>0.8866995073891626</v>
      </c>
      <c r="V87" s="40">
        <v>406</v>
      </c>
      <c r="W87" s="63">
        <f t="shared" si="122"/>
        <v>138913</v>
      </c>
      <c r="X87" s="67">
        <f t="shared" si="119"/>
        <v>0.22404672122422253</v>
      </c>
      <c r="Y87" s="26">
        <f t="shared" si="123"/>
        <v>620018</v>
      </c>
      <c r="Z87" s="3">
        <v>38</v>
      </c>
      <c r="AA87" s="115">
        <f t="shared" si="98"/>
        <v>0.001058436855885466</v>
      </c>
      <c r="AB87" s="40">
        <v>35902</v>
      </c>
      <c r="AC87" s="3">
        <v>22</v>
      </c>
      <c r="AD87" s="115">
        <f t="shared" si="99"/>
        <v>0.12087912087912088</v>
      </c>
      <c r="AE87" s="40">
        <v>182</v>
      </c>
      <c r="AF87" s="3">
        <v>10</v>
      </c>
      <c r="AG87" s="7">
        <f t="shared" si="100"/>
        <v>0.6666666666666666</v>
      </c>
      <c r="AH87" s="3">
        <v>15</v>
      </c>
      <c r="AI87" s="41">
        <f t="shared" si="124"/>
        <v>70</v>
      </c>
      <c r="AJ87" s="7">
        <f aca="true" t="shared" si="136" ref="AJ87:AJ92">AI87/AK87</f>
        <v>0.0019391118867558659</v>
      </c>
      <c r="AK87" s="44">
        <f t="shared" si="125"/>
        <v>36099</v>
      </c>
      <c r="AL87" s="117">
        <f t="shared" si="126"/>
        <v>0.1874500316412018</v>
      </c>
      <c r="AM87" s="115">
        <f t="shared" si="127"/>
        <v>0.4794640896112453</v>
      </c>
      <c r="AN87" s="7">
        <f t="shared" si="128"/>
        <v>0.8666666666666667</v>
      </c>
      <c r="AO87" s="171">
        <f t="shared" si="129"/>
        <v>0.1886012654984822</v>
      </c>
      <c r="AP87" s="63">
        <f t="shared" si="130"/>
        <v>150911</v>
      </c>
      <c r="AQ87" s="3">
        <f t="shared" si="131"/>
        <v>800159</v>
      </c>
      <c r="AR87" s="116">
        <f t="shared" si="132"/>
        <v>767986</v>
      </c>
      <c r="AS87" s="3">
        <f t="shared" si="133"/>
        <v>13659</v>
      </c>
      <c r="AT87" s="26">
        <f t="shared" si="134"/>
        <v>465</v>
      </c>
    </row>
    <row r="88" spans="1:46" ht="12.75">
      <c r="A88" s="146">
        <v>42186</v>
      </c>
      <c r="B88" s="3">
        <v>11046</v>
      </c>
      <c r="C88" s="115">
        <f t="shared" si="93"/>
        <v>0.0889866350871257</v>
      </c>
      <c r="D88" s="3">
        <v>124131</v>
      </c>
      <c r="E88" s="178">
        <v>836</v>
      </c>
      <c r="F88" s="115">
        <f t="shared" si="94"/>
        <v>0.4442082890541977</v>
      </c>
      <c r="G88" s="3">
        <v>1882</v>
      </c>
      <c r="H88" s="178">
        <v>33</v>
      </c>
      <c r="I88" s="115">
        <f t="shared" si="95"/>
        <v>0.75</v>
      </c>
      <c r="J88" s="3">
        <v>44</v>
      </c>
      <c r="K88" s="195">
        <f t="shared" si="120"/>
        <v>11915</v>
      </c>
      <c r="L88" s="115">
        <f t="shared" si="135"/>
        <v>0.09452073268442054</v>
      </c>
      <c r="M88" s="23">
        <f t="shared" si="121"/>
        <v>126057</v>
      </c>
      <c r="N88" s="3">
        <v>134558</v>
      </c>
      <c r="O88" s="67">
        <f t="shared" si="101"/>
        <v>0.22125136475447574</v>
      </c>
      <c r="P88" s="174">
        <v>608168</v>
      </c>
      <c r="Q88" s="68">
        <v>5692</v>
      </c>
      <c r="R88" s="67">
        <f t="shared" si="102"/>
        <v>0.4897186612750581</v>
      </c>
      <c r="S88" s="40">
        <v>11623</v>
      </c>
      <c r="T88" s="68">
        <v>354</v>
      </c>
      <c r="U88" s="67">
        <f t="shared" si="103"/>
        <v>0.8784119106699751</v>
      </c>
      <c r="V88" s="40">
        <v>403</v>
      </c>
      <c r="W88" s="63">
        <f t="shared" si="122"/>
        <v>140604</v>
      </c>
      <c r="X88" s="67">
        <f t="shared" si="119"/>
        <v>0.22670970696266007</v>
      </c>
      <c r="Y88" s="26">
        <f t="shared" si="123"/>
        <v>620194</v>
      </c>
      <c r="Z88" s="3">
        <v>38</v>
      </c>
      <c r="AA88" s="115">
        <f t="shared" si="98"/>
        <v>0.0010589677850852749</v>
      </c>
      <c r="AB88" s="40">
        <v>35884</v>
      </c>
      <c r="AC88" s="3">
        <v>21</v>
      </c>
      <c r="AD88" s="115">
        <f t="shared" si="99"/>
        <v>0.11538461538461539</v>
      </c>
      <c r="AE88" s="40">
        <v>182</v>
      </c>
      <c r="AF88" s="3">
        <v>10</v>
      </c>
      <c r="AG88" s="7">
        <f t="shared" si="100"/>
        <v>0.7142857142857143</v>
      </c>
      <c r="AH88" s="3">
        <v>14</v>
      </c>
      <c r="AI88" s="41">
        <f t="shared" si="124"/>
        <v>69</v>
      </c>
      <c r="AJ88" s="7">
        <f t="shared" si="136"/>
        <v>0.0019124168514412416</v>
      </c>
      <c r="AK88" s="44">
        <f t="shared" si="125"/>
        <v>36080</v>
      </c>
      <c r="AL88" s="117">
        <f t="shared" si="126"/>
        <v>0.18959284441337546</v>
      </c>
      <c r="AM88" s="115">
        <f t="shared" si="127"/>
        <v>0.4784832322641923</v>
      </c>
      <c r="AN88" s="7">
        <f t="shared" si="128"/>
        <v>0.8611713665943601</v>
      </c>
      <c r="AO88" s="171">
        <f t="shared" si="129"/>
        <v>0.19064896965244432</v>
      </c>
      <c r="AP88" s="63">
        <f t="shared" si="130"/>
        <v>152588</v>
      </c>
      <c r="AQ88" s="3">
        <f t="shared" si="131"/>
        <v>800361</v>
      </c>
      <c r="AR88" s="116">
        <f t="shared" si="132"/>
        <v>768183</v>
      </c>
      <c r="AS88" s="3">
        <f t="shared" si="133"/>
        <v>13687</v>
      </c>
      <c r="AT88" s="26">
        <f t="shared" si="134"/>
        <v>461</v>
      </c>
    </row>
    <row r="89" spans="1:46" ht="12.75">
      <c r="A89" s="146">
        <v>42156</v>
      </c>
      <c r="B89" s="3">
        <v>11097</v>
      </c>
      <c r="C89" s="115">
        <f t="shared" si="93"/>
        <v>0.08954465128664456</v>
      </c>
      <c r="D89" s="3">
        <v>123927</v>
      </c>
      <c r="E89" s="178">
        <v>837</v>
      </c>
      <c r="F89" s="115">
        <f t="shared" si="94"/>
        <v>0.4447396386822529</v>
      </c>
      <c r="G89" s="3">
        <v>1882</v>
      </c>
      <c r="H89" s="178">
        <v>33</v>
      </c>
      <c r="I89" s="115">
        <f t="shared" si="95"/>
        <v>0.7674418604651163</v>
      </c>
      <c r="J89" s="3">
        <v>43</v>
      </c>
      <c r="K89" s="195">
        <f t="shared" si="120"/>
        <v>11967</v>
      </c>
      <c r="L89" s="115">
        <f t="shared" si="135"/>
        <v>0.09508788100308299</v>
      </c>
      <c r="M89" s="23">
        <f t="shared" si="121"/>
        <v>125852</v>
      </c>
      <c r="N89" s="3">
        <v>137362</v>
      </c>
      <c r="O89" s="67">
        <f t="shared" si="101"/>
        <v>0.22464629680812614</v>
      </c>
      <c r="P89" s="174">
        <v>611459</v>
      </c>
      <c r="Q89" s="68">
        <v>6017</v>
      </c>
      <c r="R89" s="67">
        <f t="shared" si="102"/>
        <v>0.49267174322443297</v>
      </c>
      <c r="S89" s="40">
        <v>12213</v>
      </c>
      <c r="T89" s="68">
        <v>395</v>
      </c>
      <c r="U89" s="67">
        <f t="shared" si="103"/>
        <v>0.8816964285714286</v>
      </c>
      <c r="V89" s="40">
        <v>448</v>
      </c>
      <c r="W89" s="63">
        <f t="shared" si="122"/>
        <v>143774</v>
      </c>
      <c r="X89" s="67">
        <f t="shared" si="119"/>
        <v>0.2303627507530603</v>
      </c>
      <c r="Y89" s="26">
        <f t="shared" si="123"/>
        <v>624120</v>
      </c>
      <c r="Z89" s="3">
        <v>38</v>
      </c>
      <c r="AA89" s="115">
        <f t="shared" si="98"/>
        <v>0.0010589677850852749</v>
      </c>
      <c r="AB89" s="40">
        <v>35884</v>
      </c>
      <c r="AC89" s="3">
        <v>21</v>
      </c>
      <c r="AD89" s="115">
        <f t="shared" si="99"/>
        <v>0.11538461538461539</v>
      </c>
      <c r="AE89" s="40">
        <v>182</v>
      </c>
      <c r="AF89" s="3">
        <v>10</v>
      </c>
      <c r="AG89" s="7">
        <f t="shared" si="100"/>
        <v>0.7142857142857143</v>
      </c>
      <c r="AH89" s="3">
        <v>14</v>
      </c>
      <c r="AI89" s="41">
        <f t="shared" si="124"/>
        <v>69</v>
      </c>
      <c r="AJ89" s="7">
        <f t="shared" si="136"/>
        <v>0.0019124168514412416</v>
      </c>
      <c r="AK89" s="44">
        <f t="shared" si="125"/>
        <v>36080</v>
      </c>
      <c r="AL89" s="117">
        <f t="shared" si="126"/>
        <v>0.1925356878913999</v>
      </c>
      <c r="AM89" s="115">
        <f t="shared" si="127"/>
        <v>0.4815437416824263</v>
      </c>
      <c r="AN89" s="7">
        <f t="shared" si="128"/>
        <v>0.8673267326732673</v>
      </c>
      <c r="AO89" s="171">
        <f t="shared" si="129"/>
        <v>0.1936730888750777</v>
      </c>
      <c r="AP89" s="63">
        <f t="shared" si="130"/>
        <v>155810</v>
      </c>
      <c r="AQ89" s="3">
        <f t="shared" si="131"/>
        <v>804500</v>
      </c>
      <c r="AR89" s="116">
        <f t="shared" si="132"/>
        <v>771270</v>
      </c>
      <c r="AS89" s="3">
        <f t="shared" si="133"/>
        <v>14277</v>
      </c>
      <c r="AT89" s="26">
        <f t="shared" si="134"/>
        <v>505</v>
      </c>
    </row>
    <row r="90" spans="1:46" ht="12.75">
      <c r="A90" s="146">
        <v>42125</v>
      </c>
      <c r="B90" s="3">
        <v>11097</v>
      </c>
      <c r="C90" s="115">
        <f t="shared" si="93"/>
        <v>0.0898404294076215</v>
      </c>
      <c r="D90" s="3">
        <v>123519</v>
      </c>
      <c r="E90" s="178">
        <v>834</v>
      </c>
      <c r="F90" s="115">
        <f t="shared" si="94"/>
        <v>0.4429102496016994</v>
      </c>
      <c r="G90" s="3">
        <v>1883</v>
      </c>
      <c r="H90" s="178">
        <v>33</v>
      </c>
      <c r="I90" s="115">
        <f t="shared" si="95"/>
        <v>0.7674418604651163</v>
      </c>
      <c r="J90" s="3">
        <v>43</v>
      </c>
      <c r="K90" s="195">
        <f t="shared" si="120"/>
        <v>11964</v>
      </c>
      <c r="L90" s="115">
        <f t="shared" si="135"/>
        <v>0.09537247399258639</v>
      </c>
      <c r="M90" s="23">
        <f t="shared" si="121"/>
        <v>125445</v>
      </c>
      <c r="N90" s="3">
        <v>130674</v>
      </c>
      <c r="O90" s="67">
        <f t="shared" si="101"/>
        <v>0.21613834283020583</v>
      </c>
      <c r="P90" s="174">
        <v>604585</v>
      </c>
      <c r="Q90" s="68">
        <v>5382</v>
      </c>
      <c r="R90" s="67">
        <f t="shared" si="102"/>
        <v>0.4883847549909256</v>
      </c>
      <c r="S90" s="40">
        <v>11020</v>
      </c>
      <c r="T90" s="68">
        <v>331</v>
      </c>
      <c r="U90" s="67">
        <f t="shared" si="103"/>
        <v>0.8850267379679144</v>
      </c>
      <c r="V90" s="40">
        <v>374</v>
      </c>
      <c r="W90" s="63">
        <f t="shared" si="122"/>
        <v>136387</v>
      </c>
      <c r="X90" s="67">
        <f aca="true" t="shared" si="137" ref="X90:X96">W90/Y90</f>
        <v>0.22141501577164158</v>
      </c>
      <c r="Y90" s="26">
        <f t="shared" si="123"/>
        <v>615979</v>
      </c>
      <c r="Z90" s="3">
        <v>38</v>
      </c>
      <c r="AA90" s="115">
        <f t="shared" si="98"/>
        <v>0.001059322033898305</v>
      </c>
      <c r="AB90" s="40">
        <v>35872</v>
      </c>
      <c r="AC90" s="3">
        <v>21</v>
      </c>
      <c r="AD90" s="115">
        <f t="shared" si="99"/>
        <v>0.11475409836065574</v>
      </c>
      <c r="AE90" s="40">
        <v>183</v>
      </c>
      <c r="AF90" s="3">
        <v>10</v>
      </c>
      <c r="AG90" s="7">
        <f t="shared" si="100"/>
        <v>0.7142857142857143</v>
      </c>
      <c r="AH90" s="3">
        <v>14</v>
      </c>
      <c r="AI90" s="41">
        <f t="shared" si="124"/>
        <v>69</v>
      </c>
      <c r="AJ90" s="7">
        <f t="shared" si="136"/>
        <v>0.0019130000831739167</v>
      </c>
      <c r="AK90" s="44">
        <f t="shared" si="125"/>
        <v>36069</v>
      </c>
      <c r="AL90" s="117">
        <f t="shared" si="126"/>
        <v>0.1856197053310575</v>
      </c>
      <c r="AM90" s="115">
        <f t="shared" si="127"/>
        <v>0.4766162310866575</v>
      </c>
      <c r="AN90" s="7">
        <f t="shared" si="128"/>
        <v>0.8677494199535963</v>
      </c>
      <c r="AO90" s="171">
        <f t="shared" si="129"/>
        <v>0.18663571580367663</v>
      </c>
      <c r="AP90" s="63">
        <f t="shared" si="130"/>
        <v>148420</v>
      </c>
      <c r="AQ90" s="3">
        <f t="shared" si="131"/>
        <v>795239</v>
      </c>
      <c r="AR90" s="116">
        <f t="shared" si="132"/>
        <v>763976</v>
      </c>
      <c r="AS90" s="3">
        <f t="shared" si="133"/>
        <v>13086</v>
      </c>
      <c r="AT90" s="26">
        <f t="shared" si="134"/>
        <v>431</v>
      </c>
    </row>
    <row r="91" spans="1:46" ht="12.75">
      <c r="A91" s="146">
        <v>42095</v>
      </c>
      <c r="B91" s="3">
        <v>11196</v>
      </c>
      <c r="C91" s="115">
        <f t="shared" si="93"/>
        <v>0.09135639274436366</v>
      </c>
      <c r="D91" s="3">
        <v>122553</v>
      </c>
      <c r="E91" s="178">
        <v>815</v>
      </c>
      <c r="F91" s="115">
        <f t="shared" si="94"/>
        <v>0.4395900755124056</v>
      </c>
      <c r="G91" s="3">
        <v>1854</v>
      </c>
      <c r="H91" s="178">
        <v>34</v>
      </c>
      <c r="I91" s="115">
        <f t="shared" si="95"/>
        <v>0.7727272727272727</v>
      </c>
      <c r="J91" s="3">
        <v>44</v>
      </c>
      <c r="K91" s="195">
        <f t="shared" si="120"/>
        <v>12045</v>
      </c>
      <c r="L91" s="115">
        <f t="shared" si="135"/>
        <v>0.0967850800716748</v>
      </c>
      <c r="M91" s="23">
        <f t="shared" si="121"/>
        <v>124451</v>
      </c>
      <c r="N91" s="3">
        <v>139601</v>
      </c>
      <c r="O91" s="67">
        <f t="shared" si="101"/>
        <v>0.22955480499491893</v>
      </c>
      <c r="P91" s="174">
        <v>608138</v>
      </c>
      <c r="Q91" s="68">
        <v>5703</v>
      </c>
      <c r="R91" s="67">
        <f t="shared" si="102"/>
        <v>0.4873942398085634</v>
      </c>
      <c r="S91" s="40">
        <v>11701</v>
      </c>
      <c r="T91" s="68">
        <v>357</v>
      </c>
      <c r="U91" s="67">
        <f t="shared" si="103"/>
        <v>0.8880597014925373</v>
      </c>
      <c r="V91" s="40">
        <v>402</v>
      </c>
      <c r="W91" s="63">
        <f t="shared" si="122"/>
        <v>145661</v>
      </c>
      <c r="X91" s="67">
        <f t="shared" si="137"/>
        <v>0.23484580993517037</v>
      </c>
      <c r="Y91" s="26">
        <f t="shared" si="123"/>
        <v>620241</v>
      </c>
      <c r="Z91" s="3">
        <v>38</v>
      </c>
      <c r="AA91" s="115">
        <f t="shared" si="98"/>
        <v>0.0010619271182651464</v>
      </c>
      <c r="AB91" s="40">
        <v>35784</v>
      </c>
      <c r="AC91" s="3">
        <v>22</v>
      </c>
      <c r="AD91" s="115">
        <f t="shared" si="99"/>
        <v>0.11891891891891893</v>
      </c>
      <c r="AE91" s="40">
        <v>185</v>
      </c>
      <c r="AF91" s="3">
        <v>10</v>
      </c>
      <c r="AG91" s="7">
        <f t="shared" si="100"/>
        <v>0.7142857142857143</v>
      </c>
      <c r="AH91" s="3">
        <v>14</v>
      </c>
      <c r="AI91" s="41">
        <f t="shared" si="124"/>
        <v>70</v>
      </c>
      <c r="AJ91" s="7">
        <f t="shared" si="136"/>
        <v>0.001945363088124948</v>
      </c>
      <c r="AK91" s="44">
        <f t="shared" si="125"/>
        <v>35983</v>
      </c>
      <c r="AL91" s="117">
        <f t="shared" si="126"/>
        <v>0.1967905019733194</v>
      </c>
      <c r="AM91" s="115">
        <f t="shared" si="127"/>
        <v>0.4759825327510917</v>
      </c>
      <c r="AN91" s="7">
        <f t="shared" si="128"/>
        <v>0.8717391304347826</v>
      </c>
      <c r="AO91" s="171">
        <f t="shared" si="129"/>
        <v>0.1975039118733179</v>
      </c>
      <c r="AP91" s="63">
        <f t="shared" si="130"/>
        <v>157776</v>
      </c>
      <c r="AQ91" s="3">
        <f t="shared" si="131"/>
        <v>798850</v>
      </c>
      <c r="AR91" s="116">
        <f t="shared" si="132"/>
        <v>766475</v>
      </c>
      <c r="AS91" s="3">
        <f t="shared" si="133"/>
        <v>13740</v>
      </c>
      <c r="AT91" s="26">
        <f t="shared" si="134"/>
        <v>460</v>
      </c>
    </row>
    <row r="92" spans="1:46" ht="12.75">
      <c r="A92" s="146">
        <v>42064</v>
      </c>
      <c r="B92" s="3">
        <v>11245</v>
      </c>
      <c r="C92" s="115">
        <f t="shared" si="93"/>
        <v>0.09195355302968354</v>
      </c>
      <c r="D92" s="3">
        <v>122290</v>
      </c>
      <c r="E92" s="178">
        <v>813</v>
      </c>
      <c r="F92" s="115">
        <f t="shared" si="94"/>
        <v>0.4489232468249586</v>
      </c>
      <c r="G92" s="3">
        <v>1811</v>
      </c>
      <c r="H92" s="178">
        <v>34</v>
      </c>
      <c r="I92" s="115">
        <f t="shared" si="95"/>
        <v>0.7727272727272727</v>
      </c>
      <c r="J92" s="3">
        <v>44</v>
      </c>
      <c r="K92" s="195">
        <f aca="true" t="shared" si="138" ref="K92:K97">+H92+E92+B92</f>
        <v>12092</v>
      </c>
      <c r="L92" s="115">
        <f t="shared" si="135"/>
        <v>0.09740223126183092</v>
      </c>
      <c r="M92" s="23">
        <f aca="true" t="shared" si="139" ref="M92:M97">+J92+G92+D92</f>
        <v>124145</v>
      </c>
      <c r="N92" s="3">
        <v>148988</v>
      </c>
      <c r="O92" s="67">
        <f t="shared" si="101"/>
        <v>0.24527034590842942</v>
      </c>
      <c r="P92" s="174">
        <v>607444</v>
      </c>
      <c r="Q92" s="68">
        <v>5797</v>
      </c>
      <c r="R92" s="67">
        <f t="shared" si="102"/>
        <v>0.4818786367414796</v>
      </c>
      <c r="S92" s="40">
        <v>12030</v>
      </c>
      <c r="T92" s="68">
        <v>348</v>
      </c>
      <c r="U92" s="67">
        <f t="shared" si="103"/>
        <v>0.8969072164948454</v>
      </c>
      <c r="V92" s="40">
        <v>388</v>
      </c>
      <c r="W92" s="63">
        <f aca="true" t="shared" si="140" ref="W92:W97">+T92+Q92+N92</f>
        <v>155133</v>
      </c>
      <c r="X92" s="67">
        <f t="shared" si="137"/>
        <v>0.2502702214363842</v>
      </c>
      <c r="Y92" s="26">
        <f aca="true" t="shared" si="141" ref="Y92:Y97">+V92+S92+P92</f>
        <v>619862</v>
      </c>
      <c r="Z92" s="3">
        <v>36</v>
      </c>
      <c r="AA92" s="115">
        <f t="shared" si="98"/>
        <v>0.001005586592178771</v>
      </c>
      <c r="AB92" s="40">
        <v>35800</v>
      </c>
      <c r="AC92" s="3">
        <v>18</v>
      </c>
      <c r="AD92" s="115">
        <f t="shared" si="99"/>
        <v>0.09782608695652174</v>
      </c>
      <c r="AE92" s="40">
        <v>184</v>
      </c>
      <c r="AF92" s="3">
        <v>9</v>
      </c>
      <c r="AG92" s="7">
        <f t="shared" si="100"/>
        <v>0.6923076923076923</v>
      </c>
      <c r="AH92" s="3">
        <v>13</v>
      </c>
      <c r="AI92" s="41">
        <f aca="true" t="shared" si="142" ref="AI92:AI97">+AF92+AC92+Z92</f>
        <v>63</v>
      </c>
      <c r="AJ92" s="7">
        <f t="shared" si="136"/>
        <v>0.001750145845487124</v>
      </c>
      <c r="AK92" s="44">
        <f aca="true" t="shared" si="143" ref="AK92:AK97">+AH92+AE92+AB92</f>
        <v>35997</v>
      </c>
      <c r="AL92" s="117">
        <f aca="true" t="shared" si="144" ref="AL92:AL97">(B92+N92+Z92)/AR92</f>
        <v>0.20935582221037863</v>
      </c>
      <c r="AM92" s="115">
        <f aca="true" t="shared" si="145" ref="AM92:AM97">(E92+Q92+AC92)/AS92</f>
        <v>0.47258467023172906</v>
      </c>
      <c r="AN92" s="7">
        <f aca="true" t="shared" si="146" ref="AN92:AN97">(H92+T92+AF92)/AT92</f>
        <v>0.8786516853932584</v>
      </c>
      <c r="AO92" s="171">
        <f aca="true" t="shared" si="147" ref="AO92:AO97">AP92/AQ92</f>
        <v>0.20955425502064376</v>
      </c>
      <c r="AP92" s="63">
        <f aca="true" t="shared" si="148" ref="AP92:AP97">AF92+AC92+Z92+T92+Q92+N92+H92+E92+B92</f>
        <v>167288</v>
      </c>
      <c r="AQ92" s="3">
        <f aca="true" t="shared" si="149" ref="AQ92:AQ97">AH92+AF92+AE92+AC92+Z92+AB92+V92+T92+S92+Q92+P92+J92+H92+G92+E92+D92+B92</f>
        <v>798304</v>
      </c>
      <c r="AR92" s="116">
        <f aca="true" t="shared" si="150" ref="AR92:AR97">+D92+P92+AB92</f>
        <v>765534</v>
      </c>
      <c r="AS92" s="3">
        <f aca="true" t="shared" si="151" ref="AS92:AS97">G92+S92+AE92</f>
        <v>14025</v>
      </c>
      <c r="AT92" s="26">
        <f aca="true" t="shared" si="152" ref="AT92:AT97">J92+V92+AH92</f>
        <v>445</v>
      </c>
    </row>
    <row r="93" spans="1:46" ht="12.75">
      <c r="A93" s="146">
        <v>42036</v>
      </c>
      <c r="B93" s="3">
        <v>11397</v>
      </c>
      <c r="C93" s="115">
        <f t="shared" si="93"/>
        <v>0.09320564615057492</v>
      </c>
      <c r="D93" s="3">
        <v>122278</v>
      </c>
      <c r="E93" s="178">
        <v>800</v>
      </c>
      <c r="F93" s="115">
        <f t="shared" si="94"/>
        <v>0.4444444444444444</v>
      </c>
      <c r="G93" s="3">
        <v>1800</v>
      </c>
      <c r="H93" s="178">
        <v>34</v>
      </c>
      <c r="I93" s="115">
        <f t="shared" si="95"/>
        <v>0.7727272727272727</v>
      </c>
      <c r="J93" s="3">
        <v>44</v>
      </c>
      <c r="K93" s="195">
        <f t="shared" si="138"/>
        <v>12231</v>
      </c>
      <c r="L93" s="115">
        <f aca="true" t="shared" si="153" ref="L93:L99">K93/M93</f>
        <v>0.09854014598540146</v>
      </c>
      <c r="M93" s="23">
        <f t="shared" si="139"/>
        <v>124122</v>
      </c>
      <c r="N93" s="3">
        <v>149207</v>
      </c>
      <c r="O93" s="67">
        <f t="shared" si="101"/>
        <v>0.24556578698331977</v>
      </c>
      <c r="P93" s="174">
        <v>607605</v>
      </c>
      <c r="Q93" s="68">
        <v>5770</v>
      </c>
      <c r="R93" s="67">
        <f t="shared" si="102"/>
        <v>0.4796342477140482</v>
      </c>
      <c r="S93" s="40">
        <v>12030</v>
      </c>
      <c r="T93" s="68">
        <v>358</v>
      </c>
      <c r="U93" s="67">
        <f t="shared" si="103"/>
        <v>0.8883374689826302</v>
      </c>
      <c r="V93" s="40">
        <v>403</v>
      </c>
      <c r="W93" s="63">
        <f t="shared" si="140"/>
        <v>155335</v>
      </c>
      <c r="X93" s="67">
        <f t="shared" si="137"/>
        <v>0.2505249678245527</v>
      </c>
      <c r="Y93" s="26">
        <f t="shared" si="141"/>
        <v>620038</v>
      </c>
      <c r="Z93" s="3">
        <v>36</v>
      </c>
      <c r="AA93" s="115">
        <f t="shared" si="98"/>
        <v>0.001004772670183371</v>
      </c>
      <c r="AB93" s="40">
        <v>35829</v>
      </c>
      <c r="AC93" s="3">
        <v>18</v>
      </c>
      <c r="AD93" s="115">
        <f t="shared" si="99"/>
        <v>0.0972972972972973</v>
      </c>
      <c r="AE93" s="40">
        <v>185</v>
      </c>
      <c r="AF93" s="3">
        <v>9</v>
      </c>
      <c r="AG93" s="7">
        <f t="shared" si="100"/>
        <v>0.75</v>
      </c>
      <c r="AH93" s="3">
        <v>12</v>
      </c>
      <c r="AI93" s="41">
        <f t="shared" si="142"/>
        <v>63</v>
      </c>
      <c r="AJ93" s="7">
        <f aca="true" t="shared" si="154" ref="AJ93:AJ99">AI93/AK93</f>
        <v>0.0017487370232609782</v>
      </c>
      <c r="AK93" s="44">
        <f t="shared" si="143"/>
        <v>36026</v>
      </c>
      <c r="AL93" s="117">
        <f t="shared" si="144"/>
        <v>0.2097916710199135</v>
      </c>
      <c r="AM93" s="115">
        <f t="shared" si="145"/>
        <v>0.47006778451658937</v>
      </c>
      <c r="AN93" s="7">
        <f t="shared" si="146"/>
        <v>0.8736383442265795</v>
      </c>
      <c r="AO93" s="171">
        <f t="shared" si="147"/>
        <v>0.20990147857271652</v>
      </c>
      <c r="AP93" s="63">
        <f t="shared" si="148"/>
        <v>167629</v>
      </c>
      <c r="AQ93" s="3">
        <f t="shared" si="149"/>
        <v>798608</v>
      </c>
      <c r="AR93" s="116">
        <f t="shared" si="150"/>
        <v>765712</v>
      </c>
      <c r="AS93" s="3">
        <f t="shared" si="151"/>
        <v>14015</v>
      </c>
      <c r="AT93" s="26">
        <f t="shared" si="152"/>
        <v>459</v>
      </c>
    </row>
    <row r="94" spans="1:46" ht="12.75">
      <c r="A94" s="146">
        <v>42005</v>
      </c>
      <c r="B94" s="3">
        <v>11711</v>
      </c>
      <c r="C94" s="115">
        <f t="shared" si="93"/>
        <v>0.09575320512820513</v>
      </c>
      <c r="D94" s="3">
        <v>122304</v>
      </c>
      <c r="E94" s="178">
        <v>800</v>
      </c>
      <c r="F94" s="115">
        <f t="shared" si="94"/>
        <v>0.4507042253521127</v>
      </c>
      <c r="G94" s="3">
        <v>1775</v>
      </c>
      <c r="H94" s="178">
        <v>34</v>
      </c>
      <c r="I94" s="115">
        <f t="shared" si="95"/>
        <v>0.7727272727272727</v>
      </c>
      <c r="J94" s="3">
        <v>44</v>
      </c>
      <c r="K94" s="195">
        <f t="shared" si="138"/>
        <v>12545</v>
      </c>
      <c r="L94" s="115">
        <f t="shared" si="153"/>
        <v>0.10106910081129203</v>
      </c>
      <c r="M94" s="23">
        <f t="shared" si="139"/>
        <v>124123</v>
      </c>
      <c r="N94" s="3">
        <v>152467</v>
      </c>
      <c r="O94" s="67">
        <f t="shared" si="101"/>
        <v>0.25096167932171365</v>
      </c>
      <c r="P94" s="174">
        <v>607531</v>
      </c>
      <c r="Q94" s="68">
        <v>5691</v>
      </c>
      <c r="R94" s="67">
        <f t="shared" si="102"/>
        <v>0.4718514219384794</v>
      </c>
      <c r="S94" s="40">
        <v>12061</v>
      </c>
      <c r="T94" s="68">
        <v>351</v>
      </c>
      <c r="U94" s="67">
        <f t="shared" si="103"/>
        <v>0.8796992481203008</v>
      </c>
      <c r="V94" s="40">
        <v>399</v>
      </c>
      <c r="W94" s="63">
        <f t="shared" si="140"/>
        <v>158509</v>
      </c>
      <c r="X94" s="67">
        <f t="shared" si="137"/>
        <v>0.2556633886620935</v>
      </c>
      <c r="Y94" s="26">
        <f t="shared" si="141"/>
        <v>619991</v>
      </c>
      <c r="Z94" s="3">
        <v>45</v>
      </c>
      <c r="AA94" s="115">
        <f t="shared" si="98"/>
        <v>0.001213494053879136</v>
      </c>
      <c r="AB94" s="40">
        <v>37083</v>
      </c>
      <c r="AC94" s="3">
        <v>18</v>
      </c>
      <c r="AD94" s="115">
        <f t="shared" si="99"/>
        <v>0.09944751381215469</v>
      </c>
      <c r="AE94" s="40">
        <v>181</v>
      </c>
      <c r="AF94" s="3">
        <v>9</v>
      </c>
      <c r="AG94" s="7">
        <f t="shared" si="100"/>
        <v>0.6923076923076923</v>
      </c>
      <c r="AH94" s="3">
        <v>13</v>
      </c>
      <c r="AI94" s="41">
        <f t="shared" si="142"/>
        <v>72</v>
      </c>
      <c r="AJ94" s="7">
        <f t="shared" si="154"/>
        <v>0.0019314859028355287</v>
      </c>
      <c r="AK94" s="44">
        <f t="shared" si="143"/>
        <v>37277</v>
      </c>
      <c r="AL94" s="117">
        <f t="shared" si="144"/>
        <v>0.2141337144257926</v>
      </c>
      <c r="AM94" s="115">
        <f t="shared" si="145"/>
        <v>0.4643647000071342</v>
      </c>
      <c r="AN94" s="7">
        <f t="shared" si="146"/>
        <v>0.8640350877192983</v>
      </c>
      <c r="AO94" s="171">
        <f t="shared" si="147"/>
        <v>0.21389413161677395</v>
      </c>
      <c r="AP94" s="63">
        <f t="shared" si="148"/>
        <v>171126</v>
      </c>
      <c r="AQ94" s="3">
        <f t="shared" si="149"/>
        <v>800050</v>
      </c>
      <c r="AR94" s="116">
        <f t="shared" si="150"/>
        <v>766918</v>
      </c>
      <c r="AS94" s="3">
        <f t="shared" si="151"/>
        <v>14017</v>
      </c>
      <c r="AT94" s="26">
        <f t="shared" si="152"/>
        <v>456</v>
      </c>
    </row>
    <row r="95" spans="1:46" ht="12.75">
      <c r="A95" s="146">
        <v>41974</v>
      </c>
      <c r="B95" s="3">
        <v>12167</v>
      </c>
      <c r="C95" s="115">
        <f t="shared" si="93"/>
        <v>0.09948568671861585</v>
      </c>
      <c r="D95" s="3">
        <v>122299</v>
      </c>
      <c r="E95" s="178">
        <v>782</v>
      </c>
      <c r="F95" s="115">
        <f t="shared" si="94"/>
        <v>0.43760492445439286</v>
      </c>
      <c r="G95" s="3">
        <v>1787</v>
      </c>
      <c r="H95" s="178">
        <v>34</v>
      </c>
      <c r="I95" s="115">
        <f t="shared" si="95"/>
        <v>0.7727272727272727</v>
      </c>
      <c r="J95" s="3">
        <v>44</v>
      </c>
      <c r="K95" s="195">
        <f t="shared" si="138"/>
        <v>12983</v>
      </c>
      <c r="L95" s="115">
        <f t="shared" si="153"/>
        <v>0.10459196004189157</v>
      </c>
      <c r="M95" s="23">
        <f t="shared" si="139"/>
        <v>124130</v>
      </c>
      <c r="N95" s="3">
        <v>159680</v>
      </c>
      <c r="O95" s="67">
        <f t="shared" si="101"/>
        <v>0.26299882566280874</v>
      </c>
      <c r="P95" s="174">
        <v>607151</v>
      </c>
      <c r="Q95" s="68">
        <v>5591</v>
      </c>
      <c r="R95" s="67">
        <f t="shared" si="102"/>
        <v>0.4545898040491097</v>
      </c>
      <c r="S95" s="40">
        <v>12299</v>
      </c>
      <c r="T95" s="68">
        <v>346</v>
      </c>
      <c r="U95" s="67">
        <f t="shared" si="103"/>
        <v>0.8671679197994987</v>
      </c>
      <c r="V95" s="40">
        <v>399</v>
      </c>
      <c r="W95" s="63">
        <f t="shared" si="140"/>
        <v>165617</v>
      </c>
      <c r="X95" s="67">
        <f t="shared" si="137"/>
        <v>0.26718926706343</v>
      </c>
      <c r="Y95" s="26">
        <f t="shared" si="141"/>
        <v>619849</v>
      </c>
      <c r="Z95" s="3">
        <v>47</v>
      </c>
      <c r="AA95" s="115">
        <f t="shared" si="98"/>
        <v>0.0012658568773734817</v>
      </c>
      <c r="AB95" s="40">
        <v>37129</v>
      </c>
      <c r="AC95" s="3">
        <v>16</v>
      </c>
      <c r="AD95" s="115">
        <f t="shared" si="99"/>
        <v>0.09302325581395349</v>
      </c>
      <c r="AE95" s="40">
        <v>172</v>
      </c>
      <c r="AF95" s="3">
        <v>9</v>
      </c>
      <c r="AG95" s="7">
        <f t="shared" si="100"/>
        <v>0.75</v>
      </c>
      <c r="AH95" s="3">
        <v>12</v>
      </c>
      <c r="AI95" s="41">
        <f t="shared" si="142"/>
        <v>72</v>
      </c>
      <c r="AJ95" s="7">
        <f t="shared" si="154"/>
        <v>0.00192962238361965</v>
      </c>
      <c r="AK95" s="44">
        <f t="shared" si="143"/>
        <v>37313</v>
      </c>
      <c r="AL95" s="117">
        <f t="shared" si="144"/>
        <v>0.22423520602573252</v>
      </c>
      <c r="AM95" s="115">
        <f t="shared" si="145"/>
        <v>0.44809931266657316</v>
      </c>
      <c r="AN95" s="7">
        <f t="shared" si="146"/>
        <v>0.8549450549450549</v>
      </c>
      <c r="AO95" s="171">
        <f t="shared" si="147"/>
        <v>0.22326074243643507</v>
      </c>
      <c r="AP95" s="63">
        <f t="shared" si="148"/>
        <v>178672</v>
      </c>
      <c r="AQ95" s="3">
        <f t="shared" si="149"/>
        <v>800284</v>
      </c>
      <c r="AR95" s="116">
        <f t="shared" si="150"/>
        <v>766579</v>
      </c>
      <c r="AS95" s="3">
        <f t="shared" si="151"/>
        <v>14258</v>
      </c>
      <c r="AT95" s="26">
        <f t="shared" si="152"/>
        <v>455</v>
      </c>
    </row>
    <row r="96" spans="1:46" ht="12.75">
      <c r="A96" s="146">
        <v>41944</v>
      </c>
      <c r="B96" s="3">
        <v>13744</v>
      </c>
      <c r="C96" s="115">
        <f t="shared" si="93"/>
        <v>0.11230409700772989</v>
      </c>
      <c r="D96" s="3">
        <v>122382</v>
      </c>
      <c r="E96" s="178">
        <v>776</v>
      </c>
      <c r="F96" s="115">
        <f t="shared" si="94"/>
        <v>0.42684268426842686</v>
      </c>
      <c r="G96" s="3">
        <v>1818</v>
      </c>
      <c r="H96" s="178">
        <v>34</v>
      </c>
      <c r="I96" s="115">
        <f t="shared" si="95"/>
        <v>0.7727272727272727</v>
      </c>
      <c r="J96" s="3">
        <v>44</v>
      </c>
      <c r="K96" s="195">
        <f t="shared" si="138"/>
        <v>14554</v>
      </c>
      <c r="L96" s="115">
        <f t="shared" si="153"/>
        <v>0.11714046553555905</v>
      </c>
      <c r="M96" s="23">
        <f t="shared" si="139"/>
        <v>124244</v>
      </c>
      <c r="N96" s="3">
        <v>163100</v>
      </c>
      <c r="O96" s="67">
        <f t="shared" si="101"/>
        <v>0.26891338219170174</v>
      </c>
      <c r="P96" s="174">
        <v>606515</v>
      </c>
      <c r="Q96" s="68">
        <v>5544</v>
      </c>
      <c r="R96" s="67">
        <f t="shared" si="102"/>
        <v>0.4467365028203062</v>
      </c>
      <c r="S96" s="40">
        <v>12410</v>
      </c>
      <c r="T96" s="68">
        <v>344</v>
      </c>
      <c r="U96" s="67">
        <f t="shared" si="103"/>
        <v>0.85785536159601</v>
      </c>
      <c r="V96" s="40">
        <v>401</v>
      </c>
      <c r="W96" s="63">
        <f t="shared" si="140"/>
        <v>168988</v>
      </c>
      <c r="X96" s="67">
        <f t="shared" si="137"/>
        <v>0.2728579132799204</v>
      </c>
      <c r="Y96" s="26">
        <f t="shared" si="141"/>
        <v>619326</v>
      </c>
      <c r="Z96" s="3">
        <v>53</v>
      </c>
      <c r="AA96" s="115">
        <f t="shared" si="98"/>
        <v>0.00142722498990171</v>
      </c>
      <c r="AB96" s="40">
        <v>37135</v>
      </c>
      <c r="AC96" s="3">
        <v>41</v>
      </c>
      <c r="AD96" s="115">
        <f t="shared" si="99"/>
        <v>0.23699421965317918</v>
      </c>
      <c r="AE96" s="40">
        <v>173</v>
      </c>
      <c r="AF96" s="3">
        <v>9</v>
      </c>
      <c r="AG96" s="7">
        <f t="shared" si="100"/>
        <v>0.75</v>
      </c>
      <c r="AH96" s="3">
        <v>12</v>
      </c>
      <c r="AI96" s="41">
        <f t="shared" si="142"/>
        <v>103</v>
      </c>
      <c r="AJ96" s="7">
        <f t="shared" si="154"/>
        <v>0.002759914255091104</v>
      </c>
      <c r="AK96" s="44">
        <f t="shared" si="143"/>
        <v>37320</v>
      </c>
      <c r="AL96" s="117">
        <f t="shared" si="144"/>
        <v>0.23092638427637488</v>
      </c>
      <c r="AM96" s="115">
        <f t="shared" si="145"/>
        <v>0.44170543712242205</v>
      </c>
      <c r="AN96" s="7">
        <f t="shared" si="146"/>
        <v>0.8468271334792122</v>
      </c>
      <c r="AO96" s="171">
        <f t="shared" si="147"/>
        <v>0.22914522076026128</v>
      </c>
      <c r="AP96" s="63">
        <f t="shared" si="148"/>
        <v>183645</v>
      </c>
      <c r="AQ96" s="3">
        <f t="shared" si="149"/>
        <v>801435</v>
      </c>
      <c r="AR96" s="116">
        <f t="shared" si="150"/>
        <v>766032</v>
      </c>
      <c r="AS96" s="3">
        <f t="shared" si="151"/>
        <v>14401</v>
      </c>
      <c r="AT96" s="26">
        <f t="shared" si="152"/>
        <v>457</v>
      </c>
    </row>
    <row r="97" spans="1:46" ht="12.75">
      <c r="A97" s="146">
        <v>41926</v>
      </c>
      <c r="B97" s="3">
        <v>14276</v>
      </c>
      <c r="C97" s="115">
        <f t="shared" si="93"/>
        <v>0.11615380860169561</v>
      </c>
      <c r="D97" s="3">
        <v>122906</v>
      </c>
      <c r="E97" s="178">
        <v>762</v>
      </c>
      <c r="F97" s="115">
        <f t="shared" si="94"/>
        <v>0.41458106637649617</v>
      </c>
      <c r="G97" s="3">
        <v>1838</v>
      </c>
      <c r="H97" s="178">
        <v>34</v>
      </c>
      <c r="I97" s="115">
        <f t="shared" si="95"/>
        <v>0.7727272727272727</v>
      </c>
      <c r="J97" s="3">
        <v>44</v>
      </c>
      <c r="K97" s="195">
        <f t="shared" si="138"/>
        <v>15072</v>
      </c>
      <c r="L97" s="115">
        <f t="shared" si="153"/>
        <v>0.12078084431195307</v>
      </c>
      <c r="M97" s="23">
        <f t="shared" si="139"/>
        <v>124788</v>
      </c>
      <c r="N97" s="3">
        <v>166194</v>
      </c>
      <c r="O97" s="67">
        <f t="shared" si="101"/>
        <v>0.27413036342553265</v>
      </c>
      <c r="P97" s="174">
        <v>606259</v>
      </c>
      <c r="Q97" s="68">
        <v>5623</v>
      </c>
      <c r="R97" s="67">
        <f t="shared" si="102"/>
        <v>0.44930083899320816</v>
      </c>
      <c r="S97" s="40">
        <v>12515</v>
      </c>
      <c r="T97" s="68">
        <v>350</v>
      </c>
      <c r="U97" s="67">
        <f t="shared" si="103"/>
        <v>0.8728179551122195</v>
      </c>
      <c r="V97" s="40">
        <v>401</v>
      </c>
      <c r="W97" s="63">
        <f t="shared" si="140"/>
        <v>172167</v>
      </c>
      <c r="X97" s="67">
        <f aca="true" t="shared" si="155" ref="X97:X103">W97/Y97</f>
        <v>0.278058707150644</v>
      </c>
      <c r="Y97" s="26">
        <f t="shared" si="141"/>
        <v>619175</v>
      </c>
      <c r="Z97" s="3">
        <v>60</v>
      </c>
      <c r="AA97" s="115">
        <f t="shared" si="98"/>
        <v>0.001612296447573494</v>
      </c>
      <c r="AB97" s="40">
        <v>37214</v>
      </c>
      <c r="AC97" s="3">
        <v>52</v>
      </c>
      <c r="AD97" s="115">
        <f t="shared" si="99"/>
        <v>0.30057803468208094</v>
      </c>
      <c r="AE97" s="40">
        <v>173</v>
      </c>
      <c r="AF97" s="3">
        <v>8</v>
      </c>
      <c r="AG97" s="7">
        <f t="shared" si="100"/>
        <v>0.7272727272727273</v>
      </c>
      <c r="AH97" s="3">
        <v>11</v>
      </c>
      <c r="AI97" s="41">
        <f t="shared" si="142"/>
        <v>120</v>
      </c>
      <c r="AJ97" s="7">
        <f t="shared" si="154"/>
        <v>0.0032087277394513077</v>
      </c>
      <c r="AK97" s="44">
        <f t="shared" si="143"/>
        <v>37398</v>
      </c>
      <c r="AL97" s="117">
        <f t="shared" si="144"/>
        <v>0.23556230011521714</v>
      </c>
      <c r="AM97" s="115">
        <f t="shared" si="145"/>
        <v>0.44313644499518107</v>
      </c>
      <c r="AN97" s="7">
        <f t="shared" si="146"/>
        <v>0.8596491228070176</v>
      </c>
      <c r="AO97" s="171">
        <f t="shared" si="147"/>
        <v>0.2334615950137441</v>
      </c>
      <c r="AP97" s="63">
        <f t="shared" si="148"/>
        <v>187359</v>
      </c>
      <c r="AQ97" s="3">
        <f t="shared" si="149"/>
        <v>802526</v>
      </c>
      <c r="AR97" s="116">
        <f t="shared" si="150"/>
        <v>766379</v>
      </c>
      <c r="AS97" s="3">
        <f t="shared" si="151"/>
        <v>14526</v>
      </c>
      <c r="AT97" s="26">
        <f t="shared" si="152"/>
        <v>456</v>
      </c>
    </row>
    <row r="98" spans="1:46" ht="12.75">
      <c r="A98" s="146">
        <v>41883</v>
      </c>
      <c r="B98" s="3">
        <v>14696</v>
      </c>
      <c r="C98" s="115">
        <f t="shared" si="93"/>
        <v>0.1189295049729301</v>
      </c>
      <c r="D98" s="3">
        <v>123569</v>
      </c>
      <c r="E98" s="178">
        <v>754</v>
      </c>
      <c r="F98" s="115">
        <f t="shared" si="94"/>
        <v>0.40625</v>
      </c>
      <c r="G98" s="3">
        <v>1856</v>
      </c>
      <c r="H98" s="178">
        <v>34</v>
      </c>
      <c r="I98" s="115">
        <f t="shared" si="95"/>
        <v>0.7727272727272727</v>
      </c>
      <c r="J98" s="3">
        <v>44</v>
      </c>
      <c r="K98" s="195">
        <f aca="true" t="shared" si="156" ref="K98:K103">+H98+E98+B98</f>
        <v>15484</v>
      </c>
      <c r="L98" s="115">
        <f t="shared" si="153"/>
        <v>0.12340896954626242</v>
      </c>
      <c r="M98" s="23">
        <f aca="true" t="shared" si="157" ref="M98:M103">+J98+G98+D98</f>
        <v>125469</v>
      </c>
      <c r="N98" s="3">
        <v>169150</v>
      </c>
      <c r="O98" s="67">
        <f t="shared" si="101"/>
        <v>0.27934990660811576</v>
      </c>
      <c r="P98" s="174">
        <v>605513</v>
      </c>
      <c r="Q98" s="68">
        <v>5649</v>
      </c>
      <c r="R98" s="67">
        <f t="shared" si="102"/>
        <v>0.4494748567791216</v>
      </c>
      <c r="S98" s="40">
        <v>12568</v>
      </c>
      <c r="T98" s="68">
        <v>348</v>
      </c>
      <c r="U98" s="67">
        <f t="shared" si="103"/>
        <v>0.87</v>
      </c>
      <c r="V98" s="40">
        <v>400</v>
      </c>
      <c r="W98" s="63">
        <f aca="true" t="shared" si="158" ref="W98:W103">+T98+Q98+N98</f>
        <v>175147</v>
      </c>
      <c r="X98" s="67">
        <f t="shared" si="155"/>
        <v>0.283188974277302</v>
      </c>
      <c r="Y98" s="26">
        <f aca="true" t="shared" si="159" ref="Y98:Y103">+V98+S98+P98</f>
        <v>618481</v>
      </c>
      <c r="Z98" s="3">
        <v>63</v>
      </c>
      <c r="AA98" s="115">
        <f t="shared" si="98"/>
        <v>0.00169218372280419</v>
      </c>
      <c r="AB98" s="40">
        <v>37230</v>
      </c>
      <c r="AC98" s="3">
        <v>52</v>
      </c>
      <c r="AD98" s="115">
        <f t="shared" si="99"/>
        <v>0.30057803468208094</v>
      </c>
      <c r="AE98" s="40">
        <v>173</v>
      </c>
      <c r="AF98" s="3">
        <v>8</v>
      </c>
      <c r="AG98" s="7">
        <f t="shared" si="100"/>
        <v>0.7272727272727273</v>
      </c>
      <c r="AH98" s="3">
        <v>11</v>
      </c>
      <c r="AI98" s="41">
        <f aca="true" t="shared" si="160" ref="AI98:AI103">+AF98+AC98+Z98</f>
        <v>123</v>
      </c>
      <c r="AJ98" s="7">
        <f t="shared" si="154"/>
        <v>0.0032875394237451222</v>
      </c>
      <c r="AK98" s="44">
        <f aca="true" t="shared" si="161" ref="AK98:AK103">+AH98+AE98+AB98</f>
        <v>37414</v>
      </c>
      <c r="AL98" s="117">
        <f aca="true" t="shared" si="162" ref="AL98:AL103">(B98+N98+Z98)/AR98</f>
        <v>0.23999232688513294</v>
      </c>
      <c r="AM98" s="115">
        <f aca="true" t="shared" si="163" ref="AM98:AM103">(E98+Q98+AC98)/AS98</f>
        <v>0.4422141535932041</v>
      </c>
      <c r="AN98" s="7">
        <f aca="true" t="shared" si="164" ref="AN98:AN103">(H98+T98+AF98)/AT98</f>
        <v>0.8571428571428571</v>
      </c>
      <c r="AO98" s="171">
        <f aca="true" t="shared" si="165" ref="AO98:AO103">AP98/AQ98</f>
        <v>0.2375611481403991</v>
      </c>
      <c r="AP98" s="63">
        <f aca="true" t="shared" si="166" ref="AP98:AP103">AF98+AC98+Z98+T98+Q98+N98+H98+E98+B98</f>
        <v>190754</v>
      </c>
      <c r="AQ98" s="3">
        <f aca="true" t="shared" si="167" ref="AQ98:AQ103">AH98+AF98+AE98+AC98+Z98+AB98+V98+T98+S98+Q98+P98+J98+H98+G98+E98+D98+B98</f>
        <v>802968</v>
      </c>
      <c r="AR98" s="116">
        <f aca="true" t="shared" si="168" ref="AR98:AR103">+D98+P98+AB98</f>
        <v>766312</v>
      </c>
      <c r="AS98" s="3">
        <f aca="true" t="shared" si="169" ref="AS98:AS103">G98+S98+AE98</f>
        <v>14597</v>
      </c>
      <c r="AT98" s="26">
        <f aca="true" t="shared" si="170" ref="AT98:AT103">J98+V98+AH98</f>
        <v>455</v>
      </c>
    </row>
    <row r="99" spans="1:46" ht="12.75">
      <c r="A99" s="146">
        <v>41852</v>
      </c>
      <c r="B99" s="3">
        <v>15157</v>
      </c>
      <c r="C99" s="115">
        <f t="shared" si="93"/>
        <v>0.12242936301513707</v>
      </c>
      <c r="D99" s="3">
        <v>123802</v>
      </c>
      <c r="E99" s="178">
        <v>753</v>
      </c>
      <c r="F99" s="115">
        <f t="shared" si="94"/>
        <v>0.40440386680988183</v>
      </c>
      <c r="G99" s="3">
        <v>1862</v>
      </c>
      <c r="H99" s="178">
        <v>34</v>
      </c>
      <c r="I99" s="115">
        <f t="shared" si="95"/>
        <v>0.7555555555555555</v>
      </c>
      <c r="J99" s="3">
        <v>45</v>
      </c>
      <c r="K99" s="195">
        <f t="shared" si="156"/>
        <v>15944</v>
      </c>
      <c r="L99" s="115">
        <f t="shared" si="153"/>
        <v>0.12683260546182054</v>
      </c>
      <c r="M99" s="23">
        <f t="shared" si="157"/>
        <v>125709</v>
      </c>
      <c r="N99" s="3">
        <v>174268</v>
      </c>
      <c r="O99" s="67">
        <f t="shared" si="101"/>
        <v>0.28795251794043925</v>
      </c>
      <c r="P99" s="174">
        <v>605197</v>
      </c>
      <c r="Q99" s="68">
        <v>5726</v>
      </c>
      <c r="R99" s="67">
        <f t="shared" si="102"/>
        <v>0.4527913964890084</v>
      </c>
      <c r="S99" s="40">
        <v>12646</v>
      </c>
      <c r="T99" s="68">
        <v>350</v>
      </c>
      <c r="U99" s="67">
        <f t="shared" si="103"/>
        <v>0.8816120906801007</v>
      </c>
      <c r="V99" s="40">
        <v>397</v>
      </c>
      <c r="W99" s="63">
        <f t="shared" si="158"/>
        <v>180344</v>
      </c>
      <c r="X99" s="67">
        <f t="shared" si="155"/>
        <v>0.29170548654244305</v>
      </c>
      <c r="Y99" s="26">
        <f t="shared" si="159"/>
        <v>618240</v>
      </c>
      <c r="Z99" s="3">
        <v>63</v>
      </c>
      <c r="AA99" s="115">
        <f t="shared" si="98"/>
        <v>0.0016928202923473775</v>
      </c>
      <c r="AB99" s="40">
        <v>37216</v>
      </c>
      <c r="AC99" s="3">
        <v>53</v>
      </c>
      <c r="AD99" s="115">
        <f t="shared" si="99"/>
        <v>0.3045977011494253</v>
      </c>
      <c r="AE99" s="40">
        <v>174</v>
      </c>
      <c r="AF99" s="3">
        <v>9</v>
      </c>
      <c r="AG99" s="7">
        <f t="shared" si="100"/>
        <v>0.75</v>
      </c>
      <c r="AH99" s="3">
        <v>12</v>
      </c>
      <c r="AI99" s="41">
        <f t="shared" si="160"/>
        <v>125</v>
      </c>
      <c r="AJ99" s="7">
        <f t="shared" si="154"/>
        <v>0.0033420672691299932</v>
      </c>
      <c r="AK99" s="44">
        <f t="shared" si="161"/>
        <v>37402</v>
      </c>
      <c r="AL99" s="117">
        <f t="shared" si="162"/>
        <v>0.24730395515618983</v>
      </c>
      <c r="AM99" s="115">
        <f t="shared" si="163"/>
        <v>0.4448985151886664</v>
      </c>
      <c r="AN99" s="7">
        <f t="shared" si="164"/>
        <v>0.8656387665198237</v>
      </c>
      <c r="AO99" s="171">
        <f t="shared" si="165"/>
        <v>0.24444801218674392</v>
      </c>
      <c r="AP99" s="63">
        <f t="shared" si="166"/>
        <v>196413</v>
      </c>
      <c r="AQ99" s="3">
        <f t="shared" si="167"/>
        <v>803496</v>
      </c>
      <c r="AR99" s="116">
        <f t="shared" si="168"/>
        <v>766215</v>
      </c>
      <c r="AS99" s="3">
        <f t="shared" si="169"/>
        <v>14682</v>
      </c>
      <c r="AT99" s="26">
        <f t="shared" si="170"/>
        <v>454</v>
      </c>
    </row>
    <row r="100" spans="1:46" ht="12.75">
      <c r="A100" s="146">
        <v>41821</v>
      </c>
      <c r="B100" s="3">
        <v>15454</v>
      </c>
      <c r="C100" s="115">
        <f t="shared" si="93"/>
        <v>0.12494542632149151</v>
      </c>
      <c r="D100" s="3">
        <v>123686</v>
      </c>
      <c r="E100" s="178">
        <v>755</v>
      </c>
      <c r="F100" s="115">
        <f t="shared" si="94"/>
        <v>0.40569586243954864</v>
      </c>
      <c r="G100" s="3">
        <v>1861</v>
      </c>
      <c r="H100" s="178">
        <v>34</v>
      </c>
      <c r="I100" s="115">
        <f t="shared" si="95"/>
        <v>0.7555555555555555</v>
      </c>
      <c r="J100" s="3">
        <v>45</v>
      </c>
      <c r="K100" s="195">
        <f t="shared" si="156"/>
        <v>16243</v>
      </c>
      <c r="L100" s="115">
        <f aca="true" t="shared" si="171" ref="L100:L106">K100/M100</f>
        <v>0.12933148608191605</v>
      </c>
      <c r="M100" s="23">
        <f t="shared" si="157"/>
        <v>125592</v>
      </c>
      <c r="N100" s="3">
        <v>175851</v>
      </c>
      <c r="O100" s="67">
        <f t="shared" si="101"/>
        <v>0.29069404150859185</v>
      </c>
      <c r="P100" s="174">
        <v>604935</v>
      </c>
      <c r="Q100" s="68">
        <v>5660</v>
      </c>
      <c r="R100" s="67">
        <f t="shared" si="102"/>
        <v>0.45334401281537845</v>
      </c>
      <c r="S100" s="40">
        <v>12485</v>
      </c>
      <c r="T100" s="68">
        <v>350</v>
      </c>
      <c r="U100" s="67">
        <f t="shared" si="103"/>
        <v>0.8793969849246231</v>
      </c>
      <c r="V100" s="40">
        <v>398</v>
      </c>
      <c r="W100" s="63">
        <f t="shared" si="158"/>
        <v>181861</v>
      </c>
      <c r="X100" s="67">
        <f t="shared" si="155"/>
        <v>0.2943601513714395</v>
      </c>
      <c r="Y100" s="26">
        <f t="shared" si="159"/>
        <v>617818</v>
      </c>
      <c r="Z100" s="3">
        <v>62</v>
      </c>
      <c r="AA100" s="115">
        <f t="shared" si="98"/>
        <v>0.0016655473472128946</v>
      </c>
      <c r="AB100" s="40">
        <v>37225</v>
      </c>
      <c r="AC100" s="3">
        <v>54</v>
      </c>
      <c r="AD100" s="115">
        <f t="shared" si="99"/>
        <v>0.3016759776536313</v>
      </c>
      <c r="AE100" s="40">
        <v>179</v>
      </c>
      <c r="AF100" s="3">
        <v>9</v>
      </c>
      <c r="AG100" s="7">
        <f t="shared" si="100"/>
        <v>0.75</v>
      </c>
      <c r="AH100" s="3">
        <v>12</v>
      </c>
      <c r="AI100" s="41">
        <f t="shared" si="160"/>
        <v>125</v>
      </c>
      <c r="AJ100" s="7">
        <f aca="true" t="shared" si="172" ref="AJ100:AJ106">AI100/AK100</f>
        <v>0.0033408167628821896</v>
      </c>
      <c r="AK100" s="44">
        <f t="shared" si="161"/>
        <v>37416</v>
      </c>
      <c r="AL100" s="117">
        <f t="shared" si="162"/>
        <v>0.24987660704632525</v>
      </c>
      <c r="AM100" s="115">
        <f t="shared" si="163"/>
        <v>0.4453700516351119</v>
      </c>
      <c r="AN100" s="7">
        <f t="shared" si="164"/>
        <v>0.8637362637362638</v>
      </c>
      <c r="AO100" s="171">
        <f t="shared" si="165"/>
        <v>0.24679782471202832</v>
      </c>
      <c r="AP100" s="63">
        <f t="shared" si="166"/>
        <v>198229</v>
      </c>
      <c r="AQ100" s="3">
        <f t="shared" si="167"/>
        <v>803204</v>
      </c>
      <c r="AR100" s="116">
        <f t="shared" si="168"/>
        <v>765846</v>
      </c>
      <c r="AS100" s="3">
        <f t="shared" si="169"/>
        <v>14525</v>
      </c>
      <c r="AT100" s="26">
        <f t="shared" si="170"/>
        <v>455</v>
      </c>
    </row>
    <row r="101" spans="1:46" ht="12.75">
      <c r="A101" s="146">
        <v>41791</v>
      </c>
      <c r="B101" s="3">
        <v>15558</v>
      </c>
      <c r="C101" s="115">
        <f t="shared" si="93"/>
        <v>0.1259573503456986</v>
      </c>
      <c r="D101" s="3">
        <v>123518</v>
      </c>
      <c r="E101" s="178">
        <v>754</v>
      </c>
      <c r="F101" s="115">
        <f t="shared" si="94"/>
        <v>0.40494092373791624</v>
      </c>
      <c r="G101" s="3">
        <v>1862</v>
      </c>
      <c r="H101" s="178">
        <v>34</v>
      </c>
      <c r="I101" s="115">
        <f t="shared" si="95"/>
        <v>0.7727272727272727</v>
      </c>
      <c r="J101" s="3">
        <v>44</v>
      </c>
      <c r="K101" s="195">
        <f t="shared" si="156"/>
        <v>16346</v>
      </c>
      <c r="L101" s="115">
        <f t="shared" si="171"/>
        <v>0.13032593443041204</v>
      </c>
      <c r="M101" s="23">
        <f t="shared" si="157"/>
        <v>125424</v>
      </c>
      <c r="N101" s="3">
        <v>177183</v>
      </c>
      <c r="O101" s="67">
        <f t="shared" si="101"/>
        <v>0.29304561828303777</v>
      </c>
      <c r="P101" s="174">
        <v>604626</v>
      </c>
      <c r="Q101" s="68">
        <v>5696</v>
      </c>
      <c r="R101" s="67">
        <f t="shared" si="102"/>
        <v>0.4539730612895513</v>
      </c>
      <c r="S101" s="40">
        <v>12547</v>
      </c>
      <c r="T101" s="68">
        <v>349</v>
      </c>
      <c r="U101" s="67">
        <f t="shared" si="103"/>
        <v>0.8835443037974684</v>
      </c>
      <c r="V101" s="40">
        <v>395</v>
      </c>
      <c r="W101" s="63">
        <f t="shared" si="158"/>
        <v>183228</v>
      </c>
      <c r="X101" s="67">
        <f t="shared" si="155"/>
        <v>0.2966928338255868</v>
      </c>
      <c r="Y101" s="26">
        <f t="shared" si="159"/>
        <v>617568</v>
      </c>
      <c r="Z101" s="3">
        <v>63</v>
      </c>
      <c r="AA101" s="115">
        <f t="shared" si="98"/>
        <v>0.0016928202923473775</v>
      </c>
      <c r="AB101" s="40">
        <v>37216</v>
      </c>
      <c r="AC101" s="3">
        <v>54</v>
      </c>
      <c r="AD101" s="115">
        <f t="shared" si="99"/>
        <v>0.3016759776536313</v>
      </c>
      <c r="AE101" s="40">
        <v>179</v>
      </c>
      <c r="AF101" s="3">
        <v>8</v>
      </c>
      <c r="AG101" s="7">
        <f t="shared" si="100"/>
        <v>0.8</v>
      </c>
      <c r="AH101" s="3">
        <v>10</v>
      </c>
      <c r="AI101" s="41">
        <f t="shared" si="160"/>
        <v>125</v>
      </c>
      <c r="AJ101" s="7">
        <f t="shared" si="172"/>
        <v>0.00334179922470258</v>
      </c>
      <c r="AK101" s="44">
        <f t="shared" si="161"/>
        <v>37405</v>
      </c>
      <c r="AL101" s="117">
        <f t="shared" si="162"/>
        <v>0.25191282533709625</v>
      </c>
      <c r="AM101" s="115">
        <f t="shared" si="163"/>
        <v>0.44584590074033453</v>
      </c>
      <c r="AN101" s="7">
        <f t="shared" si="164"/>
        <v>0.8708240534521158</v>
      </c>
      <c r="AO101" s="171">
        <f t="shared" si="165"/>
        <v>0.24871810519944254</v>
      </c>
      <c r="AP101" s="63">
        <f t="shared" si="166"/>
        <v>199699</v>
      </c>
      <c r="AQ101" s="3">
        <f t="shared" si="167"/>
        <v>802913</v>
      </c>
      <c r="AR101" s="116">
        <f t="shared" si="168"/>
        <v>765360</v>
      </c>
      <c r="AS101" s="3">
        <f t="shared" si="169"/>
        <v>14588</v>
      </c>
      <c r="AT101" s="26">
        <f t="shared" si="170"/>
        <v>449</v>
      </c>
    </row>
    <row r="102" spans="1:46" ht="12.75">
      <c r="A102" s="146">
        <v>41760</v>
      </c>
      <c r="B102" s="3">
        <v>15604</v>
      </c>
      <c r="C102" s="115">
        <f t="shared" si="93"/>
        <v>0.12679787424225186</v>
      </c>
      <c r="D102" s="3">
        <v>123062</v>
      </c>
      <c r="E102" s="178">
        <v>748</v>
      </c>
      <c r="F102" s="115">
        <f t="shared" si="94"/>
        <v>0.40301724137931033</v>
      </c>
      <c r="G102" s="3">
        <v>1856</v>
      </c>
      <c r="H102" s="178">
        <v>34</v>
      </c>
      <c r="I102" s="115">
        <f t="shared" si="95"/>
        <v>0.7727272727272727</v>
      </c>
      <c r="J102" s="3">
        <v>44</v>
      </c>
      <c r="K102" s="195">
        <f t="shared" si="156"/>
        <v>16386</v>
      </c>
      <c r="L102" s="115">
        <f t="shared" si="171"/>
        <v>0.13112786287031258</v>
      </c>
      <c r="M102" s="23">
        <f t="shared" si="157"/>
        <v>124962</v>
      </c>
      <c r="N102" s="3">
        <v>177771</v>
      </c>
      <c r="O102" s="67">
        <f t="shared" si="101"/>
        <v>0.2941854961756266</v>
      </c>
      <c r="P102" s="174">
        <v>604282</v>
      </c>
      <c r="Q102" s="68">
        <v>5671</v>
      </c>
      <c r="R102" s="67">
        <f t="shared" si="102"/>
        <v>0.45579488828162673</v>
      </c>
      <c r="S102" s="40">
        <v>12442</v>
      </c>
      <c r="T102" s="68">
        <v>350</v>
      </c>
      <c r="U102" s="67">
        <f t="shared" si="103"/>
        <v>0.875</v>
      </c>
      <c r="V102" s="40">
        <v>400</v>
      </c>
      <c r="W102" s="63">
        <f t="shared" si="158"/>
        <v>183792</v>
      </c>
      <c r="X102" s="67">
        <f t="shared" si="155"/>
        <v>0.2978202111731192</v>
      </c>
      <c r="Y102" s="26">
        <f t="shared" si="159"/>
        <v>617124</v>
      </c>
      <c r="Z102" s="3">
        <v>64</v>
      </c>
      <c r="AA102" s="115">
        <f t="shared" si="98"/>
        <v>0.0017194594449369978</v>
      </c>
      <c r="AB102" s="40">
        <v>37221</v>
      </c>
      <c r="AC102" s="3">
        <v>54</v>
      </c>
      <c r="AD102" s="115">
        <f t="shared" si="99"/>
        <v>0.30337078651685395</v>
      </c>
      <c r="AE102" s="40">
        <v>178</v>
      </c>
      <c r="AF102" s="3">
        <v>8</v>
      </c>
      <c r="AG102" s="7">
        <f t="shared" si="100"/>
        <v>0.8</v>
      </c>
      <c r="AH102" s="3">
        <v>10</v>
      </c>
      <c r="AI102" s="41">
        <f t="shared" si="160"/>
        <v>126</v>
      </c>
      <c r="AJ102" s="7">
        <f t="shared" si="172"/>
        <v>0.003368173434200326</v>
      </c>
      <c r="AK102" s="44">
        <f t="shared" si="161"/>
        <v>37409</v>
      </c>
      <c r="AL102" s="117">
        <f t="shared" si="162"/>
        <v>0.25300530366940677</v>
      </c>
      <c r="AM102" s="115">
        <f t="shared" si="163"/>
        <v>0.44715390991986737</v>
      </c>
      <c r="AN102" s="7">
        <f t="shared" si="164"/>
        <v>0.8634361233480177</v>
      </c>
      <c r="AO102" s="171">
        <f t="shared" si="165"/>
        <v>0.24974689162971866</v>
      </c>
      <c r="AP102" s="63">
        <f t="shared" si="166"/>
        <v>200304</v>
      </c>
      <c r="AQ102" s="3">
        <f t="shared" si="167"/>
        <v>802028</v>
      </c>
      <c r="AR102" s="116">
        <f t="shared" si="168"/>
        <v>764565</v>
      </c>
      <c r="AS102" s="3">
        <f t="shared" si="169"/>
        <v>14476</v>
      </c>
      <c r="AT102" s="26">
        <f t="shared" si="170"/>
        <v>454</v>
      </c>
    </row>
    <row r="103" spans="1:46" ht="12.75">
      <c r="A103" s="146">
        <v>41730</v>
      </c>
      <c r="B103" s="3">
        <v>15499</v>
      </c>
      <c r="C103" s="115">
        <f t="shared" si="93"/>
        <v>0.12676770568364917</v>
      </c>
      <c r="D103" s="3">
        <v>122263</v>
      </c>
      <c r="E103" s="178">
        <v>746</v>
      </c>
      <c r="F103" s="115">
        <f t="shared" si="94"/>
        <v>0.40698308783415166</v>
      </c>
      <c r="G103" s="3">
        <v>1833</v>
      </c>
      <c r="H103" s="178">
        <v>33</v>
      </c>
      <c r="I103" s="115">
        <f t="shared" si="95"/>
        <v>0.75</v>
      </c>
      <c r="J103" s="3">
        <v>44</v>
      </c>
      <c r="K103" s="195">
        <f t="shared" si="156"/>
        <v>16278</v>
      </c>
      <c r="L103" s="115">
        <f t="shared" si="171"/>
        <v>0.13112614789753504</v>
      </c>
      <c r="M103" s="23">
        <f t="shared" si="157"/>
        <v>124140</v>
      </c>
      <c r="N103" s="3">
        <v>177415</v>
      </c>
      <c r="O103" s="67">
        <f t="shared" si="101"/>
        <v>0.2932396940912404</v>
      </c>
      <c r="P103" s="174">
        <v>605017</v>
      </c>
      <c r="Q103" s="68">
        <v>5679</v>
      </c>
      <c r="R103" s="67">
        <f t="shared" si="102"/>
        <v>0.4560713138451654</v>
      </c>
      <c r="S103" s="40">
        <v>12452</v>
      </c>
      <c r="T103" s="68">
        <v>349</v>
      </c>
      <c r="U103" s="67">
        <f t="shared" si="103"/>
        <v>0.87468671679198</v>
      </c>
      <c r="V103" s="40">
        <v>399</v>
      </c>
      <c r="W103" s="63">
        <f t="shared" si="158"/>
        <v>183443</v>
      </c>
      <c r="X103" s="67">
        <f t="shared" si="155"/>
        <v>0.29689674817274886</v>
      </c>
      <c r="Y103" s="26">
        <f t="shared" si="159"/>
        <v>617868</v>
      </c>
      <c r="Z103" s="3">
        <v>62</v>
      </c>
      <c r="AA103" s="115">
        <f t="shared" si="98"/>
        <v>0.0016692692908297883</v>
      </c>
      <c r="AB103" s="40">
        <v>37142</v>
      </c>
      <c r="AC103" s="3">
        <v>54</v>
      </c>
      <c r="AD103" s="115">
        <f t="shared" si="99"/>
        <v>0.3</v>
      </c>
      <c r="AE103" s="40">
        <v>180</v>
      </c>
      <c r="AF103" s="3">
        <v>8</v>
      </c>
      <c r="AG103" s="7">
        <f t="shared" si="100"/>
        <v>0.8</v>
      </c>
      <c r="AH103" s="3">
        <v>10</v>
      </c>
      <c r="AI103" s="41">
        <f t="shared" si="160"/>
        <v>124</v>
      </c>
      <c r="AJ103" s="7">
        <f t="shared" si="172"/>
        <v>0.0033215471981142184</v>
      </c>
      <c r="AK103" s="44">
        <f t="shared" si="161"/>
        <v>37332</v>
      </c>
      <c r="AL103" s="117">
        <f t="shared" si="162"/>
        <v>0.25244694684349744</v>
      </c>
      <c r="AM103" s="115">
        <f t="shared" si="163"/>
        <v>0.4479087452471483</v>
      </c>
      <c r="AN103" s="7">
        <f t="shared" si="164"/>
        <v>0.8609271523178808</v>
      </c>
      <c r="AO103" s="171">
        <f t="shared" si="165"/>
        <v>0.24925477381293887</v>
      </c>
      <c r="AP103" s="63">
        <f t="shared" si="166"/>
        <v>199845</v>
      </c>
      <c r="AQ103" s="3">
        <f t="shared" si="167"/>
        <v>801770</v>
      </c>
      <c r="AR103" s="116">
        <f t="shared" si="168"/>
        <v>764422</v>
      </c>
      <c r="AS103" s="3">
        <f t="shared" si="169"/>
        <v>14465</v>
      </c>
      <c r="AT103" s="26">
        <f t="shared" si="170"/>
        <v>453</v>
      </c>
    </row>
    <row r="104" spans="1:46" ht="12.75">
      <c r="A104" s="146">
        <v>41699</v>
      </c>
      <c r="B104" s="3">
        <v>15268</v>
      </c>
      <c r="C104" s="115">
        <f t="shared" si="93"/>
        <v>0.12521836120428767</v>
      </c>
      <c r="D104" s="3">
        <v>121931</v>
      </c>
      <c r="E104" s="178">
        <v>736</v>
      </c>
      <c r="F104" s="115">
        <f t="shared" si="94"/>
        <v>0.4160542679479932</v>
      </c>
      <c r="G104" s="3">
        <v>1769</v>
      </c>
      <c r="H104" s="178">
        <v>34</v>
      </c>
      <c r="I104" s="115">
        <f t="shared" si="95"/>
        <v>0.7727272727272727</v>
      </c>
      <c r="J104" s="3">
        <v>44</v>
      </c>
      <c r="K104" s="195">
        <f aca="true" t="shared" si="173" ref="K104:K109">+H104+E104+B104</f>
        <v>16038</v>
      </c>
      <c r="L104" s="115">
        <f t="shared" si="171"/>
        <v>0.12960628394103957</v>
      </c>
      <c r="M104" s="23">
        <f aca="true" t="shared" si="174" ref="M104:M109">+J104+G104+D104</f>
        <v>123744</v>
      </c>
      <c r="N104" s="3">
        <v>177045</v>
      </c>
      <c r="O104" s="67">
        <f t="shared" si="101"/>
        <v>0.29285079818776394</v>
      </c>
      <c r="P104" s="174">
        <v>604557</v>
      </c>
      <c r="Q104" s="68">
        <v>5681</v>
      </c>
      <c r="R104" s="67">
        <f t="shared" si="102"/>
        <v>0.45777598710717166</v>
      </c>
      <c r="S104" s="40">
        <v>12410</v>
      </c>
      <c r="T104" s="68">
        <v>352</v>
      </c>
      <c r="U104" s="67">
        <f t="shared" si="103"/>
        <v>0.8778054862842892</v>
      </c>
      <c r="V104" s="40">
        <v>401</v>
      </c>
      <c r="W104" s="63">
        <f aca="true" t="shared" si="175" ref="W104:W109">+T104+Q104+N104</f>
        <v>183078</v>
      </c>
      <c r="X104" s="67">
        <f aca="true" t="shared" si="176" ref="X104:X110">W104/Y104</f>
        <v>0.29654598229905016</v>
      </c>
      <c r="Y104" s="26">
        <f aca="true" t="shared" si="177" ref="Y104:Y109">+V104+S104+P104</f>
        <v>617368</v>
      </c>
      <c r="Z104" s="3">
        <v>53</v>
      </c>
      <c r="AA104" s="115">
        <f t="shared" si="98"/>
        <v>0.0014253059029178431</v>
      </c>
      <c r="AB104" s="40">
        <v>37185</v>
      </c>
      <c r="AC104" s="3">
        <v>53</v>
      </c>
      <c r="AD104" s="115">
        <f t="shared" si="99"/>
        <v>0.29444444444444445</v>
      </c>
      <c r="AE104" s="40">
        <v>180</v>
      </c>
      <c r="AF104" s="3">
        <v>8</v>
      </c>
      <c r="AG104" s="7">
        <f t="shared" si="100"/>
        <v>0.8</v>
      </c>
      <c r="AH104" s="3">
        <v>10</v>
      </c>
      <c r="AI104" s="41">
        <f aca="true" t="shared" si="178" ref="AI104:AI109">+AF104+AC104+Z104</f>
        <v>114</v>
      </c>
      <c r="AJ104" s="7">
        <f t="shared" si="172"/>
        <v>0.0030501672240802677</v>
      </c>
      <c r="AK104" s="44">
        <f aca="true" t="shared" si="179" ref="AK104:AK109">+AH104+AE104+AB104</f>
        <v>37375</v>
      </c>
      <c r="AL104" s="117">
        <f aca="true" t="shared" si="180" ref="AL104:AL109">(B104+N104+Z104)/AR104</f>
        <v>0.25189577214331266</v>
      </c>
      <c r="AM104" s="115">
        <f aca="true" t="shared" si="181" ref="AM104:AM109">(E104+Q104+AC104)/AS104</f>
        <v>0.45058848109199806</v>
      </c>
      <c r="AN104" s="7">
        <f aca="true" t="shared" si="182" ref="AN104:AN109">(H104+T104+AF104)/AT104</f>
        <v>0.865934065934066</v>
      </c>
      <c r="AO104" s="171">
        <f aca="true" t="shared" si="183" ref="AO104:AO109">AP104/AQ104</f>
        <v>0.24882848407337838</v>
      </c>
      <c r="AP104" s="63">
        <f aca="true" t="shared" si="184" ref="AP104:AP109">AF104+AC104+Z104+T104+Q104+N104+H104+E104+B104</f>
        <v>199230</v>
      </c>
      <c r="AQ104" s="3">
        <f aca="true" t="shared" si="185" ref="AQ104:AQ109">AH104+AF104+AE104+AC104+Z104+AB104+V104+T104+S104+Q104+P104+J104+H104+G104+E104+D104+B104</f>
        <v>800672</v>
      </c>
      <c r="AR104" s="116">
        <f aca="true" t="shared" si="186" ref="AR104:AR109">+D104+P104+AB104</f>
        <v>763673</v>
      </c>
      <c r="AS104" s="3">
        <f aca="true" t="shared" si="187" ref="AS104:AS109">G104+S104+AE104</f>
        <v>14359</v>
      </c>
      <c r="AT104" s="26">
        <f aca="true" t="shared" si="188" ref="AT104:AT109">J104+V104+AH104</f>
        <v>455</v>
      </c>
    </row>
    <row r="105" spans="1:46" ht="12.75">
      <c r="A105" s="146">
        <v>41671</v>
      </c>
      <c r="B105" s="3">
        <v>15197</v>
      </c>
      <c r="C105" s="115">
        <f t="shared" si="93"/>
        <v>0.1246125588336586</v>
      </c>
      <c r="D105" s="3">
        <v>121954</v>
      </c>
      <c r="E105" s="178">
        <v>721</v>
      </c>
      <c r="F105" s="115">
        <f t="shared" si="94"/>
        <v>0.41508347725964306</v>
      </c>
      <c r="G105" s="3">
        <v>1737</v>
      </c>
      <c r="H105" s="178">
        <v>33</v>
      </c>
      <c r="I105" s="115">
        <f t="shared" si="95"/>
        <v>0.717391304347826</v>
      </c>
      <c r="J105" s="3">
        <v>46</v>
      </c>
      <c r="K105" s="195">
        <f t="shared" si="173"/>
        <v>15951</v>
      </c>
      <c r="L105" s="115">
        <f t="shared" si="171"/>
        <v>0.1289105118113418</v>
      </c>
      <c r="M105" s="23">
        <f t="shared" si="174"/>
        <v>123737</v>
      </c>
      <c r="N105" s="3">
        <v>178102</v>
      </c>
      <c r="O105" s="67">
        <f t="shared" si="101"/>
        <v>0.29443749183734536</v>
      </c>
      <c r="P105" s="174">
        <v>604889</v>
      </c>
      <c r="Q105" s="68">
        <v>5684</v>
      </c>
      <c r="R105" s="67">
        <f t="shared" si="102"/>
        <v>0.4589052155659616</v>
      </c>
      <c r="S105" s="40">
        <v>12386</v>
      </c>
      <c r="T105" s="68">
        <v>350</v>
      </c>
      <c r="U105" s="67">
        <f t="shared" si="103"/>
        <v>0.8771929824561403</v>
      </c>
      <c r="V105" s="40">
        <v>399</v>
      </c>
      <c r="W105" s="63">
        <f t="shared" si="175"/>
        <v>184136</v>
      </c>
      <c r="X105" s="67">
        <f t="shared" si="176"/>
        <v>0.2981119490216522</v>
      </c>
      <c r="Y105" s="26">
        <f t="shared" si="177"/>
        <v>617674</v>
      </c>
      <c r="Z105" s="3">
        <v>53</v>
      </c>
      <c r="AA105" s="115">
        <f t="shared" si="98"/>
        <v>0.0014253825673022618</v>
      </c>
      <c r="AB105" s="40">
        <v>37183</v>
      </c>
      <c r="AC105" s="3">
        <v>53</v>
      </c>
      <c r="AD105" s="115">
        <f t="shared" si="99"/>
        <v>0.29444444444444445</v>
      </c>
      <c r="AE105" s="40">
        <v>180</v>
      </c>
      <c r="AF105" s="3">
        <v>8</v>
      </c>
      <c r="AG105" s="7">
        <f t="shared" si="100"/>
        <v>0.7272727272727273</v>
      </c>
      <c r="AH105" s="3">
        <v>11</v>
      </c>
      <c r="AI105" s="41">
        <f t="shared" si="178"/>
        <v>114</v>
      </c>
      <c r="AJ105" s="7">
        <f t="shared" si="172"/>
        <v>0.00305024883608926</v>
      </c>
      <c r="AK105" s="44">
        <f t="shared" si="179"/>
        <v>37374</v>
      </c>
      <c r="AL105" s="117">
        <f t="shared" si="180"/>
        <v>0.2530699217042352</v>
      </c>
      <c r="AM105" s="115">
        <f t="shared" si="181"/>
        <v>0.451513668461162</v>
      </c>
      <c r="AN105" s="7">
        <f t="shared" si="182"/>
        <v>0.8574561403508771</v>
      </c>
      <c r="AO105" s="171">
        <f t="shared" si="183"/>
        <v>0.24997502759450807</v>
      </c>
      <c r="AP105" s="63">
        <f t="shared" si="184"/>
        <v>200201</v>
      </c>
      <c r="AQ105" s="3">
        <f t="shared" si="185"/>
        <v>800884</v>
      </c>
      <c r="AR105" s="116">
        <f t="shared" si="186"/>
        <v>764026</v>
      </c>
      <c r="AS105" s="3">
        <f t="shared" si="187"/>
        <v>14303</v>
      </c>
      <c r="AT105" s="26">
        <f t="shared" si="188"/>
        <v>456</v>
      </c>
    </row>
    <row r="106" spans="1:46" ht="12.75">
      <c r="A106" s="146">
        <v>41640</v>
      </c>
      <c r="B106" s="3">
        <v>15275</v>
      </c>
      <c r="C106" s="115">
        <f t="shared" si="93"/>
        <v>0.12527063377509512</v>
      </c>
      <c r="D106" s="3">
        <v>121936</v>
      </c>
      <c r="E106" s="178">
        <v>719</v>
      </c>
      <c r="F106" s="115">
        <f t="shared" si="94"/>
        <v>0.4139320667818077</v>
      </c>
      <c r="G106" s="3">
        <v>1737</v>
      </c>
      <c r="H106" s="178">
        <v>33</v>
      </c>
      <c r="I106" s="115">
        <f t="shared" si="95"/>
        <v>0.75</v>
      </c>
      <c r="J106" s="3">
        <v>44</v>
      </c>
      <c r="K106" s="195">
        <f t="shared" si="173"/>
        <v>16027</v>
      </c>
      <c r="L106" s="115">
        <f t="shared" si="171"/>
        <v>0.12954565661954298</v>
      </c>
      <c r="M106" s="23">
        <f t="shared" si="174"/>
        <v>123717</v>
      </c>
      <c r="N106" s="3">
        <v>192381</v>
      </c>
      <c r="O106" s="67">
        <f t="shared" si="101"/>
        <v>0.3182860489586849</v>
      </c>
      <c r="P106" s="174">
        <v>604428</v>
      </c>
      <c r="Q106" s="68">
        <v>5955</v>
      </c>
      <c r="R106" s="67">
        <f t="shared" si="102"/>
        <v>0.4784285369968667</v>
      </c>
      <c r="S106" s="40">
        <v>12447</v>
      </c>
      <c r="T106" s="68">
        <v>346</v>
      </c>
      <c r="U106" s="67">
        <f t="shared" si="103"/>
        <v>0.8781725888324873</v>
      </c>
      <c r="V106" s="40">
        <v>394</v>
      </c>
      <c r="W106" s="63">
        <f t="shared" si="175"/>
        <v>198682</v>
      </c>
      <c r="X106" s="67">
        <f t="shared" si="176"/>
        <v>0.321872635755238</v>
      </c>
      <c r="Y106" s="26">
        <f t="shared" si="177"/>
        <v>617269</v>
      </c>
      <c r="Z106" s="3">
        <v>53</v>
      </c>
      <c r="AA106" s="115">
        <f t="shared" si="98"/>
        <v>0.00142507595923745</v>
      </c>
      <c r="AB106" s="40">
        <v>37191</v>
      </c>
      <c r="AC106" s="3">
        <v>53</v>
      </c>
      <c r="AD106" s="115">
        <f t="shared" si="99"/>
        <v>0.29608938547486036</v>
      </c>
      <c r="AE106" s="40">
        <v>179</v>
      </c>
      <c r="AF106" s="3">
        <v>8</v>
      </c>
      <c r="AG106" s="7">
        <f t="shared" si="100"/>
        <v>0.7272727272727273</v>
      </c>
      <c r="AH106" s="3">
        <v>11</v>
      </c>
      <c r="AI106" s="41">
        <f t="shared" si="178"/>
        <v>114</v>
      </c>
      <c r="AJ106" s="7">
        <f t="shared" si="172"/>
        <v>0.0030496776437227468</v>
      </c>
      <c r="AK106" s="44">
        <f t="shared" si="179"/>
        <v>37381</v>
      </c>
      <c r="AL106" s="117">
        <f t="shared" si="180"/>
        <v>0.2720288649802568</v>
      </c>
      <c r="AM106" s="115">
        <f t="shared" si="181"/>
        <v>0.4683561929958922</v>
      </c>
      <c r="AN106" s="7">
        <f t="shared" si="182"/>
        <v>0.8619153674832962</v>
      </c>
      <c r="AO106" s="171">
        <f t="shared" si="183"/>
        <v>0.26825747462878163</v>
      </c>
      <c r="AP106" s="63">
        <f t="shared" si="184"/>
        <v>214823</v>
      </c>
      <c r="AQ106" s="3">
        <f t="shared" si="185"/>
        <v>800809</v>
      </c>
      <c r="AR106" s="116">
        <f t="shared" si="186"/>
        <v>763555</v>
      </c>
      <c r="AS106" s="3">
        <f t="shared" si="187"/>
        <v>14363</v>
      </c>
      <c r="AT106" s="26">
        <f t="shared" si="188"/>
        <v>449</v>
      </c>
    </row>
    <row r="107" spans="1:46" ht="12.75">
      <c r="A107" s="146">
        <v>41609</v>
      </c>
      <c r="B107" s="3">
        <v>15450</v>
      </c>
      <c r="C107" s="115">
        <f t="shared" si="93"/>
        <v>0.12658850133962588</v>
      </c>
      <c r="D107" s="3">
        <v>122049</v>
      </c>
      <c r="E107" s="178">
        <v>737</v>
      </c>
      <c r="F107" s="115">
        <f t="shared" si="94"/>
        <v>0.420662100456621</v>
      </c>
      <c r="G107" s="3">
        <v>1752</v>
      </c>
      <c r="H107" s="178">
        <v>34</v>
      </c>
      <c r="I107" s="115">
        <f t="shared" si="95"/>
        <v>0.7727272727272727</v>
      </c>
      <c r="J107" s="3">
        <v>44</v>
      </c>
      <c r="K107" s="195">
        <f t="shared" si="173"/>
        <v>16221</v>
      </c>
      <c r="L107" s="115">
        <f aca="true" t="shared" si="189" ref="L107:L113">K107/M107</f>
        <v>0.13097823892769186</v>
      </c>
      <c r="M107" s="23">
        <f t="shared" si="174"/>
        <v>123845</v>
      </c>
      <c r="N107" s="3">
        <v>194865</v>
      </c>
      <c r="O107" s="67">
        <f t="shared" si="101"/>
        <v>0.3223098667028345</v>
      </c>
      <c r="P107" s="174">
        <v>604589</v>
      </c>
      <c r="Q107" s="68">
        <v>5840</v>
      </c>
      <c r="R107" s="67">
        <f t="shared" si="102"/>
        <v>0.47739720428349547</v>
      </c>
      <c r="S107" s="40">
        <v>12233</v>
      </c>
      <c r="T107" s="68">
        <v>341</v>
      </c>
      <c r="U107" s="67">
        <f t="shared" si="103"/>
        <v>0.8811369509043928</v>
      </c>
      <c r="V107" s="40">
        <v>387</v>
      </c>
      <c r="W107" s="63">
        <f t="shared" si="175"/>
        <v>201046</v>
      </c>
      <c r="X107" s="67">
        <f t="shared" si="176"/>
        <v>0.325734070630856</v>
      </c>
      <c r="Y107" s="26">
        <f t="shared" si="177"/>
        <v>617209</v>
      </c>
      <c r="Z107" s="3">
        <v>52</v>
      </c>
      <c r="AA107" s="115">
        <f t="shared" si="98"/>
        <v>0.0013970232658105423</v>
      </c>
      <c r="AB107" s="40">
        <v>37222</v>
      </c>
      <c r="AC107" s="3">
        <v>53</v>
      </c>
      <c r="AD107" s="115">
        <f t="shared" si="99"/>
        <v>0.29120879120879123</v>
      </c>
      <c r="AE107" s="40">
        <v>182</v>
      </c>
      <c r="AF107" s="3">
        <v>8</v>
      </c>
      <c r="AG107" s="7">
        <f t="shared" si="100"/>
        <v>0.7272727272727273</v>
      </c>
      <c r="AH107" s="3">
        <v>11</v>
      </c>
      <c r="AI107" s="41">
        <f t="shared" si="178"/>
        <v>113</v>
      </c>
      <c r="AJ107" s="7">
        <f aca="true" t="shared" si="190" ref="AJ107:AJ112">AI107/AK107</f>
        <v>0.0030201790725644796</v>
      </c>
      <c r="AK107" s="44">
        <f t="shared" si="179"/>
        <v>37415</v>
      </c>
      <c r="AL107" s="117">
        <f t="shared" si="180"/>
        <v>0.2753999423978216</v>
      </c>
      <c r="AM107" s="115">
        <f t="shared" si="181"/>
        <v>0.46798898849438836</v>
      </c>
      <c r="AN107" s="7">
        <f t="shared" si="182"/>
        <v>0.8665158371040724</v>
      </c>
      <c r="AO107" s="171">
        <f t="shared" si="183"/>
        <v>0.2713911888377296</v>
      </c>
      <c r="AP107" s="63">
        <f t="shared" si="184"/>
        <v>217380</v>
      </c>
      <c r="AQ107" s="3">
        <f t="shared" si="185"/>
        <v>800984</v>
      </c>
      <c r="AR107" s="116">
        <f t="shared" si="186"/>
        <v>763860</v>
      </c>
      <c r="AS107" s="3">
        <f t="shared" si="187"/>
        <v>14167</v>
      </c>
      <c r="AT107" s="26">
        <f t="shared" si="188"/>
        <v>442</v>
      </c>
    </row>
    <row r="108" spans="1:46" ht="12.75">
      <c r="A108" s="146">
        <v>41579</v>
      </c>
      <c r="B108" s="3">
        <v>18437</v>
      </c>
      <c r="C108" s="115">
        <f t="shared" si="93"/>
        <v>0.15088425687232493</v>
      </c>
      <c r="D108" s="3">
        <v>122193</v>
      </c>
      <c r="E108" s="178">
        <v>774</v>
      </c>
      <c r="F108" s="115">
        <f t="shared" si="94"/>
        <v>0.43852691218130313</v>
      </c>
      <c r="G108" s="3">
        <v>1765</v>
      </c>
      <c r="H108" s="178">
        <v>34</v>
      </c>
      <c r="I108" s="115">
        <f t="shared" si="95"/>
        <v>0.7727272727272727</v>
      </c>
      <c r="J108" s="3">
        <v>44</v>
      </c>
      <c r="K108" s="195">
        <f t="shared" si="173"/>
        <v>19245</v>
      </c>
      <c r="L108" s="115">
        <f t="shared" si="189"/>
        <v>0.15519910969177916</v>
      </c>
      <c r="M108" s="23">
        <f t="shared" si="174"/>
        <v>124002</v>
      </c>
      <c r="N108" s="3">
        <v>194517</v>
      </c>
      <c r="O108" s="67">
        <f t="shared" si="101"/>
        <v>0.32189346174849826</v>
      </c>
      <c r="P108" s="174">
        <v>604290</v>
      </c>
      <c r="Q108" s="68">
        <v>5883</v>
      </c>
      <c r="R108" s="67">
        <f t="shared" si="102"/>
        <v>0.4800097911227154</v>
      </c>
      <c r="S108" s="40">
        <v>12256</v>
      </c>
      <c r="T108" s="68">
        <v>350</v>
      </c>
      <c r="U108" s="67">
        <f t="shared" si="103"/>
        <v>0.8860759493670886</v>
      </c>
      <c r="V108" s="40">
        <v>395</v>
      </c>
      <c r="W108" s="63">
        <f t="shared" si="175"/>
        <v>200750</v>
      </c>
      <c r="X108" s="67">
        <f t="shared" si="176"/>
        <v>0.32539578338933545</v>
      </c>
      <c r="Y108" s="26">
        <f t="shared" si="177"/>
        <v>616941</v>
      </c>
      <c r="Z108" s="3">
        <v>51</v>
      </c>
      <c r="AA108" s="115">
        <f t="shared" si="98"/>
        <v>0.0013686865976061404</v>
      </c>
      <c r="AB108" s="40">
        <v>37262</v>
      </c>
      <c r="AC108" s="3">
        <v>52</v>
      </c>
      <c r="AD108" s="115">
        <f t="shared" si="99"/>
        <v>0.29213483146067415</v>
      </c>
      <c r="AE108" s="40">
        <v>178</v>
      </c>
      <c r="AF108" s="3">
        <v>8</v>
      </c>
      <c r="AG108" s="7">
        <f t="shared" si="100"/>
        <v>0.7272727272727273</v>
      </c>
      <c r="AH108" s="3">
        <v>11</v>
      </c>
      <c r="AI108" s="41">
        <f t="shared" si="178"/>
        <v>111</v>
      </c>
      <c r="AJ108" s="7">
        <f t="shared" si="190"/>
        <v>0.002963872793783878</v>
      </c>
      <c r="AK108" s="44">
        <f t="shared" si="179"/>
        <v>37451</v>
      </c>
      <c r="AL108" s="117">
        <f t="shared" si="180"/>
        <v>0.2788954428506897</v>
      </c>
      <c r="AM108" s="115">
        <f t="shared" si="181"/>
        <v>0.47249806324389043</v>
      </c>
      <c r="AN108" s="7">
        <f t="shared" si="182"/>
        <v>0.8711111111111111</v>
      </c>
      <c r="AO108" s="171">
        <f t="shared" si="183"/>
        <v>0.2737694702499929</v>
      </c>
      <c r="AP108" s="63">
        <f t="shared" si="184"/>
        <v>220106</v>
      </c>
      <c r="AQ108" s="3">
        <f t="shared" si="185"/>
        <v>803983</v>
      </c>
      <c r="AR108" s="116">
        <f t="shared" si="186"/>
        <v>763745</v>
      </c>
      <c r="AS108" s="3">
        <f t="shared" si="187"/>
        <v>14199</v>
      </c>
      <c r="AT108" s="26">
        <f t="shared" si="188"/>
        <v>450</v>
      </c>
    </row>
    <row r="109" spans="1:46" ht="12.75">
      <c r="A109" s="146">
        <v>41548</v>
      </c>
      <c r="B109" s="3">
        <v>18236</v>
      </c>
      <c r="C109" s="115">
        <f t="shared" si="93"/>
        <v>0.14866385143397517</v>
      </c>
      <c r="D109" s="3">
        <v>122666</v>
      </c>
      <c r="E109" s="178">
        <v>772</v>
      </c>
      <c r="F109" s="115">
        <f t="shared" si="94"/>
        <v>0.42936596218020023</v>
      </c>
      <c r="G109" s="3">
        <v>1798</v>
      </c>
      <c r="H109" s="178">
        <v>34</v>
      </c>
      <c r="I109" s="115">
        <f t="shared" si="95"/>
        <v>0.7727272727272727</v>
      </c>
      <c r="J109" s="3">
        <v>44</v>
      </c>
      <c r="K109" s="195">
        <f t="shared" si="173"/>
        <v>19042</v>
      </c>
      <c r="L109" s="115">
        <f t="shared" si="189"/>
        <v>0.15293796382561764</v>
      </c>
      <c r="M109" s="23">
        <f t="shared" si="174"/>
        <v>124508</v>
      </c>
      <c r="N109" s="3">
        <v>195201</v>
      </c>
      <c r="O109" s="67">
        <f t="shared" si="101"/>
        <v>0.32330625326078855</v>
      </c>
      <c r="P109" s="174">
        <v>603765</v>
      </c>
      <c r="Q109" s="68">
        <v>5907</v>
      </c>
      <c r="R109" s="67">
        <f t="shared" si="102"/>
        <v>0.48118279569892475</v>
      </c>
      <c r="S109" s="40">
        <v>12276</v>
      </c>
      <c r="T109" s="68">
        <v>350</v>
      </c>
      <c r="U109" s="67">
        <f t="shared" si="103"/>
        <v>0.8905852417302799</v>
      </c>
      <c r="V109" s="40">
        <v>393</v>
      </c>
      <c r="W109" s="63">
        <f t="shared" si="175"/>
        <v>201458</v>
      </c>
      <c r="X109" s="67">
        <f t="shared" si="176"/>
        <v>0.32681195391558543</v>
      </c>
      <c r="Y109" s="26">
        <f t="shared" si="177"/>
        <v>616434</v>
      </c>
      <c r="Z109" s="3">
        <v>52</v>
      </c>
      <c r="AA109" s="115">
        <f t="shared" si="98"/>
        <v>0.0013938402980673869</v>
      </c>
      <c r="AB109" s="40">
        <v>37307</v>
      </c>
      <c r="AC109" s="3">
        <v>52</v>
      </c>
      <c r="AD109" s="115">
        <f t="shared" si="99"/>
        <v>0.287292817679558</v>
      </c>
      <c r="AE109" s="40">
        <v>181</v>
      </c>
      <c r="AF109" s="3">
        <v>8</v>
      </c>
      <c r="AG109" s="7">
        <f t="shared" si="100"/>
        <v>0.7272727272727273</v>
      </c>
      <c r="AH109" s="3">
        <v>11</v>
      </c>
      <c r="AI109" s="41">
        <f t="shared" si="178"/>
        <v>112</v>
      </c>
      <c r="AJ109" s="7">
        <f t="shared" si="190"/>
        <v>0.0029867463132350197</v>
      </c>
      <c r="AK109" s="44">
        <f t="shared" si="179"/>
        <v>37499</v>
      </c>
      <c r="AL109" s="117">
        <f t="shared" si="180"/>
        <v>0.279531724230037</v>
      </c>
      <c r="AM109" s="115">
        <f t="shared" si="181"/>
        <v>0.47218519817607857</v>
      </c>
      <c r="AN109" s="7">
        <f t="shared" si="182"/>
        <v>0.875</v>
      </c>
      <c r="AO109" s="171">
        <f t="shared" si="183"/>
        <v>0.2744435542861124</v>
      </c>
      <c r="AP109" s="63">
        <f t="shared" si="184"/>
        <v>220612</v>
      </c>
      <c r="AQ109" s="3">
        <f t="shared" si="185"/>
        <v>803852</v>
      </c>
      <c r="AR109" s="116">
        <f t="shared" si="186"/>
        <v>763738</v>
      </c>
      <c r="AS109" s="3">
        <f t="shared" si="187"/>
        <v>14255</v>
      </c>
      <c r="AT109" s="26">
        <f t="shared" si="188"/>
        <v>448</v>
      </c>
    </row>
    <row r="110" spans="1:46" ht="12.75">
      <c r="A110" s="146">
        <v>41518</v>
      </c>
      <c r="B110" s="3">
        <v>18086</v>
      </c>
      <c r="C110" s="115">
        <f t="shared" si="93"/>
        <v>0.1466662341664369</v>
      </c>
      <c r="D110" s="3">
        <v>123314</v>
      </c>
      <c r="E110" s="178">
        <v>771</v>
      </c>
      <c r="F110" s="115">
        <f t="shared" si="94"/>
        <v>0.4243258117776555</v>
      </c>
      <c r="G110" s="3">
        <v>1817</v>
      </c>
      <c r="H110" s="178">
        <v>34</v>
      </c>
      <c r="I110" s="115">
        <f t="shared" si="95"/>
        <v>0.7555555555555555</v>
      </c>
      <c r="J110" s="3">
        <v>45</v>
      </c>
      <c r="K110" s="195">
        <f aca="true" t="shared" si="191" ref="K110:K115">+H110+E110+B110</f>
        <v>18891</v>
      </c>
      <c r="L110" s="115">
        <f t="shared" si="189"/>
        <v>0.15091551096056752</v>
      </c>
      <c r="M110" s="23">
        <f aca="true" t="shared" si="192" ref="M110:M115">+J110+G110+D110</f>
        <v>125176</v>
      </c>
      <c r="N110" s="3">
        <v>195426</v>
      </c>
      <c r="O110" s="67">
        <f t="shared" si="101"/>
        <v>0.3239181925316458</v>
      </c>
      <c r="P110" s="174">
        <v>603319</v>
      </c>
      <c r="Q110" s="68">
        <v>5809</v>
      </c>
      <c r="R110" s="67">
        <f t="shared" si="102"/>
        <v>0.4762646552430926</v>
      </c>
      <c r="S110" s="40">
        <v>12197</v>
      </c>
      <c r="T110" s="68">
        <v>351</v>
      </c>
      <c r="U110" s="67">
        <f t="shared" si="103"/>
        <v>0.8863636363636364</v>
      </c>
      <c r="V110" s="40">
        <v>396</v>
      </c>
      <c r="W110" s="63">
        <f aca="true" t="shared" si="193" ref="W110:W115">+T110+Q110+N110</f>
        <v>201586</v>
      </c>
      <c r="X110" s="67">
        <f t="shared" si="176"/>
        <v>0.3272967566795256</v>
      </c>
      <c r="Y110" s="26">
        <f aca="true" t="shared" si="194" ref="Y110:Y115">+V110+S110+P110</f>
        <v>615912</v>
      </c>
      <c r="Z110" s="3">
        <v>52</v>
      </c>
      <c r="AA110" s="115">
        <f t="shared" si="98"/>
        <v>0.001393616165947525</v>
      </c>
      <c r="AB110" s="40">
        <v>37313</v>
      </c>
      <c r="AC110" s="3">
        <v>52</v>
      </c>
      <c r="AD110" s="115">
        <f t="shared" si="99"/>
        <v>0.2857142857142857</v>
      </c>
      <c r="AE110" s="40">
        <v>182</v>
      </c>
      <c r="AF110" s="3">
        <v>8</v>
      </c>
      <c r="AG110" s="7">
        <f t="shared" si="100"/>
        <v>0.6153846153846154</v>
      </c>
      <c r="AH110" s="3">
        <v>13</v>
      </c>
      <c r="AI110" s="41">
        <f aca="true" t="shared" si="195" ref="AI110:AI115">+AF110+AC110+Z110</f>
        <v>112</v>
      </c>
      <c r="AJ110" s="7">
        <f t="shared" si="190"/>
        <v>0.0029860296470086384</v>
      </c>
      <c r="AK110" s="44">
        <f aca="true" t="shared" si="196" ref="AK110:AK115">+AH110+AE110+AB110</f>
        <v>37508</v>
      </c>
      <c r="AL110" s="117">
        <f aca="true" t="shared" si="197" ref="AL110:AL115">(B110+N110+Z110)/AR110</f>
        <v>0.2795537904511575</v>
      </c>
      <c r="AM110" s="115">
        <f aca="true" t="shared" si="198" ref="AM110:AM115">(E110+Q110+AC110)/AS110</f>
        <v>0.4671738517892364</v>
      </c>
      <c r="AN110" s="7">
        <f aca="true" t="shared" si="199" ref="AN110:AN115">(H110+T110+AF110)/AT110</f>
        <v>0.8656387665198237</v>
      </c>
      <c r="AO110" s="171">
        <f aca="true" t="shared" si="200" ref="AO110:AO115">AP110/AQ110</f>
        <v>0.27444669359845425</v>
      </c>
      <c r="AP110" s="63">
        <f aca="true" t="shared" si="201" ref="AP110:AP115">AF110+AC110+Z110+T110+Q110+N110+H110+E110+B110</f>
        <v>220589</v>
      </c>
      <c r="AQ110" s="3">
        <f aca="true" t="shared" si="202" ref="AQ110:AQ115">AH110+AF110+AE110+AC110+Z110+AB110+V110+T110+S110+Q110+P110+J110+H110+G110+E110+D110+B110</f>
        <v>803759</v>
      </c>
      <c r="AR110" s="116">
        <f aca="true" t="shared" si="203" ref="AR110:AR115">+D110+P110+AB110</f>
        <v>763946</v>
      </c>
      <c r="AS110" s="3">
        <f aca="true" t="shared" si="204" ref="AS110:AS115">G110+S110+AE110</f>
        <v>14196</v>
      </c>
      <c r="AT110" s="26">
        <f aca="true" t="shared" si="205" ref="AT110:AT115">J110+V110+AH110</f>
        <v>454</v>
      </c>
    </row>
    <row r="111" spans="1:46" ht="12.75">
      <c r="A111" s="146">
        <v>41487</v>
      </c>
      <c r="B111" s="3">
        <v>17903</v>
      </c>
      <c r="C111" s="115">
        <f t="shared" si="93"/>
        <v>0.1449072425292194</v>
      </c>
      <c r="D111" s="3">
        <v>123548</v>
      </c>
      <c r="E111" s="178">
        <v>778</v>
      </c>
      <c r="F111" s="115">
        <f t="shared" si="94"/>
        <v>0.42653508771929827</v>
      </c>
      <c r="G111" s="3">
        <v>1824</v>
      </c>
      <c r="H111" s="178">
        <v>34</v>
      </c>
      <c r="I111" s="115">
        <f t="shared" si="95"/>
        <v>0.7555555555555555</v>
      </c>
      <c r="J111" s="3">
        <v>45</v>
      </c>
      <c r="K111" s="195">
        <f t="shared" si="191"/>
        <v>18715</v>
      </c>
      <c r="L111" s="115">
        <f t="shared" si="189"/>
        <v>0.14922219475828635</v>
      </c>
      <c r="M111" s="23">
        <f t="shared" si="192"/>
        <v>125417</v>
      </c>
      <c r="N111" s="3">
        <v>196039</v>
      </c>
      <c r="O111" s="67">
        <f t="shared" si="101"/>
        <v>0.32495093553990795</v>
      </c>
      <c r="P111" s="174">
        <v>603288</v>
      </c>
      <c r="Q111" s="68">
        <v>5774</v>
      </c>
      <c r="R111" s="67">
        <f t="shared" si="102"/>
        <v>0.477624286541484</v>
      </c>
      <c r="S111" s="40">
        <v>12089</v>
      </c>
      <c r="T111" s="68">
        <v>351</v>
      </c>
      <c r="U111" s="67">
        <f t="shared" si="103"/>
        <v>0.8886075949367088</v>
      </c>
      <c r="V111" s="40">
        <v>395</v>
      </c>
      <c r="W111" s="63">
        <f t="shared" si="193"/>
        <v>202164</v>
      </c>
      <c r="X111" s="67">
        <f aca="true" t="shared" si="206" ref="X111:X117">W111/Y111</f>
        <v>0.328309828962668</v>
      </c>
      <c r="Y111" s="26">
        <f t="shared" si="194"/>
        <v>615772</v>
      </c>
      <c r="Z111" s="3">
        <v>52</v>
      </c>
      <c r="AA111" s="115">
        <f t="shared" si="98"/>
        <v>0.0013934294442360254</v>
      </c>
      <c r="AB111" s="40">
        <v>37318</v>
      </c>
      <c r="AC111" s="3">
        <v>46</v>
      </c>
      <c r="AD111" s="115">
        <f t="shared" si="99"/>
        <v>0.2658959537572254</v>
      </c>
      <c r="AE111" s="40">
        <v>173</v>
      </c>
      <c r="AF111" s="3">
        <v>8</v>
      </c>
      <c r="AG111" s="7">
        <f t="shared" si="100"/>
        <v>0.7272727272727273</v>
      </c>
      <c r="AH111" s="3">
        <v>11</v>
      </c>
      <c r="AI111" s="41">
        <f t="shared" si="195"/>
        <v>106</v>
      </c>
      <c r="AJ111" s="7">
        <f t="shared" si="190"/>
        <v>0.002826515919150979</v>
      </c>
      <c r="AK111" s="44">
        <f t="shared" si="196"/>
        <v>37502</v>
      </c>
      <c r="AL111" s="117">
        <f t="shared" si="197"/>
        <v>0.2800404107025547</v>
      </c>
      <c r="AM111" s="115">
        <f t="shared" si="198"/>
        <v>0.4684083487150362</v>
      </c>
      <c r="AN111" s="7">
        <f t="shared" si="199"/>
        <v>0.8713968957871396</v>
      </c>
      <c r="AO111" s="171">
        <f t="shared" si="200"/>
        <v>0.2749811170964005</v>
      </c>
      <c r="AP111" s="63">
        <f t="shared" si="201"/>
        <v>220985</v>
      </c>
      <c r="AQ111" s="3">
        <f t="shared" si="202"/>
        <v>803637</v>
      </c>
      <c r="AR111" s="116">
        <f t="shared" si="203"/>
        <v>764154</v>
      </c>
      <c r="AS111" s="3">
        <f t="shared" si="204"/>
        <v>14086</v>
      </c>
      <c r="AT111" s="26">
        <f t="shared" si="205"/>
        <v>451</v>
      </c>
    </row>
    <row r="112" spans="1:46" ht="12.75">
      <c r="A112" s="146">
        <v>41456</v>
      </c>
      <c r="B112" s="3">
        <v>17849</v>
      </c>
      <c r="C112" s="115">
        <f t="shared" si="93"/>
        <v>0.1446082799967593</v>
      </c>
      <c r="D112" s="3">
        <v>123430</v>
      </c>
      <c r="E112" s="178">
        <v>796</v>
      </c>
      <c r="F112" s="115">
        <f t="shared" si="94"/>
        <v>0.4347351174221737</v>
      </c>
      <c r="G112" s="3">
        <v>1831</v>
      </c>
      <c r="H112" s="178">
        <v>34</v>
      </c>
      <c r="I112" s="115">
        <f t="shared" si="95"/>
        <v>0.7555555555555555</v>
      </c>
      <c r="J112" s="3">
        <v>45</v>
      </c>
      <c r="K112" s="195">
        <f t="shared" si="191"/>
        <v>18679</v>
      </c>
      <c r="L112" s="115">
        <f t="shared" si="189"/>
        <v>0.14906708377890923</v>
      </c>
      <c r="M112" s="23">
        <f t="shared" si="192"/>
        <v>125306</v>
      </c>
      <c r="N112" s="3">
        <v>198712</v>
      </c>
      <c r="O112" s="67">
        <f t="shared" si="101"/>
        <v>0.3290887260381733</v>
      </c>
      <c r="P112" s="174">
        <v>603825</v>
      </c>
      <c r="Q112" s="68">
        <v>5822</v>
      </c>
      <c r="R112" s="67">
        <f t="shared" si="102"/>
        <v>0.4815151765776197</v>
      </c>
      <c r="S112" s="40">
        <v>12091</v>
      </c>
      <c r="T112" s="68">
        <v>360</v>
      </c>
      <c r="U112" s="67">
        <f t="shared" si="103"/>
        <v>0.9</v>
      </c>
      <c r="V112" s="40">
        <v>400</v>
      </c>
      <c r="W112" s="63">
        <f t="shared" si="193"/>
        <v>204894</v>
      </c>
      <c r="X112" s="67">
        <f t="shared" si="206"/>
        <v>0.3324495875492442</v>
      </c>
      <c r="Y112" s="26">
        <f t="shared" si="194"/>
        <v>616316</v>
      </c>
      <c r="Z112" s="3">
        <v>53</v>
      </c>
      <c r="AA112" s="115">
        <f t="shared" si="98"/>
        <v>0.0014211401297795892</v>
      </c>
      <c r="AB112" s="40">
        <v>37294</v>
      </c>
      <c r="AC112" s="3">
        <v>52</v>
      </c>
      <c r="AD112" s="115">
        <f t="shared" si="99"/>
        <v>0.2810810810810811</v>
      </c>
      <c r="AE112" s="40">
        <v>185</v>
      </c>
      <c r="AF112" s="3">
        <v>9</v>
      </c>
      <c r="AG112" s="7">
        <f t="shared" si="100"/>
        <v>0.75</v>
      </c>
      <c r="AH112" s="3">
        <v>12</v>
      </c>
      <c r="AI112" s="41">
        <f t="shared" si="195"/>
        <v>114</v>
      </c>
      <c r="AJ112" s="7">
        <f t="shared" si="190"/>
        <v>0.003040729775146035</v>
      </c>
      <c r="AK112" s="44">
        <f t="shared" si="196"/>
        <v>37491</v>
      </c>
      <c r="AL112" s="117">
        <f t="shared" si="197"/>
        <v>0.28332258625673434</v>
      </c>
      <c r="AM112" s="115">
        <f t="shared" si="198"/>
        <v>0.4728149145814135</v>
      </c>
      <c r="AN112" s="7">
        <f t="shared" si="199"/>
        <v>0.8818380743982495</v>
      </c>
      <c r="AO112" s="171">
        <f t="shared" si="200"/>
        <v>0.27818721333983343</v>
      </c>
      <c r="AP112" s="63">
        <f t="shared" si="201"/>
        <v>223687</v>
      </c>
      <c r="AQ112" s="3">
        <f t="shared" si="202"/>
        <v>804088</v>
      </c>
      <c r="AR112" s="116">
        <f t="shared" si="203"/>
        <v>764549</v>
      </c>
      <c r="AS112" s="3">
        <f t="shared" si="204"/>
        <v>14107</v>
      </c>
      <c r="AT112" s="26">
        <f t="shared" si="205"/>
        <v>457</v>
      </c>
    </row>
    <row r="113" spans="1:46" ht="12.75">
      <c r="A113" s="146">
        <v>41426</v>
      </c>
      <c r="B113" s="3">
        <v>17942</v>
      </c>
      <c r="C113" s="115">
        <f t="shared" si="93"/>
        <v>0.14547253032366866</v>
      </c>
      <c r="D113" s="3">
        <v>123336</v>
      </c>
      <c r="E113" s="178">
        <v>697</v>
      </c>
      <c r="F113" s="115">
        <f t="shared" si="94"/>
        <v>0.4028901734104046</v>
      </c>
      <c r="G113" s="3">
        <v>1730</v>
      </c>
      <c r="H113" s="178">
        <v>34</v>
      </c>
      <c r="I113" s="115">
        <f t="shared" si="95"/>
        <v>0.7555555555555555</v>
      </c>
      <c r="J113" s="3">
        <v>45</v>
      </c>
      <c r="K113" s="195">
        <f t="shared" si="191"/>
        <v>18673</v>
      </c>
      <c r="L113" s="115">
        <f t="shared" si="189"/>
        <v>0.14925146469934697</v>
      </c>
      <c r="M113" s="23">
        <f t="shared" si="192"/>
        <v>125111</v>
      </c>
      <c r="N113" s="3">
        <v>203032</v>
      </c>
      <c r="O113" s="67">
        <f t="shared" si="101"/>
        <v>0.3370396316056826</v>
      </c>
      <c r="P113" s="174">
        <v>602398</v>
      </c>
      <c r="Q113" s="68">
        <v>5774</v>
      </c>
      <c r="R113" s="67">
        <f t="shared" si="102"/>
        <v>0.4812468744790798</v>
      </c>
      <c r="S113" s="40">
        <v>11998</v>
      </c>
      <c r="T113" s="68">
        <v>362</v>
      </c>
      <c r="U113" s="67">
        <f t="shared" si="103"/>
        <v>0.9095477386934674</v>
      </c>
      <c r="V113" s="40">
        <v>398</v>
      </c>
      <c r="W113" s="63">
        <f t="shared" si="193"/>
        <v>209168</v>
      </c>
      <c r="X113" s="67">
        <f t="shared" si="206"/>
        <v>0.3402245304931408</v>
      </c>
      <c r="Y113" s="26">
        <f t="shared" si="194"/>
        <v>614794</v>
      </c>
      <c r="Z113" s="3">
        <v>54</v>
      </c>
      <c r="AA113" s="115">
        <f t="shared" si="98"/>
        <v>0.0014500926448078628</v>
      </c>
      <c r="AB113" s="40">
        <v>37239</v>
      </c>
      <c r="AC113" s="3">
        <v>52</v>
      </c>
      <c r="AD113" s="115">
        <f t="shared" si="99"/>
        <v>0.2937853107344633</v>
      </c>
      <c r="AE113" s="40">
        <v>177</v>
      </c>
      <c r="AF113" s="3">
        <v>9</v>
      </c>
      <c r="AG113" s="7">
        <f t="shared" si="100"/>
        <v>0.6923076923076923</v>
      </c>
      <c r="AH113" s="3">
        <v>13</v>
      </c>
      <c r="AI113" s="41">
        <f t="shared" si="195"/>
        <v>115</v>
      </c>
      <c r="AJ113" s="7">
        <f aca="true" t="shared" si="207" ref="AJ113:AJ119">AI113/AK113</f>
        <v>0.003072483902856074</v>
      </c>
      <c r="AK113" s="44">
        <f t="shared" si="196"/>
        <v>37429</v>
      </c>
      <c r="AL113" s="117">
        <f t="shared" si="197"/>
        <v>0.28969308219294787</v>
      </c>
      <c r="AM113" s="115">
        <f t="shared" si="198"/>
        <v>0.4691118302768788</v>
      </c>
      <c r="AN113" s="7">
        <f t="shared" si="199"/>
        <v>0.8881578947368421</v>
      </c>
      <c r="AO113" s="171">
        <f t="shared" si="200"/>
        <v>0.2841430063645361</v>
      </c>
      <c r="AP113" s="63">
        <f t="shared" si="201"/>
        <v>227956</v>
      </c>
      <c r="AQ113" s="3">
        <f t="shared" si="202"/>
        <v>802258</v>
      </c>
      <c r="AR113" s="116">
        <f t="shared" si="203"/>
        <v>762973</v>
      </c>
      <c r="AS113" s="3">
        <f t="shared" si="204"/>
        <v>13905</v>
      </c>
      <c r="AT113" s="26">
        <f t="shared" si="205"/>
        <v>456</v>
      </c>
    </row>
    <row r="114" spans="1:46" ht="12.75">
      <c r="A114" s="146">
        <v>41395</v>
      </c>
      <c r="B114" s="3">
        <v>17835</v>
      </c>
      <c r="C114" s="115">
        <f t="shared" si="93"/>
        <v>0.14502593959895266</v>
      </c>
      <c r="D114" s="3">
        <v>122978</v>
      </c>
      <c r="E114" s="178">
        <v>788</v>
      </c>
      <c r="F114" s="115">
        <f t="shared" si="94"/>
        <v>0.4298963447899618</v>
      </c>
      <c r="G114" s="3">
        <v>1833</v>
      </c>
      <c r="H114" s="178">
        <v>34</v>
      </c>
      <c r="I114" s="115">
        <f t="shared" si="95"/>
        <v>0.7555555555555555</v>
      </c>
      <c r="J114" s="3">
        <v>45</v>
      </c>
      <c r="K114" s="195">
        <f t="shared" si="191"/>
        <v>18657</v>
      </c>
      <c r="L114" s="115">
        <f aca="true" t="shared" si="208" ref="L114:L120">K114/M114</f>
        <v>0.14942814121868392</v>
      </c>
      <c r="M114" s="23">
        <f t="shared" si="192"/>
        <v>124856</v>
      </c>
      <c r="N114" s="3">
        <v>202542</v>
      </c>
      <c r="O114" s="67">
        <f t="shared" si="101"/>
        <v>0.33622733218680073</v>
      </c>
      <c r="P114" s="174">
        <v>602396</v>
      </c>
      <c r="Q114" s="68">
        <v>5718</v>
      </c>
      <c r="R114" s="67">
        <f t="shared" si="102"/>
        <v>0.4777341465452419</v>
      </c>
      <c r="S114" s="40">
        <v>11969</v>
      </c>
      <c r="T114" s="68">
        <v>363</v>
      </c>
      <c r="U114" s="67">
        <f t="shared" si="103"/>
        <v>0.9075</v>
      </c>
      <c r="V114" s="40">
        <v>400</v>
      </c>
      <c r="W114" s="63">
        <f t="shared" si="193"/>
        <v>208623</v>
      </c>
      <c r="X114" s="67">
        <f t="shared" si="206"/>
        <v>0.33935406212129837</v>
      </c>
      <c r="Y114" s="26">
        <f t="shared" si="194"/>
        <v>614765</v>
      </c>
      <c r="Z114" s="3">
        <v>53</v>
      </c>
      <c r="AA114" s="115">
        <f t="shared" si="98"/>
        <v>0.0014226660224405433</v>
      </c>
      <c r="AB114" s="40">
        <v>37254</v>
      </c>
      <c r="AC114" s="3">
        <v>52</v>
      </c>
      <c r="AD114" s="115">
        <f t="shared" si="99"/>
        <v>0.28415300546448086</v>
      </c>
      <c r="AE114" s="40">
        <v>183</v>
      </c>
      <c r="AF114" s="3">
        <v>10</v>
      </c>
      <c r="AG114" s="7">
        <f t="shared" si="100"/>
        <v>0.7142857142857143</v>
      </c>
      <c r="AH114" s="3">
        <v>14</v>
      </c>
      <c r="AI114" s="41">
        <f t="shared" si="195"/>
        <v>115</v>
      </c>
      <c r="AJ114" s="7">
        <f t="shared" si="207"/>
        <v>0.0030706790205869</v>
      </c>
      <c r="AK114" s="44">
        <f t="shared" si="196"/>
        <v>37451</v>
      </c>
      <c r="AL114" s="117">
        <f t="shared" si="197"/>
        <v>0.28904000377641526</v>
      </c>
      <c r="AM114" s="115">
        <f t="shared" si="198"/>
        <v>0.46893099749731854</v>
      </c>
      <c r="AN114" s="7">
        <f t="shared" si="199"/>
        <v>0.8867102396514162</v>
      </c>
      <c r="AO114" s="171">
        <f t="shared" si="200"/>
        <v>0.2835614303083206</v>
      </c>
      <c r="AP114" s="63">
        <f t="shared" si="201"/>
        <v>227395</v>
      </c>
      <c r="AQ114" s="3">
        <f t="shared" si="202"/>
        <v>801925</v>
      </c>
      <c r="AR114" s="116">
        <f t="shared" si="203"/>
        <v>762628</v>
      </c>
      <c r="AS114" s="3">
        <f t="shared" si="204"/>
        <v>13985</v>
      </c>
      <c r="AT114" s="26">
        <f t="shared" si="205"/>
        <v>459</v>
      </c>
    </row>
    <row r="115" spans="1:46" ht="12.75">
      <c r="A115" s="146">
        <v>41365</v>
      </c>
      <c r="B115" s="3">
        <v>17445</v>
      </c>
      <c r="C115" s="115">
        <f t="shared" si="93"/>
        <v>0.14284193632909734</v>
      </c>
      <c r="D115" s="3">
        <v>122128</v>
      </c>
      <c r="E115" s="178">
        <v>803</v>
      </c>
      <c r="F115" s="115">
        <f t="shared" si="94"/>
        <v>0.44218061674008813</v>
      </c>
      <c r="G115" s="3">
        <v>1816</v>
      </c>
      <c r="H115" s="178">
        <v>34</v>
      </c>
      <c r="I115" s="115">
        <f t="shared" si="95"/>
        <v>0.7555555555555555</v>
      </c>
      <c r="J115" s="3">
        <v>45</v>
      </c>
      <c r="K115" s="195">
        <f t="shared" si="191"/>
        <v>18282</v>
      </c>
      <c r="L115" s="115">
        <f t="shared" si="208"/>
        <v>0.14744856398551484</v>
      </c>
      <c r="M115" s="23">
        <f t="shared" si="192"/>
        <v>123989</v>
      </c>
      <c r="N115" s="3">
        <v>199996</v>
      </c>
      <c r="O115" s="67">
        <f t="shared" si="101"/>
        <v>0.3317447968934796</v>
      </c>
      <c r="P115" s="174">
        <v>602861</v>
      </c>
      <c r="Q115" s="68">
        <v>5802</v>
      </c>
      <c r="R115" s="67">
        <f t="shared" si="102"/>
        <v>0.4833388870376541</v>
      </c>
      <c r="S115" s="40">
        <v>12004</v>
      </c>
      <c r="T115" s="68">
        <v>364</v>
      </c>
      <c r="U115" s="67">
        <f t="shared" si="103"/>
        <v>0.9032258064516129</v>
      </c>
      <c r="V115" s="40">
        <v>403</v>
      </c>
      <c r="W115" s="63">
        <f t="shared" si="193"/>
        <v>206162</v>
      </c>
      <c r="X115" s="67">
        <f t="shared" si="206"/>
        <v>0.33507674704356477</v>
      </c>
      <c r="Y115" s="26">
        <f t="shared" si="194"/>
        <v>615268</v>
      </c>
      <c r="Z115" s="3">
        <v>53</v>
      </c>
      <c r="AA115" s="115">
        <f t="shared" si="98"/>
        <v>0.0014255359208155142</v>
      </c>
      <c r="AB115" s="40">
        <v>37179</v>
      </c>
      <c r="AC115" s="3">
        <v>52</v>
      </c>
      <c r="AD115" s="115">
        <f t="shared" si="99"/>
        <v>0.28415300546448086</v>
      </c>
      <c r="AE115" s="40">
        <v>183</v>
      </c>
      <c r="AF115" s="3">
        <v>10</v>
      </c>
      <c r="AG115" s="7">
        <f t="shared" si="100"/>
        <v>0.7142857142857143</v>
      </c>
      <c r="AH115" s="3">
        <v>14</v>
      </c>
      <c r="AI115" s="41">
        <f t="shared" si="195"/>
        <v>115</v>
      </c>
      <c r="AJ115" s="7">
        <f t="shared" si="207"/>
        <v>0.0030768407534246577</v>
      </c>
      <c r="AK115" s="44">
        <f t="shared" si="196"/>
        <v>37376</v>
      </c>
      <c r="AL115" s="117">
        <f t="shared" si="197"/>
        <v>0.2853622823314545</v>
      </c>
      <c r="AM115" s="115">
        <f t="shared" si="198"/>
        <v>0.47539812897236305</v>
      </c>
      <c r="AN115" s="7">
        <f t="shared" si="199"/>
        <v>0.8831168831168831</v>
      </c>
      <c r="AO115" s="171">
        <f t="shared" si="200"/>
        <v>0.28027973180095755</v>
      </c>
      <c r="AP115" s="63">
        <f t="shared" si="201"/>
        <v>224559</v>
      </c>
      <c r="AQ115" s="3">
        <f t="shared" si="202"/>
        <v>801196</v>
      </c>
      <c r="AR115" s="116">
        <f t="shared" si="203"/>
        <v>762168</v>
      </c>
      <c r="AS115" s="3">
        <f t="shared" si="204"/>
        <v>14003</v>
      </c>
      <c r="AT115" s="26">
        <f t="shared" si="205"/>
        <v>462</v>
      </c>
    </row>
    <row r="116" spans="1:46" ht="12.75">
      <c r="A116" s="146">
        <v>41334</v>
      </c>
      <c r="B116" s="3">
        <v>17106</v>
      </c>
      <c r="C116" s="115">
        <f t="shared" si="93"/>
        <v>0.1407241047409857</v>
      </c>
      <c r="D116" s="3">
        <v>121557</v>
      </c>
      <c r="E116" s="178">
        <v>821</v>
      </c>
      <c r="F116" s="115">
        <f t="shared" si="94"/>
        <v>0.46175478065241843</v>
      </c>
      <c r="G116" s="3">
        <v>1778</v>
      </c>
      <c r="H116" s="178">
        <v>34</v>
      </c>
      <c r="I116" s="115">
        <f t="shared" si="95"/>
        <v>0.7555555555555555</v>
      </c>
      <c r="J116" s="3">
        <v>45</v>
      </c>
      <c r="K116" s="195">
        <f aca="true" t="shared" si="209" ref="K116:K121">+H116+E116+B116</f>
        <v>17961</v>
      </c>
      <c r="L116" s="115">
        <f t="shared" si="208"/>
        <v>0.1455746474307019</v>
      </c>
      <c r="M116" s="23">
        <f aca="true" t="shared" si="210" ref="M116:M121">+J116+G116+D116</f>
        <v>123380</v>
      </c>
      <c r="N116" s="3">
        <v>186230</v>
      </c>
      <c r="O116" s="67">
        <f t="shared" si="101"/>
        <v>0.3087756414932916</v>
      </c>
      <c r="P116" s="174">
        <v>603124</v>
      </c>
      <c r="Q116" s="68">
        <v>5800</v>
      </c>
      <c r="R116" s="67">
        <f t="shared" si="102"/>
        <v>0.48458517837747517</v>
      </c>
      <c r="S116" s="40">
        <v>11969</v>
      </c>
      <c r="T116" s="68">
        <v>364</v>
      </c>
      <c r="U116" s="67">
        <f t="shared" si="103"/>
        <v>0.9054726368159204</v>
      </c>
      <c r="V116" s="40">
        <v>402</v>
      </c>
      <c r="W116" s="63">
        <f aca="true" t="shared" si="211" ref="W116:W121">+T116+Q116+N116</f>
        <v>192394</v>
      </c>
      <c r="X116" s="67">
        <f t="shared" si="206"/>
        <v>0.31258418021267437</v>
      </c>
      <c r="Y116" s="26">
        <f aca="true" t="shared" si="212" ref="Y116:Y121">+V116+S116+P116</f>
        <v>615495</v>
      </c>
      <c r="Z116" s="3">
        <v>53</v>
      </c>
      <c r="AA116" s="115">
        <f t="shared" si="98"/>
        <v>0.001425727659116587</v>
      </c>
      <c r="AB116" s="40">
        <v>37174</v>
      </c>
      <c r="AC116" s="3">
        <v>52</v>
      </c>
      <c r="AD116" s="115">
        <f t="shared" si="99"/>
        <v>0.28415300546448086</v>
      </c>
      <c r="AE116" s="40">
        <v>183</v>
      </c>
      <c r="AF116" s="3">
        <v>10</v>
      </c>
      <c r="AG116" s="7">
        <f t="shared" si="100"/>
        <v>0.6666666666666666</v>
      </c>
      <c r="AH116" s="3">
        <v>15</v>
      </c>
      <c r="AI116" s="41">
        <f aca="true" t="shared" si="213" ref="AI116:AI121">+AF116+AC116+Z116</f>
        <v>115</v>
      </c>
      <c r="AJ116" s="7">
        <f t="shared" si="207"/>
        <v>0.0030771700738520817</v>
      </c>
      <c r="AK116" s="44">
        <f aca="true" t="shared" si="214" ref="AK116:AK121">+AH116+AE116+AB116</f>
        <v>37372</v>
      </c>
      <c r="AL116" s="117">
        <f aca="true" t="shared" si="215" ref="AL116:AL121">(B116+N116+Z116)/AR116</f>
        <v>0.26696549868413283</v>
      </c>
      <c r="AM116" s="115">
        <f aca="true" t="shared" si="216" ref="AM116:AM121">(E116+Q116+AC116)/AS116</f>
        <v>0.4790380473797559</v>
      </c>
      <c r="AN116" s="7">
        <f aca="true" t="shared" si="217" ref="AN116:AN121">(H116+T116+AF116)/AT116</f>
        <v>0.8831168831168831</v>
      </c>
      <c r="AO116" s="171">
        <f aca="true" t="shared" si="218" ref="AO116:AO121">AP116/AQ116</f>
        <v>0.262927442919123</v>
      </c>
      <c r="AP116" s="63">
        <f aca="true" t="shared" si="219" ref="AP116:AP121">AF116+AC116+Z116+T116+Q116+N116+H116+E116+B116</f>
        <v>210470</v>
      </c>
      <c r="AQ116" s="3">
        <f aca="true" t="shared" si="220" ref="AQ116:AQ121">AH116+AF116+AE116+AC116+Z116+AB116+V116+T116+S116+Q116+P116+J116+H116+G116+E116+D116+B116</f>
        <v>800487</v>
      </c>
      <c r="AR116" s="116">
        <f aca="true" t="shared" si="221" ref="AR116:AR121">+D116+P116+AB116</f>
        <v>761855</v>
      </c>
      <c r="AS116" s="3">
        <f aca="true" t="shared" si="222" ref="AS116:AS121">G116+S116+AE116</f>
        <v>13930</v>
      </c>
      <c r="AT116" s="26">
        <f aca="true" t="shared" si="223" ref="AT116:AT121">J116+V116+AH116</f>
        <v>462</v>
      </c>
    </row>
    <row r="117" spans="1:46" ht="12.75">
      <c r="A117" s="146">
        <v>41306</v>
      </c>
      <c r="B117" s="3">
        <v>15447</v>
      </c>
      <c r="C117" s="115">
        <f t="shared" si="93"/>
        <v>0.12715882711272822</v>
      </c>
      <c r="D117" s="3">
        <v>121478</v>
      </c>
      <c r="E117" s="178">
        <v>825</v>
      </c>
      <c r="F117" s="115">
        <f t="shared" si="94"/>
        <v>0.46875</v>
      </c>
      <c r="G117" s="3">
        <v>1760</v>
      </c>
      <c r="H117" s="178">
        <v>34</v>
      </c>
      <c r="I117" s="115">
        <f t="shared" si="95"/>
        <v>0.7555555555555555</v>
      </c>
      <c r="J117" s="3">
        <v>45</v>
      </c>
      <c r="K117" s="195">
        <f t="shared" si="209"/>
        <v>16306</v>
      </c>
      <c r="L117" s="115">
        <f t="shared" si="208"/>
        <v>0.13226478914367756</v>
      </c>
      <c r="M117" s="23">
        <f t="shared" si="210"/>
        <v>123283</v>
      </c>
      <c r="N117" s="3">
        <v>181371</v>
      </c>
      <c r="O117" s="67">
        <f t="shared" si="101"/>
        <v>0.30077810171043073</v>
      </c>
      <c r="P117" s="174">
        <v>603006</v>
      </c>
      <c r="Q117" s="68">
        <v>5836</v>
      </c>
      <c r="R117" s="67">
        <f t="shared" si="102"/>
        <v>0.48625229128478586</v>
      </c>
      <c r="S117" s="40">
        <v>12002</v>
      </c>
      <c r="T117" s="68">
        <v>363</v>
      </c>
      <c r="U117" s="67">
        <f t="shared" si="103"/>
        <v>0.8985148514851485</v>
      </c>
      <c r="V117" s="40">
        <v>404</v>
      </c>
      <c r="W117" s="63">
        <f t="shared" si="211"/>
        <v>187570</v>
      </c>
      <c r="X117" s="67">
        <f t="shared" si="206"/>
        <v>0.3047876869479308</v>
      </c>
      <c r="Y117" s="26">
        <f t="shared" si="212"/>
        <v>615412</v>
      </c>
      <c r="Z117" s="3">
        <v>53</v>
      </c>
      <c r="AA117" s="115">
        <f t="shared" si="98"/>
        <v>0.0014252675738181035</v>
      </c>
      <c r="AB117" s="40">
        <v>37186</v>
      </c>
      <c r="AC117" s="3">
        <v>52</v>
      </c>
      <c r="AD117" s="115">
        <f t="shared" si="99"/>
        <v>0.28415300546448086</v>
      </c>
      <c r="AE117" s="40">
        <v>183</v>
      </c>
      <c r="AF117" s="3">
        <v>10</v>
      </c>
      <c r="AG117" s="7">
        <f t="shared" si="100"/>
        <v>0.7142857142857143</v>
      </c>
      <c r="AH117" s="3">
        <v>14</v>
      </c>
      <c r="AI117" s="41">
        <f t="shared" si="213"/>
        <v>115</v>
      </c>
      <c r="AJ117" s="7">
        <f t="shared" si="207"/>
        <v>0.0030762646122569084</v>
      </c>
      <c r="AK117" s="44">
        <f t="shared" si="214"/>
        <v>37383</v>
      </c>
      <c r="AL117" s="117">
        <f t="shared" si="215"/>
        <v>0.25847282944057137</v>
      </c>
      <c r="AM117" s="115">
        <f t="shared" si="216"/>
        <v>0.4813911796342775</v>
      </c>
      <c r="AN117" s="7">
        <f t="shared" si="217"/>
        <v>0.8790496760259179</v>
      </c>
      <c r="AO117" s="171">
        <f t="shared" si="218"/>
        <v>0.2554044206946806</v>
      </c>
      <c r="AP117" s="63">
        <f t="shared" si="219"/>
        <v>203991</v>
      </c>
      <c r="AQ117" s="3">
        <f t="shared" si="220"/>
        <v>798698</v>
      </c>
      <c r="AR117" s="116">
        <f t="shared" si="221"/>
        <v>761670</v>
      </c>
      <c r="AS117" s="3">
        <f t="shared" si="222"/>
        <v>13945</v>
      </c>
      <c r="AT117" s="26">
        <f t="shared" si="223"/>
        <v>463</v>
      </c>
    </row>
    <row r="118" spans="1:46" ht="12.75">
      <c r="A118" s="146">
        <v>41275</v>
      </c>
      <c r="B118" s="3">
        <v>14429</v>
      </c>
      <c r="C118" s="115">
        <f t="shared" si="93"/>
        <v>0.11874938275669092</v>
      </c>
      <c r="D118" s="3">
        <v>121508</v>
      </c>
      <c r="E118" s="178">
        <v>837</v>
      </c>
      <c r="F118" s="115">
        <f t="shared" si="94"/>
        <v>0.48048220436280137</v>
      </c>
      <c r="G118" s="3">
        <v>1742</v>
      </c>
      <c r="H118" s="178">
        <v>34</v>
      </c>
      <c r="I118" s="115">
        <f t="shared" si="95"/>
        <v>0.7555555555555555</v>
      </c>
      <c r="J118" s="3">
        <v>45</v>
      </c>
      <c r="K118" s="195">
        <f t="shared" si="209"/>
        <v>15300</v>
      </c>
      <c r="L118" s="115">
        <f t="shared" si="208"/>
        <v>0.12409262338294334</v>
      </c>
      <c r="M118" s="23">
        <f t="shared" si="210"/>
        <v>123295</v>
      </c>
      <c r="N118" s="3">
        <v>181750</v>
      </c>
      <c r="O118" s="67">
        <f t="shared" si="101"/>
        <v>0.3014141172919662</v>
      </c>
      <c r="P118" s="174">
        <v>602991</v>
      </c>
      <c r="Q118" s="68">
        <v>5868</v>
      </c>
      <c r="R118" s="67">
        <f t="shared" si="102"/>
        <v>0.4856409831995365</v>
      </c>
      <c r="S118" s="40">
        <v>12083</v>
      </c>
      <c r="T118" s="68">
        <v>358</v>
      </c>
      <c r="U118" s="67">
        <f t="shared" si="103"/>
        <v>0.8994974874371859</v>
      </c>
      <c r="V118" s="40">
        <v>398</v>
      </c>
      <c r="W118" s="63">
        <f t="shared" si="211"/>
        <v>187976</v>
      </c>
      <c r="X118" s="67">
        <f aca="true" t="shared" si="224" ref="X118:X124">W118/Y118</f>
        <v>0.3054176306964411</v>
      </c>
      <c r="Y118" s="26">
        <f t="shared" si="212"/>
        <v>615472</v>
      </c>
      <c r="Z118" s="3">
        <v>49</v>
      </c>
      <c r="AA118" s="115">
        <f t="shared" si="98"/>
        <v>0.0013164965072541644</v>
      </c>
      <c r="AB118" s="40">
        <v>37220</v>
      </c>
      <c r="AC118" s="3">
        <v>51</v>
      </c>
      <c r="AD118" s="115">
        <f t="shared" si="99"/>
        <v>0.2786885245901639</v>
      </c>
      <c r="AE118" s="40">
        <v>183</v>
      </c>
      <c r="AF118" s="3">
        <v>10</v>
      </c>
      <c r="AG118" s="7">
        <f t="shared" si="100"/>
        <v>0.7142857142857143</v>
      </c>
      <c r="AH118" s="3">
        <v>14</v>
      </c>
      <c r="AI118" s="41">
        <f t="shared" si="213"/>
        <v>110</v>
      </c>
      <c r="AJ118" s="7">
        <f t="shared" si="207"/>
        <v>0.002939840179597509</v>
      </c>
      <c r="AK118" s="44">
        <f t="shared" si="214"/>
        <v>37417</v>
      </c>
      <c r="AL118" s="117">
        <f t="shared" si="215"/>
        <v>0.2576120590401447</v>
      </c>
      <c r="AM118" s="115">
        <f t="shared" si="216"/>
        <v>0.48229583095374073</v>
      </c>
      <c r="AN118" s="7">
        <f t="shared" si="217"/>
        <v>0.8796498905908097</v>
      </c>
      <c r="AO118" s="171">
        <f t="shared" si="218"/>
        <v>0.2549271765561154</v>
      </c>
      <c r="AP118" s="63">
        <f t="shared" si="219"/>
        <v>203386</v>
      </c>
      <c r="AQ118" s="3">
        <f t="shared" si="220"/>
        <v>797820</v>
      </c>
      <c r="AR118" s="116">
        <f t="shared" si="221"/>
        <v>761719</v>
      </c>
      <c r="AS118" s="3">
        <f t="shared" si="222"/>
        <v>14008</v>
      </c>
      <c r="AT118" s="26">
        <f t="shared" si="223"/>
        <v>457</v>
      </c>
    </row>
    <row r="119" spans="1:46" ht="12.75">
      <c r="A119" s="146">
        <v>41244</v>
      </c>
      <c r="B119" s="3">
        <v>13303</v>
      </c>
      <c r="C119" s="115">
        <f t="shared" si="93"/>
        <v>0.10938258002450275</v>
      </c>
      <c r="D119" s="3">
        <v>121619</v>
      </c>
      <c r="E119" s="178">
        <v>844</v>
      </c>
      <c r="F119" s="115">
        <f t="shared" si="94"/>
        <v>0.4867358708189158</v>
      </c>
      <c r="G119" s="3">
        <v>1734</v>
      </c>
      <c r="H119" s="178">
        <v>34</v>
      </c>
      <c r="I119" s="115">
        <f t="shared" si="95"/>
        <v>0.7555555555555555</v>
      </c>
      <c r="J119" s="3">
        <v>45</v>
      </c>
      <c r="K119" s="195">
        <f t="shared" si="209"/>
        <v>14181</v>
      </c>
      <c r="L119" s="115">
        <f t="shared" si="208"/>
        <v>0.11492082529700644</v>
      </c>
      <c r="M119" s="23">
        <f t="shared" si="210"/>
        <v>123398</v>
      </c>
      <c r="N119" s="3">
        <v>176851</v>
      </c>
      <c r="O119" s="67">
        <f t="shared" si="101"/>
        <v>0.2934906352372639</v>
      </c>
      <c r="P119" s="174">
        <v>602578</v>
      </c>
      <c r="Q119" s="68">
        <v>5924</v>
      </c>
      <c r="R119" s="67">
        <f t="shared" si="102"/>
        <v>0.4914958931386377</v>
      </c>
      <c r="S119" s="40">
        <v>12053</v>
      </c>
      <c r="T119" s="68">
        <v>359</v>
      </c>
      <c r="U119" s="67">
        <f t="shared" si="103"/>
        <v>0.899749373433584</v>
      </c>
      <c r="V119" s="40">
        <v>399</v>
      </c>
      <c r="W119" s="63">
        <f t="shared" si="211"/>
        <v>183134</v>
      </c>
      <c r="X119" s="67">
        <f t="shared" si="224"/>
        <v>0.2977643366990228</v>
      </c>
      <c r="Y119" s="26">
        <f t="shared" si="212"/>
        <v>615030</v>
      </c>
      <c r="Z119" s="3">
        <v>36</v>
      </c>
      <c r="AA119" s="115">
        <f t="shared" si="98"/>
        <v>0.0009662613737015863</v>
      </c>
      <c r="AB119" s="40">
        <v>37257</v>
      </c>
      <c r="AC119" s="3">
        <v>50</v>
      </c>
      <c r="AD119" s="115">
        <f t="shared" si="99"/>
        <v>0.27472527472527475</v>
      </c>
      <c r="AE119" s="40">
        <v>182</v>
      </c>
      <c r="AF119" s="3">
        <v>10</v>
      </c>
      <c r="AG119" s="7">
        <f t="shared" si="100"/>
        <v>0.7142857142857143</v>
      </c>
      <c r="AH119" s="3">
        <v>14</v>
      </c>
      <c r="AI119" s="41">
        <f t="shared" si="213"/>
        <v>96</v>
      </c>
      <c r="AJ119" s="7">
        <f t="shared" si="207"/>
        <v>0.0025632125597415427</v>
      </c>
      <c r="AK119" s="44">
        <f t="shared" si="214"/>
        <v>37453</v>
      </c>
      <c r="AL119" s="117">
        <f t="shared" si="215"/>
        <v>0.2497721464461412</v>
      </c>
      <c r="AM119" s="115">
        <f t="shared" si="216"/>
        <v>0.488080750232658</v>
      </c>
      <c r="AN119" s="7">
        <f t="shared" si="217"/>
        <v>0.8799126637554585</v>
      </c>
      <c r="AO119" s="171">
        <f t="shared" si="218"/>
        <v>0.24786644585097956</v>
      </c>
      <c r="AP119" s="63">
        <f t="shared" si="219"/>
        <v>197411</v>
      </c>
      <c r="AQ119" s="3">
        <f t="shared" si="220"/>
        <v>796441</v>
      </c>
      <c r="AR119" s="116">
        <f t="shared" si="221"/>
        <v>761454</v>
      </c>
      <c r="AS119" s="3">
        <f t="shared" si="222"/>
        <v>13969</v>
      </c>
      <c r="AT119" s="26">
        <f t="shared" si="223"/>
        <v>458</v>
      </c>
    </row>
    <row r="120" spans="1:46" ht="12.75">
      <c r="A120" s="146">
        <v>41214</v>
      </c>
      <c r="B120" s="3">
        <v>11422</v>
      </c>
      <c r="C120" s="115">
        <f t="shared" si="93"/>
        <v>0.0938252133698054</v>
      </c>
      <c r="D120" s="3">
        <v>121737</v>
      </c>
      <c r="E120" s="178">
        <v>856</v>
      </c>
      <c r="F120" s="115">
        <f t="shared" si="94"/>
        <v>0.484985835694051</v>
      </c>
      <c r="G120" s="3">
        <v>1765</v>
      </c>
      <c r="H120" s="178">
        <v>33</v>
      </c>
      <c r="I120" s="115">
        <f t="shared" si="95"/>
        <v>0.7333333333333333</v>
      </c>
      <c r="J120" s="3">
        <v>45</v>
      </c>
      <c r="K120" s="195">
        <f t="shared" si="209"/>
        <v>12311</v>
      </c>
      <c r="L120" s="115">
        <f t="shared" si="208"/>
        <v>0.09964628845702445</v>
      </c>
      <c r="M120" s="23">
        <f t="shared" si="210"/>
        <v>123547</v>
      </c>
      <c r="N120" s="3">
        <v>167837</v>
      </c>
      <c r="O120" s="67">
        <f t="shared" si="101"/>
        <v>0.2788096555184002</v>
      </c>
      <c r="P120" s="174">
        <v>601977</v>
      </c>
      <c r="Q120" s="68">
        <v>6079</v>
      </c>
      <c r="R120" s="67">
        <f t="shared" si="102"/>
        <v>0.4885477778670739</v>
      </c>
      <c r="S120" s="40">
        <v>12443</v>
      </c>
      <c r="T120" s="68">
        <v>362</v>
      </c>
      <c r="U120" s="67">
        <f t="shared" si="103"/>
        <v>0.9072681704260651</v>
      </c>
      <c r="V120" s="40">
        <v>399</v>
      </c>
      <c r="W120" s="63">
        <f t="shared" si="211"/>
        <v>174278</v>
      </c>
      <c r="X120" s="67">
        <f t="shared" si="224"/>
        <v>0.28346228727479145</v>
      </c>
      <c r="Y120" s="26">
        <f t="shared" si="212"/>
        <v>614819</v>
      </c>
      <c r="Z120" s="3">
        <v>30</v>
      </c>
      <c r="AA120" s="115">
        <f t="shared" si="98"/>
        <v>0.0008053691275167785</v>
      </c>
      <c r="AB120" s="40">
        <v>37250</v>
      </c>
      <c r="AC120" s="3">
        <v>39</v>
      </c>
      <c r="AD120" s="115">
        <f t="shared" si="99"/>
        <v>0.2565789473684211</v>
      </c>
      <c r="AE120" s="40">
        <v>152</v>
      </c>
      <c r="AF120" s="3">
        <v>11</v>
      </c>
      <c r="AG120" s="7">
        <f t="shared" si="100"/>
        <v>0.7333333333333333</v>
      </c>
      <c r="AH120" s="3">
        <v>15</v>
      </c>
      <c r="AI120" s="41">
        <f t="shared" si="213"/>
        <v>80</v>
      </c>
      <c r="AJ120" s="7">
        <f aca="true" t="shared" si="225" ref="AJ120:AJ126">AI120/AK120</f>
        <v>0.002138065585161825</v>
      </c>
      <c r="AK120" s="44">
        <f t="shared" si="214"/>
        <v>37417</v>
      </c>
      <c r="AL120" s="117">
        <f t="shared" si="215"/>
        <v>0.23560772914356</v>
      </c>
      <c r="AM120" s="115">
        <f t="shared" si="216"/>
        <v>0.48565459610027856</v>
      </c>
      <c r="AN120" s="7">
        <f t="shared" si="217"/>
        <v>0.8845315904139434</v>
      </c>
      <c r="AO120" s="171">
        <f t="shared" si="218"/>
        <v>0.23491753868225493</v>
      </c>
      <c r="AP120" s="63">
        <f t="shared" si="219"/>
        <v>186669</v>
      </c>
      <c r="AQ120" s="3">
        <f t="shared" si="220"/>
        <v>794615</v>
      </c>
      <c r="AR120" s="116">
        <f t="shared" si="221"/>
        <v>760964</v>
      </c>
      <c r="AS120" s="3">
        <f t="shared" si="222"/>
        <v>14360</v>
      </c>
      <c r="AT120" s="26">
        <f t="shared" si="223"/>
        <v>459</v>
      </c>
    </row>
    <row r="121" spans="1:46" ht="12.75">
      <c r="A121" s="146">
        <v>41183</v>
      </c>
      <c r="B121" s="3">
        <v>9479</v>
      </c>
      <c r="C121" s="115">
        <f t="shared" si="93"/>
        <v>0.07749282625223797</v>
      </c>
      <c r="D121" s="3">
        <v>122321</v>
      </c>
      <c r="E121" s="178">
        <v>853</v>
      </c>
      <c r="F121" s="115">
        <f t="shared" si="94"/>
        <v>0.4746800222593211</v>
      </c>
      <c r="G121" s="3">
        <v>1797</v>
      </c>
      <c r="H121" s="178">
        <v>33</v>
      </c>
      <c r="I121" s="115">
        <f t="shared" si="95"/>
        <v>0.7333333333333333</v>
      </c>
      <c r="J121" s="3">
        <v>45</v>
      </c>
      <c r="K121" s="195">
        <f t="shared" si="209"/>
        <v>10365</v>
      </c>
      <c r="L121" s="115">
        <f aca="true" t="shared" si="226" ref="L121:L127">K121/M121</f>
        <v>0.08347897521806014</v>
      </c>
      <c r="M121" s="23">
        <f t="shared" si="210"/>
        <v>124163</v>
      </c>
      <c r="N121" s="3">
        <v>173237</v>
      </c>
      <c r="O121" s="67">
        <f t="shared" si="101"/>
        <v>0.2879479942688647</v>
      </c>
      <c r="P121" s="174">
        <v>601626</v>
      </c>
      <c r="Q121" s="68">
        <v>5860</v>
      </c>
      <c r="R121" s="67">
        <f t="shared" si="102"/>
        <v>0.48622635247261864</v>
      </c>
      <c r="S121" s="40">
        <v>12052</v>
      </c>
      <c r="T121" s="68">
        <v>364</v>
      </c>
      <c r="U121" s="67">
        <f t="shared" si="103"/>
        <v>0.9032258064516129</v>
      </c>
      <c r="V121" s="40">
        <v>403</v>
      </c>
      <c r="W121" s="63">
        <f t="shared" si="211"/>
        <v>179461</v>
      </c>
      <c r="X121" s="67">
        <f t="shared" si="224"/>
        <v>0.2922432057008766</v>
      </c>
      <c r="Y121" s="26">
        <f t="shared" si="212"/>
        <v>614081</v>
      </c>
      <c r="Z121" s="3">
        <v>31</v>
      </c>
      <c r="AA121" s="115">
        <f t="shared" si="98"/>
        <v>0.0008300532840656545</v>
      </c>
      <c r="AB121" s="40">
        <v>37347</v>
      </c>
      <c r="AC121" s="3">
        <v>50</v>
      </c>
      <c r="AD121" s="115">
        <f t="shared" si="99"/>
        <v>0.27472527472527475</v>
      </c>
      <c r="AE121" s="40">
        <v>182</v>
      </c>
      <c r="AF121" s="3">
        <v>11</v>
      </c>
      <c r="AG121" s="7">
        <f t="shared" si="100"/>
        <v>0.7857142857142857</v>
      </c>
      <c r="AH121" s="3">
        <v>14</v>
      </c>
      <c r="AI121" s="41">
        <f t="shared" si="213"/>
        <v>92</v>
      </c>
      <c r="AJ121" s="7">
        <f t="shared" si="225"/>
        <v>0.0024505233998348562</v>
      </c>
      <c r="AK121" s="44">
        <f t="shared" si="214"/>
        <v>37543</v>
      </c>
      <c r="AL121" s="117">
        <f t="shared" si="215"/>
        <v>0.2400478658704784</v>
      </c>
      <c r="AM121" s="115">
        <f t="shared" si="216"/>
        <v>0.4820041337039413</v>
      </c>
      <c r="AN121" s="7">
        <f t="shared" si="217"/>
        <v>0.8831168831168831</v>
      </c>
      <c r="AO121" s="171">
        <f t="shared" si="218"/>
        <v>0.23965384091218825</v>
      </c>
      <c r="AP121" s="63">
        <f t="shared" si="219"/>
        <v>189918</v>
      </c>
      <c r="AQ121" s="3">
        <f t="shared" si="220"/>
        <v>792468</v>
      </c>
      <c r="AR121" s="116">
        <f t="shared" si="221"/>
        <v>761294</v>
      </c>
      <c r="AS121" s="3">
        <f t="shared" si="222"/>
        <v>14031</v>
      </c>
      <c r="AT121" s="26">
        <f t="shared" si="223"/>
        <v>462</v>
      </c>
    </row>
    <row r="122" spans="1:46" ht="12.75">
      <c r="A122" s="146">
        <v>41153</v>
      </c>
      <c r="B122" s="3">
        <v>8730</v>
      </c>
      <c r="C122" s="115">
        <f t="shared" si="93"/>
        <v>0.0709121923483064</v>
      </c>
      <c r="D122" s="3">
        <v>123110</v>
      </c>
      <c r="E122" s="178">
        <v>854</v>
      </c>
      <c r="F122" s="115">
        <f t="shared" si="94"/>
        <v>0.47104247104247104</v>
      </c>
      <c r="G122" s="3">
        <v>1813</v>
      </c>
      <c r="H122" s="178">
        <v>33</v>
      </c>
      <c r="I122" s="115">
        <f t="shared" si="95"/>
        <v>0.75</v>
      </c>
      <c r="J122" s="3">
        <v>44</v>
      </c>
      <c r="K122" s="195">
        <f aca="true" t="shared" si="227" ref="K122:K127">+H122+E122+B122</f>
        <v>9617</v>
      </c>
      <c r="L122" s="115">
        <f t="shared" si="226"/>
        <v>0.07695631646754743</v>
      </c>
      <c r="M122" s="23">
        <f aca="true" t="shared" si="228" ref="M122:M127">+J122+G122+D122</f>
        <v>124967</v>
      </c>
      <c r="N122" s="3">
        <v>163762</v>
      </c>
      <c r="O122" s="67">
        <f t="shared" si="101"/>
        <v>0.2722859033576419</v>
      </c>
      <c r="P122" s="174">
        <v>601434</v>
      </c>
      <c r="Q122" s="68">
        <v>5878</v>
      </c>
      <c r="R122" s="67">
        <f t="shared" si="102"/>
        <v>0.48530383091149276</v>
      </c>
      <c r="S122" s="40">
        <v>12112</v>
      </c>
      <c r="T122" s="68">
        <v>368</v>
      </c>
      <c r="U122" s="67">
        <f t="shared" si="103"/>
        <v>0.9041769041769042</v>
      </c>
      <c r="V122" s="40">
        <v>407</v>
      </c>
      <c r="W122" s="63">
        <f aca="true" t="shared" si="229" ref="W122:W127">+T122+Q122+N122</f>
        <v>170008</v>
      </c>
      <c r="X122" s="67">
        <f t="shared" si="224"/>
        <v>0.2769071899640526</v>
      </c>
      <c r="Y122" s="26">
        <f aca="true" t="shared" si="230" ref="Y122:Y127">+V122+S122+P122</f>
        <v>613953</v>
      </c>
      <c r="Z122" s="3">
        <v>31</v>
      </c>
      <c r="AA122" s="115">
        <f t="shared" si="98"/>
        <v>0.0008300977373142321</v>
      </c>
      <c r="AB122" s="40">
        <v>37345</v>
      </c>
      <c r="AC122" s="3">
        <v>50</v>
      </c>
      <c r="AD122" s="115">
        <f t="shared" si="99"/>
        <v>0.273224043715847</v>
      </c>
      <c r="AE122" s="40">
        <v>183</v>
      </c>
      <c r="AF122" s="3">
        <v>11</v>
      </c>
      <c r="AG122" s="7">
        <f t="shared" si="100"/>
        <v>0.7857142857142857</v>
      </c>
      <c r="AH122" s="3">
        <v>14</v>
      </c>
      <c r="AI122" s="41">
        <f aca="true" t="shared" si="231" ref="AI122:AI127">+AF122+AC122+Z122</f>
        <v>92</v>
      </c>
      <c r="AJ122" s="7">
        <f t="shared" si="225"/>
        <v>0.0024505886740184327</v>
      </c>
      <c r="AK122" s="44">
        <f aca="true" t="shared" si="232" ref="AK122:AK127">+AH122+AE122+AB122</f>
        <v>37542</v>
      </c>
      <c r="AL122" s="117">
        <f aca="true" t="shared" si="233" ref="AL122:AL127">(B122+N122+Z122)/AR122</f>
        <v>0.2264411220007114</v>
      </c>
      <c r="AM122" s="115">
        <f aca="true" t="shared" si="234" ref="AM122:AM127">(E122+Q122+AC122)/AS122</f>
        <v>0.48072015877516305</v>
      </c>
      <c r="AN122" s="7">
        <f aca="true" t="shared" si="235" ref="AN122:AN127">(H122+T122+AF122)/AT122</f>
        <v>0.886021505376344</v>
      </c>
      <c r="AO122" s="171">
        <f aca="true" t="shared" si="236" ref="AO122:AO127">AP122/AQ122</f>
        <v>0.22679599251404248</v>
      </c>
      <c r="AP122" s="63">
        <f aca="true" t="shared" si="237" ref="AP122:AP127">AF122+AC122+Z122+T122+Q122+N122+H122+E122+B122</f>
        <v>179717</v>
      </c>
      <c r="AQ122" s="3">
        <f aca="true" t="shared" si="238" ref="AQ122:AQ127">AH122+AF122+AE122+AC122+Z122+AB122+V122+T122+S122+Q122+P122+J122+H122+G122+E122+D122+B122</f>
        <v>792417</v>
      </c>
      <c r="AR122" s="116">
        <f aca="true" t="shared" si="239" ref="AR122:AR127">+D122+P122+AB122</f>
        <v>761889</v>
      </c>
      <c r="AS122" s="3">
        <f aca="true" t="shared" si="240" ref="AS122:AS127">G122+S122+AE122</f>
        <v>14108</v>
      </c>
      <c r="AT122" s="26">
        <f aca="true" t="shared" si="241" ref="AT122:AT127">J122+V122+AH122</f>
        <v>465</v>
      </c>
    </row>
    <row r="123" spans="1:46" ht="12.75">
      <c r="A123" s="146">
        <v>41122</v>
      </c>
      <c r="B123" s="3">
        <v>8300</v>
      </c>
      <c r="C123" s="115">
        <f t="shared" si="93"/>
        <v>0.06736466195925656</v>
      </c>
      <c r="D123" s="3">
        <v>123210</v>
      </c>
      <c r="E123" s="178">
        <v>855</v>
      </c>
      <c r="F123" s="115">
        <f t="shared" si="94"/>
        <v>0.4690071311025782</v>
      </c>
      <c r="G123" s="3">
        <v>1823</v>
      </c>
      <c r="H123" s="178">
        <v>33</v>
      </c>
      <c r="I123" s="115">
        <f t="shared" si="95"/>
        <v>0.75</v>
      </c>
      <c r="J123" s="3">
        <v>44</v>
      </c>
      <c r="K123" s="195">
        <f t="shared" si="227"/>
        <v>9188</v>
      </c>
      <c r="L123" s="115">
        <f t="shared" si="226"/>
        <v>0.07345874941036322</v>
      </c>
      <c r="M123" s="23">
        <f t="shared" si="228"/>
        <v>125077</v>
      </c>
      <c r="N123" s="4">
        <v>156427</v>
      </c>
      <c r="O123" s="67">
        <f t="shared" si="101"/>
        <v>0.2603086221500377</v>
      </c>
      <c r="P123" s="181">
        <v>600929</v>
      </c>
      <c r="Q123" s="68">
        <v>5840</v>
      </c>
      <c r="R123" s="67">
        <f t="shared" si="102"/>
        <v>0.48513042033560394</v>
      </c>
      <c r="S123" s="40">
        <v>12038</v>
      </c>
      <c r="T123" s="68">
        <v>364</v>
      </c>
      <c r="U123" s="67">
        <f t="shared" si="103"/>
        <v>0.8899755501222494</v>
      </c>
      <c r="V123" s="40">
        <v>409</v>
      </c>
      <c r="W123" s="63">
        <f t="shared" si="229"/>
        <v>162631</v>
      </c>
      <c r="X123" s="67">
        <f t="shared" si="224"/>
        <v>0.2651407945534224</v>
      </c>
      <c r="Y123" s="26">
        <f t="shared" si="230"/>
        <v>613376</v>
      </c>
      <c r="Z123" s="3">
        <v>32</v>
      </c>
      <c r="AA123" s="115">
        <f t="shared" si="98"/>
        <v>0.0008567833141449571</v>
      </c>
      <c r="AB123" s="40">
        <v>37349</v>
      </c>
      <c r="AC123" s="3">
        <v>50</v>
      </c>
      <c r="AD123" s="115">
        <f t="shared" si="99"/>
        <v>0.273224043715847</v>
      </c>
      <c r="AE123" s="40">
        <v>183</v>
      </c>
      <c r="AF123" s="3">
        <v>11</v>
      </c>
      <c r="AG123" s="7">
        <f t="shared" si="100"/>
        <v>0.7857142857142857</v>
      </c>
      <c r="AH123" s="3">
        <v>14</v>
      </c>
      <c r="AI123" s="41">
        <f t="shared" si="231"/>
        <v>93</v>
      </c>
      <c r="AJ123" s="7">
        <f t="shared" si="225"/>
        <v>0.0024769615937782984</v>
      </c>
      <c r="AK123" s="44">
        <f t="shared" si="232"/>
        <v>37546</v>
      </c>
      <c r="AL123" s="117">
        <f t="shared" si="233"/>
        <v>0.21636453890277982</v>
      </c>
      <c r="AM123" s="115">
        <f t="shared" si="234"/>
        <v>0.4802762745656508</v>
      </c>
      <c r="AN123" s="7">
        <f t="shared" si="235"/>
        <v>0.8736616702355461</v>
      </c>
      <c r="AO123" s="171">
        <f t="shared" si="236"/>
        <v>0.2172021165304668</v>
      </c>
      <c r="AP123" s="63">
        <f t="shared" si="237"/>
        <v>171912</v>
      </c>
      <c r="AQ123" s="3">
        <f t="shared" si="238"/>
        <v>791484</v>
      </c>
      <c r="AR123" s="116">
        <f t="shared" si="239"/>
        <v>761488</v>
      </c>
      <c r="AS123" s="3">
        <f t="shared" si="240"/>
        <v>14044</v>
      </c>
      <c r="AT123" s="26">
        <f t="shared" si="241"/>
        <v>467</v>
      </c>
    </row>
    <row r="124" spans="1:46" ht="12.75">
      <c r="A124" s="146">
        <v>41091</v>
      </c>
      <c r="B124" s="3">
        <v>7887</v>
      </c>
      <c r="C124" s="115">
        <f t="shared" si="93"/>
        <v>0.06411569602965564</v>
      </c>
      <c r="D124" s="3">
        <v>123012</v>
      </c>
      <c r="E124" s="178">
        <v>854</v>
      </c>
      <c r="F124" s="115">
        <f t="shared" si="94"/>
        <v>0.46948873007146785</v>
      </c>
      <c r="G124" s="3">
        <v>1819</v>
      </c>
      <c r="H124" s="178">
        <v>33</v>
      </c>
      <c r="I124" s="115">
        <f t="shared" si="95"/>
        <v>0.8048780487804879</v>
      </c>
      <c r="J124" s="3">
        <v>41</v>
      </c>
      <c r="K124" s="195">
        <f t="shared" si="227"/>
        <v>8774</v>
      </c>
      <c r="L124" s="115">
        <f t="shared" si="226"/>
        <v>0.07026395028509193</v>
      </c>
      <c r="M124" s="23">
        <f t="shared" si="228"/>
        <v>124872</v>
      </c>
      <c r="N124" s="4">
        <v>149218</v>
      </c>
      <c r="O124" s="67">
        <f t="shared" si="101"/>
        <v>0.24827129518092336</v>
      </c>
      <c r="P124" s="181">
        <v>601028</v>
      </c>
      <c r="Q124" s="68">
        <v>5764</v>
      </c>
      <c r="R124" s="67">
        <f t="shared" si="102"/>
        <v>0.47889664340312393</v>
      </c>
      <c r="S124" s="40">
        <v>12036</v>
      </c>
      <c r="T124" s="68">
        <v>366</v>
      </c>
      <c r="U124" s="67">
        <f t="shared" si="103"/>
        <v>0.8905109489051095</v>
      </c>
      <c r="V124" s="40">
        <v>411</v>
      </c>
      <c r="W124" s="63">
        <f t="shared" si="229"/>
        <v>155348</v>
      </c>
      <c r="X124" s="67">
        <f t="shared" si="224"/>
        <v>0.253226292839969</v>
      </c>
      <c r="Y124" s="26">
        <f t="shared" si="230"/>
        <v>613475</v>
      </c>
      <c r="Z124" s="3">
        <v>32</v>
      </c>
      <c r="AA124" s="115">
        <f t="shared" si="98"/>
        <v>0.000857426113984084</v>
      </c>
      <c r="AB124" s="40">
        <v>37321</v>
      </c>
      <c r="AC124" s="3">
        <v>50</v>
      </c>
      <c r="AD124" s="115">
        <f t="shared" si="99"/>
        <v>0.273224043715847</v>
      </c>
      <c r="AE124" s="40">
        <v>183</v>
      </c>
      <c r="AF124" s="3">
        <v>11</v>
      </c>
      <c r="AG124" s="7">
        <f t="shared" si="100"/>
        <v>0.7857142857142857</v>
      </c>
      <c r="AH124" s="3">
        <v>14</v>
      </c>
      <c r="AI124" s="41">
        <f t="shared" si="231"/>
        <v>93</v>
      </c>
      <c r="AJ124" s="7">
        <f t="shared" si="225"/>
        <v>0.0024788101711178635</v>
      </c>
      <c r="AK124" s="44">
        <f t="shared" si="232"/>
        <v>37518</v>
      </c>
      <c r="AL124" s="117">
        <f t="shared" si="233"/>
        <v>0.20638961018491886</v>
      </c>
      <c r="AM124" s="115">
        <f t="shared" si="234"/>
        <v>0.4749964382390654</v>
      </c>
      <c r="AN124" s="7">
        <f t="shared" si="235"/>
        <v>0.8798283261802575</v>
      </c>
      <c r="AO124" s="171">
        <f t="shared" si="236"/>
        <v>0.20764052388406573</v>
      </c>
      <c r="AP124" s="63">
        <f t="shared" si="237"/>
        <v>164215</v>
      </c>
      <c r="AQ124" s="3">
        <f t="shared" si="238"/>
        <v>790862</v>
      </c>
      <c r="AR124" s="116">
        <f t="shared" si="239"/>
        <v>761361</v>
      </c>
      <c r="AS124" s="3">
        <f t="shared" si="240"/>
        <v>14038</v>
      </c>
      <c r="AT124" s="26">
        <f t="shared" si="241"/>
        <v>466</v>
      </c>
    </row>
    <row r="125" spans="1:46" ht="12.75">
      <c r="A125" s="146">
        <v>41061</v>
      </c>
      <c r="B125" s="3">
        <v>7161</v>
      </c>
      <c r="C125" s="115">
        <f t="shared" si="93"/>
        <v>0.058310058709052266</v>
      </c>
      <c r="D125" s="3">
        <v>122809</v>
      </c>
      <c r="E125" s="178">
        <v>840</v>
      </c>
      <c r="F125" s="115">
        <f t="shared" si="94"/>
        <v>0.46306504961411243</v>
      </c>
      <c r="G125" s="3">
        <v>1814</v>
      </c>
      <c r="H125" s="178">
        <v>31</v>
      </c>
      <c r="I125" s="115">
        <f t="shared" si="95"/>
        <v>0.775</v>
      </c>
      <c r="J125" s="3">
        <v>40</v>
      </c>
      <c r="K125" s="195">
        <f t="shared" si="227"/>
        <v>8032</v>
      </c>
      <c r="L125" s="115">
        <f t="shared" si="226"/>
        <v>0.06442970247788037</v>
      </c>
      <c r="M125" s="23">
        <f t="shared" si="228"/>
        <v>124663</v>
      </c>
      <c r="N125" s="4">
        <v>141234</v>
      </c>
      <c r="O125" s="67">
        <f t="shared" si="101"/>
        <v>0.23504644045287137</v>
      </c>
      <c r="P125" s="181">
        <v>600877</v>
      </c>
      <c r="Q125" s="68">
        <v>5667</v>
      </c>
      <c r="R125" s="67">
        <f t="shared" si="102"/>
        <v>0.4698615371859713</v>
      </c>
      <c r="S125" s="40">
        <v>12061</v>
      </c>
      <c r="T125" s="68">
        <v>372</v>
      </c>
      <c r="U125" s="67">
        <f t="shared" si="103"/>
        <v>0.8878281622911695</v>
      </c>
      <c r="V125" s="40">
        <v>419</v>
      </c>
      <c r="W125" s="63">
        <f t="shared" si="229"/>
        <v>147273</v>
      </c>
      <c r="X125" s="67">
        <f aca="true" t="shared" si="242" ref="X125:X131">W125/Y125</f>
        <v>0.24010975663439074</v>
      </c>
      <c r="Y125" s="26">
        <f t="shared" si="230"/>
        <v>613357</v>
      </c>
      <c r="Z125" s="3">
        <v>32</v>
      </c>
      <c r="AA125" s="115">
        <f t="shared" si="98"/>
        <v>0.0008575180212771659</v>
      </c>
      <c r="AB125" s="40">
        <v>37317</v>
      </c>
      <c r="AC125" s="3">
        <v>50</v>
      </c>
      <c r="AD125" s="115">
        <f t="shared" si="99"/>
        <v>0.273224043715847</v>
      </c>
      <c r="AE125" s="40">
        <v>183</v>
      </c>
      <c r="AF125" s="3">
        <v>11</v>
      </c>
      <c r="AG125" s="7">
        <f t="shared" si="100"/>
        <v>0.7857142857142857</v>
      </c>
      <c r="AH125" s="3">
        <v>14</v>
      </c>
      <c r="AI125" s="41">
        <f t="shared" si="231"/>
        <v>93</v>
      </c>
      <c r="AJ125" s="7">
        <f t="shared" si="225"/>
        <v>0.002479074478861225</v>
      </c>
      <c r="AK125" s="44">
        <f t="shared" si="232"/>
        <v>37514</v>
      </c>
      <c r="AL125" s="117">
        <f t="shared" si="233"/>
        <v>0.19504128104619825</v>
      </c>
      <c r="AM125" s="115">
        <f t="shared" si="234"/>
        <v>0.466424811495234</v>
      </c>
      <c r="AN125" s="7">
        <f t="shared" si="235"/>
        <v>0.8752642706131079</v>
      </c>
      <c r="AO125" s="171">
        <f t="shared" si="236"/>
        <v>0.19678155446765724</v>
      </c>
      <c r="AP125" s="63">
        <f t="shared" si="237"/>
        <v>155398</v>
      </c>
      <c r="AQ125" s="3">
        <f t="shared" si="238"/>
        <v>789698</v>
      </c>
      <c r="AR125" s="116">
        <f t="shared" si="239"/>
        <v>761003</v>
      </c>
      <c r="AS125" s="3">
        <f t="shared" si="240"/>
        <v>14058</v>
      </c>
      <c r="AT125" s="26">
        <f t="shared" si="241"/>
        <v>473</v>
      </c>
    </row>
    <row r="126" spans="1:46" ht="12.75">
      <c r="A126" s="146">
        <v>41030</v>
      </c>
      <c r="B126" s="3">
        <v>6574</v>
      </c>
      <c r="C126" s="115">
        <f t="shared" si="93"/>
        <v>0.05373022100170001</v>
      </c>
      <c r="D126" s="3">
        <v>122352</v>
      </c>
      <c r="E126" s="178">
        <v>812</v>
      </c>
      <c r="F126" s="115">
        <f t="shared" si="94"/>
        <v>0.4488667772249862</v>
      </c>
      <c r="G126" s="3">
        <v>1809</v>
      </c>
      <c r="H126" s="178">
        <v>31</v>
      </c>
      <c r="I126" s="115">
        <f t="shared" si="95"/>
        <v>0.775</v>
      </c>
      <c r="J126" s="3">
        <v>40</v>
      </c>
      <c r="K126" s="195">
        <f t="shared" si="227"/>
        <v>7417</v>
      </c>
      <c r="L126" s="115">
        <f t="shared" si="226"/>
        <v>0.0597177156383604</v>
      </c>
      <c r="M126" s="23">
        <f t="shared" si="228"/>
        <v>124201</v>
      </c>
      <c r="N126" s="4">
        <v>132404</v>
      </c>
      <c r="O126" s="67">
        <f t="shared" si="101"/>
        <v>0.22059024434129812</v>
      </c>
      <c r="P126" s="181">
        <v>600226</v>
      </c>
      <c r="Q126" s="68">
        <v>5540</v>
      </c>
      <c r="R126" s="67">
        <f t="shared" si="102"/>
        <v>0.4597891941239937</v>
      </c>
      <c r="S126" s="40">
        <v>12049</v>
      </c>
      <c r="T126" s="68">
        <v>376</v>
      </c>
      <c r="U126" s="67">
        <f t="shared" si="103"/>
        <v>0.8805620608899297</v>
      </c>
      <c r="V126" s="40">
        <v>427</v>
      </c>
      <c r="W126" s="63">
        <f t="shared" si="229"/>
        <v>138320</v>
      </c>
      <c r="X126" s="67">
        <f t="shared" si="242"/>
        <v>0.2257541186416888</v>
      </c>
      <c r="Y126" s="26">
        <f t="shared" si="230"/>
        <v>612702</v>
      </c>
      <c r="Z126" s="3">
        <v>30</v>
      </c>
      <c r="AA126" s="115">
        <f t="shared" si="98"/>
        <v>0.0008035355564483728</v>
      </c>
      <c r="AB126" s="40">
        <v>37335</v>
      </c>
      <c r="AC126" s="3">
        <v>45</v>
      </c>
      <c r="AD126" s="115">
        <f t="shared" si="99"/>
        <v>0.2830188679245283</v>
      </c>
      <c r="AE126" s="40">
        <v>159</v>
      </c>
      <c r="AF126" s="3">
        <v>11</v>
      </c>
      <c r="AG126" s="7">
        <f t="shared" si="100"/>
        <v>0.7857142857142857</v>
      </c>
      <c r="AH126" s="3">
        <v>14</v>
      </c>
      <c r="AI126" s="41">
        <f t="shared" si="231"/>
        <v>86</v>
      </c>
      <c r="AJ126" s="7">
        <f t="shared" si="225"/>
        <v>0.0022928441932387757</v>
      </c>
      <c r="AK126" s="44">
        <f t="shared" si="232"/>
        <v>37508</v>
      </c>
      <c r="AL126" s="117">
        <f t="shared" si="233"/>
        <v>0.18292620339433593</v>
      </c>
      <c r="AM126" s="115">
        <f t="shared" si="234"/>
        <v>0.45637440251123634</v>
      </c>
      <c r="AN126" s="7">
        <f t="shared" si="235"/>
        <v>0.8690228690228691</v>
      </c>
      <c r="AO126" s="171">
        <f t="shared" si="236"/>
        <v>0.1850945000825051</v>
      </c>
      <c r="AP126" s="63">
        <f t="shared" si="237"/>
        <v>145823</v>
      </c>
      <c r="AQ126" s="3">
        <f t="shared" si="238"/>
        <v>787830</v>
      </c>
      <c r="AR126" s="116">
        <f t="shared" si="239"/>
        <v>759913</v>
      </c>
      <c r="AS126" s="3">
        <f t="shared" si="240"/>
        <v>14017</v>
      </c>
      <c r="AT126" s="26">
        <f t="shared" si="241"/>
        <v>481</v>
      </c>
    </row>
    <row r="127" spans="1:46" ht="12.75">
      <c r="A127" s="146">
        <v>41000</v>
      </c>
      <c r="B127" s="3">
        <v>5871</v>
      </c>
      <c r="C127" s="115">
        <f t="shared" si="93"/>
        <v>0.048259818830453584</v>
      </c>
      <c r="D127" s="3">
        <v>121654</v>
      </c>
      <c r="E127" s="178">
        <v>798</v>
      </c>
      <c r="F127" s="115">
        <f t="shared" si="94"/>
        <v>0.44407345575959933</v>
      </c>
      <c r="G127" s="3">
        <v>1797</v>
      </c>
      <c r="H127" s="178">
        <v>31</v>
      </c>
      <c r="I127" s="115">
        <f t="shared" si="95"/>
        <v>0.775</v>
      </c>
      <c r="J127" s="3">
        <v>40</v>
      </c>
      <c r="K127" s="195">
        <f t="shared" si="227"/>
        <v>6700</v>
      </c>
      <c r="L127" s="115">
        <f t="shared" si="226"/>
        <v>0.05425496594893555</v>
      </c>
      <c r="M127" s="23">
        <f t="shared" si="228"/>
        <v>123491</v>
      </c>
      <c r="N127" s="4">
        <v>100713</v>
      </c>
      <c r="O127" s="67">
        <f t="shared" si="101"/>
        <v>0.16752971314031923</v>
      </c>
      <c r="P127" s="181">
        <v>601165</v>
      </c>
      <c r="Q127" s="68">
        <v>5339</v>
      </c>
      <c r="R127" s="67">
        <f t="shared" si="102"/>
        <v>0.4443242343541944</v>
      </c>
      <c r="S127" s="40">
        <v>12016</v>
      </c>
      <c r="T127" s="68">
        <v>376</v>
      </c>
      <c r="U127" s="67">
        <f t="shared" si="103"/>
        <v>0.8805620608899297</v>
      </c>
      <c r="V127" s="40">
        <v>427</v>
      </c>
      <c r="W127" s="63">
        <f t="shared" si="229"/>
        <v>106428</v>
      </c>
      <c r="X127" s="67">
        <f t="shared" si="242"/>
        <v>0.17344623929283842</v>
      </c>
      <c r="Y127" s="26">
        <f t="shared" si="230"/>
        <v>613608</v>
      </c>
      <c r="Z127" s="3">
        <v>30</v>
      </c>
      <c r="AA127" s="115">
        <f t="shared" si="98"/>
        <v>0.0008041817450743868</v>
      </c>
      <c r="AB127" s="40">
        <v>37305</v>
      </c>
      <c r="AC127" s="3">
        <v>48</v>
      </c>
      <c r="AD127" s="115">
        <f t="shared" si="99"/>
        <v>0.26373626373626374</v>
      </c>
      <c r="AE127" s="40">
        <v>182</v>
      </c>
      <c r="AF127" s="3">
        <v>11</v>
      </c>
      <c r="AG127" s="7">
        <f t="shared" si="100"/>
        <v>0.7857142857142857</v>
      </c>
      <c r="AH127" s="3">
        <v>14</v>
      </c>
      <c r="AI127" s="41">
        <f t="shared" si="231"/>
        <v>89</v>
      </c>
      <c r="AJ127" s="7">
        <f aca="true" t="shared" si="243" ref="AJ127:AJ133">AI127/AK127</f>
        <v>0.002373270046132103</v>
      </c>
      <c r="AK127" s="44">
        <f t="shared" si="232"/>
        <v>37501</v>
      </c>
      <c r="AL127" s="117">
        <f t="shared" si="233"/>
        <v>0.1402586946340334</v>
      </c>
      <c r="AM127" s="115">
        <f t="shared" si="234"/>
        <v>0.4419435512683101</v>
      </c>
      <c r="AN127" s="7">
        <f t="shared" si="235"/>
        <v>0.8690228690228691</v>
      </c>
      <c r="AO127" s="171">
        <f t="shared" si="236"/>
        <v>0.1438399499939017</v>
      </c>
      <c r="AP127" s="63">
        <f t="shared" si="237"/>
        <v>113217</v>
      </c>
      <c r="AQ127" s="3">
        <f t="shared" si="238"/>
        <v>787104</v>
      </c>
      <c r="AR127" s="116">
        <f t="shared" si="239"/>
        <v>760124</v>
      </c>
      <c r="AS127" s="3">
        <f t="shared" si="240"/>
        <v>13995</v>
      </c>
      <c r="AT127" s="26">
        <f t="shared" si="241"/>
        <v>481</v>
      </c>
    </row>
    <row r="128" spans="1:46" ht="12.75">
      <c r="A128" s="146">
        <v>40969</v>
      </c>
      <c r="B128" s="3">
        <v>4975</v>
      </c>
      <c r="C128" s="115">
        <f t="shared" si="93"/>
        <v>0.041065473635553205</v>
      </c>
      <c r="D128" s="3">
        <v>121148</v>
      </c>
      <c r="E128" s="178">
        <v>766</v>
      </c>
      <c r="F128" s="115">
        <f t="shared" si="94"/>
        <v>0.4379645511720983</v>
      </c>
      <c r="G128" s="3">
        <v>1749</v>
      </c>
      <c r="H128" s="178">
        <v>31</v>
      </c>
      <c r="I128" s="115">
        <f t="shared" si="95"/>
        <v>0.775</v>
      </c>
      <c r="J128" s="3">
        <v>40</v>
      </c>
      <c r="K128" s="195">
        <f aca="true" t="shared" si="244" ref="K128:K133">+H128+E128+B128</f>
        <v>5772</v>
      </c>
      <c r="L128" s="115">
        <f aca="true" t="shared" si="245" ref="L128:L133">K128/M128</f>
        <v>0.04695087727860611</v>
      </c>
      <c r="M128" s="23">
        <f aca="true" t="shared" si="246" ref="M128:M133">+J128+G128+D128</f>
        <v>122937</v>
      </c>
      <c r="N128" s="182">
        <v>76130</v>
      </c>
      <c r="O128" s="67">
        <f t="shared" si="101"/>
        <v>0.12657175586098887</v>
      </c>
      <c r="P128" s="181">
        <v>601477</v>
      </c>
      <c r="Q128" s="68">
        <v>5129</v>
      </c>
      <c r="R128" s="67">
        <f t="shared" si="102"/>
        <v>0.4293846797823357</v>
      </c>
      <c r="S128" s="40">
        <v>11945</v>
      </c>
      <c r="T128" s="68">
        <v>376</v>
      </c>
      <c r="U128" s="67">
        <f t="shared" si="103"/>
        <v>0.8805620608899297</v>
      </c>
      <c r="V128" s="40">
        <v>427</v>
      </c>
      <c r="W128" s="63">
        <f aca="true" t="shared" si="247" ref="W128:W133">+T128+Q128+N128</f>
        <v>81635</v>
      </c>
      <c r="X128" s="67">
        <f t="shared" si="242"/>
        <v>0.13298873175650688</v>
      </c>
      <c r="Y128" s="26">
        <f aca="true" t="shared" si="248" ref="Y128:Y133">+V128+S128+P128</f>
        <v>613849</v>
      </c>
      <c r="Z128" s="3">
        <v>29</v>
      </c>
      <c r="AA128" s="115">
        <f t="shared" si="98"/>
        <v>0.000777334012383735</v>
      </c>
      <c r="AB128" s="40">
        <v>37307</v>
      </c>
      <c r="AC128" s="3">
        <v>46</v>
      </c>
      <c r="AD128" s="115">
        <f t="shared" si="99"/>
        <v>0.25136612021857924</v>
      </c>
      <c r="AE128" s="40">
        <v>183</v>
      </c>
      <c r="AF128" s="3">
        <v>11</v>
      </c>
      <c r="AG128" s="7">
        <f t="shared" si="100"/>
        <v>0.7857142857142857</v>
      </c>
      <c r="AH128" s="3">
        <v>14</v>
      </c>
      <c r="AI128" s="41">
        <f aca="true" t="shared" si="249" ref="AI128:AI133">+AF128+AC128+Z128</f>
        <v>86</v>
      </c>
      <c r="AJ128" s="7">
        <f t="shared" si="243"/>
        <v>0.002293088737201365</v>
      </c>
      <c r="AK128" s="44">
        <f aca="true" t="shared" si="250" ref="AK128:AK133">+AH128+AE128+AB128</f>
        <v>37504</v>
      </c>
      <c r="AL128" s="117">
        <f aca="true" t="shared" si="251" ref="AL128:AL133">(B128+N128+Z128)/AR128</f>
        <v>0.10676481579930835</v>
      </c>
      <c r="AM128" s="115">
        <f aca="true" t="shared" si="252" ref="AM128:AM133">(E128+Q128+AC128)/AS128</f>
        <v>0.4281184694098148</v>
      </c>
      <c r="AN128" s="7">
        <f aca="true" t="shared" si="253" ref="AN128:AN133">(H128+T128+AF128)/AT128</f>
        <v>0.8690228690228691</v>
      </c>
      <c r="AO128" s="171">
        <f aca="true" t="shared" si="254" ref="AO128:AO133">AP128/AQ128</f>
        <v>0.11136341361898955</v>
      </c>
      <c r="AP128" s="63">
        <f aca="true" t="shared" si="255" ref="AP128:AP133">AF128+AC128+Z128+T128+Q128+N128+H128+E128+B128</f>
        <v>87493</v>
      </c>
      <c r="AQ128" s="3">
        <f aca="true" t="shared" si="256" ref="AQ128:AQ133">AH128+AF128+AE128+AC128+Z128+AB128+V128+T128+S128+Q128+P128+J128+H128+G128+E128+D128+B128</f>
        <v>785653</v>
      </c>
      <c r="AR128" s="116">
        <f aca="true" t="shared" si="257" ref="AR128:AR133">+D128+P128+AB128</f>
        <v>759932</v>
      </c>
      <c r="AS128" s="3">
        <f aca="true" t="shared" si="258" ref="AS128:AS133">G128+S128+AE128</f>
        <v>13877</v>
      </c>
      <c r="AT128" s="26">
        <f aca="true" t="shared" si="259" ref="AT128:AT133">J128+V128+AH128</f>
        <v>481</v>
      </c>
    </row>
    <row r="129" spans="1:46" ht="12.75">
      <c r="A129" s="146">
        <v>40940</v>
      </c>
      <c r="B129" s="3">
        <v>4552</v>
      </c>
      <c r="C129" s="115">
        <f t="shared" si="93"/>
        <v>0.03762543188242879</v>
      </c>
      <c r="D129" s="3">
        <v>120982</v>
      </c>
      <c r="E129" s="178">
        <v>768</v>
      </c>
      <c r="F129" s="115">
        <f t="shared" si="94"/>
        <v>0.445993031358885</v>
      </c>
      <c r="G129" s="3">
        <v>1722</v>
      </c>
      <c r="H129" s="178">
        <v>30</v>
      </c>
      <c r="I129" s="115">
        <f t="shared" si="95"/>
        <v>0.75</v>
      </c>
      <c r="J129" s="3">
        <v>40</v>
      </c>
      <c r="K129" s="195">
        <f t="shared" si="244"/>
        <v>5350</v>
      </c>
      <c r="L129" s="115">
        <f t="shared" si="245"/>
        <v>0.04358665189337157</v>
      </c>
      <c r="M129" s="23">
        <f t="shared" si="246"/>
        <v>122744</v>
      </c>
      <c r="N129" s="182">
        <v>36227</v>
      </c>
      <c r="O129" s="67">
        <f t="shared" si="101"/>
        <v>0.06025511163004988</v>
      </c>
      <c r="P129" s="181">
        <v>601227</v>
      </c>
      <c r="Q129" s="68">
        <v>4839</v>
      </c>
      <c r="R129" s="67">
        <f t="shared" si="102"/>
        <v>0.4057181185545401</v>
      </c>
      <c r="S129" s="40">
        <v>11927</v>
      </c>
      <c r="T129" s="68">
        <v>376</v>
      </c>
      <c r="U129" s="67">
        <f t="shared" si="103"/>
        <v>0.8744186046511628</v>
      </c>
      <c r="V129" s="40">
        <v>430</v>
      </c>
      <c r="W129" s="63">
        <f t="shared" si="247"/>
        <v>41442</v>
      </c>
      <c r="X129" s="67">
        <f t="shared" si="242"/>
        <v>0.0675408745990769</v>
      </c>
      <c r="Y129" s="26">
        <f t="shared" si="248"/>
        <v>613584</v>
      </c>
      <c r="Z129" s="3">
        <v>30</v>
      </c>
      <c r="AA129" s="115">
        <f t="shared" si="98"/>
        <v>0.0008043542376062418</v>
      </c>
      <c r="AB129" s="40">
        <v>37297</v>
      </c>
      <c r="AC129" s="3">
        <v>46</v>
      </c>
      <c r="AD129" s="115">
        <f t="shared" si="99"/>
        <v>0.25</v>
      </c>
      <c r="AE129" s="40">
        <v>184</v>
      </c>
      <c r="AF129" s="3">
        <v>12</v>
      </c>
      <c r="AG129" s="7">
        <f t="shared" si="100"/>
        <v>0.75</v>
      </c>
      <c r="AH129" s="3">
        <v>16</v>
      </c>
      <c r="AI129" s="41">
        <f t="shared" si="249"/>
        <v>88</v>
      </c>
      <c r="AJ129" s="7">
        <f t="shared" si="243"/>
        <v>0.002346854415019868</v>
      </c>
      <c r="AK129" s="44">
        <f t="shared" si="250"/>
        <v>37497</v>
      </c>
      <c r="AL129" s="117">
        <f t="shared" si="251"/>
        <v>0.05373097776712758</v>
      </c>
      <c r="AM129" s="115">
        <f t="shared" si="252"/>
        <v>0.40866044964938913</v>
      </c>
      <c r="AN129" s="7">
        <f t="shared" si="253"/>
        <v>0.8600823045267489</v>
      </c>
      <c r="AO129" s="171">
        <f t="shared" si="254"/>
        <v>0.05975948337620685</v>
      </c>
      <c r="AP129" s="63">
        <f t="shared" si="255"/>
        <v>46880</v>
      </c>
      <c r="AQ129" s="3">
        <f t="shared" si="256"/>
        <v>784478</v>
      </c>
      <c r="AR129" s="116">
        <f t="shared" si="257"/>
        <v>759506</v>
      </c>
      <c r="AS129" s="3">
        <f t="shared" si="258"/>
        <v>13833</v>
      </c>
      <c r="AT129" s="26">
        <f t="shared" si="259"/>
        <v>486</v>
      </c>
    </row>
    <row r="130" spans="1:46" ht="12.75">
      <c r="A130" s="146">
        <v>40909</v>
      </c>
      <c r="B130" s="3">
        <v>1476</v>
      </c>
      <c r="C130" s="115">
        <f t="shared" si="93"/>
        <v>0.012475277650996501</v>
      </c>
      <c r="D130" s="3">
        <v>118314</v>
      </c>
      <c r="E130" s="178">
        <v>744</v>
      </c>
      <c r="F130" s="115">
        <f t="shared" si="94"/>
        <v>0.44312090530077425</v>
      </c>
      <c r="G130" s="3">
        <v>1679</v>
      </c>
      <c r="H130" s="178">
        <v>31</v>
      </c>
      <c r="I130" s="115">
        <f t="shared" si="95"/>
        <v>0.7380952380952381</v>
      </c>
      <c r="J130" s="3">
        <v>42</v>
      </c>
      <c r="K130" s="195">
        <f t="shared" si="244"/>
        <v>2251</v>
      </c>
      <c r="L130" s="115">
        <f t="shared" si="245"/>
        <v>0.01875286374807348</v>
      </c>
      <c r="M130" s="23">
        <f t="shared" si="246"/>
        <v>120035</v>
      </c>
      <c r="N130" s="182">
        <v>28236</v>
      </c>
      <c r="O130" s="67">
        <f t="shared" si="101"/>
        <v>0.04697325605382061</v>
      </c>
      <c r="P130" s="181">
        <v>601108</v>
      </c>
      <c r="Q130" s="68">
        <v>4694</v>
      </c>
      <c r="R130" s="67">
        <f t="shared" si="102"/>
        <v>0.39336294309896924</v>
      </c>
      <c r="S130" s="40">
        <v>11933</v>
      </c>
      <c r="T130" s="68">
        <v>371</v>
      </c>
      <c r="U130" s="67">
        <f t="shared" si="103"/>
        <v>0.866822429906542</v>
      </c>
      <c r="V130" s="40">
        <v>428</v>
      </c>
      <c r="W130" s="63">
        <f t="shared" si="247"/>
        <v>33301</v>
      </c>
      <c r="X130" s="67">
        <f t="shared" si="242"/>
        <v>0.054283101509611735</v>
      </c>
      <c r="Y130" s="26">
        <f t="shared" si="248"/>
        <v>613469</v>
      </c>
      <c r="Z130" s="3">
        <v>31</v>
      </c>
      <c r="AA130" s="115">
        <f t="shared" si="98"/>
        <v>0.0008308764406325382</v>
      </c>
      <c r="AB130" s="40">
        <v>37310</v>
      </c>
      <c r="AC130" s="3">
        <v>46</v>
      </c>
      <c r="AD130" s="115">
        <f t="shared" si="99"/>
        <v>0.25</v>
      </c>
      <c r="AE130" s="40">
        <v>184</v>
      </c>
      <c r="AF130" s="3">
        <v>10</v>
      </c>
      <c r="AG130" s="7">
        <f t="shared" si="100"/>
        <v>0.7142857142857143</v>
      </c>
      <c r="AH130" s="3">
        <v>14</v>
      </c>
      <c r="AI130" s="41">
        <f t="shared" si="249"/>
        <v>87</v>
      </c>
      <c r="AJ130" s="7">
        <f t="shared" si="243"/>
        <v>0.0023195051722299243</v>
      </c>
      <c r="AK130" s="44">
        <f t="shared" si="250"/>
        <v>37508</v>
      </c>
      <c r="AL130" s="117">
        <f t="shared" si="251"/>
        <v>0.039304535819814676</v>
      </c>
      <c r="AM130" s="115">
        <f t="shared" si="252"/>
        <v>0.3975065236300377</v>
      </c>
      <c r="AN130" s="7">
        <f t="shared" si="253"/>
        <v>0.8512396694214877</v>
      </c>
      <c r="AO130" s="171">
        <f t="shared" si="254"/>
        <v>0.04578406120128723</v>
      </c>
      <c r="AP130" s="63">
        <f t="shared" si="255"/>
        <v>35639</v>
      </c>
      <c r="AQ130" s="3">
        <f t="shared" si="256"/>
        <v>778415</v>
      </c>
      <c r="AR130" s="116">
        <f t="shared" si="257"/>
        <v>756732</v>
      </c>
      <c r="AS130" s="3">
        <f t="shared" si="258"/>
        <v>13796</v>
      </c>
      <c r="AT130" s="26">
        <f t="shared" si="259"/>
        <v>484</v>
      </c>
    </row>
    <row r="131" spans="1:46" ht="12.75">
      <c r="A131" s="146">
        <v>40878</v>
      </c>
      <c r="B131" s="3">
        <v>3971</v>
      </c>
      <c r="C131" s="115">
        <f t="shared" si="93"/>
        <v>0.03278052485161674</v>
      </c>
      <c r="D131" s="3">
        <v>121139</v>
      </c>
      <c r="E131" s="178">
        <v>723</v>
      </c>
      <c r="F131" s="115">
        <f t="shared" si="94"/>
        <v>0.4265486725663717</v>
      </c>
      <c r="G131" s="3">
        <v>1695</v>
      </c>
      <c r="H131" s="178">
        <v>31</v>
      </c>
      <c r="I131" s="115">
        <f t="shared" si="95"/>
        <v>0.7380952380952381</v>
      </c>
      <c r="J131" s="3">
        <v>42</v>
      </c>
      <c r="K131" s="195">
        <f t="shared" si="244"/>
        <v>4725</v>
      </c>
      <c r="L131" s="115">
        <f t="shared" si="245"/>
        <v>0.038453400175786974</v>
      </c>
      <c r="M131" s="23">
        <f t="shared" si="246"/>
        <v>122876</v>
      </c>
      <c r="N131" s="180">
        <v>28427</v>
      </c>
      <c r="O131" s="67">
        <f t="shared" si="101"/>
        <v>0.04828463595011703</v>
      </c>
      <c r="P131" s="174">
        <v>588738</v>
      </c>
      <c r="Q131" s="68">
        <v>4551</v>
      </c>
      <c r="R131" s="67">
        <f t="shared" si="102"/>
        <v>0.3888414217361586</v>
      </c>
      <c r="S131" s="40">
        <v>11704</v>
      </c>
      <c r="T131" s="68">
        <v>341</v>
      </c>
      <c r="U131" s="67">
        <f t="shared" si="103"/>
        <v>0.8589420654911839</v>
      </c>
      <c r="V131" s="40">
        <v>397</v>
      </c>
      <c r="W131" s="63">
        <f t="shared" si="247"/>
        <v>33319</v>
      </c>
      <c r="X131" s="67">
        <f t="shared" si="242"/>
        <v>0.055454123317560944</v>
      </c>
      <c r="Y131" s="26">
        <f t="shared" si="248"/>
        <v>600839</v>
      </c>
      <c r="Z131" s="3">
        <v>31</v>
      </c>
      <c r="AA131" s="115">
        <f t="shared" si="98"/>
        <v>0.0008308764406325382</v>
      </c>
      <c r="AB131" s="40">
        <v>37310</v>
      </c>
      <c r="AC131" s="3">
        <v>46</v>
      </c>
      <c r="AD131" s="115">
        <f t="shared" si="99"/>
        <v>0.25136612021857924</v>
      </c>
      <c r="AE131" s="40">
        <v>183</v>
      </c>
      <c r="AF131" s="3">
        <v>10</v>
      </c>
      <c r="AG131" s="7">
        <f t="shared" si="100"/>
        <v>0.7142857142857143</v>
      </c>
      <c r="AH131" s="3">
        <v>14</v>
      </c>
      <c r="AI131" s="41">
        <f t="shared" si="249"/>
        <v>87</v>
      </c>
      <c r="AJ131" s="7">
        <f t="shared" si="243"/>
        <v>0.0023195670141573574</v>
      </c>
      <c r="AK131" s="44">
        <f t="shared" si="250"/>
        <v>37507</v>
      </c>
      <c r="AL131" s="117">
        <f t="shared" si="251"/>
        <v>0.04340145104237627</v>
      </c>
      <c r="AM131" s="115">
        <f t="shared" si="252"/>
        <v>0.39169489029598</v>
      </c>
      <c r="AN131" s="7">
        <f t="shared" si="253"/>
        <v>0.8432671081677704</v>
      </c>
      <c r="AO131" s="171">
        <f t="shared" si="254"/>
        <v>0.049461297193245525</v>
      </c>
      <c r="AP131" s="63">
        <f t="shared" si="255"/>
        <v>38131</v>
      </c>
      <c r="AQ131" s="3">
        <f t="shared" si="256"/>
        <v>770926</v>
      </c>
      <c r="AR131" s="116">
        <f t="shared" si="257"/>
        <v>747187</v>
      </c>
      <c r="AS131" s="3">
        <f t="shared" si="258"/>
        <v>13582</v>
      </c>
      <c r="AT131" s="26">
        <f t="shared" si="259"/>
        <v>453</v>
      </c>
    </row>
    <row r="132" spans="1:46" ht="12.75">
      <c r="A132" s="146">
        <v>40848</v>
      </c>
      <c r="B132" s="3">
        <v>3679</v>
      </c>
      <c r="C132" s="115">
        <f aca="true" t="shared" si="260" ref="C132:C150">B132/D132</f>
        <v>0.030320762181050967</v>
      </c>
      <c r="D132" s="3">
        <v>121336</v>
      </c>
      <c r="E132" s="178">
        <v>716</v>
      </c>
      <c r="F132" s="115">
        <f aca="true" t="shared" si="261" ref="F132:F144">E132/G132</f>
        <v>0.4177362893815636</v>
      </c>
      <c r="G132" s="3">
        <v>1714</v>
      </c>
      <c r="H132" s="178">
        <v>31</v>
      </c>
      <c r="I132" s="115">
        <f aca="true" t="shared" si="262" ref="I132:I143">H132/J132</f>
        <v>0.7380952380952381</v>
      </c>
      <c r="J132" s="3">
        <v>42</v>
      </c>
      <c r="K132" s="195">
        <f t="shared" si="244"/>
        <v>4426</v>
      </c>
      <c r="L132" s="115">
        <f t="shared" si="245"/>
        <v>0.03595684528645241</v>
      </c>
      <c r="M132" s="23">
        <f t="shared" si="246"/>
        <v>123092</v>
      </c>
      <c r="N132" s="180">
        <v>18390</v>
      </c>
      <c r="O132" s="67">
        <f aca="true" t="shared" si="263" ref="O132:O138">N132/P132</f>
        <v>0.031275403825157054</v>
      </c>
      <c r="P132" s="174">
        <v>588002</v>
      </c>
      <c r="Q132" s="68">
        <v>4400</v>
      </c>
      <c r="R132" s="67">
        <f aca="true" t="shared" si="264" ref="R132:R138">Q132/S132</f>
        <v>0.3757151396123303</v>
      </c>
      <c r="S132" s="40">
        <v>11711</v>
      </c>
      <c r="T132" s="68">
        <v>335</v>
      </c>
      <c r="U132" s="67">
        <f aca="true" t="shared" si="265" ref="U132:U138">T132/V132</f>
        <v>0.850253807106599</v>
      </c>
      <c r="V132" s="40">
        <v>394</v>
      </c>
      <c r="W132" s="63">
        <f t="shared" si="247"/>
        <v>23125</v>
      </c>
      <c r="X132" s="67">
        <f aca="true" t="shared" si="266" ref="X132:X139">W132/Y132</f>
        <v>0.03853479462829129</v>
      </c>
      <c r="Y132" s="26">
        <f t="shared" si="248"/>
        <v>600107</v>
      </c>
      <c r="Z132" s="3">
        <v>32</v>
      </c>
      <c r="AA132" s="115">
        <f aca="true" t="shared" si="267" ref="AA132:AA142">Z132/AB132</f>
        <v>0.0008574031402390011</v>
      </c>
      <c r="AB132" s="40">
        <v>37322</v>
      </c>
      <c r="AC132" s="3">
        <v>46</v>
      </c>
      <c r="AD132" s="115">
        <f aca="true" t="shared" si="268" ref="AD132:AD142">AC132/AE132</f>
        <v>0.25</v>
      </c>
      <c r="AE132" s="40">
        <v>184</v>
      </c>
      <c r="AF132" s="3">
        <v>10</v>
      </c>
      <c r="AG132" s="7">
        <f aca="true" t="shared" si="269" ref="AG132:AG142">AF132/AH132</f>
        <v>0.7142857142857143</v>
      </c>
      <c r="AH132" s="3">
        <v>14</v>
      </c>
      <c r="AI132" s="41">
        <f t="shared" si="249"/>
        <v>88</v>
      </c>
      <c r="AJ132" s="7">
        <f t="shared" si="243"/>
        <v>0.002345415778251599</v>
      </c>
      <c r="AK132" s="44">
        <f t="shared" si="250"/>
        <v>37520</v>
      </c>
      <c r="AL132" s="117">
        <f t="shared" si="251"/>
        <v>0.029599817855516568</v>
      </c>
      <c r="AM132" s="115">
        <f t="shared" si="252"/>
        <v>0.37930781100742156</v>
      </c>
      <c r="AN132" s="7">
        <f t="shared" si="253"/>
        <v>0.8355555555555556</v>
      </c>
      <c r="AO132" s="171">
        <f t="shared" si="254"/>
        <v>0.03589629698896578</v>
      </c>
      <c r="AP132" s="63">
        <f t="shared" si="255"/>
        <v>27639</v>
      </c>
      <c r="AQ132" s="3">
        <f t="shared" si="256"/>
        <v>769968</v>
      </c>
      <c r="AR132" s="116">
        <f t="shared" si="257"/>
        <v>746660</v>
      </c>
      <c r="AS132" s="3">
        <f t="shared" si="258"/>
        <v>13609</v>
      </c>
      <c r="AT132" s="26">
        <f t="shared" si="259"/>
        <v>450</v>
      </c>
    </row>
    <row r="133" spans="1:46" ht="13.5" customHeight="1">
      <c r="A133" s="146">
        <v>40826</v>
      </c>
      <c r="B133" s="3">
        <v>3564</v>
      </c>
      <c r="C133" s="115">
        <f t="shared" si="260"/>
        <v>0.02925844135587098</v>
      </c>
      <c r="D133" s="3">
        <v>121811</v>
      </c>
      <c r="E133" s="178">
        <v>720</v>
      </c>
      <c r="F133" s="115">
        <f t="shared" si="261"/>
        <v>0.41308089500860584</v>
      </c>
      <c r="G133" s="40">
        <v>1743</v>
      </c>
      <c r="H133" s="51">
        <v>31</v>
      </c>
      <c r="I133" s="115">
        <f t="shared" si="262"/>
        <v>0.7380952380952381</v>
      </c>
      <c r="J133" s="3">
        <v>42</v>
      </c>
      <c r="K133" s="195">
        <f t="shared" si="244"/>
        <v>4315</v>
      </c>
      <c r="L133" s="115">
        <f t="shared" si="245"/>
        <v>0.034912133078740415</v>
      </c>
      <c r="M133" s="23">
        <f t="shared" si="246"/>
        <v>123596</v>
      </c>
      <c r="N133" s="180">
        <v>15681</v>
      </c>
      <c r="O133" s="67">
        <f t="shared" si="263"/>
        <v>0.026677078229626</v>
      </c>
      <c r="P133" s="3">
        <v>587808</v>
      </c>
      <c r="Q133" s="68">
        <v>4376</v>
      </c>
      <c r="R133" s="67">
        <f t="shared" si="264"/>
        <v>0.3750749978572041</v>
      </c>
      <c r="S133" s="40">
        <v>11667</v>
      </c>
      <c r="T133" s="3">
        <v>335</v>
      </c>
      <c r="U133" s="67">
        <f t="shared" si="265"/>
        <v>0.8481012658227848</v>
      </c>
      <c r="V133" s="3">
        <v>395</v>
      </c>
      <c r="W133" s="63">
        <f t="shared" si="247"/>
        <v>20392</v>
      </c>
      <c r="X133" s="67">
        <f t="shared" si="266"/>
        <v>0.033994032040275395</v>
      </c>
      <c r="Y133" s="26">
        <f t="shared" si="248"/>
        <v>599870</v>
      </c>
      <c r="Z133" s="3">
        <v>32</v>
      </c>
      <c r="AA133" s="115">
        <f t="shared" si="267"/>
        <v>0.0008565769045452111</v>
      </c>
      <c r="AB133" s="40">
        <v>37358</v>
      </c>
      <c r="AC133" s="3">
        <v>45</v>
      </c>
      <c r="AD133" s="115">
        <f t="shared" si="268"/>
        <v>0.2542372881355932</v>
      </c>
      <c r="AE133" s="40">
        <v>177</v>
      </c>
      <c r="AF133" s="3">
        <v>10</v>
      </c>
      <c r="AG133" s="7">
        <f t="shared" si="269"/>
        <v>0.7142857142857143</v>
      </c>
      <c r="AH133" s="3">
        <v>14</v>
      </c>
      <c r="AI133" s="41">
        <f t="shared" si="249"/>
        <v>87</v>
      </c>
      <c r="AJ133" s="7">
        <f t="shared" si="243"/>
        <v>0.0023169724892806733</v>
      </c>
      <c r="AK133" s="44">
        <f t="shared" si="250"/>
        <v>37549</v>
      </c>
      <c r="AL133" s="117">
        <f t="shared" si="251"/>
        <v>0.02580668481091118</v>
      </c>
      <c r="AM133" s="115">
        <f t="shared" si="252"/>
        <v>0.37837638919555455</v>
      </c>
      <c r="AN133" s="7">
        <f t="shared" si="253"/>
        <v>0.8337028824833703</v>
      </c>
      <c r="AO133" s="171">
        <f t="shared" si="254"/>
        <v>0.0321946481623834</v>
      </c>
      <c r="AP133" s="63">
        <f t="shared" si="255"/>
        <v>24794</v>
      </c>
      <c r="AQ133" s="3">
        <f t="shared" si="256"/>
        <v>770128</v>
      </c>
      <c r="AR133" s="116">
        <f t="shared" si="257"/>
        <v>746977</v>
      </c>
      <c r="AS133" s="3">
        <f t="shared" si="258"/>
        <v>13587</v>
      </c>
      <c r="AT133" s="26">
        <f t="shared" si="259"/>
        <v>451</v>
      </c>
    </row>
    <row r="134" spans="1:46" ht="12.75">
      <c r="A134" s="146">
        <v>40797</v>
      </c>
      <c r="B134" s="3">
        <v>3415</v>
      </c>
      <c r="C134" s="115">
        <f t="shared" si="260"/>
        <v>0.02787368283585135</v>
      </c>
      <c r="D134" s="3">
        <v>122517</v>
      </c>
      <c r="E134" s="178">
        <v>725</v>
      </c>
      <c r="F134" s="115">
        <f t="shared" si="261"/>
        <v>0.41076487252124644</v>
      </c>
      <c r="G134" s="3">
        <v>1765</v>
      </c>
      <c r="H134" s="178">
        <v>31</v>
      </c>
      <c r="I134" s="115">
        <f t="shared" si="262"/>
        <v>0.7380952380952381</v>
      </c>
      <c r="J134" s="3">
        <v>42</v>
      </c>
      <c r="K134" s="195">
        <f aca="true" t="shared" si="270" ref="K134:K142">+H134+E134+B134</f>
        <v>4171</v>
      </c>
      <c r="L134" s="115">
        <f aca="true" t="shared" si="271" ref="L134:L142">K134/M134</f>
        <v>0.03354943534635308</v>
      </c>
      <c r="M134" s="23">
        <f aca="true" t="shared" si="272" ref="M134:M142">+J134+G134+D134</f>
        <v>124324</v>
      </c>
      <c r="N134" s="180">
        <v>14807</v>
      </c>
      <c r="O134" s="67">
        <f t="shared" si="263"/>
        <v>0.02518115911220556</v>
      </c>
      <c r="P134" s="174">
        <v>588019</v>
      </c>
      <c r="Q134" s="68">
        <v>4381</v>
      </c>
      <c r="R134" s="67">
        <f t="shared" si="264"/>
        <v>0.37605150214592276</v>
      </c>
      <c r="S134" s="40">
        <v>11650</v>
      </c>
      <c r="T134" s="68">
        <v>333</v>
      </c>
      <c r="U134" s="67">
        <f t="shared" si="265"/>
        <v>0.8430379746835444</v>
      </c>
      <c r="V134" s="40">
        <v>395</v>
      </c>
      <c r="W134" s="63">
        <f aca="true" t="shared" si="273" ref="W134:W140">+T134+Q134+N134</f>
        <v>19521</v>
      </c>
      <c r="X134" s="67">
        <f t="shared" si="266"/>
        <v>0.032531529970136516</v>
      </c>
      <c r="Y134" s="26">
        <f aca="true" t="shared" si="274" ref="Y134:Y140">+V134+S134+P134</f>
        <v>600064</v>
      </c>
      <c r="Z134" s="3">
        <v>32</v>
      </c>
      <c r="AA134" s="115">
        <f t="shared" si="267"/>
        <v>0.00085577514508063</v>
      </c>
      <c r="AB134" s="40">
        <v>37393</v>
      </c>
      <c r="AC134" s="3">
        <v>46</v>
      </c>
      <c r="AD134" s="115">
        <f t="shared" si="268"/>
        <v>0.24598930481283424</v>
      </c>
      <c r="AE134" s="40">
        <v>187</v>
      </c>
      <c r="AF134" s="3">
        <v>8</v>
      </c>
      <c r="AG134" s="7">
        <f t="shared" si="269"/>
        <v>0.5714285714285714</v>
      </c>
      <c r="AH134" s="3">
        <v>14</v>
      </c>
      <c r="AI134" s="41">
        <f aca="true" t="shared" si="275" ref="AI134:AI140">+AF134+AC134+Z134</f>
        <v>86</v>
      </c>
      <c r="AJ134" s="7">
        <f aca="true" t="shared" si="276" ref="AJ134:AJ140">AI134/AK134</f>
        <v>0.002287599084960366</v>
      </c>
      <c r="AK134" s="44">
        <f aca="true" t="shared" si="277" ref="AK134:AK140">+AH134+AE134+AB134</f>
        <v>37594</v>
      </c>
      <c r="AL134" s="117">
        <f aca="true" t="shared" si="278" ref="AL134:AL140">(B134+N134+Z134)/AR134</f>
        <v>0.02440605993349636</v>
      </c>
      <c r="AM134" s="115">
        <f aca="true" t="shared" si="279" ref="AM134:AM140">(E134+Q134+AC134)/AS134</f>
        <v>0.37876782826054994</v>
      </c>
      <c r="AN134" s="7">
        <f aca="true" t="shared" si="280" ref="AN134:AN140">(H134+T134+AF134)/AT134</f>
        <v>0.8248337028824834</v>
      </c>
      <c r="AO134" s="171">
        <f aca="true" t="shared" si="281" ref="AO134:AO140">AP134/AQ134</f>
        <v>0.03084234706914689</v>
      </c>
      <c r="AP134" s="63">
        <f aca="true" t="shared" si="282" ref="AP134:AP140">AF134+AC134+Z134+T134+Q134+N134+H134+E134+B134</f>
        <v>23778</v>
      </c>
      <c r="AQ134" s="3">
        <f aca="true" t="shared" si="283" ref="AQ134:AQ140">AH134+AF134+AE134+AC134+Z134+AB134+V134+T134+S134+Q134+P134+J134+H134+G134+E134+D134+B134</f>
        <v>770953</v>
      </c>
      <c r="AR134" s="116">
        <f aca="true" t="shared" si="284" ref="AR134:AR140">+D134+P134+AB134</f>
        <v>747929</v>
      </c>
      <c r="AS134" s="3">
        <f aca="true" t="shared" si="285" ref="AS134:AS140">G134+S134+AE134</f>
        <v>13602</v>
      </c>
      <c r="AT134" s="26">
        <f aca="true" t="shared" si="286" ref="AT134:AT140">J134+V134+AH134</f>
        <v>451</v>
      </c>
    </row>
    <row r="135" spans="1:46" ht="12.75">
      <c r="A135" s="146">
        <v>40756</v>
      </c>
      <c r="B135" s="3">
        <v>3437</v>
      </c>
      <c r="C135" s="115">
        <f t="shared" si="260"/>
        <v>0.027956726858630227</v>
      </c>
      <c r="D135" s="3">
        <v>122940</v>
      </c>
      <c r="E135" s="178">
        <v>728</v>
      </c>
      <c r="F135" s="115">
        <f t="shared" si="261"/>
        <v>0.41223103057757643</v>
      </c>
      <c r="G135" s="3">
        <v>1766</v>
      </c>
      <c r="H135" s="178">
        <v>32</v>
      </c>
      <c r="I135" s="115">
        <f t="shared" si="262"/>
        <v>0.7441860465116279</v>
      </c>
      <c r="J135" s="3">
        <v>43</v>
      </c>
      <c r="K135" s="195">
        <f t="shared" si="270"/>
        <v>4197</v>
      </c>
      <c r="L135" s="115">
        <f t="shared" si="271"/>
        <v>0.033643556260972034</v>
      </c>
      <c r="M135" s="23">
        <f t="shared" si="272"/>
        <v>124749</v>
      </c>
      <c r="N135" s="180">
        <v>14039</v>
      </c>
      <c r="O135" s="67">
        <f t="shared" si="263"/>
        <v>0.02387645943348895</v>
      </c>
      <c r="P135" s="174">
        <v>587985</v>
      </c>
      <c r="Q135" s="68">
        <v>4379</v>
      </c>
      <c r="R135" s="67">
        <f t="shared" si="264"/>
        <v>0.37558967321382625</v>
      </c>
      <c r="S135" s="40">
        <v>11659</v>
      </c>
      <c r="T135" s="68">
        <v>334</v>
      </c>
      <c r="U135" s="67">
        <f t="shared" si="265"/>
        <v>0.8455696202531645</v>
      </c>
      <c r="V135" s="40">
        <v>395</v>
      </c>
      <c r="W135" s="63">
        <f t="shared" si="273"/>
        <v>18752</v>
      </c>
      <c r="X135" s="67">
        <f t="shared" si="266"/>
        <v>0.03125130199870342</v>
      </c>
      <c r="Y135" s="26">
        <f t="shared" si="274"/>
        <v>600039</v>
      </c>
      <c r="Z135" s="3">
        <v>32</v>
      </c>
      <c r="AA135" s="115">
        <f t="shared" si="267"/>
        <v>0.0008569668728743205</v>
      </c>
      <c r="AB135" s="40">
        <v>37341</v>
      </c>
      <c r="AC135" s="3">
        <v>46</v>
      </c>
      <c r="AD135" s="115">
        <f t="shared" si="268"/>
        <v>0.24468085106382978</v>
      </c>
      <c r="AE135" s="40">
        <v>188</v>
      </c>
      <c r="AF135" s="3">
        <v>8</v>
      </c>
      <c r="AG135" s="7">
        <f t="shared" si="269"/>
        <v>0.5714285714285714</v>
      </c>
      <c r="AH135" s="3">
        <v>14</v>
      </c>
      <c r="AI135" s="41">
        <f t="shared" si="275"/>
        <v>86</v>
      </c>
      <c r="AJ135" s="7">
        <f t="shared" si="276"/>
        <v>0.0022907066563673654</v>
      </c>
      <c r="AK135" s="44">
        <f t="shared" si="277"/>
        <v>37543</v>
      </c>
      <c r="AL135" s="117">
        <f t="shared" si="278"/>
        <v>0.023398096398874198</v>
      </c>
      <c r="AM135" s="115">
        <f t="shared" si="279"/>
        <v>0.37853522368324394</v>
      </c>
      <c r="AN135" s="7">
        <f t="shared" si="280"/>
        <v>0.827433628318584</v>
      </c>
      <c r="AO135" s="171">
        <f t="shared" si="281"/>
        <v>0.029864117293962225</v>
      </c>
      <c r="AP135" s="63">
        <f t="shared" si="282"/>
        <v>23035</v>
      </c>
      <c r="AQ135" s="3">
        <f t="shared" si="283"/>
        <v>771327</v>
      </c>
      <c r="AR135" s="116">
        <f t="shared" si="284"/>
        <v>748266</v>
      </c>
      <c r="AS135" s="3">
        <f t="shared" si="285"/>
        <v>13613</v>
      </c>
      <c r="AT135" s="26">
        <f t="shared" si="286"/>
        <v>452</v>
      </c>
    </row>
    <row r="136" spans="1:46" ht="12.75">
      <c r="A136" s="146">
        <v>40725</v>
      </c>
      <c r="B136" s="3">
        <v>3350</v>
      </c>
      <c r="C136" s="115">
        <f t="shared" si="260"/>
        <v>0.02729546732284427</v>
      </c>
      <c r="D136" s="3">
        <v>122731</v>
      </c>
      <c r="E136" s="178">
        <v>723</v>
      </c>
      <c r="F136" s="115">
        <f t="shared" si="261"/>
        <v>0.41480206540447506</v>
      </c>
      <c r="G136" s="3">
        <v>1743</v>
      </c>
      <c r="H136" s="178">
        <v>32</v>
      </c>
      <c r="I136" s="115">
        <f t="shared" si="262"/>
        <v>0.7441860465116279</v>
      </c>
      <c r="J136" s="3">
        <v>43</v>
      </c>
      <c r="K136" s="195">
        <f t="shared" si="270"/>
        <v>4105</v>
      </c>
      <c r="L136" s="115">
        <f t="shared" si="271"/>
        <v>0.032967385979424495</v>
      </c>
      <c r="M136" s="23">
        <f t="shared" si="272"/>
        <v>124517</v>
      </c>
      <c r="N136" s="180">
        <v>13884</v>
      </c>
      <c r="O136" s="67">
        <f t="shared" si="263"/>
        <v>0.02361851103353951</v>
      </c>
      <c r="P136" s="174">
        <v>587844</v>
      </c>
      <c r="Q136" s="68">
        <v>4400</v>
      </c>
      <c r="R136" s="67">
        <f t="shared" si="264"/>
        <v>0.37697052775873885</v>
      </c>
      <c r="S136" s="40">
        <v>11672</v>
      </c>
      <c r="T136" s="68">
        <v>333</v>
      </c>
      <c r="U136" s="67">
        <f t="shared" si="265"/>
        <v>0.8409090909090909</v>
      </c>
      <c r="V136" s="40">
        <v>396</v>
      </c>
      <c r="W136" s="63">
        <f t="shared" si="273"/>
        <v>18617</v>
      </c>
      <c r="X136" s="67">
        <f t="shared" si="266"/>
        <v>0.031032884823107388</v>
      </c>
      <c r="Y136" s="26">
        <f t="shared" si="274"/>
        <v>599912</v>
      </c>
      <c r="Z136" s="3">
        <v>31</v>
      </c>
      <c r="AA136" s="115">
        <f t="shared" si="267"/>
        <v>0.0008300755100947893</v>
      </c>
      <c r="AB136" s="40">
        <v>37346</v>
      </c>
      <c r="AC136" s="3">
        <v>45</v>
      </c>
      <c r="AD136" s="115">
        <f t="shared" si="268"/>
        <v>0.23684210526315788</v>
      </c>
      <c r="AE136" s="40">
        <v>190</v>
      </c>
      <c r="AF136" s="3">
        <v>9</v>
      </c>
      <c r="AG136" s="7">
        <f t="shared" si="269"/>
        <v>0.6</v>
      </c>
      <c r="AH136" s="3">
        <v>15</v>
      </c>
      <c r="AI136" s="41">
        <f t="shared" si="275"/>
        <v>85</v>
      </c>
      <c r="AJ136" s="7">
        <f t="shared" si="276"/>
        <v>0.00226358818673271</v>
      </c>
      <c r="AK136" s="44">
        <f t="shared" si="277"/>
        <v>37551</v>
      </c>
      <c r="AL136" s="117">
        <f t="shared" si="278"/>
        <v>0.023083988817000727</v>
      </c>
      <c r="AM136" s="115">
        <f t="shared" si="279"/>
        <v>0.3798603454612275</v>
      </c>
      <c r="AN136" s="7">
        <f t="shared" si="280"/>
        <v>0.8237885462555066</v>
      </c>
      <c r="AO136" s="171">
        <f t="shared" si="281"/>
        <v>0.029584785634509142</v>
      </c>
      <c r="AP136" s="63">
        <f t="shared" si="282"/>
        <v>22807</v>
      </c>
      <c r="AQ136" s="3">
        <f t="shared" si="283"/>
        <v>770903</v>
      </c>
      <c r="AR136" s="116">
        <f t="shared" si="284"/>
        <v>747921</v>
      </c>
      <c r="AS136" s="3">
        <f t="shared" si="285"/>
        <v>13605</v>
      </c>
      <c r="AT136" s="26">
        <f t="shared" si="286"/>
        <v>454</v>
      </c>
    </row>
    <row r="137" spans="1:46" ht="12.75">
      <c r="A137" s="146">
        <v>40695</v>
      </c>
      <c r="B137" s="3">
        <v>3393</v>
      </c>
      <c r="C137" s="115">
        <f t="shared" si="260"/>
        <v>0.027662280487208337</v>
      </c>
      <c r="D137" s="3">
        <v>122658</v>
      </c>
      <c r="E137" s="178">
        <v>726</v>
      </c>
      <c r="F137" s="115">
        <f t="shared" si="261"/>
        <v>0.4186851211072664</v>
      </c>
      <c r="G137" s="3">
        <v>1734</v>
      </c>
      <c r="H137" s="178">
        <v>33</v>
      </c>
      <c r="I137" s="115">
        <f t="shared" si="262"/>
        <v>0.75</v>
      </c>
      <c r="J137" s="3">
        <v>44</v>
      </c>
      <c r="K137" s="195">
        <f t="shared" si="270"/>
        <v>4152</v>
      </c>
      <c r="L137" s="115">
        <f t="shared" si="271"/>
        <v>0.0333665498730271</v>
      </c>
      <c r="M137" s="23">
        <f t="shared" si="272"/>
        <v>124436</v>
      </c>
      <c r="N137" s="180">
        <v>13990</v>
      </c>
      <c r="O137" s="67">
        <f t="shared" si="263"/>
        <v>0.023807457400988035</v>
      </c>
      <c r="P137" s="174">
        <v>587631</v>
      </c>
      <c r="Q137" s="68">
        <v>4390</v>
      </c>
      <c r="R137" s="67">
        <f t="shared" si="264"/>
        <v>0.37646857044850357</v>
      </c>
      <c r="S137" s="40">
        <v>11661</v>
      </c>
      <c r="T137" s="3">
        <v>333</v>
      </c>
      <c r="U137" s="67">
        <f t="shared" si="265"/>
        <v>0.8409090909090909</v>
      </c>
      <c r="V137" s="3">
        <v>396</v>
      </c>
      <c r="W137" s="63">
        <f t="shared" si="273"/>
        <v>18713</v>
      </c>
      <c r="X137" s="67">
        <f t="shared" si="266"/>
        <v>0.03120455970437961</v>
      </c>
      <c r="Y137" s="26">
        <f t="shared" si="274"/>
        <v>599688</v>
      </c>
      <c r="Z137" s="3">
        <v>31</v>
      </c>
      <c r="AA137" s="115">
        <f t="shared" si="267"/>
        <v>0.0008306760631313808</v>
      </c>
      <c r="AB137" s="40">
        <v>37319</v>
      </c>
      <c r="AC137" s="3">
        <v>45</v>
      </c>
      <c r="AD137" s="115">
        <f t="shared" si="268"/>
        <v>0.2393617021276596</v>
      </c>
      <c r="AE137" s="40">
        <v>188</v>
      </c>
      <c r="AF137" s="3">
        <v>9</v>
      </c>
      <c r="AG137" s="7">
        <f t="shared" si="269"/>
        <v>0.6</v>
      </c>
      <c r="AH137" s="3">
        <v>15</v>
      </c>
      <c r="AI137" s="41">
        <f t="shared" si="275"/>
        <v>85</v>
      </c>
      <c r="AJ137" s="7">
        <f t="shared" si="276"/>
        <v>0.0022653376685677737</v>
      </c>
      <c r="AK137" s="44">
        <f t="shared" si="277"/>
        <v>37522</v>
      </c>
      <c r="AL137" s="117">
        <f t="shared" si="278"/>
        <v>0.023292955666606028</v>
      </c>
      <c r="AM137" s="115">
        <f t="shared" si="279"/>
        <v>0.37996024442317605</v>
      </c>
      <c r="AN137" s="7">
        <f t="shared" si="280"/>
        <v>0.8241758241758241</v>
      </c>
      <c r="AO137" s="171">
        <f t="shared" si="281"/>
        <v>0.029781756176307995</v>
      </c>
      <c r="AP137" s="63">
        <f t="shared" si="282"/>
        <v>22950</v>
      </c>
      <c r="AQ137" s="3">
        <f t="shared" si="283"/>
        <v>770606</v>
      </c>
      <c r="AR137" s="116">
        <f t="shared" si="284"/>
        <v>747608</v>
      </c>
      <c r="AS137" s="3">
        <f t="shared" si="285"/>
        <v>13583</v>
      </c>
      <c r="AT137" s="26">
        <f t="shared" si="286"/>
        <v>455</v>
      </c>
    </row>
    <row r="138" spans="1:46" ht="12.75">
      <c r="A138" s="146">
        <v>40664</v>
      </c>
      <c r="B138" s="3">
        <v>3374</v>
      </c>
      <c r="C138" s="115">
        <f t="shared" si="260"/>
        <v>0.027597601773313593</v>
      </c>
      <c r="D138" s="107">
        <v>122257</v>
      </c>
      <c r="E138" s="42">
        <v>729</v>
      </c>
      <c r="F138" s="115">
        <f t="shared" si="261"/>
        <v>0.4223638470451912</v>
      </c>
      <c r="G138" s="40">
        <v>1726</v>
      </c>
      <c r="H138" s="13">
        <v>33</v>
      </c>
      <c r="I138" s="115">
        <f t="shared" si="262"/>
        <v>0.75</v>
      </c>
      <c r="J138" s="13">
        <v>44</v>
      </c>
      <c r="K138" s="195">
        <f t="shared" si="270"/>
        <v>4136</v>
      </c>
      <c r="L138" s="115">
        <f t="shared" si="271"/>
        <v>0.03334757754359938</v>
      </c>
      <c r="M138" s="23">
        <f t="shared" si="272"/>
        <v>124027</v>
      </c>
      <c r="N138" s="180">
        <v>14193</v>
      </c>
      <c r="O138" s="67">
        <f t="shared" si="263"/>
        <v>0.024143421415230105</v>
      </c>
      <c r="P138" s="174">
        <v>587862</v>
      </c>
      <c r="Q138" s="68">
        <v>4379</v>
      </c>
      <c r="R138" s="67">
        <f t="shared" si="264"/>
        <v>0.378021408839779</v>
      </c>
      <c r="S138" s="40">
        <v>11584</v>
      </c>
      <c r="T138" s="68">
        <v>333</v>
      </c>
      <c r="U138" s="67">
        <f t="shared" si="265"/>
        <v>0.8451776649746193</v>
      </c>
      <c r="V138" s="40">
        <v>394</v>
      </c>
      <c r="W138" s="63">
        <f t="shared" si="273"/>
        <v>18905</v>
      </c>
      <c r="X138" s="67">
        <f t="shared" si="266"/>
        <v>0.0315167377967458</v>
      </c>
      <c r="Y138" s="26">
        <f t="shared" si="274"/>
        <v>599840</v>
      </c>
      <c r="Z138" s="41">
        <v>31</v>
      </c>
      <c r="AA138" s="115">
        <f t="shared" si="267"/>
        <v>0.0008307651078654696</v>
      </c>
      <c r="AB138" s="4">
        <v>37315</v>
      </c>
      <c r="AC138" s="78">
        <v>46</v>
      </c>
      <c r="AD138" s="115">
        <f t="shared" si="268"/>
        <v>0.24864864864864866</v>
      </c>
      <c r="AE138" s="43">
        <v>185</v>
      </c>
      <c r="AF138" s="13">
        <v>9</v>
      </c>
      <c r="AG138" s="7">
        <f t="shared" si="269"/>
        <v>0.6</v>
      </c>
      <c r="AH138" s="44">
        <v>15</v>
      </c>
      <c r="AI138" s="41">
        <f t="shared" si="275"/>
        <v>86</v>
      </c>
      <c r="AJ138" s="7">
        <f t="shared" si="276"/>
        <v>0.0022924163667866187</v>
      </c>
      <c r="AK138" s="44">
        <f t="shared" si="277"/>
        <v>37515</v>
      </c>
      <c r="AL138" s="117">
        <f t="shared" si="278"/>
        <v>0.023544553766620197</v>
      </c>
      <c r="AM138" s="115">
        <f t="shared" si="279"/>
        <v>0.3819192293442016</v>
      </c>
      <c r="AN138" s="7">
        <f t="shared" si="280"/>
        <v>0.8278145695364238</v>
      </c>
      <c r="AO138" s="171">
        <f t="shared" si="281"/>
        <v>0.030022743912887697</v>
      </c>
      <c r="AP138" s="63">
        <f t="shared" si="282"/>
        <v>23127</v>
      </c>
      <c r="AQ138" s="3">
        <f t="shared" si="283"/>
        <v>770316</v>
      </c>
      <c r="AR138" s="116">
        <f t="shared" si="284"/>
        <v>747434</v>
      </c>
      <c r="AS138" s="3">
        <f t="shared" si="285"/>
        <v>13495</v>
      </c>
      <c r="AT138" s="26">
        <f t="shared" si="286"/>
        <v>453</v>
      </c>
    </row>
    <row r="139" spans="1:46" ht="12.75">
      <c r="A139" s="146">
        <v>40634</v>
      </c>
      <c r="B139" s="3">
        <v>3382</v>
      </c>
      <c r="C139" s="115">
        <f t="shared" si="260"/>
        <v>0.027863828104402848</v>
      </c>
      <c r="D139" s="107">
        <v>121376</v>
      </c>
      <c r="E139" s="42">
        <v>712</v>
      </c>
      <c r="F139" s="115">
        <f t="shared" si="261"/>
        <v>0.4171060339777387</v>
      </c>
      <c r="G139" s="40">
        <v>1707</v>
      </c>
      <c r="H139" s="13">
        <v>33</v>
      </c>
      <c r="I139" s="115">
        <f t="shared" si="262"/>
        <v>0.75</v>
      </c>
      <c r="J139" s="13">
        <v>44</v>
      </c>
      <c r="K139" s="195">
        <f t="shared" si="270"/>
        <v>4127</v>
      </c>
      <c r="L139" s="115">
        <f t="shared" si="271"/>
        <v>0.033518237267211905</v>
      </c>
      <c r="M139" s="23">
        <f t="shared" si="272"/>
        <v>123127</v>
      </c>
      <c r="N139" s="64">
        <v>14443</v>
      </c>
      <c r="O139" s="67">
        <f aca="true" t="shared" si="287" ref="O139:O145">N139/P139</f>
        <v>0.024534260141637235</v>
      </c>
      <c r="P139" s="3">
        <v>588687</v>
      </c>
      <c r="Q139" s="68">
        <v>4380</v>
      </c>
      <c r="R139" s="67">
        <f aca="true" t="shared" si="288" ref="R139:R145">Q139/S139</f>
        <v>0.3784671217488983</v>
      </c>
      <c r="S139" s="40">
        <v>11573</v>
      </c>
      <c r="T139" s="13">
        <v>328</v>
      </c>
      <c r="U139" s="67">
        <f aca="true" t="shared" si="289" ref="U139:U145">T139/V139</f>
        <v>0.845360824742268</v>
      </c>
      <c r="V139" s="26">
        <v>388</v>
      </c>
      <c r="W139" s="63">
        <f t="shared" si="273"/>
        <v>19151</v>
      </c>
      <c r="X139" s="67">
        <f t="shared" si="266"/>
        <v>0.0318838987227128</v>
      </c>
      <c r="Y139" s="26">
        <f t="shared" si="274"/>
        <v>600648</v>
      </c>
      <c r="Z139" s="41">
        <v>31</v>
      </c>
      <c r="AA139" s="115">
        <f t="shared" si="267"/>
        <v>0.0008319244290583152</v>
      </c>
      <c r="AB139" s="4">
        <v>37263</v>
      </c>
      <c r="AC139" s="78">
        <v>46</v>
      </c>
      <c r="AD139" s="115">
        <f t="shared" si="268"/>
        <v>0.24864864864864866</v>
      </c>
      <c r="AE139" s="43">
        <v>185</v>
      </c>
      <c r="AF139" s="13">
        <v>9</v>
      </c>
      <c r="AG139" s="7">
        <f t="shared" si="269"/>
        <v>0.6</v>
      </c>
      <c r="AH139" s="44">
        <v>15</v>
      </c>
      <c r="AI139" s="41">
        <f t="shared" si="275"/>
        <v>86</v>
      </c>
      <c r="AJ139" s="7">
        <f t="shared" si="276"/>
        <v>0.0022955983236793635</v>
      </c>
      <c r="AK139" s="44">
        <f t="shared" si="277"/>
        <v>37463</v>
      </c>
      <c r="AL139" s="117">
        <f t="shared" si="278"/>
        <v>0.023893187176680594</v>
      </c>
      <c r="AM139" s="115">
        <f t="shared" si="279"/>
        <v>0.381581878945414</v>
      </c>
      <c r="AN139" s="7">
        <f t="shared" si="280"/>
        <v>0.8277404921700223</v>
      </c>
      <c r="AO139" s="171">
        <f t="shared" si="281"/>
        <v>0.030336592833427902</v>
      </c>
      <c r="AP139" s="63">
        <f t="shared" si="282"/>
        <v>23364</v>
      </c>
      <c r="AQ139" s="3">
        <f t="shared" si="283"/>
        <v>770159</v>
      </c>
      <c r="AR139" s="116">
        <f t="shared" si="284"/>
        <v>747326</v>
      </c>
      <c r="AS139" s="3">
        <f t="shared" si="285"/>
        <v>13465</v>
      </c>
      <c r="AT139" s="26">
        <f t="shared" si="286"/>
        <v>447</v>
      </c>
    </row>
    <row r="140" spans="1:46" ht="12.75">
      <c r="A140" s="146">
        <v>40603</v>
      </c>
      <c r="B140" s="3">
        <v>3414</v>
      </c>
      <c r="C140" s="115">
        <f t="shared" si="260"/>
        <v>0.028233542838240158</v>
      </c>
      <c r="D140" s="107">
        <v>120920</v>
      </c>
      <c r="E140" s="42">
        <v>719</v>
      </c>
      <c r="F140" s="115">
        <f t="shared" si="261"/>
        <v>0.4295101553166069</v>
      </c>
      <c r="G140" s="40">
        <v>1674</v>
      </c>
      <c r="H140" s="13">
        <v>33</v>
      </c>
      <c r="I140" s="115">
        <f t="shared" si="262"/>
        <v>0.7674418604651163</v>
      </c>
      <c r="J140" s="13">
        <v>43</v>
      </c>
      <c r="K140" s="195">
        <f t="shared" si="270"/>
        <v>4166</v>
      </c>
      <c r="L140" s="115">
        <f t="shared" si="271"/>
        <v>0.033970172134021544</v>
      </c>
      <c r="M140" s="23">
        <f t="shared" si="272"/>
        <v>122637</v>
      </c>
      <c r="N140" s="64">
        <v>14552</v>
      </c>
      <c r="O140" s="67">
        <f t="shared" si="287"/>
        <v>0.02472302969244021</v>
      </c>
      <c r="P140" s="3">
        <v>588601</v>
      </c>
      <c r="Q140" s="68">
        <v>4362</v>
      </c>
      <c r="R140" s="67">
        <f t="shared" si="288"/>
        <v>0.37658637658637656</v>
      </c>
      <c r="S140" s="40">
        <v>11583</v>
      </c>
      <c r="T140" s="13">
        <v>326</v>
      </c>
      <c r="U140" s="67">
        <f t="shared" si="289"/>
        <v>0.844559585492228</v>
      </c>
      <c r="V140" s="26">
        <v>386</v>
      </c>
      <c r="W140" s="63">
        <f t="shared" si="273"/>
        <v>19240</v>
      </c>
      <c r="X140" s="67">
        <f aca="true" t="shared" si="290" ref="X140:X145">W140/Y140</f>
        <v>0.032036232246032935</v>
      </c>
      <c r="Y140" s="26">
        <f t="shared" si="274"/>
        <v>600570</v>
      </c>
      <c r="Z140" s="41">
        <v>31</v>
      </c>
      <c r="AA140" s="115">
        <f t="shared" si="267"/>
        <v>0.0008318797799543808</v>
      </c>
      <c r="AB140" s="4">
        <v>37265</v>
      </c>
      <c r="AC140" s="78">
        <v>46</v>
      </c>
      <c r="AD140" s="115">
        <f t="shared" si="268"/>
        <v>0.25274725274725274</v>
      </c>
      <c r="AE140" s="43">
        <v>182</v>
      </c>
      <c r="AF140" s="13">
        <v>10</v>
      </c>
      <c r="AG140" s="7">
        <f t="shared" si="269"/>
        <v>0.5882352941176471</v>
      </c>
      <c r="AH140" s="44">
        <v>17</v>
      </c>
      <c r="AI140" s="41">
        <f t="shared" si="275"/>
        <v>87</v>
      </c>
      <c r="AJ140" s="7">
        <f t="shared" si="276"/>
        <v>0.0023222293401665597</v>
      </c>
      <c r="AK140" s="44">
        <f t="shared" si="277"/>
        <v>37464</v>
      </c>
      <c r="AL140" s="117">
        <f t="shared" si="278"/>
        <v>0.02409927341969453</v>
      </c>
      <c r="AM140" s="115">
        <f t="shared" si="279"/>
        <v>0.3815015998214153</v>
      </c>
      <c r="AN140" s="7">
        <f t="shared" si="280"/>
        <v>0.827354260089686</v>
      </c>
      <c r="AO140" s="171">
        <f t="shared" si="281"/>
        <v>0.030525771427680443</v>
      </c>
      <c r="AP140" s="63">
        <f t="shared" si="282"/>
        <v>23493</v>
      </c>
      <c r="AQ140" s="3">
        <f t="shared" si="283"/>
        <v>769612</v>
      </c>
      <c r="AR140" s="116">
        <f t="shared" si="284"/>
        <v>746786</v>
      </c>
      <c r="AS140" s="3">
        <f t="shared" si="285"/>
        <v>13439</v>
      </c>
      <c r="AT140" s="26">
        <f t="shared" si="286"/>
        <v>446</v>
      </c>
    </row>
    <row r="141" spans="1:46" ht="12.75">
      <c r="A141" s="146">
        <v>40575</v>
      </c>
      <c r="B141" s="3">
        <v>3395</v>
      </c>
      <c r="C141" s="115">
        <f t="shared" si="260"/>
        <v>0.02810104789180062</v>
      </c>
      <c r="D141" s="107">
        <v>120814</v>
      </c>
      <c r="E141" s="42">
        <v>719</v>
      </c>
      <c r="F141" s="115">
        <f t="shared" si="261"/>
        <v>0.43523002421307505</v>
      </c>
      <c r="G141" s="40">
        <v>1652</v>
      </c>
      <c r="H141" s="13">
        <v>33</v>
      </c>
      <c r="I141" s="115">
        <f t="shared" si="262"/>
        <v>0.7857142857142857</v>
      </c>
      <c r="J141" s="13">
        <v>42</v>
      </c>
      <c r="K141" s="195">
        <f t="shared" si="270"/>
        <v>4147</v>
      </c>
      <c r="L141" s="115">
        <f t="shared" si="271"/>
        <v>0.033850850556698335</v>
      </c>
      <c r="M141" s="23">
        <f t="shared" si="272"/>
        <v>122508</v>
      </c>
      <c r="N141" s="64">
        <v>14509</v>
      </c>
      <c r="O141" s="67">
        <f t="shared" si="287"/>
        <v>0.024653912357881894</v>
      </c>
      <c r="P141" s="3">
        <v>588507</v>
      </c>
      <c r="Q141" s="68">
        <v>4379</v>
      </c>
      <c r="R141" s="67">
        <f t="shared" si="288"/>
        <v>0.3789045600069222</v>
      </c>
      <c r="S141" s="40">
        <v>11557</v>
      </c>
      <c r="T141" s="13">
        <v>322</v>
      </c>
      <c r="U141" s="67">
        <f t="shared" si="289"/>
        <v>0.8385416666666666</v>
      </c>
      <c r="V141" s="26">
        <v>384</v>
      </c>
      <c r="W141" s="63">
        <f aca="true" t="shared" si="291" ref="W141:W146">+T141+Q141+N141</f>
        <v>19210</v>
      </c>
      <c r="X141" s="67">
        <f t="shared" si="290"/>
        <v>0.0319927787252185</v>
      </c>
      <c r="Y141" s="26">
        <f aca="true" t="shared" si="292" ref="Y141:Y146">+V141+S141+P141</f>
        <v>600448</v>
      </c>
      <c r="Z141" s="41">
        <v>32</v>
      </c>
      <c r="AA141" s="115">
        <f t="shared" si="267"/>
        <v>0.0008588759461055343</v>
      </c>
      <c r="AB141" s="4">
        <v>37258</v>
      </c>
      <c r="AC141" s="78">
        <v>57</v>
      </c>
      <c r="AD141" s="115">
        <f t="shared" si="268"/>
        <v>0.3081081081081081</v>
      </c>
      <c r="AE141" s="43">
        <v>185</v>
      </c>
      <c r="AF141" s="13">
        <v>10</v>
      </c>
      <c r="AG141" s="7">
        <f t="shared" si="269"/>
        <v>0.5882352941176471</v>
      </c>
      <c r="AH141" s="44">
        <v>17</v>
      </c>
      <c r="AI141" s="41">
        <f aca="true" t="shared" si="293" ref="AI141:AI146">+AF141+AC141+Z141</f>
        <v>99</v>
      </c>
      <c r="AJ141" s="7">
        <f>AI141/AK141</f>
        <v>0.002642819006940737</v>
      </c>
      <c r="AK141" s="44">
        <f aca="true" t="shared" si="294" ref="AK141:AK146">+AH141+AE141+AB141</f>
        <v>37460</v>
      </c>
      <c r="AL141" s="117">
        <f aca="true" t="shared" si="295" ref="AL141:AL146">(B141+N141+Z141)/AR141</f>
        <v>0.02402424927569621</v>
      </c>
      <c r="AM141" s="115">
        <f aca="true" t="shared" si="296" ref="AM141:AM146">(E141+Q141+AC141)/AS141</f>
        <v>0.38487382410034343</v>
      </c>
      <c r="AN141" s="7">
        <f aca="true" t="shared" si="297" ref="AN141:AN146">(H141+T141+AF141)/AT141</f>
        <v>0.8239277652370203</v>
      </c>
      <c r="AO141" s="171">
        <f aca="true" t="shared" si="298" ref="AO141:AO146">AP141/AQ141</f>
        <v>0.030487559188575482</v>
      </c>
      <c r="AP141" s="63">
        <f aca="true" t="shared" si="299" ref="AP141:AP146">AF141+AC141+Z141+T141+Q141+N141+H141+E141+B141</f>
        <v>23456</v>
      </c>
      <c r="AQ141" s="3">
        <f aca="true" t="shared" si="300" ref="AQ141:AQ146">AH141+AF141+AE141+AC141+Z141+AB141+V141+T141+S141+Q141+P141+J141+H141+G141+E141+D141+B141</f>
        <v>769363</v>
      </c>
      <c r="AR141" s="116">
        <f aca="true" t="shared" si="301" ref="AR141:AR146">+D141+P141+AB141</f>
        <v>746579</v>
      </c>
      <c r="AS141" s="3">
        <f aca="true" t="shared" si="302" ref="AS141:AS146">G141+S141+AE141</f>
        <v>13394</v>
      </c>
      <c r="AT141" s="26">
        <f aca="true" t="shared" si="303" ref="AT141:AT146">J141+V141+AH141</f>
        <v>443</v>
      </c>
    </row>
    <row r="142" spans="1:46" ht="12.75">
      <c r="A142" s="146">
        <v>40544</v>
      </c>
      <c r="B142" s="3">
        <v>3364</v>
      </c>
      <c r="C142" s="115">
        <f t="shared" si="260"/>
        <v>0.027847912648283513</v>
      </c>
      <c r="D142" s="107">
        <v>120799</v>
      </c>
      <c r="E142" s="42">
        <v>713</v>
      </c>
      <c r="F142" s="115">
        <f t="shared" si="261"/>
        <v>0.4323832625833839</v>
      </c>
      <c r="G142" s="40">
        <v>1649</v>
      </c>
      <c r="H142" s="13">
        <v>33</v>
      </c>
      <c r="I142" s="115">
        <f t="shared" si="262"/>
        <v>0.7857142857142857</v>
      </c>
      <c r="J142" s="13">
        <v>42</v>
      </c>
      <c r="K142" s="195">
        <f t="shared" si="270"/>
        <v>4110</v>
      </c>
      <c r="L142" s="115">
        <f t="shared" si="271"/>
        <v>0.033553759490570656</v>
      </c>
      <c r="M142" s="23">
        <f t="shared" si="272"/>
        <v>122490</v>
      </c>
      <c r="N142" s="64">
        <v>14509</v>
      </c>
      <c r="O142" s="67">
        <f t="shared" si="287"/>
        <v>0.024658940459255558</v>
      </c>
      <c r="P142" s="3">
        <v>588387</v>
      </c>
      <c r="Q142" s="68">
        <v>4349</v>
      </c>
      <c r="R142" s="67">
        <f t="shared" si="288"/>
        <v>0.3761459955025082</v>
      </c>
      <c r="S142" s="40">
        <v>11562</v>
      </c>
      <c r="T142" s="13">
        <v>324</v>
      </c>
      <c r="U142" s="67">
        <f t="shared" si="289"/>
        <v>0.8459530026109661</v>
      </c>
      <c r="V142" s="26">
        <v>383</v>
      </c>
      <c r="W142" s="63">
        <f t="shared" si="291"/>
        <v>19182</v>
      </c>
      <c r="X142" s="67">
        <f t="shared" si="290"/>
        <v>0.03195231971642358</v>
      </c>
      <c r="Y142" s="26">
        <f t="shared" si="292"/>
        <v>600332</v>
      </c>
      <c r="Z142" s="41">
        <v>34</v>
      </c>
      <c r="AA142" s="115">
        <f t="shared" si="267"/>
        <v>0.0009127761819109237</v>
      </c>
      <c r="AB142" s="4">
        <v>37249</v>
      </c>
      <c r="AC142" s="78">
        <v>49</v>
      </c>
      <c r="AD142" s="115">
        <f t="shared" si="268"/>
        <v>0.28823529411764703</v>
      </c>
      <c r="AE142" s="43">
        <v>170</v>
      </c>
      <c r="AF142" s="13">
        <v>10</v>
      </c>
      <c r="AG142" s="7">
        <f t="shared" si="269"/>
        <v>0.5882352941176471</v>
      </c>
      <c r="AH142" s="44">
        <v>17</v>
      </c>
      <c r="AI142" s="41">
        <f t="shared" si="293"/>
        <v>93</v>
      </c>
      <c r="AJ142" s="7">
        <f>AI142/AK142</f>
        <v>0.0024842397692061116</v>
      </c>
      <c r="AK142" s="44">
        <f t="shared" si="294"/>
        <v>37436</v>
      </c>
      <c r="AL142" s="117">
        <f t="shared" si="295"/>
        <v>0.023990032621728618</v>
      </c>
      <c r="AM142" s="115">
        <f t="shared" si="296"/>
        <v>0.3819594948060683</v>
      </c>
      <c r="AN142" s="7">
        <f t="shared" si="297"/>
        <v>0.830316742081448</v>
      </c>
      <c r="AO142" s="171">
        <f t="shared" si="298"/>
        <v>0.0304043248640679</v>
      </c>
      <c r="AP142" s="63">
        <f t="shared" si="299"/>
        <v>23385</v>
      </c>
      <c r="AQ142" s="3">
        <f t="shared" si="300"/>
        <v>769134</v>
      </c>
      <c r="AR142" s="116">
        <f t="shared" si="301"/>
        <v>746435</v>
      </c>
      <c r="AS142" s="3">
        <f t="shared" si="302"/>
        <v>13381</v>
      </c>
      <c r="AT142" s="26">
        <f t="shared" si="303"/>
        <v>442</v>
      </c>
    </row>
    <row r="143" spans="1:46" ht="12.75">
      <c r="A143" s="146">
        <v>40513</v>
      </c>
      <c r="B143" s="3">
        <v>3311</v>
      </c>
      <c r="C143" s="115">
        <f t="shared" si="260"/>
        <v>0.02738128711069946</v>
      </c>
      <c r="D143" s="107">
        <v>120922</v>
      </c>
      <c r="E143" s="42">
        <v>699</v>
      </c>
      <c r="F143" s="115">
        <f t="shared" si="261"/>
        <v>0.4259597806215722</v>
      </c>
      <c r="G143" s="40">
        <v>1641</v>
      </c>
      <c r="H143" s="13">
        <v>33</v>
      </c>
      <c r="I143" s="115">
        <f t="shared" si="262"/>
        <v>0.7857142857142857</v>
      </c>
      <c r="J143" s="13">
        <v>42</v>
      </c>
      <c r="K143" s="195">
        <f>+H143+E143+B143</f>
        <v>4043</v>
      </c>
      <c r="L143" s="115">
        <f>K143/M143</f>
        <v>0.03297581664695567</v>
      </c>
      <c r="M143" s="23">
        <f>+J143+G143+D143</f>
        <v>122605</v>
      </c>
      <c r="N143" s="64">
        <v>14108</v>
      </c>
      <c r="O143" s="67">
        <f t="shared" si="287"/>
        <v>0.024010510980707177</v>
      </c>
      <c r="P143" s="3">
        <v>587576</v>
      </c>
      <c r="Q143" s="68">
        <v>4264</v>
      </c>
      <c r="R143" s="67">
        <f t="shared" si="288"/>
        <v>0.37046046915725456</v>
      </c>
      <c r="S143" s="40">
        <v>11510</v>
      </c>
      <c r="T143" s="13">
        <v>302</v>
      </c>
      <c r="U143" s="67">
        <f t="shared" si="289"/>
        <v>0.8365650969529086</v>
      </c>
      <c r="V143" s="26">
        <v>361</v>
      </c>
      <c r="W143" s="63">
        <f t="shared" si="291"/>
        <v>18674</v>
      </c>
      <c r="X143" s="67">
        <f t="shared" si="290"/>
        <v>0.031152045134932697</v>
      </c>
      <c r="Y143" s="26">
        <f t="shared" si="292"/>
        <v>599447</v>
      </c>
      <c r="Z143" s="41">
        <v>34</v>
      </c>
      <c r="AA143" s="115">
        <f>Z143/AB143</f>
        <v>0.0009125556927371303</v>
      </c>
      <c r="AB143" s="4">
        <v>37258</v>
      </c>
      <c r="AC143" s="78">
        <v>56</v>
      </c>
      <c r="AD143" s="115">
        <f>AC143/AE143</f>
        <v>0.30939226519337015</v>
      </c>
      <c r="AE143" s="43">
        <v>181</v>
      </c>
      <c r="AF143" s="13">
        <v>10</v>
      </c>
      <c r="AG143" s="7">
        <f>AF143/AH143</f>
        <v>0.5882352941176471</v>
      </c>
      <c r="AH143" s="44">
        <v>17</v>
      </c>
      <c r="AI143" s="41">
        <f t="shared" si="293"/>
        <v>100</v>
      </c>
      <c r="AJ143" s="7">
        <f>AI143/AK143</f>
        <v>0.0026697992310978215</v>
      </c>
      <c r="AK143" s="44">
        <f t="shared" si="294"/>
        <v>37456</v>
      </c>
      <c r="AL143" s="117">
        <f t="shared" si="295"/>
        <v>0.023403096991509286</v>
      </c>
      <c r="AM143" s="115">
        <f t="shared" si="296"/>
        <v>0.37646264626462644</v>
      </c>
      <c r="AN143" s="7">
        <f t="shared" si="297"/>
        <v>0.8214285714285714</v>
      </c>
      <c r="AO143" s="171">
        <f t="shared" si="298"/>
        <v>0.029701243268503562</v>
      </c>
      <c r="AP143" s="63">
        <f t="shared" si="299"/>
        <v>22817</v>
      </c>
      <c r="AQ143" s="3">
        <f t="shared" si="300"/>
        <v>768217</v>
      </c>
      <c r="AR143" s="116">
        <f t="shared" si="301"/>
        <v>745756</v>
      </c>
      <c r="AS143" s="3">
        <f t="shared" si="302"/>
        <v>13332</v>
      </c>
      <c r="AT143" s="26">
        <f t="shared" si="303"/>
        <v>420</v>
      </c>
    </row>
    <row r="144" spans="1:46" ht="12.75">
      <c r="A144" s="146">
        <v>40483</v>
      </c>
      <c r="B144" s="3">
        <v>3974</v>
      </c>
      <c r="C144" s="115">
        <f t="shared" si="260"/>
        <v>0.03263636811589442</v>
      </c>
      <c r="D144" s="107">
        <v>121766</v>
      </c>
      <c r="E144" s="42">
        <v>692</v>
      </c>
      <c r="F144" s="115">
        <f t="shared" si="261"/>
        <v>0.41586538461538464</v>
      </c>
      <c r="G144" s="40">
        <v>1664</v>
      </c>
      <c r="H144" s="13">
        <v>33</v>
      </c>
      <c r="I144" s="115">
        <f>H144/J144</f>
        <v>0.7674418604651163</v>
      </c>
      <c r="J144" s="13">
        <v>43</v>
      </c>
      <c r="K144" s="195">
        <f>+H144+E144+B144</f>
        <v>4699</v>
      </c>
      <c r="L144" s="115">
        <f>K144/M144</f>
        <v>0.038056903128619216</v>
      </c>
      <c r="M144" s="23">
        <f>+J144+G144+D144</f>
        <v>123473</v>
      </c>
      <c r="N144" s="64">
        <v>14108</v>
      </c>
      <c r="O144" s="67">
        <f t="shared" si="287"/>
        <v>0.024010510980707177</v>
      </c>
      <c r="P144" s="3">
        <v>587576</v>
      </c>
      <c r="Q144" s="68">
        <v>4264</v>
      </c>
      <c r="R144" s="67">
        <f t="shared" si="288"/>
        <v>0.37046046915725456</v>
      </c>
      <c r="S144" s="40">
        <v>11510</v>
      </c>
      <c r="T144" s="13">
        <v>302</v>
      </c>
      <c r="U144" s="67">
        <f t="shared" si="289"/>
        <v>0.8365650969529086</v>
      </c>
      <c r="V144" s="26">
        <v>361</v>
      </c>
      <c r="W144" s="63">
        <f t="shared" si="291"/>
        <v>18674</v>
      </c>
      <c r="X144" s="67">
        <f t="shared" si="290"/>
        <v>0.031152045134932697</v>
      </c>
      <c r="Y144" s="26">
        <f t="shared" si="292"/>
        <v>599447</v>
      </c>
      <c r="Z144" s="41">
        <v>34</v>
      </c>
      <c r="AA144" s="115">
        <f>Z144/AB144</f>
        <v>0.0009123108296662016</v>
      </c>
      <c r="AB144" s="4">
        <v>37268</v>
      </c>
      <c r="AC144" s="78">
        <v>56</v>
      </c>
      <c r="AD144" s="115">
        <f>AC144/AE144</f>
        <v>0.3010752688172043</v>
      </c>
      <c r="AE144" s="43">
        <v>186</v>
      </c>
      <c r="AF144" s="13">
        <v>10</v>
      </c>
      <c r="AG144" s="7">
        <f>AF144/AH144</f>
        <v>0.5882352941176471</v>
      </c>
      <c r="AH144" s="44">
        <v>17</v>
      </c>
      <c r="AI144" s="41">
        <f t="shared" si="293"/>
        <v>100</v>
      </c>
      <c r="AJ144" s="7">
        <f>AI144/AK144</f>
        <v>0.002668730484908329</v>
      </c>
      <c r="AK144" s="44">
        <f t="shared" si="294"/>
        <v>37471</v>
      </c>
      <c r="AL144" s="117">
        <f t="shared" si="295"/>
        <v>0.02426434149020238</v>
      </c>
      <c r="AM144" s="115">
        <f t="shared" si="296"/>
        <v>0.37514970059880237</v>
      </c>
      <c r="AN144" s="7">
        <f t="shared" si="297"/>
        <v>0.8194774346793349</v>
      </c>
      <c r="AO144" s="171">
        <f t="shared" si="298"/>
        <v>0.03049407864310249</v>
      </c>
      <c r="AP144" s="63">
        <f t="shared" si="299"/>
        <v>23473</v>
      </c>
      <c r="AQ144" s="3">
        <f t="shared" si="300"/>
        <v>769756</v>
      </c>
      <c r="AR144" s="116">
        <f t="shared" si="301"/>
        <v>746610</v>
      </c>
      <c r="AS144" s="3">
        <f t="shared" si="302"/>
        <v>13360</v>
      </c>
      <c r="AT144" s="26">
        <f t="shared" si="303"/>
        <v>421</v>
      </c>
    </row>
    <row r="145" spans="1:46" ht="12.75">
      <c r="A145" s="146">
        <v>40452</v>
      </c>
      <c r="B145" s="3">
        <v>3294</v>
      </c>
      <c r="C145" s="115">
        <f t="shared" si="260"/>
        <v>0.027066779513389594</v>
      </c>
      <c r="D145" s="107">
        <v>121699</v>
      </c>
      <c r="E145" s="42">
        <v>704</v>
      </c>
      <c r="F145" s="115">
        <f>E145/G145</f>
        <v>0.4136310223266745</v>
      </c>
      <c r="G145" s="40">
        <v>1702</v>
      </c>
      <c r="H145" s="13">
        <v>32</v>
      </c>
      <c r="I145" s="115">
        <f>H145/J145</f>
        <v>0.7804878048780488</v>
      </c>
      <c r="J145" s="13">
        <v>41</v>
      </c>
      <c r="K145" s="195">
        <f>+H145+E145+B145</f>
        <v>4030</v>
      </c>
      <c r="L145" s="115">
        <f>K145/M145</f>
        <v>0.03264691109994977</v>
      </c>
      <c r="M145" s="23">
        <f>+J145+G145+D145</f>
        <v>123442</v>
      </c>
      <c r="N145" s="64">
        <v>14144</v>
      </c>
      <c r="O145" s="67">
        <f t="shared" si="287"/>
        <v>0.02409043451009247</v>
      </c>
      <c r="P145" s="3">
        <v>587121</v>
      </c>
      <c r="Q145" s="68">
        <v>4250</v>
      </c>
      <c r="R145" s="67">
        <f t="shared" si="288"/>
        <v>0.37117903930131</v>
      </c>
      <c r="S145" s="40">
        <v>11450</v>
      </c>
      <c r="T145" s="13">
        <v>302</v>
      </c>
      <c r="U145" s="67">
        <f t="shared" si="289"/>
        <v>0.8342541436464088</v>
      </c>
      <c r="V145" s="26">
        <v>362</v>
      </c>
      <c r="W145" s="63">
        <f t="shared" si="291"/>
        <v>18696</v>
      </c>
      <c r="X145" s="67">
        <f t="shared" si="290"/>
        <v>0.031215511584768246</v>
      </c>
      <c r="Y145" s="26">
        <f t="shared" si="292"/>
        <v>598933</v>
      </c>
      <c r="Z145" s="41">
        <v>31</v>
      </c>
      <c r="AA145" s="115">
        <f>Z145/AB145</f>
        <v>0.0008312774857878366</v>
      </c>
      <c r="AB145" s="4">
        <v>37292</v>
      </c>
      <c r="AC145" s="78">
        <v>56</v>
      </c>
      <c r="AD145" s="115">
        <f>AC145/AE145</f>
        <v>0.2931937172774869</v>
      </c>
      <c r="AE145" s="43">
        <v>191</v>
      </c>
      <c r="AF145" s="13">
        <v>10</v>
      </c>
      <c r="AG145" s="7">
        <f>AF145/AH145</f>
        <v>0.5882352941176471</v>
      </c>
      <c r="AH145" s="44">
        <v>17</v>
      </c>
      <c r="AI145" s="41">
        <f t="shared" si="293"/>
        <v>97</v>
      </c>
      <c r="AJ145" s="7">
        <f>AI145/AK145</f>
        <v>0.002586666666666667</v>
      </c>
      <c r="AK145" s="44">
        <f t="shared" si="294"/>
        <v>37500</v>
      </c>
      <c r="AL145" s="117">
        <f t="shared" si="295"/>
        <v>0.023413374935666496</v>
      </c>
      <c r="AM145" s="115">
        <f t="shared" si="296"/>
        <v>0.3754777786105074</v>
      </c>
      <c r="AN145" s="7">
        <f t="shared" si="297"/>
        <v>0.819047619047619</v>
      </c>
      <c r="AO145" s="171">
        <f t="shared" si="298"/>
        <v>0.029696026564171158</v>
      </c>
      <c r="AP145" s="63">
        <f t="shared" si="299"/>
        <v>22823</v>
      </c>
      <c r="AQ145" s="3">
        <f t="shared" si="300"/>
        <v>768554</v>
      </c>
      <c r="AR145" s="116">
        <f t="shared" si="301"/>
        <v>746112</v>
      </c>
      <c r="AS145" s="3">
        <f t="shared" si="302"/>
        <v>13343</v>
      </c>
      <c r="AT145" s="26">
        <f t="shared" si="303"/>
        <v>420</v>
      </c>
    </row>
    <row r="146" spans="1:46" ht="12.75">
      <c r="A146" s="146">
        <v>40422</v>
      </c>
      <c r="B146" s="3">
        <v>3260</v>
      </c>
      <c r="C146" s="115">
        <f t="shared" si="260"/>
        <v>0.026615286645004326</v>
      </c>
      <c r="D146" s="107">
        <v>122486</v>
      </c>
      <c r="E146" s="42">
        <v>698</v>
      </c>
      <c r="F146" s="115">
        <f aca="true" t="shared" si="304" ref="F146:F151">E146/G146</f>
        <v>0.40699708454810496</v>
      </c>
      <c r="G146" s="40">
        <v>1715</v>
      </c>
      <c r="H146" s="13">
        <v>32</v>
      </c>
      <c r="I146" s="115">
        <f aca="true" t="shared" si="305" ref="I146:I151">H146/J146</f>
        <v>0.7804878048780488</v>
      </c>
      <c r="J146" s="13">
        <v>41</v>
      </c>
      <c r="K146" s="195">
        <f>+H146+E146+B146</f>
        <v>3990</v>
      </c>
      <c r="L146" s="115">
        <f aca="true" t="shared" si="306" ref="L146:L151">K146/M146</f>
        <v>0.03211474380644227</v>
      </c>
      <c r="M146" s="23">
        <f>+J146+G146+D146</f>
        <v>124242</v>
      </c>
      <c r="N146" s="64">
        <v>14145</v>
      </c>
      <c r="O146" s="67">
        <f aca="true" t="shared" si="307" ref="O146:O151">N146/P146</f>
        <v>0.024104002508384</v>
      </c>
      <c r="P146" s="3">
        <v>586832</v>
      </c>
      <c r="Q146" s="68">
        <v>4220</v>
      </c>
      <c r="R146" s="67">
        <f aca="true" t="shared" si="308" ref="R146:R151">Q146/S146</f>
        <v>0.37082601054481545</v>
      </c>
      <c r="S146" s="40">
        <v>11380</v>
      </c>
      <c r="T146" s="13">
        <v>298</v>
      </c>
      <c r="U146" s="67">
        <f aca="true" t="shared" si="309" ref="U146:U151">T146/V146</f>
        <v>0.8324022346368715</v>
      </c>
      <c r="V146" s="26">
        <v>358</v>
      </c>
      <c r="W146" s="63">
        <f t="shared" si="291"/>
        <v>18663</v>
      </c>
      <c r="X146" s="67">
        <f aca="true" t="shared" si="310" ref="X146:X151">W146/Y146</f>
        <v>0.031179310690478974</v>
      </c>
      <c r="Y146" s="26">
        <f t="shared" si="292"/>
        <v>598570</v>
      </c>
      <c r="Z146" s="41">
        <v>30</v>
      </c>
      <c r="AA146" s="115">
        <f aca="true" t="shared" si="311" ref="AA146:AA151">Z146/AB146</f>
        <v>0.0008049369466058492</v>
      </c>
      <c r="AB146" s="4">
        <v>37270</v>
      </c>
      <c r="AC146" s="78">
        <v>55</v>
      </c>
      <c r="AD146" s="115">
        <f aca="true" t="shared" si="312" ref="AD146:AD151">AC146/AE146</f>
        <v>0.2879581151832461</v>
      </c>
      <c r="AE146" s="43">
        <v>191</v>
      </c>
      <c r="AF146" s="13">
        <v>9</v>
      </c>
      <c r="AG146" s="7">
        <f aca="true" t="shared" si="313" ref="AG146:AG151">AF146/AH146</f>
        <v>0.5294117647058824</v>
      </c>
      <c r="AH146" s="44">
        <v>17</v>
      </c>
      <c r="AI146" s="41">
        <f t="shared" si="293"/>
        <v>94</v>
      </c>
      <c r="AJ146" s="7">
        <f aca="true" t="shared" si="314" ref="AJ146:AJ151">AI146/AK146</f>
        <v>0.002508138107689845</v>
      </c>
      <c r="AK146" s="44">
        <f t="shared" si="294"/>
        <v>37478</v>
      </c>
      <c r="AL146" s="117">
        <f t="shared" si="295"/>
        <v>0.023352906824111827</v>
      </c>
      <c r="AM146" s="115">
        <f t="shared" si="296"/>
        <v>0.3743037784133674</v>
      </c>
      <c r="AN146" s="7">
        <f t="shared" si="297"/>
        <v>0.8149038461538461</v>
      </c>
      <c r="AO146" s="171">
        <f t="shared" si="298"/>
        <v>0.02958412885034569</v>
      </c>
      <c r="AP146" s="63">
        <f t="shared" si="299"/>
        <v>22747</v>
      </c>
      <c r="AQ146" s="3">
        <f t="shared" si="300"/>
        <v>768892</v>
      </c>
      <c r="AR146" s="116">
        <f t="shared" si="301"/>
        <v>746588</v>
      </c>
      <c r="AS146" s="3">
        <f t="shared" si="302"/>
        <v>13286</v>
      </c>
      <c r="AT146" s="26">
        <f t="shared" si="303"/>
        <v>416</v>
      </c>
    </row>
    <row r="147" spans="1:46" ht="12.75">
      <c r="A147" s="146">
        <v>40391</v>
      </c>
      <c r="B147" s="3">
        <v>3189</v>
      </c>
      <c r="C147" s="115">
        <f t="shared" si="260"/>
        <v>0.025995516608926024</v>
      </c>
      <c r="D147" s="107">
        <v>122675</v>
      </c>
      <c r="E147" s="42">
        <v>692</v>
      </c>
      <c r="F147" s="115">
        <f t="shared" si="304"/>
        <v>0.40326340326340326</v>
      </c>
      <c r="G147" s="40">
        <v>1716</v>
      </c>
      <c r="H147" s="13">
        <v>32</v>
      </c>
      <c r="I147" s="115">
        <f t="shared" si="305"/>
        <v>0.7804878048780488</v>
      </c>
      <c r="J147" s="13">
        <v>41</v>
      </c>
      <c r="K147" s="195">
        <f aca="true" t="shared" si="315" ref="K147:K152">+H147+E147+B147</f>
        <v>3913</v>
      </c>
      <c r="L147" s="115">
        <f t="shared" si="306"/>
        <v>0.03144689468946895</v>
      </c>
      <c r="M147" s="23">
        <f aca="true" t="shared" si="316" ref="M147:M152">+J147+G147+D147</f>
        <v>124432</v>
      </c>
      <c r="N147" s="64">
        <v>13660</v>
      </c>
      <c r="O147" s="67">
        <f t="shared" si="307"/>
        <v>0.023292494735316437</v>
      </c>
      <c r="P147" s="3">
        <v>586455</v>
      </c>
      <c r="Q147" s="68">
        <v>4170</v>
      </c>
      <c r="R147" s="67">
        <f t="shared" si="308"/>
        <v>0.366948257655755</v>
      </c>
      <c r="S147" s="40">
        <v>11364</v>
      </c>
      <c r="T147" s="13">
        <v>301</v>
      </c>
      <c r="U147" s="67">
        <f t="shared" si="309"/>
        <v>0.8314917127071824</v>
      </c>
      <c r="V147" s="26">
        <v>362</v>
      </c>
      <c r="W147" s="63">
        <f aca="true" t="shared" si="317" ref="W147:W152">+T147+Q147+N147</f>
        <v>18131</v>
      </c>
      <c r="X147" s="67">
        <f t="shared" si="310"/>
        <v>0.030310223828573627</v>
      </c>
      <c r="Y147" s="26">
        <f aca="true" t="shared" si="318" ref="Y147:Y152">+V147+S147+P147</f>
        <v>598181</v>
      </c>
      <c r="Z147" s="41">
        <v>30</v>
      </c>
      <c r="AA147" s="115">
        <f t="shared" si="311"/>
        <v>0.0008049369466058492</v>
      </c>
      <c r="AB147" s="4">
        <v>37270</v>
      </c>
      <c r="AC147" s="78">
        <v>56</v>
      </c>
      <c r="AD147" s="115">
        <f t="shared" si="312"/>
        <v>0.29473684210526313</v>
      </c>
      <c r="AE147" s="43">
        <v>190</v>
      </c>
      <c r="AF147" s="13">
        <v>9</v>
      </c>
      <c r="AG147" s="7">
        <f t="shared" si="313"/>
        <v>0.5294117647058824</v>
      </c>
      <c r="AH147" s="44">
        <v>17</v>
      </c>
      <c r="AI147" s="41">
        <f aca="true" t="shared" si="319" ref="AI147:AI152">+AF147+AC147+Z147</f>
        <v>95</v>
      </c>
      <c r="AJ147" s="7">
        <f t="shared" si="314"/>
        <v>0.0025348880646796704</v>
      </c>
      <c r="AK147" s="44">
        <f aca="true" t="shared" si="320" ref="AK147:AK152">+AH147+AE147+AB147</f>
        <v>37477</v>
      </c>
      <c r="AL147" s="117">
        <f aca="true" t="shared" si="321" ref="AL147:AL152">(B147+N147+Z147)/AR147</f>
        <v>0.022613879957127547</v>
      </c>
      <c r="AM147" s="115">
        <f aca="true" t="shared" si="322" ref="AM147:AM152">(E147+Q147+AC147)/AS147</f>
        <v>0.3706103993971364</v>
      </c>
      <c r="AN147" s="7">
        <f aca="true" t="shared" si="323" ref="AN147:AN152">(H147+T147+AF147)/AT147</f>
        <v>0.8142857142857143</v>
      </c>
      <c r="AO147" s="171">
        <f aca="true" t="shared" si="324" ref="AO147:AO152">AP147/AQ147</f>
        <v>0.028805481355610233</v>
      </c>
      <c r="AP147" s="63">
        <f aca="true" t="shared" si="325" ref="AP147:AP152">AF147+AC147+Z147+T147+Q147+N147+H147+E147+B147</f>
        <v>22139</v>
      </c>
      <c r="AQ147" s="3">
        <f aca="true" t="shared" si="326" ref="AQ147:AQ152">AH147+AF147+AE147+AC147+Z147+AB147+V147+T147+S147+Q147+P147+J147+H147+G147+E147+D147+B147</f>
        <v>768569</v>
      </c>
      <c r="AR147" s="116">
        <f aca="true" t="shared" si="327" ref="AR147:AR152">+D147+P147+AB147</f>
        <v>746400</v>
      </c>
      <c r="AS147" s="3">
        <f aca="true" t="shared" si="328" ref="AS147:AS152">G147+S147+AE147</f>
        <v>13270</v>
      </c>
      <c r="AT147" s="26">
        <f aca="true" t="shared" si="329" ref="AT147:AT152">J147+V147+AH147</f>
        <v>420</v>
      </c>
    </row>
    <row r="148" spans="1:46" ht="12.75">
      <c r="A148" s="146">
        <v>40360</v>
      </c>
      <c r="B148" s="3">
        <v>2898</v>
      </c>
      <c r="C148" s="115">
        <f t="shared" si="260"/>
        <v>0.023647683783629407</v>
      </c>
      <c r="D148" s="107">
        <v>122549</v>
      </c>
      <c r="E148" s="42">
        <v>677</v>
      </c>
      <c r="F148" s="115">
        <f t="shared" si="304"/>
        <v>0.3945221445221445</v>
      </c>
      <c r="G148" s="40">
        <v>1716</v>
      </c>
      <c r="H148" s="13">
        <v>32</v>
      </c>
      <c r="I148" s="115">
        <f t="shared" si="305"/>
        <v>0.7804878048780488</v>
      </c>
      <c r="J148" s="13">
        <v>41</v>
      </c>
      <c r="K148" s="195">
        <f t="shared" si="315"/>
        <v>3607</v>
      </c>
      <c r="L148" s="115">
        <f t="shared" si="306"/>
        <v>0.029017102955609546</v>
      </c>
      <c r="M148" s="23">
        <f t="shared" si="316"/>
        <v>124306</v>
      </c>
      <c r="N148" s="64">
        <v>12811</v>
      </c>
      <c r="O148" s="67">
        <f t="shared" si="307"/>
        <v>0.021847346547587174</v>
      </c>
      <c r="P148" s="3">
        <v>586387</v>
      </c>
      <c r="Q148" s="68">
        <v>4112</v>
      </c>
      <c r="R148" s="67">
        <f t="shared" si="308"/>
        <v>0.3615580761452563</v>
      </c>
      <c r="S148" s="40">
        <v>11373</v>
      </c>
      <c r="T148" s="13">
        <v>301</v>
      </c>
      <c r="U148" s="67">
        <f t="shared" si="309"/>
        <v>0.8361111111111111</v>
      </c>
      <c r="V148" s="26">
        <v>360</v>
      </c>
      <c r="W148" s="63">
        <f t="shared" si="317"/>
        <v>17224</v>
      </c>
      <c r="X148" s="67">
        <f t="shared" si="310"/>
        <v>0.028796896943757106</v>
      </c>
      <c r="Y148" s="26">
        <f t="shared" si="318"/>
        <v>598120</v>
      </c>
      <c r="Z148" s="41">
        <v>30</v>
      </c>
      <c r="AA148" s="115">
        <f t="shared" si="311"/>
        <v>0.0008050449483429492</v>
      </c>
      <c r="AB148" s="4">
        <v>37265</v>
      </c>
      <c r="AC148" s="78">
        <v>56</v>
      </c>
      <c r="AD148" s="115">
        <f t="shared" si="312"/>
        <v>0.29473684210526313</v>
      </c>
      <c r="AE148" s="43">
        <v>190</v>
      </c>
      <c r="AF148" s="13">
        <v>9</v>
      </c>
      <c r="AG148" s="7">
        <f t="shared" si="313"/>
        <v>0.5294117647058824</v>
      </c>
      <c r="AH148" s="44">
        <v>17</v>
      </c>
      <c r="AI148" s="41">
        <f t="shared" si="319"/>
        <v>95</v>
      </c>
      <c r="AJ148" s="7">
        <f t="shared" si="314"/>
        <v>0.0025352263023057215</v>
      </c>
      <c r="AK148" s="44">
        <f t="shared" si="320"/>
        <v>37472</v>
      </c>
      <c r="AL148" s="117">
        <f t="shared" si="321"/>
        <v>0.02109217221633313</v>
      </c>
      <c r="AM148" s="115">
        <f t="shared" si="322"/>
        <v>0.364861811883425</v>
      </c>
      <c r="AN148" s="7">
        <f t="shared" si="323"/>
        <v>0.8181818181818182</v>
      </c>
      <c r="AO148" s="171">
        <f t="shared" si="324"/>
        <v>0.027246934622200406</v>
      </c>
      <c r="AP148" s="63">
        <f t="shared" si="325"/>
        <v>20926</v>
      </c>
      <c r="AQ148" s="3">
        <f t="shared" si="326"/>
        <v>768013</v>
      </c>
      <c r="AR148" s="116">
        <f t="shared" si="327"/>
        <v>746201</v>
      </c>
      <c r="AS148" s="3">
        <f t="shared" si="328"/>
        <v>13279</v>
      </c>
      <c r="AT148" s="26">
        <f t="shared" si="329"/>
        <v>418</v>
      </c>
    </row>
    <row r="149" spans="1:46" ht="12.75">
      <c r="A149" s="146">
        <v>40330</v>
      </c>
      <c r="B149" s="3">
        <v>2793</v>
      </c>
      <c r="C149" s="115">
        <f t="shared" si="260"/>
        <v>0.022827206303022377</v>
      </c>
      <c r="D149" s="107">
        <v>122354</v>
      </c>
      <c r="E149" s="42">
        <v>653</v>
      </c>
      <c r="F149" s="115">
        <f t="shared" si="304"/>
        <v>0.38053613053613056</v>
      </c>
      <c r="G149" s="40">
        <v>1716</v>
      </c>
      <c r="H149" s="13">
        <v>32</v>
      </c>
      <c r="I149" s="115">
        <f t="shared" si="305"/>
        <v>0.7804878048780488</v>
      </c>
      <c r="J149" s="13">
        <v>41</v>
      </c>
      <c r="K149" s="195">
        <f t="shared" si="315"/>
        <v>3478</v>
      </c>
      <c r="L149" s="115">
        <f t="shared" si="306"/>
        <v>0.028023301721845768</v>
      </c>
      <c r="M149" s="23">
        <f t="shared" si="316"/>
        <v>124111</v>
      </c>
      <c r="N149" s="64">
        <v>12015</v>
      </c>
      <c r="O149" s="67">
        <f t="shared" si="307"/>
        <v>0.02050859261383421</v>
      </c>
      <c r="P149" s="3">
        <v>585852</v>
      </c>
      <c r="Q149" s="68">
        <v>4015</v>
      </c>
      <c r="R149" s="67">
        <f t="shared" si="308"/>
        <v>0.3543376577530668</v>
      </c>
      <c r="S149" s="40">
        <v>11331</v>
      </c>
      <c r="T149" s="13">
        <v>301</v>
      </c>
      <c r="U149" s="67">
        <f t="shared" si="309"/>
        <v>0.8384401114206128</v>
      </c>
      <c r="V149" s="26">
        <v>359</v>
      </c>
      <c r="W149" s="63">
        <f t="shared" si="317"/>
        <v>16331</v>
      </c>
      <c r="X149" s="67">
        <f t="shared" si="310"/>
        <v>0.027330296447781077</v>
      </c>
      <c r="Y149" s="26">
        <f t="shared" si="318"/>
        <v>597542</v>
      </c>
      <c r="Z149" s="41">
        <v>30</v>
      </c>
      <c r="AA149" s="115">
        <f t="shared" si="311"/>
        <v>0.0008047642040882022</v>
      </c>
      <c r="AB149" s="4">
        <v>37278</v>
      </c>
      <c r="AC149" s="78">
        <v>56</v>
      </c>
      <c r="AD149" s="115">
        <f t="shared" si="312"/>
        <v>0.29473684210526313</v>
      </c>
      <c r="AE149" s="43">
        <v>190</v>
      </c>
      <c r="AF149" s="13">
        <v>9</v>
      </c>
      <c r="AG149" s="7">
        <f t="shared" si="313"/>
        <v>0.5294117647058824</v>
      </c>
      <c r="AH149" s="44">
        <v>17</v>
      </c>
      <c r="AI149" s="41">
        <f t="shared" si="319"/>
        <v>95</v>
      </c>
      <c r="AJ149" s="7">
        <f t="shared" si="314"/>
        <v>0.0025343470721621983</v>
      </c>
      <c r="AK149" s="44">
        <f t="shared" si="320"/>
        <v>37485</v>
      </c>
      <c r="AL149" s="117">
        <f t="shared" si="321"/>
        <v>0.0199038477016274</v>
      </c>
      <c r="AM149" s="115">
        <f t="shared" si="322"/>
        <v>0.3568784467779708</v>
      </c>
      <c r="AN149" s="7">
        <f t="shared" si="323"/>
        <v>0.8201438848920863</v>
      </c>
      <c r="AO149" s="171">
        <f t="shared" si="324"/>
        <v>0.025949542845297494</v>
      </c>
      <c r="AP149" s="63">
        <f t="shared" si="325"/>
        <v>19904</v>
      </c>
      <c r="AQ149" s="3">
        <f t="shared" si="326"/>
        <v>767027</v>
      </c>
      <c r="AR149" s="116">
        <f t="shared" si="327"/>
        <v>745484</v>
      </c>
      <c r="AS149" s="3">
        <f t="shared" si="328"/>
        <v>13237</v>
      </c>
      <c r="AT149" s="26">
        <f t="shared" si="329"/>
        <v>417</v>
      </c>
    </row>
    <row r="150" spans="1:46" ht="12.75">
      <c r="A150" s="146">
        <v>40299</v>
      </c>
      <c r="B150" s="3">
        <v>2510</v>
      </c>
      <c r="C150" s="115">
        <f t="shared" si="260"/>
        <v>0.020568544058476943</v>
      </c>
      <c r="D150" s="107">
        <v>122031</v>
      </c>
      <c r="E150" s="42">
        <v>640</v>
      </c>
      <c r="F150" s="115">
        <f t="shared" si="304"/>
        <v>0.372743156668608</v>
      </c>
      <c r="G150" s="40">
        <v>1717</v>
      </c>
      <c r="H150" s="13">
        <v>32</v>
      </c>
      <c r="I150" s="115">
        <f t="shared" si="305"/>
        <v>0.7804878048780488</v>
      </c>
      <c r="J150" s="13">
        <v>41</v>
      </c>
      <c r="K150" s="195">
        <f t="shared" si="315"/>
        <v>3182</v>
      </c>
      <c r="L150" s="115">
        <f t="shared" si="306"/>
        <v>0.025705030333874578</v>
      </c>
      <c r="M150" s="23">
        <f t="shared" si="316"/>
        <v>123789</v>
      </c>
      <c r="N150" s="64">
        <v>12015</v>
      </c>
      <c r="O150" s="67">
        <f t="shared" si="307"/>
        <v>0.020510833270739586</v>
      </c>
      <c r="P150" s="3">
        <v>585788</v>
      </c>
      <c r="Q150" s="68">
        <v>4015</v>
      </c>
      <c r="R150" s="67">
        <f t="shared" si="308"/>
        <v>0.3536821705426357</v>
      </c>
      <c r="S150" s="40">
        <v>11352</v>
      </c>
      <c r="T150" s="13">
        <v>301</v>
      </c>
      <c r="U150" s="67">
        <f t="shared" si="309"/>
        <v>0.8337950138504155</v>
      </c>
      <c r="V150" s="26">
        <v>361</v>
      </c>
      <c r="W150" s="63">
        <f t="shared" si="317"/>
        <v>16331</v>
      </c>
      <c r="X150" s="67">
        <f t="shared" si="310"/>
        <v>0.027332171829001124</v>
      </c>
      <c r="Y150" s="26">
        <f t="shared" si="318"/>
        <v>597501</v>
      </c>
      <c r="Z150" s="41">
        <v>30</v>
      </c>
      <c r="AA150" s="115">
        <f t="shared" si="311"/>
        <v>0.0008052394245222246</v>
      </c>
      <c r="AB150" s="4">
        <v>37256</v>
      </c>
      <c r="AC150" s="78">
        <v>53</v>
      </c>
      <c r="AD150" s="115">
        <f t="shared" si="312"/>
        <v>0.28191489361702127</v>
      </c>
      <c r="AE150" s="43">
        <v>188</v>
      </c>
      <c r="AF150" s="13">
        <v>9</v>
      </c>
      <c r="AG150" s="7">
        <f t="shared" si="313"/>
        <v>0.5294117647058824</v>
      </c>
      <c r="AH150" s="44">
        <v>17</v>
      </c>
      <c r="AI150" s="41">
        <f t="shared" si="319"/>
        <v>92</v>
      </c>
      <c r="AJ150" s="7">
        <f t="shared" si="314"/>
        <v>0.002455887456287873</v>
      </c>
      <c r="AK150" s="44">
        <f t="shared" si="320"/>
        <v>37461</v>
      </c>
      <c r="AL150" s="117">
        <f t="shared" si="321"/>
        <v>0.019534946146361105</v>
      </c>
      <c r="AM150" s="115">
        <f t="shared" si="322"/>
        <v>0.3551331372105303</v>
      </c>
      <c r="AN150" s="7">
        <f t="shared" si="323"/>
        <v>0.8162291169451074</v>
      </c>
      <c r="AO150" s="171">
        <f t="shared" si="324"/>
        <v>0.025582606176623723</v>
      </c>
      <c r="AP150" s="63">
        <f t="shared" si="325"/>
        <v>19605</v>
      </c>
      <c r="AQ150" s="3">
        <f t="shared" si="326"/>
        <v>766341</v>
      </c>
      <c r="AR150" s="116">
        <f t="shared" si="327"/>
        <v>745075</v>
      </c>
      <c r="AS150" s="3">
        <f t="shared" si="328"/>
        <v>13257</v>
      </c>
      <c r="AT150" s="26">
        <f t="shared" si="329"/>
        <v>419</v>
      </c>
    </row>
    <row r="151" spans="1:46" ht="12.75">
      <c r="A151" s="146">
        <v>40269</v>
      </c>
      <c r="B151" s="3">
        <v>2136</v>
      </c>
      <c r="C151" s="115">
        <f>B151/D151</f>
        <v>0.017724081849411686</v>
      </c>
      <c r="D151" s="107">
        <v>120514</v>
      </c>
      <c r="E151" s="42">
        <v>592</v>
      </c>
      <c r="F151" s="115">
        <f t="shared" si="304"/>
        <v>0.3561973525872443</v>
      </c>
      <c r="G151" s="40">
        <v>1662</v>
      </c>
      <c r="H151" s="13">
        <v>31</v>
      </c>
      <c r="I151" s="115">
        <f t="shared" si="305"/>
        <v>0.7380952380952381</v>
      </c>
      <c r="J151" s="13">
        <v>42</v>
      </c>
      <c r="K151" s="195">
        <f t="shared" si="315"/>
        <v>2759</v>
      </c>
      <c r="L151" s="115">
        <f t="shared" si="306"/>
        <v>0.022574416207105336</v>
      </c>
      <c r="M151" s="23">
        <f t="shared" si="316"/>
        <v>122218</v>
      </c>
      <c r="N151" s="64">
        <v>11374</v>
      </c>
      <c r="O151" s="67">
        <f t="shared" si="307"/>
        <v>0.01938798469961749</v>
      </c>
      <c r="P151" s="3">
        <v>586652</v>
      </c>
      <c r="Q151" s="68">
        <v>3889</v>
      </c>
      <c r="R151" s="67">
        <f t="shared" si="308"/>
        <v>0.34492239467849223</v>
      </c>
      <c r="S151" s="40">
        <v>11275</v>
      </c>
      <c r="T151" s="13">
        <v>301</v>
      </c>
      <c r="U151" s="67">
        <f t="shared" si="309"/>
        <v>0.8314917127071824</v>
      </c>
      <c r="V151" s="26">
        <v>362</v>
      </c>
      <c r="W151" s="63">
        <f t="shared" si="317"/>
        <v>15564</v>
      </c>
      <c r="X151" s="67">
        <f t="shared" si="310"/>
        <v>0.0260141837807481</v>
      </c>
      <c r="Y151" s="26">
        <f t="shared" si="318"/>
        <v>598289</v>
      </c>
      <c r="Z151" s="41">
        <v>28</v>
      </c>
      <c r="AA151" s="115">
        <f t="shared" si="311"/>
        <v>0.000753174090811276</v>
      </c>
      <c r="AB151" s="4">
        <v>37176</v>
      </c>
      <c r="AC151" s="78">
        <v>54</v>
      </c>
      <c r="AD151" s="115">
        <f t="shared" si="312"/>
        <v>0.2918918918918919</v>
      </c>
      <c r="AE151" s="43">
        <v>185</v>
      </c>
      <c r="AF151" s="13">
        <v>9</v>
      </c>
      <c r="AG151" s="7">
        <f t="shared" si="313"/>
        <v>0.5294117647058824</v>
      </c>
      <c r="AH151" s="44">
        <v>17</v>
      </c>
      <c r="AI151" s="41">
        <f t="shared" si="319"/>
        <v>91</v>
      </c>
      <c r="AJ151" s="7">
        <f t="shared" si="314"/>
        <v>0.0024345871903258603</v>
      </c>
      <c r="AK151" s="44">
        <f t="shared" si="320"/>
        <v>37378</v>
      </c>
      <c r="AL151" s="117">
        <f t="shared" si="321"/>
        <v>0.01818787600323507</v>
      </c>
      <c r="AM151" s="115">
        <f t="shared" si="322"/>
        <v>0.3456028044505411</v>
      </c>
      <c r="AN151" s="7">
        <f t="shared" si="323"/>
        <v>0.8099762470308789</v>
      </c>
      <c r="AO151" s="171">
        <f t="shared" si="324"/>
        <v>0.024072948328267476</v>
      </c>
      <c r="AP151" s="63">
        <f t="shared" si="325"/>
        <v>18414</v>
      </c>
      <c r="AQ151" s="3">
        <f t="shared" si="326"/>
        <v>764925</v>
      </c>
      <c r="AR151" s="116">
        <f t="shared" si="327"/>
        <v>744342</v>
      </c>
      <c r="AS151" s="3">
        <f t="shared" si="328"/>
        <v>13122</v>
      </c>
      <c r="AT151" s="26">
        <f t="shared" si="329"/>
        <v>421</v>
      </c>
    </row>
    <row r="152" spans="1:46" ht="12.75">
      <c r="A152" s="146">
        <v>40238</v>
      </c>
      <c r="B152" s="3">
        <v>2136</v>
      </c>
      <c r="C152" s="115">
        <f aca="true" t="shared" si="330" ref="C152:C157">B152/D152</f>
        <v>0.017724081849411686</v>
      </c>
      <c r="D152" s="107">
        <v>120514</v>
      </c>
      <c r="E152" s="42">
        <v>592</v>
      </c>
      <c r="F152" s="115">
        <f aca="true" t="shared" si="331" ref="F152:F157">E152/G152</f>
        <v>0.3561973525872443</v>
      </c>
      <c r="G152" s="40">
        <v>1662</v>
      </c>
      <c r="H152" s="13">
        <v>31</v>
      </c>
      <c r="I152" s="115">
        <f aca="true" t="shared" si="332" ref="I152:I157">H152/J152</f>
        <v>0.7380952380952381</v>
      </c>
      <c r="J152" s="13">
        <v>42</v>
      </c>
      <c r="K152" s="195">
        <f t="shared" si="315"/>
        <v>2759</v>
      </c>
      <c r="L152" s="115">
        <f aca="true" t="shared" si="333" ref="L152:L157">K152/M152</f>
        <v>0.022574416207105336</v>
      </c>
      <c r="M152" s="23">
        <f t="shared" si="316"/>
        <v>122218</v>
      </c>
      <c r="N152" s="64">
        <v>11240</v>
      </c>
      <c r="O152" s="67">
        <f aca="true" t="shared" si="334" ref="O152:O157">N152/P152</f>
        <v>0.019158035040114266</v>
      </c>
      <c r="P152" s="3">
        <v>586699</v>
      </c>
      <c r="Q152" s="68">
        <v>3744</v>
      </c>
      <c r="R152" s="67">
        <f aca="true" t="shared" si="335" ref="R152:R157">Q152/S152</f>
        <v>0.3441492784263259</v>
      </c>
      <c r="S152" s="40">
        <v>10879</v>
      </c>
      <c r="T152" s="13">
        <v>301</v>
      </c>
      <c r="U152" s="67">
        <f aca="true" t="shared" si="336" ref="U152:U157">T152/V152</f>
        <v>0.8361111111111111</v>
      </c>
      <c r="V152" s="26">
        <v>360</v>
      </c>
      <c r="W152" s="63">
        <f t="shared" si="317"/>
        <v>15285</v>
      </c>
      <c r="X152" s="67">
        <f aca="true" t="shared" si="337" ref="X152:X157">W152/Y152</f>
        <v>0.02556285099792955</v>
      </c>
      <c r="Y152" s="26">
        <f t="shared" si="318"/>
        <v>597938</v>
      </c>
      <c r="Z152" s="41">
        <v>28</v>
      </c>
      <c r="AA152" s="115">
        <f aca="true" t="shared" si="338" ref="AA152:AA157">Z152/AB152</f>
        <v>0.000753174090811276</v>
      </c>
      <c r="AB152" s="4">
        <v>37176</v>
      </c>
      <c r="AC152" s="78">
        <v>54</v>
      </c>
      <c r="AD152" s="115">
        <f aca="true" t="shared" si="339" ref="AD152:AD157">AC152/AE152</f>
        <v>0.2918918918918919</v>
      </c>
      <c r="AE152" s="43">
        <v>185</v>
      </c>
      <c r="AF152" s="13">
        <v>9</v>
      </c>
      <c r="AG152" s="7">
        <f aca="true" t="shared" si="340" ref="AG152:AG157">AF152/AH152</f>
        <v>0.5294117647058824</v>
      </c>
      <c r="AH152" s="44">
        <v>17</v>
      </c>
      <c r="AI152" s="41">
        <f t="shared" si="319"/>
        <v>91</v>
      </c>
      <c r="AJ152" s="7">
        <f aca="true" t="shared" si="341" ref="AJ152:AJ157">AI152/AK152</f>
        <v>0.0024345871903258603</v>
      </c>
      <c r="AK152" s="44">
        <f t="shared" si="320"/>
        <v>37378</v>
      </c>
      <c r="AL152" s="117">
        <f t="shared" si="321"/>
        <v>0.018006714231403206</v>
      </c>
      <c r="AM152" s="115">
        <f t="shared" si="322"/>
        <v>0.34496306773534496</v>
      </c>
      <c r="AN152" s="7">
        <f t="shared" si="323"/>
        <v>0.8138424821002387</v>
      </c>
      <c r="AO152" s="171">
        <f t="shared" si="324"/>
        <v>0.023723589764386228</v>
      </c>
      <c r="AP152" s="63">
        <f t="shared" si="325"/>
        <v>18135</v>
      </c>
      <c r="AQ152" s="3">
        <f t="shared" si="326"/>
        <v>764429</v>
      </c>
      <c r="AR152" s="116">
        <f t="shared" si="327"/>
        <v>744389</v>
      </c>
      <c r="AS152" s="3">
        <f t="shared" si="328"/>
        <v>12726</v>
      </c>
      <c r="AT152" s="26">
        <f t="shared" si="329"/>
        <v>419</v>
      </c>
    </row>
    <row r="153" spans="1:46" ht="12.75">
      <c r="A153" s="146">
        <v>40210</v>
      </c>
      <c r="B153" s="3">
        <v>2020</v>
      </c>
      <c r="C153" s="115">
        <f t="shared" si="330"/>
        <v>0.01678898243805946</v>
      </c>
      <c r="D153" s="107">
        <v>120317</v>
      </c>
      <c r="E153" s="42">
        <v>582</v>
      </c>
      <c r="F153" s="115">
        <f t="shared" si="331"/>
        <v>0.3546617915904936</v>
      </c>
      <c r="G153" s="40">
        <v>1641</v>
      </c>
      <c r="H153" s="13">
        <v>32</v>
      </c>
      <c r="I153" s="115">
        <f t="shared" si="332"/>
        <v>0.7441860465116279</v>
      </c>
      <c r="J153" s="13">
        <v>43</v>
      </c>
      <c r="K153" s="195">
        <f aca="true" t="shared" si="342" ref="K153:K158">+H153+E153+B153</f>
        <v>2634</v>
      </c>
      <c r="L153" s="115">
        <f t="shared" si="333"/>
        <v>0.02158998696731994</v>
      </c>
      <c r="M153" s="23">
        <f aca="true" t="shared" si="343" ref="M153:M158">+J153+G153+D153</f>
        <v>122001</v>
      </c>
      <c r="N153" s="64">
        <v>10993</v>
      </c>
      <c r="O153" s="67">
        <f t="shared" si="334"/>
        <v>0.018740133855663636</v>
      </c>
      <c r="P153" s="3">
        <v>586602</v>
      </c>
      <c r="Q153" s="68">
        <v>3732</v>
      </c>
      <c r="R153" s="67">
        <f t="shared" si="335"/>
        <v>0.34304623586726724</v>
      </c>
      <c r="S153" s="40">
        <v>10879</v>
      </c>
      <c r="T153" s="13">
        <v>300</v>
      </c>
      <c r="U153" s="67">
        <f t="shared" si="336"/>
        <v>0.8310249307479224</v>
      </c>
      <c r="V153" s="26">
        <v>361</v>
      </c>
      <c r="W153" s="63">
        <f aca="true" t="shared" si="344" ref="W153:W158">+T153+Q153+N153</f>
        <v>15025</v>
      </c>
      <c r="X153" s="67">
        <f t="shared" si="337"/>
        <v>0.0251320583030299</v>
      </c>
      <c r="Y153" s="26">
        <f aca="true" t="shared" si="345" ref="Y153:Y158">+V153+S153+P153</f>
        <v>597842</v>
      </c>
      <c r="Z153" s="41">
        <v>28</v>
      </c>
      <c r="AA153" s="115">
        <f t="shared" si="338"/>
        <v>0.0007527286413248024</v>
      </c>
      <c r="AB153" s="4">
        <v>37198</v>
      </c>
      <c r="AC153" s="78">
        <v>56</v>
      </c>
      <c r="AD153" s="115">
        <f t="shared" si="339"/>
        <v>0.2978723404255319</v>
      </c>
      <c r="AE153" s="43">
        <v>188</v>
      </c>
      <c r="AF153" s="13">
        <v>9</v>
      </c>
      <c r="AG153" s="7">
        <f t="shared" si="340"/>
        <v>0.5294117647058824</v>
      </c>
      <c r="AH153" s="44">
        <v>17</v>
      </c>
      <c r="AI153" s="41">
        <f aca="true" t="shared" si="346" ref="AI153:AI158">+AF153+AC153+Z153</f>
        <v>93</v>
      </c>
      <c r="AJ153" s="7">
        <f t="shared" si="341"/>
        <v>0.002486431569660188</v>
      </c>
      <c r="AK153" s="44">
        <f aca="true" t="shared" si="347" ref="AK153:AK158">+AH153+AE153+AB153</f>
        <v>37403</v>
      </c>
      <c r="AL153" s="117">
        <f aca="true" t="shared" si="348" ref="AL153:AL158">(B153+N153+Z153)/AR153</f>
        <v>0.01752546978499349</v>
      </c>
      <c r="AM153" s="115">
        <f aca="true" t="shared" si="349" ref="AM153:AM158">(E153+Q153+AC153)/AS153</f>
        <v>0.3438778722064841</v>
      </c>
      <c r="AN153" s="7">
        <f aca="true" t="shared" si="350" ref="AN153:AN158">(H153+T153+AF153)/AT153</f>
        <v>0.8099762470308789</v>
      </c>
      <c r="AO153" s="171">
        <f aca="true" t="shared" si="351" ref="AO153:AO158">AP153/AQ153</f>
        <v>0.023235450029777293</v>
      </c>
      <c r="AP153" s="63">
        <f aca="true" t="shared" si="352" ref="AP153:AP158">AF153+AC153+Z153+T153+Q153+N153+H153+E153+B153</f>
        <v>17752</v>
      </c>
      <c r="AQ153" s="3">
        <f aca="true" t="shared" si="353" ref="AQ153:AQ158">AH153+AF153+AE153+AC153+Z153+AB153+V153+T153+S153+Q153+P153+J153+H153+G153+E153+D153+B153</f>
        <v>764005</v>
      </c>
      <c r="AR153" s="116">
        <f aca="true" t="shared" si="354" ref="AR153:AR158">+D153+P153+AB153</f>
        <v>744117</v>
      </c>
      <c r="AS153" s="3">
        <f aca="true" t="shared" si="355" ref="AS153:AS158">G153+S153+AE153</f>
        <v>12708</v>
      </c>
      <c r="AT153" s="26">
        <f aca="true" t="shared" si="356" ref="AT153:AT158">J153+V153+AH153</f>
        <v>421</v>
      </c>
    </row>
    <row r="154" spans="1:46" ht="12.75">
      <c r="A154" s="146">
        <v>40179</v>
      </c>
      <c r="B154" s="3">
        <v>2180</v>
      </c>
      <c r="C154" s="115">
        <f t="shared" si="330"/>
        <v>0.01799957065244315</v>
      </c>
      <c r="D154" s="107">
        <v>121114</v>
      </c>
      <c r="E154" s="42">
        <v>604</v>
      </c>
      <c r="F154" s="115">
        <f t="shared" si="331"/>
        <v>0.3552941176470588</v>
      </c>
      <c r="G154" s="40">
        <v>1700</v>
      </c>
      <c r="H154" s="13">
        <v>31</v>
      </c>
      <c r="I154" s="115">
        <f t="shared" si="332"/>
        <v>0.7560975609756098</v>
      </c>
      <c r="J154" s="13">
        <v>41</v>
      </c>
      <c r="K154" s="195">
        <f t="shared" si="342"/>
        <v>2815</v>
      </c>
      <c r="L154" s="115">
        <f t="shared" si="333"/>
        <v>0.02291319034634325</v>
      </c>
      <c r="M154" s="23">
        <f t="shared" si="343"/>
        <v>122855</v>
      </c>
      <c r="N154" s="64">
        <v>10877</v>
      </c>
      <c r="O154" s="67">
        <f t="shared" si="334"/>
        <v>0.018552442161136922</v>
      </c>
      <c r="P154" s="3">
        <v>586284</v>
      </c>
      <c r="Q154" s="68">
        <v>3720</v>
      </c>
      <c r="R154" s="67">
        <f t="shared" si="335"/>
        <v>0.3413157170382604</v>
      </c>
      <c r="S154" s="40">
        <v>10899</v>
      </c>
      <c r="T154" s="13">
        <v>300</v>
      </c>
      <c r="U154" s="67">
        <f t="shared" si="336"/>
        <v>0.8264462809917356</v>
      </c>
      <c r="V154" s="26">
        <v>363</v>
      </c>
      <c r="W154" s="63">
        <f t="shared" si="344"/>
        <v>14897</v>
      </c>
      <c r="X154" s="67">
        <f t="shared" si="337"/>
        <v>0.024930298253188876</v>
      </c>
      <c r="Y154" s="26">
        <f t="shared" si="345"/>
        <v>597546</v>
      </c>
      <c r="Z154" s="41">
        <v>30</v>
      </c>
      <c r="AA154" s="115">
        <f t="shared" si="338"/>
        <v>0.0008068420203324189</v>
      </c>
      <c r="AB154" s="4">
        <v>37182</v>
      </c>
      <c r="AC154" s="78">
        <v>53</v>
      </c>
      <c r="AD154" s="115">
        <f t="shared" si="339"/>
        <v>0.28191489361702127</v>
      </c>
      <c r="AE154" s="43">
        <v>188</v>
      </c>
      <c r="AF154" s="13">
        <v>9</v>
      </c>
      <c r="AG154" s="7">
        <f t="shared" si="340"/>
        <v>0.5294117647058824</v>
      </c>
      <c r="AH154" s="44">
        <v>17</v>
      </c>
      <c r="AI154" s="41">
        <f t="shared" si="346"/>
        <v>92</v>
      </c>
      <c r="AJ154" s="7">
        <f t="shared" si="341"/>
        <v>0.002460748388477278</v>
      </c>
      <c r="AK154" s="44">
        <f t="shared" si="347"/>
        <v>37387</v>
      </c>
      <c r="AL154" s="117">
        <f t="shared" si="348"/>
        <v>0.0175763517687824</v>
      </c>
      <c r="AM154" s="115">
        <f t="shared" si="349"/>
        <v>0.34230077422382105</v>
      </c>
      <c r="AN154" s="7">
        <f t="shared" si="350"/>
        <v>0.8076009501187649</v>
      </c>
      <c r="AO154" s="171">
        <f t="shared" si="351"/>
        <v>0.023281876254552348</v>
      </c>
      <c r="AP154" s="63">
        <f t="shared" si="352"/>
        <v>17804</v>
      </c>
      <c r="AQ154" s="3">
        <f t="shared" si="353"/>
        <v>764715</v>
      </c>
      <c r="AR154" s="116">
        <f t="shared" si="354"/>
        <v>744580</v>
      </c>
      <c r="AS154" s="3">
        <f t="shared" si="355"/>
        <v>12787</v>
      </c>
      <c r="AT154" s="26">
        <f t="shared" si="356"/>
        <v>421</v>
      </c>
    </row>
    <row r="155" spans="1:46" ht="12.75">
      <c r="A155" s="146">
        <v>40148</v>
      </c>
      <c r="B155" s="3">
        <v>1684</v>
      </c>
      <c r="C155" s="115">
        <f t="shared" si="330"/>
        <v>0.01399542904633285</v>
      </c>
      <c r="D155" s="107">
        <v>120325</v>
      </c>
      <c r="E155" s="42">
        <v>442</v>
      </c>
      <c r="F155" s="115">
        <f t="shared" si="331"/>
        <v>0.289077828646174</v>
      </c>
      <c r="G155" s="40">
        <v>1529</v>
      </c>
      <c r="H155" s="13">
        <v>33</v>
      </c>
      <c r="I155" s="115">
        <f t="shared" si="332"/>
        <v>0.7857142857142857</v>
      </c>
      <c r="J155" s="13">
        <v>42</v>
      </c>
      <c r="K155" s="195">
        <f t="shared" si="342"/>
        <v>2159</v>
      </c>
      <c r="L155" s="115">
        <f t="shared" si="333"/>
        <v>0.01771181991205618</v>
      </c>
      <c r="M155" s="23">
        <f t="shared" si="343"/>
        <v>121896</v>
      </c>
      <c r="N155" s="64">
        <v>7404</v>
      </c>
      <c r="O155" s="67">
        <f t="shared" si="334"/>
        <v>0.012635782611292676</v>
      </c>
      <c r="P155" s="3">
        <v>585955</v>
      </c>
      <c r="Q155" s="68">
        <v>3642</v>
      </c>
      <c r="R155" s="67">
        <f t="shared" si="335"/>
        <v>0.33348594451057595</v>
      </c>
      <c r="S155" s="40">
        <v>10921</v>
      </c>
      <c r="T155" s="13">
        <v>296</v>
      </c>
      <c r="U155" s="67">
        <f t="shared" si="336"/>
        <v>0.8222222222222222</v>
      </c>
      <c r="V155" s="26">
        <v>360</v>
      </c>
      <c r="W155" s="63">
        <f t="shared" si="344"/>
        <v>11342</v>
      </c>
      <c r="X155" s="67">
        <f t="shared" si="337"/>
        <v>0.018990817700205612</v>
      </c>
      <c r="Y155" s="26">
        <f t="shared" si="345"/>
        <v>597236</v>
      </c>
      <c r="Z155" s="41">
        <v>28</v>
      </c>
      <c r="AA155" s="115">
        <f t="shared" si="338"/>
        <v>0.0007527286413248024</v>
      </c>
      <c r="AB155" s="4">
        <v>37198</v>
      </c>
      <c r="AC155" s="78">
        <v>56</v>
      </c>
      <c r="AD155" s="115">
        <f t="shared" si="339"/>
        <v>0.2978723404255319</v>
      </c>
      <c r="AE155" s="43">
        <v>188</v>
      </c>
      <c r="AF155" s="13">
        <v>9</v>
      </c>
      <c r="AG155" s="7">
        <f t="shared" si="340"/>
        <v>0.5294117647058824</v>
      </c>
      <c r="AH155" s="44">
        <v>17</v>
      </c>
      <c r="AI155" s="41">
        <f t="shared" si="346"/>
        <v>93</v>
      </c>
      <c r="AJ155" s="7">
        <f t="shared" si="341"/>
        <v>0.002486431569660188</v>
      </c>
      <c r="AK155" s="44">
        <f t="shared" si="347"/>
        <v>37403</v>
      </c>
      <c r="AL155" s="117">
        <f t="shared" si="348"/>
        <v>0.012261290851914918</v>
      </c>
      <c r="AM155" s="115">
        <f t="shared" si="349"/>
        <v>0.3275834783984808</v>
      </c>
      <c r="AN155" s="7">
        <f t="shared" si="350"/>
        <v>0.8066825775656324</v>
      </c>
      <c r="AO155" s="171">
        <f t="shared" si="351"/>
        <v>0.017822937493854274</v>
      </c>
      <c r="AP155" s="63">
        <f t="shared" si="352"/>
        <v>13594</v>
      </c>
      <c r="AQ155" s="3">
        <f t="shared" si="353"/>
        <v>762725</v>
      </c>
      <c r="AR155" s="116">
        <f t="shared" si="354"/>
        <v>743478</v>
      </c>
      <c r="AS155" s="3">
        <f t="shared" si="355"/>
        <v>12638</v>
      </c>
      <c r="AT155" s="26">
        <f t="shared" si="356"/>
        <v>419</v>
      </c>
    </row>
    <row r="156" spans="1:46" ht="12.75">
      <c r="A156" s="146">
        <v>40118</v>
      </c>
      <c r="B156" s="3">
        <v>1183</v>
      </c>
      <c r="C156" s="115">
        <f t="shared" si="330"/>
        <v>0.009829255120269203</v>
      </c>
      <c r="D156" s="107">
        <v>120355</v>
      </c>
      <c r="E156" s="42">
        <v>524</v>
      </c>
      <c r="F156" s="115">
        <f t="shared" si="331"/>
        <v>0.31699939503932245</v>
      </c>
      <c r="G156" s="40">
        <v>1653</v>
      </c>
      <c r="H156" s="13">
        <v>35</v>
      </c>
      <c r="I156" s="115">
        <f t="shared" si="332"/>
        <v>0.813953488372093</v>
      </c>
      <c r="J156" s="13">
        <v>43</v>
      </c>
      <c r="K156" s="195">
        <f t="shared" si="342"/>
        <v>1742</v>
      </c>
      <c r="L156" s="115">
        <f t="shared" si="333"/>
        <v>0.01427272205881148</v>
      </c>
      <c r="M156" s="23">
        <f t="shared" si="343"/>
        <v>122051</v>
      </c>
      <c r="N156" s="64">
        <v>5109</v>
      </c>
      <c r="O156" s="67">
        <f t="shared" si="334"/>
        <v>0.008729125447220314</v>
      </c>
      <c r="P156" s="3">
        <v>585282</v>
      </c>
      <c r="Q156" s="68">
        <v>3569</v>
      </c>
      <c r="R156" s="67">
        <f t="shared" si="335"/>
        <v>0.3264130235961222</v>
      </c>
      <c r="S156" s="40">
        <v>10934</v>
      </c>
      <c r="T156" s="13">
        <v>301</v>
      </c>
      <c r="U156" s="67">
        <f t="shared" si="336"/>
        <v>0.8246575342465754</v>
      </c>
      <c r="V156" s="26">
        <v>365</v>
      </c>
      <c r="W156" s="63">
        <f t="shared" si="344"/>
        <v>8979</v>
      </c>
      <c r="X156" s="67">
        <f t="shared" si="337"/>
        <v>0.015050764271741809</v>
      </c>
      <c r="Y156" s="26">
        <f t="shared" si="345"/>
        <v>596581</v>
      </c>
      <c r="Z156" s="41">
        <v>27</v>
      </c>
      <c r="AA156" s="115">
        <f t="shared" si="338"/>
        <v>0.0007260016133369186</v>
      </c>
      <c r="AB156" s="4">
        <v>37190</v>
      </c>
      <c r="AC156" s="78">
        <v>56</v>
      </c>
      <c r="AD156" s="115">
        <f t="shared" si="339"/>
        <v>0.29473684210526313</v>
      </c>
      <c r="AE156" s="43">
        <v>190</v>
      </c>
      <c r="AF156" s="13">
        <v>9</v>
      </c>
      <c r="AG156" s="7">
        <f t="shared" si="340"/>
        <v>0.5294117647058824</v>
      </c>
      <c r="AH156" s="44">
        <v>17</v>
      </c>
      <c r="AI156" s="41">
        <f t="shared" si="346"/>
        <v>92</v>
      </c>
      <c r="AJ156" s="7">
        <f t="shared" si="341"/>
        <v>0.0024600903815814104</v>
      </c>
      <c r="AK156" s="44">
        <f t="shared" si="347"/>
        <v>37397</v>
      </c>
      <c r="AL156" s="117">
        <f t="shared" si="348"/>
        <v>0.008506691329205859</v>
      </c>
      <c r="AM156" s="115">
        <f t="shared" si="349"/>
        <v>0.32472411364169995</v>
      </c>
      <c r="AN156" s="7">
        <f t="shared" si="350"/>
        <v>0.8117647058823529</v>
      </c>
      <c r="AO156" s="171">
        <f t="shared" si="351"/>
        <v>0.014195262644522425</v>
      </c>
      <c r="AP156" s="63">
        <f t="shared" si="352"/>
        <v>10813</v>
      </c>
      <c r="AQ156" s="3">
        <f t="shared" si="353"/>
        <v>761733</v>
      </c>
      <c r="AR156" s="116">
        <f t="shared" si="354"/>
        <v>742827</v>
      </c>
      <c r="AS156" s="3">
        <f t="shared" si="355"/>
        <v>12777</v>
      </c>
      <c r="AT156" s="26">
        <f t="shared" si="356"/>
        <v>425</v>
      </c>
    </row>
    <row r="157" spans="1:46" ht="12.75">
      <c r="A157" s="146">
        <v>40087</v>
      </c>
      <c r="B157" s="3">
        <v>996</v>
      </c>
      <c r="C157" s="115">
        <f t="shared" si="330"/>
        <v>0.008236918929200539</v>
      </c>
      <c r="D157" s="107">
        <v>120919</v>
      </c>
      <c r="E157" s="42">
        <v>505</v>
      </c>
      <c r="F157" s="115">
        <f t="shared" si="331"/>
        <v>0.2993479549496147</v>
      </c>
      <c r="G157" s="40">
        <v>1687</v>
      </c>
      <c r="H157" s="13">
        <v>35</v>
      </c>
      <c r="I157" s="115">
        <f t="shared" si="332"/>
        <v>0.813953488372093</v>
      </c>
      <c r="J157" s="13">
        <v>43</v>
      </c>
      <c r="K157" s="195">
        <f t="shared" si="342"/>
        <v>1536</v>
      </c>
      <c r="L157" s="115">
        <f t="shared" si="333"/>
        <v>0.012523542792847883</v>
      </c>
      <c r="M157" s="23">
        <f t="shared" si="343"/>
        <v>122649</v>
      </c>
      <c r="N157" s="64">
        <v>5474</v>
      </c>
      <c r="O157" s="67">
        <f t="shared" si="334"/>
        <v>0.009352692529805941</v>
      </c>
      <c r="P157" s="3">
        <v>585286</v>
      </c>
      <c r="Q157" s="68">
        <v>3535</v>
      </c>
      <c r="R157" s="67">
        <f t="shared" si="335"/>
        <v>0.3202282815472416</v>
      </c>
      <c r="S157" s="40">
        <v>11039</v>
      </c>
      <c r="T157" s="13">
        <v>305</v>
      </c>
      <c r="U157" s="67">
        <f t="shared" si="336"/>
        <v>0.8221024258760108</v>
      </c>
      <c r="V157" s="26">
        <v>371</v>
      </c>
      <c r="W157" s="63">
        <f t="shared" si="344"/>
        <v>9314</v>
      </c>
      <c r="X157" s="67">
        <f t="shared" si="337"/>
        <v>0.015609288481907034</v>
      </c>
      <c r="Y157" s="26">
        <f t="shared" si="345"/>
        <v>596696</v>
      </c>
      <c r="Z157" s="41">
        <v>27</v>
      </c>
      <c r="AA157" s="115">
        <f t="shared" si="338"/>
        <v>0.000725357977594498</v>
      </c>
      <c r="AB157" s="4">
        <v>37223</v>
      </c>
      <c r="AC157" s="78">
        <v>56</v>
      </c>
      <c r="AD157" s="115">
        <f t="shared" si="339"/>
        <v>0.2916666666666667</v>
      </c>
      <c r="AE157" s="43">
        <v>192</v>
      </c>
      <c r="AF157" s="13">
        <v>9</v>
      </c>
      <c r="AG157" s="7">
        <f t="shared" si="340"/>
        <v>0.5294117647058824</v>
      </c>
      <c r="AH157" s="44">
        <v>17</v>
      </c>
      <c r="AI157" s="41">
        <f t="shared" si="346"/>
        <v>92</v>
      </c>
      <c r="AJ157" s="7">
        <f t="shared" si="341"/>
        <v>0.0024577901260953196</v>
      </c>
      <c r="AK157" s="44">
        <f t="shared" si="347"/>
        <v>37432</v>
      </c>
      <c r="AL157" s="117">
        <f t="shared" si="348"/>
        <v>0.008739245764216575</v>
      </c>
      <c r="AM157" s="115">
        <f t="shared" si="349"/>
        <v>0.3170769468958043</v>
      </c>
      <c r="AN157" s="7">
        <f t="shared" si="350"/>
        <v>0.8097447795823666</v>
      </c>
      <c r="AO157" s="171">
        <f t="shared" si="351"/>
        <v>0.014354964611115848</v>
      </c>
      <c r="AP157" s="63">
        <f t="shared" si="352"/>
        <v>10942</v>
      </c>
      <c r="AQ157" s="3">
        <f t="shared" si="353"/>
        <v>762245</v>
      </c>
      <c r="AR157" s="116">
        <f t="shared" si="354"/>
        <v>743428</v>
      </c>
      <c r="AS157" s="3">
        <f t="shared" si="355"/>
        <v>12918</v>
      </c>
      <c r="AT157" s="26">
        <f t="shared" si="356"/>
        <v>431</v>
      </c>
    </row>
    <row r="158" spans="1:46" ht="12.75">
      <c r="A158" s="146">
        <v>40057</v>
      </c>
      <c r="B158" s="3">
        <v>996</v>
      </c>
      <c r="C158" s="115">
        <f aca="true" t="shared" si="357" ref="C158:C164">B158/D158</f>
        <v>0.008172575920440467</v>
      </c>
      <c r="D158" s="107">
        <v>121871</v>
      </c>
      <c r="E158" s="42">
        <v>497</v>
      </c>
      <c r="F158" s="115">
        <f aca="true" t="shared" si="358" ref="F158:F164">E158/G158</f>
        <v>0.29218106995884774</v>
      </c>
      <c r="G158" s="40">
        <v>1701</v>
      </c>
      <c r="H158" s="13">
        <v>35</v>
      </c>
      <c r="I158" s="115">
        <f aca="true" t="shared" si="359" ref="I158:I164">H158/J158</f>
        <v>0.813953488372093</v>
      </c>
      <c r="J158" s="13">
        <v>43</v>
      </c>
      <c r="K158" s="195">
        <f t="shared" si="342"/>
        <v>1528</v>
      </c>
      <c r="L158" s="115">
        <f aca="true" t="shared" si="360" ref="L158:L164">K158/M158</f>
        <v>0.012360959430489827</v>
      </c>
      <c r="M158" s="23">
        <f t="shared" si="343"/>
        <v>123615</v>
      </c>
      <c r="N158" s="64">
        <v>4677</v>
      </c>
      <c r="O158" s="67">
        <f aca="true" t="shared" si="361" ref="O158:O164">N158/P158</f>
        <v>0.008003668990018089</v>
      </c>
      <c r="P158" s="3">
        <v>584357</v>
      </c>
      <c r="Q158" s="68">
        <v>3416</v>
      </c>
      <c r="R158" s="67">
        <f aca="true" t="shared" si="362" ref="R158:R164">Q158/S158</f>
        <v>0.31156512221816857</v>
      </c>
      <c r="S158" s="40">
        <v>10964</v>
      </c>
      <c r="T158" s="13">
        <v>304</v>
      </c>
      <c r="U158" s="67">
        <f aca="true" t="shared" si="363" ref="U158:U164">T158/V158</f>
        <v>0.8216216216216217</v>
      </c>
      <c r="V158" s="26">
        <v>370</v>
      </c>
      <c r="W158" s="63">
        <f t="shared" si="344"/>
        <v>8397</v>
      </c>
      <c r="X158" s="67">
        <f aca="true" t="shared" si="364" ref="X158:X164">W158/Y158</f>
        <v>0.014096234457126261</v>
      </c>
      <c r="Y158" s="26">
        <f t="shared" si="345"/>
        <v>595691</v>
      </c>
      <c r="Z158" s="41">
        <v>25</v>
      </c>
      <c r="AA158" s="115">
        <f aca="true" t="shared" si="365" ref="AA158:AA164">Z158/AB158</f>
        <v>0.0006720249455659794</v>
      </c>
      <c r="AB158" s="4">
        <v>37201</v>
      </c>
      <c r="AC158" s="78">
        <v>59</v>
      </c>
      <c r="AD158" s="115">
        <f aca="true" t="shared" si="366" ref="AD158:AD164">AC158/AE158</f>
        <v>0.29064039408866993</v>
      </c>
      <c r="AE158" s="43">
        <v>203</v>
      </c>
      <c r="AF158" s="13">
        <v>9</v>
      </c>
      <c r="AG158" s="7">
        <f aca="true" t="shared" si="367" ref="AG158:AG164">AF158/AH158</f>
        <v>0.5294117647058824</v>
      </c>
      <c r="AH158" s="44">
        <v>17</v>
      </c>
      <c r="AI158" s="41">
        <f t="shared" si="346"/>
        <v>93</v>
      </c>
      <c r="AJ158" s="7">
        <f aca="true" t="shared" si="368" ref="AJ158:AJ164">AI158/AK158</f>
        <v>0.0024852355629192166</v>
      </c>
      <c r="AK158" s="44">
        <f t="shared" si="347"/>
        <v>37421</v>
      </c>
      <c r="AL158" s="117">
        <f t="shared" si="348"/>
        <v>0.007664484436307973</v>
      </c>
      <c r="AM158" s="115">
        <f t="shared" si="349"/>
        <v>0.30867267640658996</v>
      </c>
      <c r="AN158" s="7">
        <f t="shared" si="350"/>
        <v>0.8093023255813954</v>
      </c>
      <c r="AO158" s="171">
        <f t="shared" si="351"/>
        <v>0.01314580851052662</v>
      </c>
      <c r="AP158" s="63">
        <f t="shared" si="352"/>
        <v>10018</v>
      </c>
      <c r="AQ158" s="3">
        <f t="shared" si="353"/>
        <v>762068</v>
      </c>
      <c r="AR158" s="116">
        <f t="shared" si="354"/>
        <v>743429</v>
      </c>
      <c r="AS158" s="3">
        <f t="shared" si="355"/>
        <v>12868</v>
      </c>
      <c r="AT158" s="26">
        <f t="shared" si="356"/>
        <v>430</v>
      </c>
    </row>
    <row r="159" spans="1:46" ht="12.75">
      <c r="A159" s="146">
        <v>40026</v>
      </c>
      <c r="B159" s="3">
        <v>991</v>
      </c>
      <c r="C159" s="115">
        <f t="shared" si="357"/>
        <v>0.008117627785058978</v>
      </c>
      <c r="D159" s="107">
        <v>122080</v>
      </c>
      <c r="E159" s="42">
        <v>486</v>
      </c>
      <c r="F159" s="115">
        <f t="shared" si="358"/>
        <v>0.400329489291598</v>
      </c>
      <c r="G159" s="40">
        <v>1214</v>
      </c>
      <c r="H159" s="13">
        <v>35</v>
      </c>
      <c r="I159" s="115">
        <f t="shared" si="359"/>
        <v>0.813953488372093</v>
      </c>
      <c r="J159" s="13">
        <v>43</v>
      </c>
      <c r="K159" s="195">
        <f aca="true" t="shared" si="369" ref="K159:K165">+H159+E159+B159</f>
        <v>1512</v>
      </c>
      <c r="L159" s="115">
        <f t="shared" si="360"/>
        <v>0.012259094999878381</v>
      </c>
      <c r="M159" s="23">
        <f aca="true" t="shared" si="370" ref="M159:M165">+J159+G159+D159</f>
        <v>123337</v>
      </c>
      <c r="N159" s="64">
        <v>4515</v>
      </c>
      <c r="O159" s="67">
        <f t="shared" si="361"/>
        <v>0.007728398569689957</v>
      </c>
      <c r="P159" s="3">
        <v>584209</v>
      </c>
      <c r="Q159" s="68">
        <v>3363</v>
      </c>
      <c r="R159" s="67">
        <f t="shared" si="362"/>
        <v>0.3051447237092823</v>
      </c>
      <c r="S159" s="40">
        <v>11021</v>
      </c>
      <c r="T159" s="13">
        <v>297</v>
      </c>
      <c r="U159" s="67">
        <f t="shared" si="363"/>
        <v>0.8070652173913043</v>
      </c>
      <c r="V159" s="26">
        <v>368</v>
      </c>
      <c r="W159" s="63">
        <f aca="true" t="shared" si="371" ref="W159:W165">+T159+Q159+N159</f>
        <v>8175</v>
      </c>
      <c r="X159" s="67">
        <f t="shared" si="364"/>
        <v>0.013725700892212533</v>
      </c>
      <c r="Y159" s="26">
        <f aca="true" t="shared" si="372" ref="Y159:Y165">+V159+S159+P159</f>
        <v>595598</v>
      </c>
      <c r="Z159" s="41">
        <v>25</v>
      </c>
      <c r="AA159" s="115">
        <f t="shared" si="365"/>
        <v>0.000671717985920791</v>
      </c>
      <c r="AB159" s="4">
        <v>37218</v>
      </c>
      <c r="AC159" s="78">
        <v>59</v>
      </c>
      <c r="AD159" s="115">
        <f t="shared" si="366"/>
        <v>0.29064039408866993</v>
      </c>
      <c r="AE159" s="43">
        <v>203</v>
      </c>
      <c r="AF159" s="13">
        <v>9</v>
      </c>
      <c r="AG159" s="7">
        <f t="shared" si="367"/>
        <v>0.5</v>
      </c>
      <c r="AH159" s="44">
        <v>18</v>
      </c>
      <c r="AI159" s="41">
        <f aca="true" t="shared" si="373" ref="AI159:AI165">+AF159+AC159+Z159</f>
        <v>93</v>
      </c>
      <c r="AJ159" s="7">
        <f t="shared" si="368"/>
        <v>0.0024840407062154436</v>
      </c>
      <c r="AK159" s="44">
        <f aca="true" t="shared" si="374" ref="AK159:AK165">+AH159+AE159+AB159</f>
        <v>37439</v>
      </c>
      <c r="AL159" s="117">
        <f aca="true" t="shared" si="375" ref="AL159:AL165">(B159+N159+Z159)/AR159</f>
        <v>0.007439069168145021</v>
      </c>
      <c r="AM159" s="115">
        <f aca="true" t="shared" si="376" ref="AM159:AM165">(E159+Q159+AC159)/AS159</f>
        <v>0.3141984241839524</v>
      </c>
      <c r="AN159" s="7">
        <f aca="true" t="shared" si="377" ref="AN159:AN165">(H159+T159+AF159)/AT159</f>
        <v>0.7948717948717948</v>
      </c>
      <c r="AO159" s="171">
        <f aca="true" t="shared" si="378" ref="AO159:AO165">AP159/AQ159</f>
        <v>0.01284072900678668</v>
      </c>
      <c r="AP159" s="63">
        <f aca="true" t="shared" si="379" ref="AP159:AP165">AF159+AC159+Z159+T159+Q159+N159+H159+E159+B159</f>
        <v>9780</v>
      </c>
      <c r="AQ159" s="3">
        <f aca="true" t="shared" si="380" ref="AQ159:AQ165">AH159+AF159+AE159+AC159+Z159+AB159+V159+T159+S159+Q159+P159+J159+H159+G159+E159+D159+B159</f>
        <v>761639</v>
      </c>
      <c r="AR159" s="116">
        <f aca="true" t="shared" si="381" ref="AR159:AR165">+D159+P159+AB159</f>
        <v>743507</v>
      </c>
      <c r="AS159" s="3">
        <f aca="true" t="shared" si="382" ref="AS159:AS165">G159+S159+AE159</f>
        <v>12438</v>
      </c>
      <c r="AT159" s="26">
        <f aca="true" t="shared" si="383" ref="AT159:AT165">J159+V159+AH159</f>
        <v>429</v>
      </c>
    </row>
    <row r="160" spans="1:46" ht="12.75">
      <c r="A160" s="146">
        <v>39995</v>
      </c>
      <c r="B160" s="3">
        <v>966</v>
      </c>
      <c r="C160" s="115">
        <f t="shared" si="357"/>
        <v>0.007923813273617639</v>
      </c>
      <c r="D160" s="107">
        <v>121911</v>
      </c>
      <c r="E160" s="42">
        <v>486</v>
      </c>
      <c r="F160" s="115">
        <f t="shared" si="358"/>
        <v>0.2858823529411765</v>
      </c>
      <c r="G160" s="40">
        <v>1700</v>
      </c>
      <c r="H160" s="13">
        <v>33</v>
      </c>
      <c r="I160" s="115">
        <f t="shared" si="359"/>
        <v>0.7333333333333333</v>
      </c>
      <c r="J160" s="13">
        <v>45</v>
      </c>
      <c r="K160" s="195">
        <f>+H160+E160+B160</f>
        <v>1485</v>
      </c>
      <c r="L160" s="115">
        <f t="shared" si="360"/>
        <v>0.012009122080610727</v>
      </c>
      <c r="M160" s="23">
        <f>+J160+G160+D160</f>
        <v>123656</v>
      </c>
      <c r="N160" s="64">
        <v>4420</v>
      </c>
      <c r="O160" s="67">
        <f t="shared" si="361"/>
        <v>0.007570671014949506</v>
      </c>
      <c r="P160" s="3">
        <v>583832</v>
      </c>
      <c r="Q160" s="68">
        <v>3315</v>
      </c>
      <c r="R160" s="67">
        <f t="shared" si="362"/>
        <v>0.2990257983041674</v>
      </c>
      <c r="S160" s="40">
        <v>11086</v>
      </c>
      <c r="T160" s="13">
        <v>297</v>
      </c>
      <c r="U160" s="67">
        <f t="shared" si="363"/>
        <v>0.8070652173913043</v>
      </c>
      <c r="V160" s="26">
        <v>368</v>
      </c>
      <c r="W160" s="63">
        <f>+T160+Q160+N160</f>
        <v>8032</v>
      </c>
      <c r="X160" s="67">
        <f t="shared" si="364"/>
        <v>0.01349267410958766</v>
      </c>
      <c r="Y160" s="26">
        <f>+V160+S160+P160</f>
        <v>595286</v>
      </c>
      <c r="Z160" s="41">
        <v>27</v>
      </c>
      <c r="AA160" s="115">
        <f t="shared" si="365"/>
        <v>0.0007268615732514941</v>
      </c>
      <c r="AB160" s="4">
        <v>37146</v>
      </c>
      <c r="AC160" s="78">
        <v>60</v>
      </c>
      <c r="AD160" s="115">
        <f t="shared" si="366"/>
        <v>0.2955665024630542</v>
      </c>
      <c r="AE160" s="43">
        <v>203</v>
      </c>
      <c r="AF160" s="13">
        <v>12</v>
      </c>
      <c r="AG160" s="7">
        <f t="shared" si="367"/>
        <v>0.6666666666666666</v>
      </c>
      <c r="AH160" s="44">
        <v>18</v>
      </c>
      <c r="AI160" s="41">
        <f>+AF160+AC160+Z160</f>
        <v>99</v>
      </c>
      <c r="AJ160" s="7">
        <f t="shared" si="368"/>
        <v>0.0026493965263467765</v>
      </c>
      <c r="AK160" s="44">
        <f>+AH160+AE160+AB160</f>
        <v>37367</v>
      </c>
      <c r="AL160" s="117">
        <f>(B160+N160+Z160)/AR160</f>
        <v>0.0072864182939847005</v>
      </c>
      <c r="AM160" s="115">
        <f>(E160+Q160+AC160)/AS160</f>
        <v>0.29725152051736087</v>
      </c>
      <c r="AN160" s="7">
        <f>(H160+T160+AF160)/AT160</f>
        <v>0.7935034802784223</v>
      </c>
      <c r="AO160" s="171">
        <f>AP160/AQ160</f>
        <v>0.012627625557284588</v>
      </c>
      <c r="AP160" s="63">
        <f>AF160+AC160+Z160+T160+Q160+N160+H160+E160+B160</f>
        <v>9616</v>
      </c>
      <c r="AQ160" s="3">
        <f>AH160+AF160+AE160+AC160+Z160+AB160+V160+T160+S160+Q160+P160+J160+H160+G160+E160+D160+B160</f>
        <v>761505</v>
      </c>
      <c r="AR160" s="116">
        <f>+D160+P160+AB160</f>
        <v>742889</v>
      </c>
      <c r="AS160" s="3">
        <f>G160+S160+AE160</f>
        <v>12989</v>
      </c>
      <c r="AT160" s="26">
        <f>J160+V160+AH160</f>
        <v>431</v>
      </c>
    </row>
    <row r="161" spans="1:46" ht="12.75">
      <c r="A161" s="146">
        <v>39965</v>
      </c>
      <c r="B161" s="3">
        <v>952</v>
      </c>
      <c r="C161" s="115">
        <f t="shared" si="357"/>
        <v>0.007814039004530829</v>
      </c>
      <c r="D161" s="107">
        <v>121832</v>
      </c>
      <c r="E161" s="42">
        <v>475</v>
      </c>
      <c r="F161" s="115">
        <f t="shared" si="358"/>
        <v>0.2792475014697237</v>
      </c>
      <c r="G161" s="40">
        <v>1701</v>
      </c>
      <c r="H161" s="13">
        <v>32</v>
      </c>
      <c r="I161" s="115">
        <f t="shared" si="359"/>
        <v>0.7111111111111111</v>
      </c>
      <c r="J161" s="13">
        <v>45</v>
      </c>
      <c r="K161" s="195">
        <f t="shared" si="369"/>
        <v>1459</v>
      </c>
      <c r="L161" s="115">
        <f t="shared" si="360"/>
        <v>0.011806308566249656</v>
      </c>
      <c r="M161" s="23">
        <f t="shared" si="370"/>
        <v>123578</v>
      </c>
      <c r="N161" s="64">
        <v>4130</v>
      </c>
      <c r="O161" s="67">
        <f t="shared" si="361"/>
        <v>0.007064744189547258</v>
      </c>
      <c r="P161" s="3">
        <v>584593</v>
      </c>
      <c r="Q161" s="68">
        <v>3248</v>
      </c>
      <c r="R161" s="67">
        <f t="shared" si="362"/>
        <v>0.2931407942238267</v>
      </c>
      <c r="S161" s="40">
        <v>11080</v>
      </c>
      <c r="T161" s="13">
        <v>302</v>
      </c>
      <c r="U161" s="67">
        <f t="shared" si="363"/>
        <v>0.8184281842818428</v>
      </c>
      <c r="V161" s="26">
        <v>369</v>
      </c>
      <c r="W161" s="63">
        <f t="shared" si="371"/>
        <v>7680</v>
      </c>
      <c r="X161" s="67">
        <f t="shared" si="364"/>
        <v>0.012884998037051081</v>
      </c>
      <c r="Y161" s="26">
        <f t="shared" si="372"/>
        <v>596042</v>
      </c>
      <c r="Z161" s="41">
        <v>27</v>
      </c>
      <c r="AA161" s="115">
        <f t="shared" si="365"/>
        <v>0.0007266072822196507</v>
      </c>
      <c r="AB161" s="4">
        <v>37159</v>
      </c>
      <c r="AC161" s="78">
        <v>60</v>
      </c>
      <c r="AD161" s="115">
        <f t="shared" si="366"/>
        <v>0.297029702970297</v>
      </c>
      <c r="AE161" s="43">
        <v>202</v>
      </c>
      <c r="AF161" s="13">
        <v>12</v>
      </c>
      <c r="AG161" s="7">
        <f t="shared" si="367"/>
        <v>0.6666666666666666</v>
      </c>
      <c r="AH161" s="44">
        <v>18</v>
      </c>
      <c r="AI161" s="41">
        <f t="shared" si="373"/>
        <v>99</v>
      </c>
      <c r="AJ161" s="7">
        <f t="shared" si="368"/>
        <v>0.0026485459750127077</v>
      </c>
      <c r="AK161" s="44">
        <f t="shared" si="374"/>
        <v>37379</v>
      </c>
      <c r="AL161" s="117">
        <f t="shared" si="375"/>
        <v>0.006870777208761889</v>
      </c>
      <c r="AM161" s="115">
        <f t="shared" si="376"/>
        <v>0.29138103674035276</v>
      </c>
      <c r="AN161" s="7">
        <f t="shared" si="377"/>
        <v>0.8009259259259259</v>
      </c>
      <c r="AO161" s="171">
        <f t="shared" si="378"/>
        <v>0.012121657457548613</v>
      </c>
      <c r="AP161" s="63">
        <f t="shared" si="379"/>
        <v>9238</v>
      </c>
      <c r="AQ161" s="3">
        <f t="shared" si="380"/>
        <v>762107</v>
      </c>
      <c r="AR161" s="116">
        <f t="shared" si="381"/>
        <v>743584</v>
      </c>
      <c r="AS161" s="3">
        <f t="shared" si="382"/>
        <v>12983</v>
      </c>
      <c r="AT161" s="26">
        <f t="shared" si="383"/>
        <v>432</v>
      </c>
    </row>
    <row r="162" spans="1:46" ht="12.75">
      <c r="A162" s="146">
        <v>39934</v>
      </c>
      <c r="B162" s="3">
        <v>659</v>
      </c>
      <c r="C162" s="115">
        <f t="shared" si="357"/>
        <v>0.005428201938996565</v>
      </c>
      <c r="D162" s="107">
        <v>121403</v>
      </c>
      <c r="E162" s="42">
        <v>456</v>
      </c>
      <c r="F162" s="115">
        <f t="shared" si="358"/>
        <v>0.2679200940070505</v>
      </c>
      <c r="G162" s="40">
        <v>1702</v>
      </c>
      <c r="H162" s="13">
        <v>31</v>
      </c>
      <c r="I162" s="115">
        <f t="shared" si="359"/>
        <v>0.6888888888888889</v>
      </c>
      <c r="J162" s="13">
        <v>45</v>
      </c>
      <c r="K162" s="195">
        <f t="shared" si="369"/>
        <v>1146</v>
      </c>
      <c r="L162" s="115">
        <f t="shared" si="360"/>
        <v>0.009305724725943971</v>
      </c>
      <c r="M162" s="23">
        <f t="shared" si="370"/>
        <v>123150</v>
      </c>
      <c r="N162" s="64">
        <v>3331</v>
      </c>
      <c r="O162" s="67">
        <f t="shared" si="361"/>
        <v>0.005706776861769563</v>
      </c>
      <c r="P162" s="3">
        <v>583692</v>
      </c>
      <c r="Q162" s="68">
        <v>3168</v>
      </c>
      <c r="R162" s="67">
        <f t="shared" si="362"/>
        <v>0.28450830713964975</v>
      </c>
      <c r="S162" s="40">
        <v>11135</v>
      </c>
      <c r="T162" s="13">
        <v>301</v>
      </c>
      <c r="U162" s="67">
        <f t="shared" si="363"/>
        <v>0.8091397849462365</v>
      </c>
      <c r="V162" s="26">
        <v>372</v>
      </c>
      <c r="W162" s="63">
        <f t="shared" si="371"/>
        <v>6800</v>
      </c>
      <c r="X162" s="67">
        <f t="shared" si="364"/>
        <v>0.0114247503776048</v>
      </c>
      <c r="Y162" s="26">
        <f t="shared" si="372"/>
        <v>595199</v>
      </c>
      <c r="Z162" s="41">
        <v>27</v>
      </c>
      <c r="AA162" s="115">
        <f t="shared" si="365"/>
        <v>0.0007269398524581336</v>
      </c>
      <c r="AB162" s="4">
        <v>37142</v>
      </c>
      <c r="AC162" s="78">
        <v>60</v>
      </c>
      <c r="AD162" s="115">
        <f t="shared" si="366"/>
        <v>0.3</v>
      </c>
      <c r="AE162" s="43">
        <v>200</v>
      </c>
      <c r="AF162" s="13">
        <v>12</v>
      </c>
      <c r="AG162" s="7">
        <f t="shared" si="367"/>
        <v>0.6666666666666666</v>
      </c>
      <c r="AH162" s="44">
        <v>18</v>
      </c>
      <c r="AI162" s="41">
        <f t="shared" si="373"/>
        <v>99</v>
      </c>
      <c r="AJ162" s="7">
        <f t="shared" si="368"/>
        <v>0.0026498929336188437</v>
      </c>
      <c r="AK162" s="44">
        <f t="shared" si="374"/>
        <v>37360</v>
      </c>
      <c r="AL162" s="117">
        <f t="shared" si="375"/>
        <v>0.00541201799425251</v>
      </c>
      <c r="AM162" s="115">
        <f t="shared" si="376"/>
        <v>0.2825803482396257</v>
      </c>
      <c r="AN162" s="7">
        <f t="shared" si="377"/>
        <v>0.7908045977011494</v>
      </c>
      <c r="AO162" s="171">
        <f t="shared" si="378"/>
        <v>0.010579637912056843</v>
      </c>
      <c r="AP162" s="63">
        <f t="shared" si="379"/>
        <v>8045</v>
      </c>
      <c r="AQ162" s="3">
        <f t="shared" si="380"/>
        <v>760423</v>
      </c>
      <c r="AR162" s="116">
        <f t="shared" si="381"/>
        <v>742237</v>
      </c>
      <c r="AS162" s="3">
        <f t="shared" si="382"/>
        <v>13037</v>
      </c>
      <c r="AT162" s="26">
        <f t="shared" si="383"/>
        <v>435</v>
      </c>
    </row>
    <row r="163" spans="1:46" ht="12.75">
      <c r="A163" s="146">
        <v>39904</v>
      </c>
      <c r="B163" s="3">
        <v>643</v>
      </c>
      <c r="C163" s="115">
        <f t="shared" si="357"/>
        <v>0.0053400880325554356</v>
      </c>
      <c r="D163" s="107">
        <v>120410</v>
      </c>
      <c r="E163" s="42">
        <v>460</v>
      </c>
      <c r="F163" s="115">
        <f t="shared" si="358"/>
        <v>0.27332144979203804</v>
      </c>
      <c r="G163" s="40">
        <v>1683</v>
      </c>
      <c r="H163" s="13">
        <v>31</v>
      </c>
      <c r="I163" s="115">
        <f t="shared" si="359"/>
        <v>0.6888888888888889</v>
      </c>
      <c r="J163" s="13">
        <v>45</v>
      </c>
      <c r="K163" s="195">
        <f t="shared" si="369"/>
        <v>1134</v>
      </c>
      <c r="L163" s="115">
        <f t="shared" si="360"/>
        <v>0.009284579737673779</v>
      </c>
      <c r="M163" s="23">
        <f t="shared" si="370"/>
        <v>122138</v>
      </c>
      <c r="N163" s="64">
        <v>3094</v>
      </c>
      <c r="O163" s="67">
        <f t="shared" si="361"/>
        <v>0.005291928355431495</v>
      </c>
      <c r="P163" s="3">
        <v>584664</v>
      </c>
      <c r="Q163" s="68">
        <v>3160</v>
      </c>
      <c r="R163" s="67">
        <f t="shared" si="362"/>
        <v>0.2838918336178241</v>
      </c>
      <c r="S163" s="40">
        <v>11131</v>
      </c>
      <c r="T163" s="13">
        <v>298</v>
      </c>
      <c r="U163" s="67">
        <f t="shared" si="363"/>
        <v>0.7925531914893617</v>
      </c>
      <c r="V163" s="26">
        <v>376</v>
      </c>
      <c r="W163" s="63">
        <f t="shared" si="371"/>
        <v>6552</v>
      </c>
      <c r="X163" s="67">
        <f t="shared" si="364"/>
        <v>0.010990135380620662</v>
      </c>
      <c r="Y163" s="26">
        <f t="shared" si="372"/>
        <v>596171</v>
      </c>
      <c r="Z163" s="41">
        <v>26</v>
      </c>
      <c r="AA163" s="115">
        <f t="shared" si="365"/>
        <v>0.0007003367003367004</v>
      </c>
      <c r="AB163" s="4">
        <v>37125</v>
      </c>
      <c r="AC163" s="78">
        <v>57</v>
      </c>
      <c r="AD163" s="115">
        <f t="shared" si="366"/>
        <v>0.285</v>
      </c>
      <c r="AE163" s="43">
        <v>200</v>
      </c>
      <c r="AF163" s="13">
        <v>12</v>
      </c>
      <c r="AG163" s="7">
        <f t="shared" si="367"/>
        <v>0.6666666666666666</v>
      </c>
      <c r="AH163" s="44">
        <v>18</v>
      </c>
      <c r="AI163" s="41">
        <f t="shared" si="373"/>
        <v>95</v>
      </c>
      <c r="AJ163" s="7">
        <f t="shared" si="368"/>
        <v>0.0025439841469619474</v>
      </c>
      <c r="AK163" s="44">
        <f t="shared" si="374"/>
        <v>37343</v>
      </c>
      <c r="AL163" s="117">
        <f t="shared" si="375"/>
        <v>0.005070068809039085</v>
      </c>
      <c r="AM163" s="115">
        <f t="shared" si="376"/>
        <v>0.28254187797756264</v>
      </c>
      <c r="AN163" s="7">
        <f t="shared" si="377"/>
        <v>0.7767653758542141</v>
      </c>
      <c r="AO163" s="171">
        <f t="shared" si="378"/>
        <v>0.010233593173571262</v>
      </c>
      <c r="AP163" s="63">
        <f t="shared" si="379"/>
        <v>7781</v>
      </c>
      <c r="AQ163" s="3">
        <f t="shared" si="380"/>
        <v>760339</v>
      </c>
      <c r="AR163" s="116">
        <f t="shared" si="381"/>
        <v>742199</v>
      </c>
      <c r="AS163" s="3">
        <f t="shared" si="382"/>
        <v>13014</v>
      </c>
      <c r="AT163" s="26">
        <f t="shared" si="383"/>
        <v>439</v>
      </c>
    </row>
    <row r="164" spans="1:46" ht="12.75">
      <c r="A164" s="146">
        <v>39873</v>
      </c>
      <c r="B164" s="3">
        <v>620</v>
      </c>
      <c r="C164" s="115">
        <f t="shared" si="357"/>
        <v>0.005174773812305946</v>
      </c>
      <c r="D164" s="107">
        <v>119812</v>
      </c>
      <c r="E164" s="42">
        <v>456</v>
      </c>
      <c r="F164" s="115">
        <f t="shared" si="358"/>
        <v>0.27602905569007263</v>
      </c>
      <c r="G164" s="40">
        <v>1652</v>
      </c>
      <c r="H164" s="13">
        <v>31</v>
      </c>
      <c r="I164" s="115">
        <f t="shared" si="359"/>
        <v>0.6739130434782609</v>
      </c>
      <c r="J164" s="13">
        <v>46</v>
      </c>
      <c r="K164" s="195">
        <f t="shared" si="369"/>
        <v>1107</v>
      </c>
      <c r="L164" s="115">
        <f t="shared" si="360"/>
        <v>0.009110361287136862</v>
      </c>
      <c r="M164" s="23">
        <f t="shared" si="370"/>
        <v>121510</v>
      </c>
      <c r="N164" s="64">
        <v>2984</v>
      </c>
      <c r="O164" s="67">
        <f t="shared" si="361"/>
        <v>0.005104746524700883</v>
      </c>
      <c r="P164" s="3">
        <v>584554</v>
      </c>
      <c r="Q164" s="68">
        <v>3123</v>
      </c>
      <c r="R164" s="67">
        <f t="shared" si="362"/>
        <v>0.2814781433077963</v>
      </c>
      <c r="S164" s="40">
        <v>11095</v>
      </c>
      <c r="T164" s="13">
        <v>295</v>
      </c>
      <c r="U164" s="67">
        <f t="shared" si="363"/>
        <v>0.793010752688172</v>
      </c>
      <c r="V164" s="26">
        <v>372</v>
      </c>
      <c r="W164" s="63">
        <f t="shared" si="371"/>
        <v>6402</v>
      </c>
      <c r="X164" s="67">
        <f t="shared" si="364"/>
        <v>0.010741232272017261</v>
      </c>
      <c r="Y164" s="26">
        <f t="shared" si="372"/>
        <v>596021</v>
      </c>
      <c r="Z164" s="41">
        <v>25</v>
      </c>
      <c r="AA164" s="115">
        <f t="shared" si="365"/>
        <v>0.0006737636437137853</v>
      </c>
      <c r="AB164" s="4">
        <v>37105</v>
      </c>
      <c r="AC164" s="78">
        <v>39</v>
      </c>
      <c r="AD164" s="115">
        <f t="shared" si="366"/>
        <v>0.195</v>
      </c>
      <c r="AE164" s="43">
        <v>200</v>
      </c>
      <c r="AF164" s="13">
        <v>11</v>
      </c>
      <c r="AG164" s="7">
        <f t="shared" si="367"/>
        <v>0.6111111111111112</v>
      </c>
      <c r="AH164" s="44">
        <v>18</v>
      </c>
      <c r="AI164" s="41">
        <f t="shared" si="373"/>
        <v>75</v>
      </c>
      <c r="AJ164" s="7">
        <f t="shared" si="368"/>
        <v>0.002009484768105458</v>
      </c>
      <c r="AK164" s="44">
        <f t="shared" si="374"/>
        <v>37323</v>
      </c>
      <c r="AL164" s="117">
        <f t="shared" si="375"/>
        <v>0.0048943249297679885</v>
      </c>
      <c r="AM164" s="115">
        <f t="shared" si="376"/>
        <v>0.2794469761334672</v>
      </c>
      <c r="AN164" s="7">
        <f t="shared" si="377"/>
        <v>0.7729357798165137</v>
      </c>
      <c r="AO164" s="171">
        <f t="shared" si="378"/>
        <v>0.00998612160841868</v>
      </c>
      <c r="AP164" s="63">
        <f t="shared" si="379"/>
        <v>7584</v>
      </c>
      <c r="AQ164" s="3">
        <f t="shared" si="380"/>
        <v>759454</v>
      </c>
      <c r="AR164" s="116">
        <f t="shared" si="381"/>
        <v>741471</v>
      </c>
      <c r="AS164" s="3">
        <f t="shared" si="382"/>
        <v>12947</v>
      </c>
      <c r="AT164" s="26">
        <f t="shared" si="383"/>
        <v>436</v>
      </c>
    </row>
    <row r="165" spans="1:46" ht="12.75">
      <c r="A165" s="146">
        <v>39845</v>
      </c>
      <c r="B165" s="3">
        <v>607</v>
      </c>
      <c r="C165" s="115">
        <f aca="true" t="shared" si="384" ref="C165:C186">B165/D165</f>
        <v>0.005068470273881095</v>
      </c>
      <c r="D165" s="107">
        <v>119760</v>
      </c>
      <c r="E165" s="42">
        <v>442</v>
      </c>
      <c r="F165" s="115">
        <f aca="true" t="shared" si="385" ref="F165:F186">E165/G165</f>
        <v>0.2698412698412698</v>
      </c>
      <c r="G165" s="40">
        <v>1638</v>
      </c>
      <c r="H165" s="13">
        <v>31</v>
      </c>
      <c r="I165" s="115">
        <f aca="true" t="shared" si="386" ref="I165:I186">H165/J165</f>
        <v>0.6739130434782609</v>
      </c>
      <c r="J165" s="13">
        <v>46</v>
      </c>
      <c r="K165" s="195">
        <f t="shared" si="369"/>
        <v>1080</v>
      </c>
      <c r="L165" s="115">
        <f aca="true" t="shared" si="387" ref="L165:L202">K165/M165</f>
        <v>0.008892987714502157</v>
      </c>
      <c r="M165" s="23">
        <f t="shared" si="370"/>
        <v>121444</v>
      </c>
      <c r="N165" s="64">
        <v>2849</v>
      </c>
      <c r="O165" s="67">
        <f aca="true" t="shared" si="388" ref="O165:O197">N165/P165</f>
        <v>0.0048741264124958295</v>
      </c>
      <c r="P165" s="3">
        <v>584515</v>
      </c>
      <c r="Q165" s="68">
        <v>2985</v>
      </c>
      <c r="R165" s="67">
        <f aca="true" t="shared" si="389" ref="R165:R197">Q165/S165</f>
        <v>0.268701053200108</v>
      </c>
      <c r="S165" s="40">
        <v>11109</v>
      </c>
      <c r="T165" s="13">
        <v>296</v>
      </c>
      <c r="U165" s="67">
        <f aca="true" t="shared" si="390" ref="U165:U197">T165/V165</f>
        <v>0.7935656836461126</v>
      </c>
      <c r="V165" s="26">
        <v>373</v>
      </c>
      <c r="W165" s="63">
        <f t="shared" si="371"/>
        <v>6130</v>
      </c>
      <c r="X165" s="67">
        <f aca="true" t="shared" si="391" ref="X165:X197">W165/Y165</f>
        <v>0.010285286670906061</v>
      </c>
      <c r="Y165" s="26">
        <f t="shared" si="372"/>
        <v>595997</v>
      </c>
      <c r="Z165" s="41">
        <v>91</v>
      </c>
      <c r="AA165" s="115">
        <f aca="true" t="shared" si="392" ref="AA165:AA189">Z165/AB165</f>
        <v>0.0024540208187260664</v>
      </c>
      <c r="AB165" s="4">
        <v>37082</v>
      </c>
      <c r="AC165" s="78">
        <v>32</v>
      </c>
      <c r="AD165" s="115">
        <f aca="true" t="shared" si="393" ref="AD165:AD189">AC165/AE165</f>
        <v>0.15841584158415842</v>
      </c>
      <c r="AE165" s="43">
        <v>202</v>
      </c>
      <c r="AF165" s="13">
        <v>10</v>
      </c>
      <c r="AG165" s="7">
        <f aca="true" t="shared" si="394" ref="AG165:AG189">AF165/AH165</f>
        <v>0.5555555555555556</v>
      </c>
      <c r="AH165" s="44">
        <v>18</v>
      </c>
      <c r="AI165" s="41">
        <f t="shared" si="373"/>
        <v>133</v>
      </c>
      <c r="AJ165" s="7">
        <f aca="true" t="shared" si="395" ref="AJ165:AJ197">AI165/AK165</f>
        <v>0.003565492466891856</v>
      </c>
      <c r="AK165" s="44">
        <f t="shared" si="374"/>
        <v>37302</v>
      </c>
      <c r="AL165" s="117">
        <f t="shared" si="375"/>
        <v>0.0047844695605491015</v>
      </c>
      <c r="AM165" s="115">
        <f t="shared" si="376"/>
        <v>0.267124874507684</v>
      </c>
      <c r="AN165" s="7">
        <f t="shared" si="377"/>
        <v>0.7711670480549199</v>
      </c>
      <c r="AO165" s="171">
        <f t="shared" si="378"/>
        <v>0.009671551834275727</v>
      </c>
      <c r="AP165" s="63">
        <f t="shared" si="379"/>
        <v>7343</v>
      </c>
      <c r="AQ165" s="3">
        <f t="shared" si="380"/>
        <v>759237</v>
      </c>
      <c r="AR165" s="116">
        <f t="shared" si="381"/>
        <v>741357</v>
      </c>
      <c r="AS165" s="3">
        <f t="shared" si="382"/>
        <v>12949</v>
      </c>
      <c r="AT165" s="26">
        <f t="shared" si="383"/>
        <v>437</v>
      </c>
    </row>
    <row r="166" spans="1:50" ht="12.75">
      <c r="A166" s="147">
        <v>39814</v>
      </c>
      <c r="B166" s="3">
        <v>600</v>
      </c>
      <c r="C166" s="115">
        <f t="shared" si="384"/>
        <v>0.005009308965828164</v>
      </c>
      <c r="D166" s="107">
        <v>119777</v>
      </c>
      <c r="E166" s="42">
        <v>442</v>
      </c>
      <c r="F166" s="115">
        <f t="shared" si="385"/>
        <v>0.27267119062307216</v>
      </c>
      <c r="G166" s="40">
        <v>1621</v>
      </c>
      <c r="H166" s="13">
        <v>31</v>
      </c>
      <c r="I166" s="115">
        <f t="shared" si="386"/>
        <v>0.6739130434782609</v>
      </c>
      <c r="J166" s="13">
        <v>46</v>
      </c>
      <c r="K166" s="195">
        <f aca="true" t="shared" si="396" ref="K166:K202">+H166+E166+B166</f>
        <v>1073</v>
      </c>
      <c r="L166" s="115">
        <f t="shared" si="387"/>
        <v>0.00883534797931557</v>
      </c>
      <c r="M166" s="23">
        <f aca="true" t="shared" si="397" ref="M166:M202">+J166+G166+D166</f>
        <v>121444</v>
      </c>
      <c r="N166" s="64">
        <v>2839</v>
      </c>
      <c r="O166" s="67">
        <f t="shared" si="388"/>
        <v>0.004858805408180729</v>
      </c>
      <c r="P166" s="3">
        <v>584300</v>
      </c>
      <c r="Q166" s="68">
        <v>2939</v>
      </c>
      <c r="R166" s="67">
        <f t="shared" si="389"/>
        <v>0.2646793948126801</v>
      </c>
      <c r="S166" s="40">
        <v>11104</v>
      </c>
      <c r="T166" s="13">
        <v>292</v>
      </c>
      <c r="U166" s="67">
        <f t="shared" si="390"/>
        <v>0.7828418230563002</v>
      </c>
      <c r="V166" s="26">
        <v>373</v>
      </c>
      <c r="W166" s="63">
        <f aca="true" t="shared" si="398" ref="W166:W197">+T166+Q166+N166</f>
        <v>6070</v>
      </c>
      <c r="X166" s="67">
        <f t="shared" si="391"/>
        <v>0.010188375852038599</v>
      </c>
      <c r="Y166" s="26">
        <f aca="true" t="shared" si="399" ref="Y166:Y197">+V166+S166+P166</f>
        <v>595777</v>
      </c>
      <c r="Z166" s="41">
        <v>122</v>
      </c>
      <c r="AA166" s="115">
        <f t="shared" si="392"/>
        <v>0.0032871692622729967</v>
      </c>
      <c r="AB166" s="4">
        <v>37114</v>
      </c>
      <c r="AC166" s="78">
        <v>32</v>
      </c>
      <c r="AD166" s="115">
        <f t="shared" si="393"/>
        <v>0.15841584158415842</v>
      </c>
      <c r="AE166" s="43">
        <v>202</v>
      </c>
      <c r="AF166" s="13">
        <v>10</v>
      </c>
      <c r="AG166" s="7">
        <f t="shared" si="394"/>
        <v>0.5555555555555556</v>
      </c>
      <c r="AH166" s="44">
        <v>18</v>
      </c>
      <c r="AI166" s="41">
        <f aca="true" t="shared" si="400" ref="AI166:AI197">+AF166+AC166+Z166</f>
        <v>164</v>
      </c>
      <c r="AJ166" s="7">
        <f t="shared" si="395"/>
        <v>0.00439277870038035</v>
      </c>
      <c r="AK166" s="44">
        <f aca="true" t="shared" si="401" ref="AK166:AK197">+AH166+AE166+AB166</f>
        <v>37334</v>
      </c>
      <c r="AL166" s="117">
        <f aca="true" t="shared" si="402" ref="AL166:AL202">(B166+N166+Z166)/AR166</f>
        <v>0.004804429627450954</v>
      </c>
      <c r="AM166" s="115">
        <f aca="true" t="shared" si="403" ref="AM166:AM202">(E166+Q166+AC166)/AS166</f>
        <v>0.2640210412315309</v>
      </c>
      <c r="AN166" s="7">
        <f aca="true" t="shared" si="404" ref="AN166:AN202">(H166+T166+AF166)/AT166</f>
        <v>0.7620137299771167</v>
      </c>
      <c r="AO166" s="171">
        <f aca="true" t="shared" si="405" ref="AO166:AO202">AP166/AQ166</f>
        <v>0.009626849252262449</v>
      </c>
      <c r="AP166" s="63">
        <f aca="true" t="shared" si="406" ref="AP166:AP202">AF166+AC166+Z166+T166+Q166+N166+H166+E166+B166</f>
        <v>7307</v>
      </c>
      <c r="AQ166" s="3">
        <f aca="true" t="shared" si="407" ref="AQ166:AQ202">AH166+AF166+AE166+AC166+Z166+AB166+V166+T166+S166+Q166+P166+J166+H166+G166+E166+D166+B166</f>
        <v>759023</v>
      </c>
      <c r="AR166" s="116">
        <f aca="true" t="shared" si="408" ref="AR166:AR185">+D166+P166+AB166</f>
        <v>741191</v>
      </c>
      <c r="AS166" s="3">
        <f aca="true" t="shared" si="409" ref="AS166:AS202">G166+S166+AE166</f>
        <v>12927</v>
      </c>
      <c r="AT166" s="26">
        <f aca="true" t="shared" si="410" ref="AT166:AT202">J166+V166+AH166</f>
        <v>437</v>
      </c>
      <c r="AU166" s="5"/>
      <c r="AV166" s="5"/>
      <c r="AW166" s="5"/>
      <c r="AX166" s="5"/>
    </row>
    <row r="167" spans="1:50" s="15" customFormat="1" ht="12.75">
      <c r="A167" s="147">
        <v>39783</v>
      </c>
      <c r="B167" s="3">
        <v>583</v>
      </c>
      <c r="C167" s="115">
        <f t="shared" si="384"/>
        <v>0.004891432023358056</v>
      </c>
      <c r="D167" s="107">
        <v>119188</v>
      </c>
      <c r="E167" s="42">
        <v>413</v>
      </c>
      <c r="F167" s="115">
        <f t="shared" si="385"/>
        <v>0.2558859975216852</v>
      </c>
      <c r="G167" s="40">
        <v>1614</v>
      </c>
      <c r="H167" s="13">
        <v>30</v>
      </c>
      <c r="I167" s="115">
        <f t="shared" si="386"/>
        <v>0.6666666666666666</v>
      </c>
      <c r="J167" s="13">
        <v>45</v>
      </c>
      <c r="K167" s="195">
        <f t="shared" si="396"/>
        <v>1026</v>
      </c>
      <c r="L167" s="115">
        <f t="shared" si="387"/>
        <v>0.008490074226087533</v>
      </c>
      <c r="M167" s="23">
        <f t="shared" si="397"/>
        <v>120847</v>
      </c>
      <c r="N167" s="64">
        <v>2835</v>
      </c>
      <c r="O167" s="67">
        <f t="shared" si="388"/>
        <v>0.004854726380086546</v>
      </c>
      <c r="P167" s="3">
        <v>583967</v>
      </c>
      <c r="Q167" s="68">
        <v>2789</v>
      </c>
      <c r="R167" s="67">
        <f t="shared" si="389"/>
        <v>0.2504939823962637</v>
      </c>
      <c r="S167" s="40">
        <v>11134</v>
      </c>
      <c r="T167" s="13">
        <v>292</v>
      </c>
      <c r="U167" s="67">
        <f t="shared" si="390"/>
        <v>0.7604166666666666</v>
      </c>
      <c r="V167" s="26">
        <v>384</v>
      </c>
      <c r="W167" s="63">
        <f t="shared" si="398"/>
        <v>5916</v>
      </c>
      <c r="X167" s="67">
        <f t="shared" si="391"/>
        <v>0.009934759061941106</v>
      </c>
      <c r="Y167" s="26">
        <f t="shared" si="399"/>
        <v>595485</v>
      </c>
      <c r="Z167" s="41">
        <v>122</v>
      </c>
      <c r="AA167" s="115">
        <f t="shared" si="392"/>
        <v>0.00328531035411337</v>
      </c>
      <c r="AB167" s="4">
        <v>37135</v>
      </c>
      <c r="AC167" s="78">
        <v>32</v>
      </c>
      <c r="AD167" s="115">
        <f t="shared" si="393"/>
        <v>0.1568627450980392</v>
      </c>
      <c r="AE167" s="43">
        <v>204</v>
      </c>
      <c r="AF167" s="13">
        <v>10</v>
      </c>
      <c r="AG167" s="7">
        <f t="shared" si="394"/>
        <v>0.5555555555555556</v>
      </c>
      <c r="AH167" s="44">
        <v>18</v>
      </c>
      <c r="AI167" s="41">
        <f t="shared" si="400"/>
        <v>164</v>
      </c>
      <c r="AJ167" s="7">
        <f t="shared" si="395"/>
        <v>0.0043900741494231335</v>
      </c>
      <c r="AK167" s="44">
        <f t="shared" si="401"/>
        <v>37357</v>
      </c>
      <c r="AL167" s="117">
        <f t="shared" si="402"/>
        <v>0.004781909792108498</v>
      </c>
      <c r="AM167" s="115">
        <f t="shared" si="403"/>
        <v>0.2496911673872761</v>
      </c>
      <c r="AN167" s="7">
        <f t="shared" si="404"/>
        <v>0.7427293064876958</v>
      </c>
      <c r="AO167" s="171">
        <f t="shared" si="405"/>
        <v>0.009375164916354425</v>
      </c>
      <c r="AP167" s="63">
        <f t="shared" si="406"/>
        <v>7106</v>
      </c>
      <c r="AQ167" s="3">
        <f t="shared" si="407"/>
        <v>757960</v>
      </c>
      <c r="AR167" s="116">
        <f t="shared" si="408"/>
        <v>740290</v>
      </c>
      <c r="AS167" s="3">
        <f t="shared" si="409"/>
        <v>12952</v>
      </c>
      <c r="AT167" s="26">
        <f t="shared" si="410"/>
        <v>447</v>
      </c>
      <c r="AU167" s="13"/>
      <c r="AV167" s="13"/>
      <c r="AW167" s="13"/>
      <c r="AX167" s="13"/>
    </row>
    <row r="168" spans="1:50" s="15" customFormat="1" ht="12.75">
      <c r="A168" s="147">
        <v>39753</v>
      </c>
      <c r="B168" s="3">
        <v>553</v>
      </c>
      <c r="C168" s="115">
        <f t="shared" si="384"/>
        <v>0.0046079493375552035</v>
      </c>
      <c r="D168" s="107">
        <v>120010</v>
      </c>
      <c r="E168" s="42">
        <v>392</v>
      </c>
      <c r="F168" s="115">
        <f t="shared" si="385"/>
        <v>0.24049079754601227</v>
      </c>
      <c r="G168" s="40">
        <v>1630</v>
      </c>
      <c r="H168" s="13">
        <v>29</v>
      </c>
      <c r="I168" s="115">
        <f t="shared" si="386"/>
        <v>0.6590909090909091</v>
      </c>
      <c r="J168" s="13">
        <v>44</v>
      </c>
      <c r="K168" s="195">
        <f t="shared" si="396"/>
        <v>974</v>
      </c>
      <c r="L168" s="115">
        <f t="shared" si="387"/>
        <v>0.008004339107853128</v>
      </c>
      <c r="M168" s="23">
        <f t="shared" si="397"/>
        <v>121684</v>
      </c>
      <c r="N168" s="64">
        <v>2668</v>
      </c>
      <c r="O168" s="67">
        <f t="shared" si="388"/>
        <v>0.004571170103039794</v>
      </c>
      <c r="P168" s="3">
        <v>583658</v>
      </c>
      <c r="Q168" s="68">
        <v>2732</v>
      </c>
      <c r="R168" s="67">
        <f t="shared" si="389"/>
        <v>0.24323361823361822</v>
      </c>
      <c r="S168" s="40">
        <v>11232</v>
      </c>
      <c r="T168" s="13">
        <v>306</v>
      </c>
      <c r="U168" s="67">
        <f t="shared" si="390"/>
        <v>0.7727272727272727</v>
      </c>
      <c r="V168" s="26">
        <v>396</v>
      </c>
      <c r="W168" s="63">
        <f t="shared" si="398"/>
        <v>5706</v>
      </c>
      <c r="X168" s="67">
        <f t="shared" si="391"/>
        <v>0.009585308574365936</v>
      </c>
      <c r="Y168" s="26">
        <f t="shared" si="399"/>
        <v>595286</v>
      </c>
      <c r="Z168" s="41">
        <v>121</v>
      </c>
      <c r="AA168" s="115">
        <f t="shared" si="392"/>
        <v>0.00325531342480495</v>
      </c>
      <c r="AB168" s="4">
        <v>37170</v>
      </c>
      <c r="AC168" s="78">
        <v>33</v>
      </c>
      <c r="AD168" s="115">
        <f t="shared" si="393"/>
        <v>0.16097560975609757</v>
      </c>
      <c r="AE168" s="43">
        <v>205</v>
      </c>
      <c r="AF168" s="13">
        <v>10</v>
      </c>
      <c r="AG168" s="7">
        <f t="shared" si="394"/>
        <v>0.5555555555555556</v>
      </c>
      <c r="AH168" s="44">
        <v>18</v>
      </c>
      <c r="AI168" s="41">
        <f t="shared" si="400"/>
        <v>164</v>
      </c>
      <c r="AJ168" s="7">
        <f t="shared" si="395"/>
        <v>0.004385847618538229</v>
      </c>
      <c r="AK168" s="44">
        <f t="shared" si="401"/>
        <v>37393</v>
      </c>
      <c r="AL168" s="117">
        <f t="shared" si="402"/>
        <v>0.0045111076915600986</v>
      </c>
      <c r="AM168" s="115">
        <f t="shared" si="403"/>
        <v>0.24160097956684778</v>
      </c>
      <c r="AN168" s="7">
        <f t="shared" si="404"/>
        <v>0.7532751091703057</v>
      </c>
      <c r="AO168" s="171">
        <f t="shared" si="405"/>
        <v>0.009022607934463488</v>
      </c>
      <c r="AP168" s="63">
        <f t="shared" si="406"/>
        <v>6844</v>
      </c>
      <c r="AQ168" s="3">
        <f t="shared" si="407"/>
        <v>758539</v>
      </c>
      <c r="AR168" s="116">
        <f t="shared" si="408"/>
        <v>740838</v>
      </c>
      <c r="AS168" s="3">
        <f t="shared" si="409"/>
        <v>13067</v>
      </c>
      <c r="AT168" s="26">
        <f t="shared" si="410"/>
        <v>458</v>
      </c>
      <c r="AU168" s="13"/>
      <c r="AV168" s="13"/>
      <c r="AW168" s="13"/>
      <c r="AX168" s="13"/>
    </row>
    <row r="169" spans="1:50" s="15" customFormat="1" ht="12.75">
      <c r="A169" s="147">
        <v>39722</v>
      </c>
      <c r="B169" s="3">
        <v>554</v>
      </c>
      <c r="C169" s="115">
        <f t="shared" si="384"/>
        <v>0.004559408099944859</v>
      </c>
      <c r="D169" s="107">
        <v>121507</v>
      </c>
      <c r="E169" s="42">
        <v>400</v>
      </c>
      <c r="F169" s="115">
        <f t="shared" si="385"/>
        <v>0.23738872403560832</v>
      </c>
      <c r="G169" s="40">
        <v>1685</v>
      </c>
      <c r="H169" s="13">
        <v>29</v>
      </c>
      <c r="I169" s="115">
        <f t="shared" si="386"/>
        <v>0.6744186046511628</v>
      </c>
      <c r="J169" s="13">
        <v>43</v>
      </c>
      <c r="K169" s="195">
        <f t="shared" si="396"/>
        <v>983</v>
      </c>
      <c r="L169" s="115">
        <f t="shared" si="387"/>
        <v>0.007976630015823426</v>
      </c>
      <c r="M169" s="23">
        <f t="shared" si="397"/>
        <v>123235</v>
      </c>
      <c r="N169" s="64">
        <v>2564</v>
      </c>
      <c r="O169" s="67">
        <f t="shared" si="388"/>
        <v>0.00439898294965189</v>
      </c>
      <c r="P169" s="3">
        <v>582862</v>
      </c>
      <c r="Q169" s="68">
        <v>2664</v>
      </c>
      <c r="R169" s="67">
        <f t="shared" si="389"/>
        <v>0.23366371370932373</v>
      </c>
      <c r="S169" s="40">
        <v>11401</v>
      </c>
      <c r="T169" s="13">
        <v>305</v>
      </c>
      <c r="U169" s="67">
        <f t="shared" si="390"/>
        <v>0.7644110275689223</v>
      </c>
      <c r="V169" s="26">
        <v>399</v>
      </c>
      <c r="W169" s="63">
        <f t="shared" si="398"/>
        <v>5533</v>
      </c>
      <c r="X169" s="67">
        <f t="shared" si="391"/>
        <v>0.009304445214256166</v>
      </c>
      <c r="Y169" s="26">
        <f t="shared" si="399"/>
        <v>594662</v>
      </c>
      <c r="Z169" s="41">
        <v>122</v>
      </c>
      <c r="AA169" s="115">
        <f t="shared" si="392"/>
        <v>0.0032837186768228674</v>
      </c>
      <c r="AB169" s="4">
        <v>37153</v>
      </c>
      <c r="AC169" s="78">
        <v>33</v>
      </c>
      <c r="AD169" s="115">
        <f t="shared" si="393"/>
        <v>0.15865384615384615</v>
      </c>
      <c r="AE169" s="43">
        <v>208</v>
      </c>
      <c r="AF169" s="13">
        <v>10</v>
      </c>
      <c r="AG169" s="7">
        <f t="shared" si="394"/>
        <v>0.5555555555555556</v>
      </c>
      <c r="AH169" s="44">
        <v>18</v>
      </c>
      <c r="AI169" s="41">
        <f t="shared" si="400"/>
        <v>165</v>
      </c>
      <c r="AJ169" s="7">
        <f t="shared" si="395"/>
        <v>0.004414243291687846</v>
      </c>
      <c r="AK169" s="44">
        <f t="shared" si="401"/>
        <v>37379</v>
      </c>
      <c r="AL169" s="117">
        <f t="shared" si="402"/>
        <v>0.004369391602676657</v>
      </c>
      <c r="AM169" s="115">
        <f t="shared" si="403"/>
        <v>0.23296223860388146</v>
      </c>
      <c r="AN169" s="7">
        <f t="shared" si="404"/>
        <v>0.7478260869565218</v>
      </c>
      <c r="AO169" s="171">
        <f t="shared" si="405"/>
        <v>0.008797816150530753</v>
      </c>
      <c r="AP169" s="63">
        <f t="shared" si="406"/>
        <v>6681</v>
      </c>
      <c r="AQ169" s="3">
        <f t="shared" si="407"/>
        <v>759393</v>
      </c>
      <c r="AR169" s="116">
        <f t="shared" si="408"/>
        <v>741522</v>
      </c>
      <c r="AS169" s="3">
        <f t="shared" si="409"/>
        <v>13294</v>
      </c>
      <c r="AT169" s="26">
        <f t="shared" si="410"/>
        <v>460</v>
      </c>
      <c r="AU169" s="13"/>
      <c r="AV169" s="13"/>
      <c r="AW169" s="13"/>
      <c r="AX169" s="13"/>
    </row>
    <row r="170" spans="1:50" s="15" customFormat="1" ht="12.75">
      <c r="A170" s="147">
        <v>39692</v>
      </c>
      <c r="B170" s="3">
        <v>549</v>
      </c>
      <c r="C170" s="115">
        <f t="shared" si="384"/>
        <v>0.00451952285693117</v>
      </c>
      <c r="D170" s="107">
        <v>121473</v>
      </c>
      <c r="E170" s="42">
        <v>393</v>
      </c>
      <c r="F170" s="115">
        <f t="shared" si="385"/>
        <v>0.23295791345583877</v>
      </c>
      <c r="G170" s="40">
        <v>1687</v>
      </c>
      <c r="H170" s="13">
        <v>28</v>
      </c>
      <c r="I170" s="115">
        <f t="shared" si="386"/>
        <v>0.5</v>
      </c>
      <c r="J170" s="13">
        <v>56</v>
      </c>
      <c r="K170" s="195">
        <f t="shared" si="396"/>
        <v>970</v>
      </c>
      <c r="L170" s="115">
        <f t="shared" si="387"/>
        <v>0.007872354239709129</v>
      </c>
      <c r="M170" s="23">
        <f t="shared" si="397"/>
        <v>123216</v>
      </c>
      <c r="N170" s="64">
        <v>2586</v>
      </c>
      <c r="O170" s="67">
        <f t="shared" si="388"/>
        <v>0.004436537442077109</v>
      </c>
      <c r="P170" s="3">
        <v>582887</v>
      </c>
      <c r="Q170" s="68">
        <v>2641</v>
      </c>
      <c r="R170" s="67">
        <f t="shared" si="389"/>
        <v>0.23252333157245994</v>
      </c>
      <c r="S170" s="40">
        <v>11358</v>
      </c>
      <c r="T170" s="13">
        <v>305</v>
      </c>
      <c r="U170" s="67">
        <f t="shared" si="390"/>
        <v>0.7605985037406484</v>
      </c>
      <c r="V170" s="26">
        <v>401</v>
      </c>
      <c r="W170" s="63">
        <f t="shared" si="398"/>
        <v>5532</v>
      </c>
      <c r="X170" s="67">
        <f t="shared" si="391"/>
        <v>0.009303013893980621</v>
      </c>
      <c r="Y170" s="26">
        <f t="shared" si="399"/>
        <v>594646</v>
      </c>
      <c r="Z170" s="41">
        <v>123</v>
      </c>
      <c r="AA170" s="115">
        <f t="shared" si="392"/>
        <v>0.003305385359561432</v>
      </c>
      <c r="AB170" s="4">
        <v>37212</v>
      </c>
      <c r="AC170" s="78">
        <v>33</v>
      </c>
      <c r="AD170" s="115">
        <f t="shared" si="393"/>
        <v>0.15942028985507245</v>
      </c>
      <c r="AE170" s="43">
        <v>207</v>
      </c>
      <c r="AF170" s="13">
        <v>10</v>
      </c>
      <c r="AG170" s="7">
        <f t="shared" si="394"/>
        <v>0.5555555555555556</v>
      </c>
      <c r="AH170" s="44">
        <v>18</v>
      </c>
      <c r="AI170" s="41">
        <f t="shared" si="400"/>
        <v>166</v>
      </c>
      <c r="AJ170" s="7">
        <f t="shared" si="395"/>
        <v>0.0044341159815156125</v>
      </c>
      <c r="AK170" s="44">
        <f t="shared" si="401"/>
        <v>37437</v>
      </c>
      <c r="AL170" s="117">
        <f t="shared" si="402"/>
        <v>0.0043933697604548174</v>
      </c>
      <c r="AM170" s="115">
        <f t="shared" si="403"/>
        <v>0.2314367642619982</v>
      </c>
      <c r="AN170" s="7">
        <f t="shared" si="404"/>
        <v>0.7221052631578947</v>
      </c>
      <c r="AO170" s="171">
        <f t="shared" si="405"/>
        <v>0.008780835970349534</v>
      </c>
      <c r="AP170" s="63">
        <f t="shared" si="406"/>
        <v>6668</v>
      </c>
      <c r="AQ170" s="3">
        <f t="shared" si="407"/>
        <v>759381</v>
      </c>
      <c r="AR170" s="116">
        <f t="shared" si="408"/>
        <v>741572</v>
      </c>
      <c r="AS170" s="3">
        <f t="shared" si="409"/>
        <v>13252</v>
      </c>
      <c r="AT170" s="26">
        <f t="shared" si="410"/>
        <v>475</v>
      </c>
      <c r="AU170" s="13"/>
      <c r="AV170" s="13"/>
      <c r="AW170" s="13"/>
      <c r="AX170" s="13"/>
    </row>
    <row r="171" spans="1:50" ht="12.75">
      <c r="A171" s="147">
        <v>39661</v>
      </c>
      <c r="B171" s="3">
        <v>551</v>
      </c>
      <c r="C171" s="115">
        <f t="shared" si="384"/>
        <v>0.004554095379783453</v>
      </c>
      <c r="D171" s="107">
        <v>120990</v>
      </c>
      <c r="E171" s="42">
        <v>391</v>
      </c>
      <c r="F171" s="115">
        <f t="shared" si="385"/>
        <v>0.30146491904394757</v>
      </c>
      <c r="G171" s="40">
        <v>1297</v>
      </c>
      <c r="H171" s="13">
        <v>28</v>
      </c>
      <c r="I171" s="115">
        <f t="shared" si="386"/>
        <v>0.6363636363636364</v>
      </c>
      <c r="J171" s="13">
        <v>44</v>
      </c>
      <c r="K171" s="195">
        <f t="shared" si="396"/>
        <v>970</v>
      </c>
      <c r="L171" s="115">
        <f t="shared" si="387"/>
        <v>0.007929306553530994</v>
      </c>
      <c r="M171" s="23">
        <f t="shared" si="397"/>
        <v>122331</v>
      </c>
      <c r="N171" s="64">
        <v>2333</v>
      </c>
      <c r="O171" s="67">
        <f t="shared" si="388"/>
        <v>0.004005741620222041</v>
      </c>
      <c r="P171" s="3">
        <v>582414</v>
      </c>
      <c r="Q171" s="68">
        <v>2659</v>
      </c>
      <c r="R171" s="67">
        <f t="shared" si="389"/>
        <v>0.23435572007756036</v>
      </c>
      <c r="S171" s="40">
        <v>11346</v>
      </c>
      <c r="T171" s="13">
        <v>305</v>
      </c>
      <c r="U171" s="67">
        <f t="shared" si="390"/>
        <v>0.7644110275689223</v>
      </c>
      <c r="V171" s="26">
        <v>399</v>
      </c>
      <c r="W171" s="63">
        <f t="shared" si="398"/>
        <v>5297</v>
      </c>
      <c r="X171" s="67">
        <f t="shared" si="391"/>
        <v>0.008915122046455578</v>
      </c>
      <c r="Y171" s="26">
        <f t="shared" si="399"/>
        <v>594159</v>
      </c>
      <c r="Z171" s="41">
        <v>123</v>
      </c>
      <c r="AA171" s="115">
        <f t="shared" si="392"/>
        <v>0.0033113474222641</v>
      </c>
      <c r="AB171" s="4">
        <v>37145</v>
      </c>
      <c r="AC171" s="78">
        <v>33</v>
      </c>
      <c r="AD171" s="115">
        <f t="shared" si="393"/>
        <v>0.15942028985507245</v>
      </c>
      <c r="AE171" s="43">
        <v>207</v>
      </c>
      <c r="AF171" s="13">
        <v>8</v>
      </c>
      <c r="AG171" s="7">
        <f t="shared" si="394"/>
        <v>0.4444444444444444</v>
      </c>
      <c r="AH171" s="44">
        <v>18</v>
      </c>
      <c r="AI171" s="41">
        <f t="shared" si="400"/>
        <v>164</v>
      </c>
      <c r="AJ171" s="7">
        <f t="shared" si="395"/>
        <v>0.004388546962804388</v>
      </c>
      <c r="AK171" s="44">
        <f t="shared" si="401"/>
        <v>37370</v>
      </c>
      <c r="AL171" s="25">
        <f t="shared" si="402"/>
        <v>0.004060501060699562</v>
      </c>
      <c r="AM171" s="7">
        <f t="shared" si="403"/>
        <v>0.23992217898832685</v>
      </c>
      <c r="AN171" s="7">
        <f t="shared" si="404"/>
        <v>0.7396963123644251</v>
      </c>
      <c r="AO171" s="171">
        <f t="shared" si="405"/>
        <v>0.008484638990550927</v>
      </c>
      <c r="AP171" s="63">
        <f t="shared" si="406"/>
        <v>6431</v>
      </c>
      <c r="AQ171" s="3">
        <f t="shared" si="407"/>
        <v>757958</v>
      </c>
      <c r="AR171" s="116">
        <f t="shared" si="408"/>
        <v>740549</v>
      </c>
      <c r="AS171" s="3">
        <f t="shared" si="409"/>
        <v>12850</v>
      </c>
      <c r="AT171" s="26">
        <f t="shared" si="410"/>
        <v>461</v>
      </c>
      <c r="AU171" s="3"/>
      <c r="AV171" s="3"/>
      <c r="AW171" s="5"/>
      <c r="AX171" s="5"/>
    </row>
    <row r="172" spans="1:50" ht="12.75">
      <c r="A172" s="147">
        <v>39630</v>
      </c>
      <c r="B172" s="3">
        <v>487</v>
      </c>
      <c r="C172" s="7">
        <f t="shared" si="384"/>
        <v>0.00401133387147258</v>
      </c>
      <c r="D172" s="107">
        <v>121406</v>
      </c>
      <c r="E172" s="42">
        <v>390</v>
      </c>
      <c r="F172" s="7">
        <f t="shared" si="385"/>
        <v>0.23159144893111638</v>
      </c>
      <c r="G172" s="40">
        <v>1684</v>
      </c>
      <c r="H172" s="13">
        <v>28</v>
      </c>
      <c r="I172" s="7">
        <f t="shared" si="386"/>
        <v>0.6511627906976745</v>
      </c>
      <c r="J172" s="13">
        <v>43</v>
      </c>
      <c r="K172" s="196">
        <f t="shared" si="396"/>
        <v>905</v>
      </c>
      <c r="L172" s="8">
        <f t="shared" si="387"/>
        <v>0.007349776258192361</v>
      </c>
      <c r="M172" s="23">
        <f t="shared" si="397"/>
        <v>123133</v>
      </c>
      <c r="N172" s="64">
        <v>2325</v>
      </c>
      <c r="O172" s="67">
        <f t="shared" si="388"/>
        <v>0.003991334084104705</v>
      </c>
      <c r="P172" s="3">
        <v>582512</v>
      </c>
      <c r="Q172" s="68">
        <v>2656</v>
      </c>
      <c r="R172" s="67">
        <f t="shared" si="389"/>
        <v>0.23431848257609175</v>
      </c>
      <c r="S172" s="40">
        <v>11335</v>
      </c>
      <c r="T172" s="13">
        <v>305</v>
      </c>
      <c r="U172" s="67">
        <f t="shared" si="390"/>
        <v>0.7644110275689223</v>
      </c>
      <c r="V172" s="26">
        <v>399</v>
      </c>
      <c r="W172" s="63">
        <f t="shared" si="398"/>
        <v>5286</v>
      </c>
      <c r="X172" s="67">
        <f t="shared" si="391"/>
        <v>0.008895305984390303</v>
      </c>
      <c r="Y172" s="26">
        <f t="shared" si="399"/>
        <v>594246</v>
      </c>
      <c r="Z172" s="41">
        <v>122</v>
      </c>
      <c r="AA172" s="67">
        <f t="shared" si="392"/>
        <v>0.003281863668155162</v>
      </c>
      <c r="AB172" s="4">
        <v>37174</v>
      </c>
      <c r="AC172" s="78">
        <v>33</v>
      </c>
      <c r="AD172" s="7">
        <f t="shared" si="393"/>
        <v>0.1625615763546798</v>
      </c>
      <c r="AE172" s="43">
        <v>203</v>
      </c>
      <c r="AF172" s="13">
        <v>10</v>
      </c>
      <c r="AG172" s="7">
        <f t="shared" si="394"/>
        <v>0.5555555555555556</v>
      </c>
      <c r="AH172" s="44">
        <v>18</v>
      </c>
      <c r="AI172" s="63">
        <f t="shared" si="400"/>
        <v>165</v>
      </c>
      <c r="AJ172" s="7">
        <f t="shared" si="395"/>
        <v>0.004412354592860008</v>
      </c>
      <c r="AK172" s="26">
        <f t="shared" si="401"/>
        <v>37395</v>
      </c>
      <c r="AL172" s="25">
        <f t="shared" si="402"/>
        <v>0.003959022631468158</v>
      </c>
      <c r="AM172" s="7">
        <f t="shared" si="403"/>
        <v>0.2328694599909242</v>
      </c>
      <c r="AN172" s="7">
        <f t="shared" si="404"/>
        <v>0.7456521739130435</v>
      </c>
      <c r="AO172" s="171">
        <f t="shared" si="405"/>
        <v>0.008376328569263514</v>
      </c>
      <c r="AP172" s="63">
        <f t="shared" si="406"/>
        <v>6356</v>
      </c>
      <c r="AQ172" s="3">
        <f t="shared" si="407"/>
        <v>758805</v>
      </c>
      <c r="AR172" s="116">
        <f t="shared" si="408"/>
        <v>741092</v>
      </c>
      <c r="AS172" s="3">
        <f t="shared" si="409"/>
        <v>13222</v>
      </c>
      <c r="AT172" s="26">
        <f t="shared" si="410"/>
        <v>460</v>
      </c>
      <c r="AU172" s="5"/>
      <c r="AV172" s="5"/>
      <c r="AW172" s="5"/>
      <c r="AX172" s="5"/>
    </row>
    <row r="173" spans="1:50" ht="12.75">
      <c r="A173" s="147">
        <v>39600</v>
      </c>
      <c r="B173" s="3">
        <v>477</v>
      </c>
      <c r="C173" s="7">
        <f t="shared" si="384"/>
        <v>0.003944952610946623</v>
      </c>
      <c r="D173" s="107">
        <v>120914</v>
      </c>
      <c r="E173" s="42">
        <v>394</v>
      </c>
      <c r="F173" s="7">
        <f t="shared" si="385"/>
        <v>0.23466349017272187</v>
      </c>
      <c r="G173" s="40">
        <v>1679</v>
      </c>
      <c r="H173" s="13">
        <v>30</v>
      </c>
      <c r="I173" s="7">
        <f t="shared" si="386"/>
        <v>0.6818181818181818</v>
      </c>
      <c r="J173" s="13">
        <v>44</v>
      </c>
      <c r="K173" s="196">
        <f t="shared" si="396"/>
        <v>901</v>
      </c>
      <c r="L173" s="8">
        <f t="shared" si="387"/>
        <v>0.00734688552394465</v>
      </c>
      <c r="M173" s="23">
        <f t="shared" si="397"/>
        <v>122637</v>
      </c>
      <c r="N173" s="64">
        <v>2186</v>
      </c>
      <c r="O173" s="67">
        <f t="shared" si="388"/>
        <v>0.0037517978079615005</v>
      </c>
      <c r="P173" s="3">
        <v>582654</v>
      </c>
      <c r="Q173" s="68">
        <v>2683</v>
      </c>
      <c r="R173" s="67">
        <f t="shared" si="389"/>
        <v>0.2368467514124294</v>
      </c>
      <c r="S173" s="40">
        <v>11328</v>
      </c>
      <c r="T173" s="13">
        <v>308</v>
      </c>
      <c r="U173" s="67">
        <f t="shared" si="390"/>
        <v>0.7719298245614035</v>
      </c>
      <c r="V173" s="26">
        <v>399</v>
      </c>
      <c r="W173" s="63">
        <f t="shared" si="398"/>
        <v>5177</v>
      </c>
      <c r="X173" s="67">
        <f t="shared" si="391"/>
        <v>0.008709901561456372</v>
      </c>
      <c r="Y173" s="26">
        <f t="shared" si="399"/>
        <v>594381</v>
      </c>
      <c r="Z173" s="41">
        <v>122</v>
      </c>
      <c r="AA173" s="67">
        <f t="shared" si="392"/>
        <v>0.0032813340505648196</v>
      </c>
      <c r="AB173" s="4">
        <v>37180</v>
      </c>
      <c r="AC173" s="78">
        <v>33</v>
      </c>
      <c r="AD173" s="7">
        <f t="shared" si="393"/>
        <v>0.1625615763546798</v>
      </c>
      <c r="AE173" s="43">
        <v>203</v>
      </c>
      <c r="AF173" s="13">
        <v>10</v>
      </c>
      <c r="AG173" s="7">
        <f t="shared" si="394"/>
        <v>0.5555555555555556</v>
      </c>
      <c r="AH173" s="44">
        <v>18</v>
      </c>
      <c r="AI173" s="63">
        <f t="shared" si="400"/>
        <v>165</v>
      </c>
      <c r="AJ173" s="7">
        <f t="shared" si="395"/>
        <v>0.00441164674741317</v>
      </c>
      <c r="AK173" s="26">
        <f t="shared" si="401"/>
        <v>37401</v>
      </c>
      <c r="AL173" s="25">
        <f t="shared" si="402"/>
        <v>0.003759713154811083</v>
      </c>
      <c r="AM173" s="7">
        <f t="shared" si="403"/>
        <v>0.23542770628311885</v>
      </c>
      <c r="AN173" s="7">
        <f t="shared" si="404"/>
        <v>0.754880694143167</v>
      </c>
      <c r="AO173" s="171">
        <f t="shared" si="405"/>
        <v>0.008230978963078594</v>
      </c>
      <c r="AP173" s="63">
        <f t="shared" si="406"/>
        <v>6243</v>
      </c>
      <c r="AQ173" s="3">
        <f t="shared" si="407"/>
        <v>758476</v>
      </c>
      <c r="AR173" s="116">
        <f t="shared" si="408"/>
        <v>740748</v>
      </c>
      <c r="AS173" s="3">
        <f t="shared" si="409"/>
        <v>13210</v>
      </c>
      <c r="AT173" s="26">
        <f t="shared" si="410"/>
        <v>461</v>
      </c>
      <c r="AU173" s="5"/>
      <c r="AV173" s="5"/>
      <c r="AW173" s="5"/>
      <c r="AX173" s="5"/>
    </row>
    <row r="174" spans="1:50" ht="12.75">
      <c r="A174" s="147">
        <v>39569</v>
      </c>
      <c r="B174" s="3">
        <v>477</v>
      </c>
      <c r="C174" s="7">
        <f t="shared" si="384"/>
        <v>0.00397984214127188</v>
      </c>
      <c r="D174" s="107">
        <v>119854</v>
      </c>
      <c r="E174" s="42">
        <v>397</v>
      </c>
      <c r="F174" s="7">
        <f t="shared" si="385"/>
        <v>0.2388688327316486</v>
      </c>
      <c r="G174" s="40">
        <v>1662</v>
      </c>
      <c r="H174" s="13">
        <v>30</v>
      </c>
      <c r="I174" s="7">
        <f t="shared" si="386"/>
        <v>0.6818181818181818</v>
      </c>
      <c r="J174" s="13">
        <v>44</v>
      </c>
      <c r="K174" s="196">
        <f t="shared" si="396"/>
        <v>904</v>
      </c>
      <c r="L174" s="8">
        <f t="shared" si="387"/>
        <v>0.007436656794998354</v>
      </c>
      <c r="M174" s="23">
        <f t="shared" si="397"/>
        <v>121560</v>
      </c>
      <c r="N174" s="64">
        <v>2009</v>
      </c>
      <c r="O174" s="67">
        <f t="shared" si="388"/>
        <v>0.003443724502039837</v>
      </c>
      <c r="P174" s="3">
        <v>583380</v>
      </c>
      <c r="Q174" s="68">
        <v>2705</v>
      </c>
      <c r="R174" s="67">
        <f t="shared" si="389"/>
        <v>0.23902094194574533</v>
      </c>
      <c r="S174" s="40">
        <v>11317</v>
      </c>
      <c r="T174" s="13">
        <v>311</v>
      </c>
      <c r="U174" s="67">
        <f t="shared" si="390"/>
        <v>0.7775</v>
      </c>
      <c r="V174" s="26">
        <v>400</v>
      </c>
      <c r="W174" s="63">
        <f t="shared" si="398"/>
        <v>5025</v>
      </c>
      <c r="X174" s="67">
        <f t="shared" si="391"/>
        <v>0.008444001566131235</v>
      </c>
      <c r="Y174" s="26">
        <f t="shared" si="399"/>
        <v>595097</v>
      </c>
      <c r="Z174" s="41">
        <v>123</v>
      </c>
      <c r="AA174" s="67">
        <f t="shared" si="392"/>
        <v>0.0033046749059645352</v>
      </c>
      <c r="AB174" s="4">
        <v>37220</v>
      </c>
      <c r="AC174" s="78">
        <v>33</v>
      </c>
      <c r="AD174" s="7">
        <f t="shared" si="393"/>
        <v>0.16336633663366337</v>
      </c>
      <c r="AE174" s="43">
        <v>202</v>
      </c>
      <c r="AF174" s="13">
        <v>10</v>
      </c>
      <c r="AG174" s="7">
        <f t="shared" si="394"/>
        <v>0.5555555555555556</v>
      </c>
      <c r="AH174" s="44">
        <v>18</v>
      </c>
      <c r="AI174" s="63">
        <f t="shared" si="400"/>
        <v>166</v>
      </c>
      <c r="AJ174" s="7">
        <f t="shared" si="395"/>
        <v>0.004433760683760684</v>
      </c>
      <c r="AK174" s="26">
        <f t="shared" si="401"/>
        <v>37440</v>
      </c>
      <c r="AL174" s="25">
        <f t="shared" si="402"/>
        <v>0.0035235139522509164</v>
      </c>
      <c r="AM174" s="7">
        <f t="shared" si="403"/>
        <v>0.23784234883544497</v>
      </c>
      <c r="AN174" s="7">
        <f t="shared" si="404"/>
        <v>0.7597402597402597</v>
      </c>
      <c r="AO174" s="171">
        <f t="shared" si="405"/>
        <v>0.008038956294192826</v>
      </c>
      <c r="AP174" s="63">
        <f t="shared" si="406"/>
        <v>6095</v>
      </c>
      <c r="AQ174" s="3">
        <f t="shared" si="407"/>
        <v>758183</v>
      </c>
      <c r="AR174" s="116">
        <f t="shared" si="408"/>
        <v>740454</v>
      </c>
      <c r="AS174" s="3">
        <f t="shared" si="409"/>
        <v>13181</v>
      </c>
      <c r="AT174" s="26">
        <f t="shared" si="410"/>
        <v>462</v>
      </c>
      <c r="AU174" s="5"/>
      <c r="AV174" s="5"/>
      <c r="AW174" s="5"/>
      <c r="AX174" s="5"/>
    </row>
    <row r="175" spans="1:50" ht="12.75">
      <c r="A175" s="147">
        <v>39539</v>
      </c>
      <c r="B175" s="3">
        <v>518</v>
      </c>
      <c r="C175" s="7">
        <f t="shared" si="384"/>
        <v>0.004339775973726761</v>
      </c>
      <c r="D175" s="107">
        <v>119361</v>
      </c>
      <c r="E175" s="42">
        <v>401</v>
      </c>
      <c r="F175" s="7">
        <f t="shared" si="385"/>
        <v>0.24692118226600984</v>
      </c>
      <c r="G175" s="40">
        <v>1624</v>
      </c>
      <c r="H175" s="13">
        <v>30</v>
      </c>
      <c r="I175" s="7">
        <f t="shared" si="386"/>
        <v>0.6976744186046512</v>
      </c>
      <c r="J175" s="13">
        <v>43</v>
      </c>
      <c r="K175" s="196">
        <f t="shared" si="396"/>
        <v>949</v>
      </c>
      <c r="L175" s="8">
        <f t="shared" si="387"/>
        <v>0.007841160723138446</v>
      </c>
      <c r="M175" s="23">
        <f t="shared" si="397"/>
        <v>121028</v>
      </c>
      <c r="N175" s="64">
        <v>2455</v>
      </c>
      <c r="O175" s="67">
        <f t="shared" si="388"/>
        <v>0.004209194389341051</v>
      </c>
      <c r="P175" s="3">
        <v>583247</v>
      </c>
      <c r="Q175" s="68">
        <v>2745</v>
      </c>
      <c r="R175" s="67">
        <f t="shared" si="389"/>
        <v>0.24219163578613023</v>
      </c>
      <c r="S175" s="40">
        <v>11334</v>
      </c>
      <c r="T175" s="13">
        <v>311</v>
      </c>
      <c r="U175" s="67">
        <f t="shared" si="390"/>
        <v>0.7775</v>
      </c>
      <c r="V175" s="26">
        <v>400</v>
      </c>
      <c r="W175" s="63">
        <f t="shared" si="398"/>
        <v>5511</v>
      </c>
      <c r="X175" s="67">
        <f t="shared" si="391"/>
        <v>0.009262480650642625</v>
      </c>
      <c r="Y175" s="26">
        <f t="shared" si="399"/>
        <v>594981</v>
      </c>
      <c r="Z175" s="41">
        <v>124</v>
      </c>
      <c r="AA175" s="67">
        <f t="shared" si="392"/>
        <v>0.003328680339310641</v>
      </c>
      <c r="AB175" s="4">
        <v>37252</v>
      </c>
      <c r="AC175" s="78">
        <v>33</v>
      </c>
      <c r="AD175" s="7">
        <f t="shared" si="393"/>
        <v>0.1625615763546798</v>
      </c>
      <c r="AE175" s="43">
        <v>203</v>
      </c>
      <c r="AF175" s="13">
        <v>10</v>
      </c>
      <c r="AG175" s="7">
        <f t="shared" si="394"/>
        <v>0.5555555555555556</v>
      </c>
      <c r="AH175" s="44">
        <v>18</v>
      </c>
      <c r="AI175" s="63">
        <f t="shared" si="400"/>
        <v>167</v>
      </c>
      <c r="AJ175" s="7">
        <f t="shared" si="395"/>
        <v>0.004456542043604729</v>
      </c>
      <c r="AK175" s="26">
        <f t="shared" si="401"/>
        <v>37473</v>
      </c>
      <c r="AL175" s="25">
        <f t="shared" si="402"/>
        <v>0.004185927067282999</v>
      </c>
      <c r="AM175" s="7">
        <f t="shared" si="403"/>
        <v>0.24154699490920142</v>
      </c>
      <c r="AN175" s="7">
        <f t="shared" si="404"/>
        <v>0.7613882863340564</v>
      </c>
      <c r="AO175" s="171">
        <f t="shared" si="405"/>
        <v>0.008746736637040127</v>
      </c>
      <c r="AP175" s="63">
        <f t="shared" si="406"/>
        <v>6627</v>
      </c>
      <c r="AQ175" s="3">
        <f t="shared" si="407"/>
        <v>757654</v>
      </c>
      <c r="AR175" s="116">
        <f t="shared" si="408"/>
        <v>739860</v>
      </c>
      <c r="AS175" s="3">
        <f t="shared" si="409"/>
        <v>13161</v>
      </c>
      <c r="AT175" s="26">
        <f t="shared" si="410"/>
        <v>461</v>
      </c>
      <c r="AU175" s="5"/>
      <c r="AV175" s="5"/>
      <c r="AW175" s="5"/>
      <c r="AX175" s="5"/>
    </row>
    <row r="176" spans="1:50" ht="12.75">
      <c r="A176" s="147">
        <v>39508</v>
      </c>
      <c r="B176" s="3">
        <v>620</v>
      </c>
      <c r="C176" s="7">
        <f t="shared" si="384"/>
        <v>0.005196416149120381</v>
      </c>
      <c r="D176" s="3">
        <v>119313</v>
      </c>
      <c r="E176" s="42">
        <v>410</v>
      </c>
      <c r="F176" s="7">
        <f t="shared" si="385"/>
        <v>0.253242742433601</v>
      </c>
      <c r="G176" s="40">
        <v>1619</v>
      </c>
      <c r="H176" s="13">
        <v>28</v>
      </c>
      <c r="I176" s="7">
        <f t="shared" si="386"/>
        <v>0.7</v>
      </c>
      <c r="J176" s="13">
        <v>40</v>
      </c>
      <c r="K176" s="196">
        <f t="shared" si="396"/>
        <v>1058</v>
      </c>
      <c r="L176" s="8">
        <f t="shared" si="387"/>
        <v>0.008745825480276427</v>
      </c>
      <c r="M176" s="23">
        <f t="shared" si="397"/>
        <v>120972</v>
      </c>
      <c r="N176" s="64">
        <v>2995</v>
      </c>
      <c r="O176" s="67">
        <f t="shared" si="388"/>
        <v>0.005136049580455916</v>
      </c>
      <c r="P176" s="3">
        <v>583133</v>
      </c>
      <c r="Q176" s="68">
        <v>2737</v>
      </c>
      <c r="R176" s="67">
        <f t="shared" si="389"/>
        <v>0.24150710315009266</v>
      </c>
      <c r="S176" s="40">
        <v>11333</v>
      </c>
      <c r="T176" s="13">
        <v>310</v>
      </c>
      <c r="U176" s="67">
        <f t="shared" si="390"/>
        <v>0.7769423558897243</v>
      </c>
      <c r="V176" s="26">
        <v>399</v>
      </c>
      <c r="W176" s="63">
        <f t="shared" si="398"/>
        <v>6042</v>
      </c>
      <c r="X176" s="67">
        <f t="shared" si="391"/>
        <v>0.010156926361443353</v>
      </c>
      <c r="Y176" s="26">
        <f t="shared" si="399"/>
        <v>594865</v>
      </c>
      <c r="Z176" s="41">
        <v>124</v>
      </c>
      <c r="AA176" s="67">
        <f t="shared" si="392"/>
        <v>0.0033268049258176158</v>
      </c>
      <c r="AB176" s="4">
        <v>37273</v>
      </c>
      <c r="AC176" s="78">
        <v>33</v>
      </c>
      <c r="AD176" s="7">
        <f t="shared" si="393"/>
        <v>0.16176470588235295</v>
      </c>
      <c r="AE176" s="43">
        <v>204</v>
      </c>
      <c r="AF176" s="13">
        <v>10</v>
      </c>
      <c r="AG176" s="7">
        <f t="shared" si="394"/>
        <v>0.5555555555555556</v>
      </c>
      <c r="AH176" s="44">
        <v>18</v>
      </c>
      <c r="AI176" s="63">
        <f t="shared" si="400"/>
        <v>167</v>
      </c>
      <c r="AJ176" s="7">
        <f t="shared" si="395"/>
        <v>0.004453927190292039</v>
      </c>
      <c r="AK176" s="26">
        <f t="shared" si="401"/>
        <v>37495</v>
      </c>
      <c r="AL176" s="25">
        <f t="shared" si="402"/>
        <v>0.005054622092983957</v>
      </c>
      <c r="AM176" s="7">
        <f t="shared" si="403"/>
        <v>0.24171480693219824</v>
      </c>
      <c r="AN176" s="7">
        <f t="shared" si="404"/>
        <v>0.7614879649890591</v>
      </c>
      <c r="AO176" s="171">
        <f t="shared" si="405"/>
        <v>0.00959208240716786</v>
      </c>
      <c r="AP176" s="63">
        <f t="shared" si="406"/>
        <v>7267</v>
      </c>
      <c r="AQ176" s="3">
        <f t="shared" si="407"/>
        <v>757604</v>
      </c>
      <c r="AR176" s="116">
        <f t="shared" si="408"/>
        <v>739719</v>
      </c>
      <c r="AS176" s="3">
        <f t="shared" si="409"/>
        <v>13156</v>
      </c>
      <c r="AT176" s="26">
        <f t="shared" si="410"/>
        <v>457</v>
      </c>
      <c r="AU176" s="5"/>
      <c r="AV176" s="5"/>
      <c r="AW176" s="5"/>
      <c r="AX176" s="5"/>
    </row>
    <row r="177" spans="1:50" ht="12.75">
      <c r="A177" s="147">
        <v>39479</v>
      </c>
      <c r="B177" s="3">
        <v>615</v>
      </c>
      <c r="C177" s="7">
        <f t="shared" si="384"/>
        <v>0.005152523060682479</v>
      </c>
      <c r="D177" s="3">
        <v>119359</v>
      </c>
      <c r="E177" s="42">
        <v>408</v>
      </c>
      <c r="F177" s="7">
        <f t="shared" si="385"/>
        <v>0.254840724547158</v>
      </c>
      <c r="G177" s="40">
        <v>1601</v>
      </c>
      <c r="H177" s="13">
        <v>28</v>
      </c>
      <c r="I177" s="7">
        <f t="shared" si="386"/>
        <v>0.7</v>
      </c>
      <c r="J177" s="13">
        <v>40</v>
      </c>
      <c r="K177" s="196">
        <f t="shared" si="396"/>
        <v>1051</v>
      </c>
      <c r="L177" s="8">
        <f t="shared" si="387"/>
        <v>0.008685950413223141</v>
      </c>
      <c r="M177" s="23">
        <f t="shared" si="397"/>
        <v>121000</v>
      </c>
      <c r="N177" s="64">
        <v>2983</v>
      </c>
      <c r="O177" s="67">
        <f t="shared" si="388"/>
        <v>0.005118780415817255</v>
      </c>
      <c r="P177" s="3">
        <v>582756</v>
      </c>
      <c r="Q177" s="68">
        <v>2752</v>
      </c>
      <c r="R177" s="67">
        <f t="shared" si="389"/>
        <v>0.24353982300884955</v>
      </c>
      <c r="S177" s="40">
        <v>11300</v>
      </c>
      <c r="T177" s="13">
        <v>318</v>
      </c>
      <c r="U177" s="67">
        <f t="shared" si="390"/>
        <v>0.7910447761194029</v>
      </c>
      <c r="V177" s="26">
        <v>402</v>
      </c>
      <c r="W177" s="63">
        <f t="shared" si="398"/>
        <v>6053</v>
      </c>
      <c r="X177" s="67">
        <f t="shared" si="391"/>
        <v>0.010182384625995444</v>
      </c>
      <c r="Y177" s="26">
        <f t="shared" si="399"/>
        <v>594458</v>
      </c>
      <c r="Z177" s="41">
        <v>123</v>
      </c>
      <c r="AA177" s="67">
        <f t="shared" si="392"/>
        <v>0.0032992677235052707</v>
      </c>
      <c r="AB177" s="4">
        <v>37281</v>
      </c>
      <c r="AC177" s="78">
        <v>34</v>
      </c>
      <c r="AD177" s="7">
        <f t="shared" si="393"/>
        <v>0.16585365853658537</v>
      </c>
      <c r="AE177" s="43">
        <v>205</v>
      </c>
      <c r="AF177" s="13">
        <v>10</v>
      </c>
      <c r="AG177" s="7">
        <f t="shared" si="394"/>
        <v>0.5555555555555556</v>
      </c>
      <c r="AH177" s="44">
        <v>18</v>
      </c>
      <c r="AI177" s="63">
        <f t="shared" si="400"/>
        <v>167</v>
      </c>
      <c r="AJ177" s="7">
        <f t="shared" si="395"/>
        <v>0.004452858361774744</v>
      </c>
      <c r="AK177" s="26">
        <f t="shared" si="401"/>
        <v>37504</v>
      </c>
      <c r="AL177" s="25">
        <f t="shared" si="402"/>
        <v>0.005032485975039086</v>
      </c>
      <c r="AM177" s="7">
        <f t="shared" si="403"/>
        <v>0.24370517320311308</v>
      </c>
      <c r="AN177" s="7">
        <f t="shared" si="404"/>
        <v>0.7739130434782608</v>
      </c>
      <c r="AO177" s="171">
        <f t="shared" si="405"/>
        <v>0.009601848794981842</v>
      </c>
      <c r="AP177" s="63">
        <f t="shared" si="406"/>
        <v>7271</v>
      </c>
      <c r="AQ177" s="3">
        <f t="shared" si="407"/>
        <v>757250</v>
      </c>
      <c r="AR177" s="116">
        <f t="shared" si="408"/>
        <v>739396</v>
      </c>
      <c r="AS177" s="3">
        <f t="shared" si="409"/>
        <v>13106</v>
      </c>
      <c r="AT177" s="26">
        <f t="shared" si="410"/>
        <v>460</v>
      </c>
      <c r="AU177" s="5"/>
      <c r="AV177" s="5"/>
      <c r="AW177" s="5"/>
      <c r="AX177" s="5"/>
    </row>
    <row r="178" spans="1:50" ht="12.75">
      <c r="A178" s="147">
        <v>39448</v>
      </c>
      <c r="B178" s="3">
        <v>609</v>
      </c>
      <c r="C178" s="7">
        <f t="shared" si="384"/>
        <v>0.0051022545430172836</v>
      </c>
      <c r="D178" s="3">
        <v>119359</v>
      </c>
      <c r="E178" s="42">
        <v>404</v>
      </c>
      <c r="F178" s="7">
        <f t="shared" si="385"/>
        <v>0.25667090216010163</v>
      </c>
      <c r="G178" s="40">
        <v>1574</v>
      </c>
      <c r="H178" s="13">
        <v>29</v>
      </c>
      <c r="I178" s="7">
        <f t="shared" si="386"/>
        <v>0.725</v>
      </c>
      <c r="J178" s="13">
        <v>40</v>
      </c>
      <c r="K178" s="196">
        <f t="shared" si="396"/>
        <v>1042</v>
      </c>
      <c r="L178" s="8">
        <f t="shared" si="387"/>
        <v>0.008613492266869466</v>
      </c>
      <c r="M178" s="23">
        <f t="shared" si="397"/>
        <v>120973</v>
      </c>
      <c r="N178" s="64">
        <v>2959</v>
      </c>
      <c r="O178" s="67">
        <f t="shared" si="388"/>
        <v>0.005080630760566476</v>
      </c>
      <c r="P178" s="3">
        <v>582408</v>
      </c>
      <c r="Q178" s="68">
        <v>2740</v>
      </c>
      <c r="R178" s="67">
        <f t="shared" si="389"/>
        <v>0.2421564295183385</v>
      </c>
      <c r="S178" s="40">
        <v>11315</v>
      </c>
      <c r="T178" s="13">
        <v>318</v>
      </c>
      <c r="U178" s="67">
        <f t="shared" si="390"/>
        <v>0.7890818858560794</v>
      </c>
      <c r="V178" s="26">
        <v>403</v>
      </c>
      <c r="W178" s="63">
        <f t="shared" si="398"/>
        <v>6017</v>
      </c>
      <c r="X178" s="67">
        <f t="shared" si="391"/>
        <v>0.010127481376004416</v>
      </c>
      <c r="Y178" s="26">
        <f t="shared" si="399"/>
        <v>594126</v>
      </c>
      <c r="Z178" s="41">
        <v>125</v>
      </c>
      <c r="AA178" s="67">
        <f t="shared" si="392"/>
        <v>0.003351026754597609</v>
      </c>
      <c r="AB178" s="4">
        <v>37302</v>
      </c>
      <c r="AC178" s="78">
        <v>34</v>
      </c>
      <c r="AD178" s="7">
        <f t="shared" si="393"/>
        <v>0.16748768472906403</v>
      </c>
      <c r="AE178" s="43">
        <v>203</v>
      </c>
      <c r="AF178" s="13">
        <v>10</v>
      </c>
      <c r="AG178" s="7">
        <f t="shared" si="394"/>
        <v>0.5555555555555556</v>
      </c>
      <c r="AH178" s="44">
        <v>18</v>
      </c>
      <c r="AI178" s="63">
        <f t="shared" si="400"/>
        <v>169</v>
      </c>
      <c r="AJ178" s="7">
        <f t="shared" si="395"/>
        <v>0.004503904272046478</v>
      </c>
      <c r="AK178" s="26">
        <f t="shared" si="401"/>
        <v>37523</v>
      </c>
      <c r="AL178" s="25">
        <f t="shared" si="402"/>
        <v>0.004996827089216298</v>
      </c>
      <c r="AM178" s="7">
        <f t="shared" si="403"/>
        <v>0.24274366025053468</v>
      </c>
      <c r="AN178" s="7">
        <f t="shared" si="404"/>
        <v>0.7744034707158352</v>
      </c>
      <c r="AO178" s="171">
        <f t="shared" si="405"/>
        <v>0.009549591684932177</v>
      </c>
      <c r="AP178" s="63">
        <f t="shared" si="406"/>
        <v>7228</v>
      </c>
      <c r="AQ178" s="3">
        <f t="shared" si="407"/>
        <v>756891</v>
      </c>
      <c r="AR178" s="116">
        <f t="shared" si="408"/>
        <v>739069</v>
      </c>
      <c r="AS178" s="3">
        <f t="shared" si="409"/>
        <v>13092</v>
      </c>
      <c r="AT178" s="26">
        <f t="shared" si="410"/>
        <v>461</v>
      </c>
      <c r="AU178" s="5"/>
      <c r="AV178" s="5"/>
      <c r="AW178" s="5"/>
      <c r="AX178" s="5"/>
    </row>
    <row r="179" spans="1:50" ht="12.75">
      <c r="A179" s="147">
        <v>39417</v>
      </c>
      <c r="B179" s="3">
        <v>583</v>
      </c>
      <c r="C179" s="7">
        <f t="shared" si="384"/>
        <v>0.004877069408310258</v>
      </c>
      <c r="D179" s="3">
        <v>119539</v>
      </c>
      <c r="E179" s="42">
        <v>409</v>
      </c>
      <c r="F179" s="7">
        <f t="shared" si="385"/>
        <v>0.2577189666036547</v>
      </c>
      <c r="G179" s="40">
        <v>1587</v>
      </c>
      <c r="H179" s="13">
        <v>29</v>
      </c>
      <c r="I179" s="7">
        <f t="shared" si="386"/>
        <v>0.725</v>
      </c>
      <c r="J179" s="13">
        <v>40</v>
      </c>
      <c r="K179" s="196">
        <f t="shared" si="396"/>
        <v>1021</v>
      </c>
      <c r="L179" s="8">
        <f t="shared" si="387"/>
        <v>0.008426456266609445</v>
      </c>
      <c r="M179" s="23">
        <f t="shared" si="397"/>
        <v>121166</v>
      </c>
      <c r="N179" s="64">
        <v>2952</v>
      </c>
      <c r="O179" s="67">
        <f t="shared" si="388"/>
        <v>0.005073934722936007</v>
      </c>
      <c r="P179" s="3">
        <v>581797</v>
      </c>
      <c r="Q179" s="68">
        <v>2800</v>
      </c>
      <c r="R179" s="67">
        <f t="shared" si="389"/>
        <v>0.24628375406807987</v>
      </c>
      <c r="S179" s="40">
        <v>11369</v>
      </c>
      <c r="T179" s="13">
        <v>330</v>
      </c>
      <c r="U179" s="67">
        <f t="shared" si="390"/>
        <v>0.8048780487804879</v>
      </c>
      <c r="V179" s="26">
        <v>410</v>
      </c>
      <c r="W179" s="63">
        <f t="shared" si="398"/>
        <v>6082</v>
      </c>
      <c r="X179" s="67">
        <f t="shared" si="391"/>
        <v>0.010246371147081419</v>
      </c>
      <c r="Y179" s="26">
        <f t="shared" si="399"/>
        <v>593576</v>
      </c>
      <c r="Z179" s="41">
        <v>125</v>
      </c>
      <c r="AA179" s="67">
        <f t="shared" si="392"/>
        <v>0.0033511165920484705</v>
      </c>
      <c r="AB179" s="4">
        <v>37301</v>
      </c>
      <c r="AC179" s="78">
        <v>34</v>
      </c>
      <c r="AD179" s="7">
        <f t="shared" si="393"/>
        <v>0.1650485436893204</v>
      </c>
      <c r="AE179" s="43">
        <v>206</v>
      </c>
      <c r="AF179" s="13">
        <v>10</v>
      </c>
      <c r="AG179" s="7">
        <f t="shared" si="394"/>
        <v>0.5555555555555556</v>
      </c>
      <c r="AH179" s="44">
        <v>18</v>
      </c>
      <c r="AI179" s="63">
        <f t="shared" si="400"/>
        <v>169</v>
      </c>
      <c r="AJ179" s="7">
        <f t="shared" si="395"/>
        <v>0.004503664223850766</v>
      </c>
      <c r="AK179" s="26">
        <f t="shared" si="401"/>
        <v>37525</v>
      </c>
      <c r="AL179" s="25">
        <f t="shared" si="402"/>
        <v>0.004955072654091252</v>
      </c>
      <c r="AM179" s="7">
        <f t="shared" si="403"/>
        <v>0.24639112596869778</v>
      </c>
      <c r="AN179" s="7">
        <f t="shared" si="404"/>
        <v>0.7884615384615384</v>
      </c>
      <c r="AO179" s="171">
        <f t="shared" si="405"/>
        <v>0.009611584655829402</v>
      </c>
      <c r="AP179" s="63">
        <f t="shared" si="406"/>
        <v>7272</v>
      </c>
      <c r="AQ179" s="3">
        <f t="shared" si="407"/>
        <v>756587</v>
      </c>
      <c r="AR179" s="116">
        <f t="shared" si="408"/>
        <v>738637</v>
      </c>
      <c r="AS179" s="3">
        <f t="shared" si="409"/>
        <v>13162</v>
      </c>
      <c r="AT179" s="26">
        <f t="shared" si="410"/>
        <v>468</v>
      </c>
      <c r="AU179" s="5"/>
      <c r="AV179" s="5"/>
      <c r="AW179" s="5"/>
      <c r="AX179" s="5"/>
    </row>
    <row r="180" spans="1:50" ht="12.75">
      <c r="A180" s="147">
        <v>39387</v>
      </c>
      <c r="B180" s="3">
        <v>581</v>
      </c>
      <c r="C180" s="7">
        <f t="shared" si="384"/>
        <v>0.004837796429523048</v>
      </c>
      <c r="D180" s="3">
        <v>120096</v>
      </c>
      <c r="E180" s="42">
        <v>406</v>
      </c>
      <c r="F180" s="7">
        <f t="shared" si="385"/>
        <v>0.25123762376237624</v>
      </c>
      <c r="G180" s="40">
        <v>1616</v>
      </c>
      <c r="H180" s="13">
        <v>28</v>
      </c>
      <c r="I180" s="7">
        <f t="shared" si="386"/>
        <v>0.7</v>
      </c>
      <c r="J180" s="13">
        <v>40</v>
      </c>
      <c r="K180" s="196">
        <f t="shared" si="396"/>
        <v>1015</v>
      </c>
      <c r="L180" s="8">
        <f t="shared" si="387"/>
        <v>0.008336618700308825</v>
      </c>
      <c r="M180" s="23">
        <f t="shared" si="397"/>
        <v>121752</v>
      </c>
      <c r="N180" s="64">
        <v>2926</v>
      </c>
      <c r="O180" s="67">
        <f t="shared" si="388"/>
        <v>0.005038859144427204</v>
      </c>
      <c r="P180" s="3">
        <v>580687</v>
      </c>
      <c r="Q180" s="68">
        <v>2813</v>
      </c>
      <c r="R180" s="67">
        <f t="shared" si="389"/>
        <v>0.24773227653016291</v>
      </c>
      <c r="S180" s="40">
        <v>11355</v>
      </c>
      <c r="T180" s="13">
        <v>332</v>
      </c>
      <c r="U180" s="67">
        <f t="shared" si="390"/>
        <v>0.8019323671497585</v>
      </c>
      <c r="V180" s="26">
        <v>414</v>
      </c>
      <c r="W180" s="63">
        <f t="shared" si="398"/>
        <v>6071</v>
      </c>
      <c r="X180" s="67">
        <f t="shared" si="391"/>
        <v>0.01024717447371619</v>
      </c>
      <c r="Y180" s="26">
        <f t="shared" si="399"/>
        <v>592456</v>
      </c>
      <c r="Z180" s="41">
        <v>125</v>
      </c>
      <c r="AA180" s="67">
        <f t="shared" si="392"/>
        <v>0.0033556146143727686</v>
      </c>
      <c r="AB180" s="4">
        <v>37251</v>
      </c>
      <c r="AC180" s="78">
        <v>34</v>
      </c>
      <c r="AD180" s="7">
        <f t="shared" si="393"/>
        <v>0.1619047619047619</v>
      </c>
      <c r="AE180" s="43">
        <v>210</v>
      </c>
      <c r="AF180" s="13">
        <v>10</v>
      </c>
      <c r="AG180" s="7">
        <f t="shared" si="394"/>
        <v>0.5555555555555556</v>
      </c>
      <c r="AH180" s="44">
        <v>18</v>
      </c>
      <c r="AI180" s="63">
        <f t="shared" si="400"/>
        <v>169</v>
      </c>
      <c r="AJ180" s="7">
        <f t="shared" si="395"/>
        <v>0.004509191814082553</v>
      </c>
      <c r="AK180" s="26">
        <f t="shared" si="401"/>
        <v>37479</v>
      </c>
      <c r="AL180" s="25">
        <f t="shared" si="402"/>
        <v>0.004921182492947479</v>
      </c>
      <c r="AM180" s="7">
        <f t="shared" si="403"/>
        <v>0.24679462863212198</v>
      </c>
      <c r="AN180" s="7">
        <f t="shared" si="404"/>
        <v>0.7838983050847458</v>
      </c>
      <c r="AO180" s="171">
        <f t="shared" si="405"/>
        <v>0.009596357749042349</v>
      </c>
      <c r="AP180" s="63">
        <f t="shared" si="406"/>
        <v>7255</v>
      </c>
      <c r="AQ180" s="3">
        <f t="shared" si="407"/>
        <v>756016</v>
      </c>
      <c r="AR180" s="116">
        <f t="shared" si="408"/>
        <v>738034</v>
      </c>
      <c r="AS180" s="3">
        <f t="shared" si="409"/>
        <v>13181</v>
      </c>
      <c r="AT180" s="26">
        <f t="shared" si="410"/>
        <v>472</v>
      </c>
      <c r="AU180" s="5"/>
      <c r="AV180" s="5"/>
      <c r="AW180" s="5"/>
      <c r="AX180" s="5"/>
    </row>
    <row r="181" spans="1:50" ht="12.75">
      <c r="A181" s="147">
        <v>39356</v>
      </c>
      <c r="B181" s="3">
        <v>566</v>
      </c>
      <c r="C181" s="7">
        <f t="shared" si="384"/>
        <v>0.004680277509033928</v>
      </c>
      <c r="D181" s="3">
        <v>120933</v>
      </c>
      <c r="E181" s="42">
        <v>401</v>
      </c>
      <c r="F181" s="7">
        <f t="shared" si="385"/>
        <v>0.24707332101047444</v>
      </c>
      <c r="G181" s="40">
        <v>1623</v>
      </c>
      <c r="H181" s="13">
        <v>27</v>
      </c>
      <c r="I181" s="7">
        <f t="shared" si="386"/>
        <v>0.675</v>
      </c>
      <c r="J181" s="13">
        <v>40</v>
      </c>
      <c r="K181" s="196">
        <f t="shared" si="396"/>
        <v>994</v>
      </c>
      <c r="L181" s="8">
        <f t="shared" si="387"/>
        <v>0.008107931743286894</v>
      </c>
      <c r="M181" s="23">
        <f t="shared" si="397"/>
        <v>122596</v>
      </c>
      <c r="N181" s="64">
        <v>2940</v>
      </c>
      <c r="O181" s="67">
        <f t="shared" si="388"/>
        <v>0.005066074361011216</v>
      </c>
      <c r="P181" s="3">
        <v>580331</v>
      </c>
      <c r="Q181" s="68">
        <v>2837</v>
      </c>
      <c r="R181" s="67">
        <f t="shared" si="389"/>
        <v>0.2500881523272214</v>
      </c>
      <c r="S181" s="40">
        <v>11344</v>
      </c>
      <c r="T181" s="13">
        <v>335</v>
      </c>
      <c r="U181" s="67">
        <f t="shared" si="390"/>
        <v>0.8014354066985646</v>
      </c>
      <c r="V181" s="26">
        <v>418</v>
      </c>
      <c r="W181" s="63">
        <f t="shared" si="398"/>
        <v>6112</v>
      </c>
      <c r="X181" s="67">
        <f t="shared" si="391"/>
        <v>0.010322702683531134</v>
      </c>
      <c r="Y181" s="26">
        <f t="shared" si="399"/>
        <v>592093</v>
      </c>
      <c r="Z181" s="41">
        <v>125</v>
      </c>
      <c r="AA181" s="67">
        <f t="shared" si="392"/>
        <v>0.0033523748223241345</v>
      </c>
      <c r="AB181" s="4">
        <v>37287</v>
      </c>
      <c r="AC181" s="78">
        <v>34</v>
      </c>
      <c r="AD181" s="7">
        <f t="shared" si="393"/>
        <v>0.1619047619047619</v>
      </c>
      <c r="AE181" s="43">
        <v>210</v>
      </c>
      <c r="AF181" s="13">
        <v>10</v>
      </c>
      <c r="AG181" s="7">
        <f t="shared" si="394"/>
        <v>0.5555555555555556</v>
      </c>
      <c r="AH181" s="44">
        <v>18</v>
      </c>
      <c r="AI181" s="63">
        <f t="shared" si="400"/>
        <v>169</v>
      </c>
      <c r="AJ181" s="7">
        <f t="shared" si="395"/>
        <v>0.004504864720778355</v>
      </c>
      <c r="AK181" s="26">
        <f t="shared" si="401"/>
        <v>37515</v>
      </c>
      <c r="AL181" s="25">
        <f t="shared" si="402"/>
        <v>0.004916383567282422</v>
      </c>
      <c r="AM181" s="7">
        <f t="shared" si="403"/>
        <v>0.24831145177202701</v>
      </c>
      <c r="AN181" s="7">
        <f t="shared" si="404"/>
        <v>0.7815126050420168</v>
      </c>
      <c r="AO181" s="171">
        <f t="shared" si="405"/>
        <v>0.009616159907156141</v>
      </c>
      <c r="AP181" s="63">
        <f t="shared" si="406"/>
        <v>7275</v>
      </c>
      <c r="AQ181" s="3">
        <f t="shared" si="407"/>
        <v>756539</v>
      </c>
      <c r="AR181" s="116">
        <f t="shared" si="408"/>
        <v>738551</v>
      </c>
      <c r="AS181" s="3">
        <f t="shared" si="409"/>
        <v>13177</v>
      </c>
      <c r="AT181" s="26">
        <f t="shared" si="410"/>
        <v>476</v>
      </c>
      <c r="AU181" s="5"/>
      <c r="AV181" s="5"/>
      <c r="AW181" s="5"/>
      <c r="AX181" s="5"/>
    </row>
    <row r="182" spans="1:50" ht="12.75">
      <c r="A182" s="147">
        <v>39326</v>
      </c>
      <c r="B182" s="3">
        <v>567</v>
      </c>
      <c r="C182" s="7">
        <f t="shared" si="384"/>
        <v>0.004685137290222358</v>
      </c>
      <c r="D182" s="3">
        <v>121021</v>
      </c>
      <c r="E182" s="42">
        <v>419</v>
      </c>
      <c r="F182" s="7">
        <f t="shared" si="385"/>
        <v>0.25816389402341344</v>
      </c>
      <c r="G182" s="40">
        <v>1623</v>
      </c>
      <c r="H182" s="13">
        <v>27</v>
      </c>
      <c r="I182" s="7">
        <f t="shared" si="386"/>
        <v>0.675</v>
      </c>
      <c r="J182" s="13">
        <v>40</v>
      </c>
      <c r="K182" s="196">
        <f t="shared" si="396"/>
        <v>1013</v>
      </c>
      <c r="L182" s="8">
        <f t="shared" si="387"/>
        <v>0.008256985425972417</v>
      </c>
      <c r="M182" s="23">
        <f t="shared" si="397"/>
        <v>122684</v>
      </c>
      <c r="N182" s="64">
        <v>2937</v>
      </c>
      <c r="O182" s="67">
        <f t="shared" si="388"/>
        <v>0.005064063768925581</v>
      </c>
      <c r="P182" s="3">
        <v>579969</v>
      </c>
      <c r="Q182" s="68">
        <v>2858</v>
      </c>
      <c r="R182" s="67">
        <f t="shared" si="389"/>
        <v>0.25140745953553834</v>
      </c>
      <c r="S182" s="40">
        <v>11368</v>
      </c>
      <c r="T182" s="13">
        <v>333</v>
      </c>
      <c r="U182" s="67">
        <f t="shared" si="390"/>
        <v>0.8004807692307693</v>
      </c>
      <c r="V182" s="26">
        <v>416</v>
      </c>
      <c r="W182" s="63">
        <f t="shared" si="398"/>
        <v>6128</v>
      </c>
      <c r="X182" s="67">
        <f t="shared" si="391"/>
        <v>0.010355672045600107</v>
      </c>
      <c r="Y182" s="26">
        <f t="shared" si="399"/>
        <v>591753</v>
      </c>
      <c r="Z182" s="41">
        <v>125</v>
      </c>
      <c r="AA182" s="67">
        <f t="shared" si="392"/>
        <v>0.0033539939359789636</v>
      </c>
      <c r="AB182" s="4">
        <v>37269</v>
      </c>
      <c r="AC182" s="78">
        <v>34</v>
      </c>
      <c r="AD182" s="7">
        <f t="shared" si="393"/>
        <v>0.16037735849056603</v>
      </c>
      <c r="AE182" s="43">
        <v>212</v>
      </c>
      <c r="AF182" s="13">
        <v>10</v>
      </c>
      <c r="AG182" s="7">
        <f t="shared" si="394"/>
        <v>0.5555555555555556</v>
      </c>
      <c r="AH182" s="44">
        <v>18</v>
      </c>
      <c r="AI182" s="63">
        <f t="shared" si="400"/>
        <v>169</v>
      </c>
      <c r="AJ182" s="7">
        <f t="shared" si="395"/>
        <v>0.004506786847649271</v>
      </c>
      <c r="AK182" s="26">
        <f t="shared" si="401"/>
        <v>37499</v>
      </c>
      <c r="AL182" s="25">
        <f t="shared" si="402"/>
        <v>0.004915619044264953</v>
      </c>
      <c r="AM182" s="7">
        <f t="shared" si="403"/>
        <v>0.25077633871089905</v>
      </c>
      <c r="AN182" s="7">
        <f t="shared" si="404"/>
        <v>0.7805907172995781</v>
      </c>
      <c r="AO182" s="171">
        <f t="shared" si="405"/>
        <v>0.009665361644513024</v>
      </c>
      <c r="AP182" s="63">
        <f t="shared" si="406"/>
        <v>7310</v>
      </c>
      <c r="AQ182" s="3">
        <f t="shared" si="407"/>
        <v>756309</v>
      </c>
      <c r="AR182" s="116">
        <f t="shared" si="408"/>
        <v>738259</v>
      </c>
      <c r="AS182" s="3">
        <f t="shared" si="409"/>
        <v>13203</v>
      </c>
      <c r="AT182" s="26">
        <f t="shared" si="410"/>
        <v>474</v>
      </c>
      <c r="AU182" s="5"/>
      <c r="AV182" s="5"/>
      <c r="AW182" s="5"/>
      <c r="AX182" s="5"/>
    </row>
    <row r="183" spans="1:50" ht="12.75">
      <c r="A183" s="147">
        <v>39295</v>
      </c>
      <c r="B183" s="3">
        <v>565</v>
      </c>
      <c r="C183" s="7">
        <f t="shared" si="384"/>
        <v>0.004669267131665069</v>
      </c>
      <c r="D183" s="3">
        <v>121004</v>
      </c>
      <c r="E183" s="42">
        <v>418</v>
      </c>
      <c r="F183" s="7">
        <f t="shared" si="385"/>
        <v>0.2575477510782502</v>
      </c>
      <c r="G183" s="40">
        <v>1623</v>
      </c>
      <c r="H183" s="13">
        <v>26</v>
      </c>
      <c r="I183" s="7">
        <f t="shared" si="386"/>
        <v>0.65</v>
      </c>
      <c r="J183" s="13">
        <v>40</v>
      </c>
      <c r="K183" s="196">
        <f t="shared" si="396"/>
        <v>1009</v>
      </c>
      <c r="L183" s="8">
        <f t="shared" si="387"/>
        <v>0.008225521126301287</v>
      </c>
      <c r="M183" s="23">
        <f t="shared" si="397"/>
        <v>122667</v>
      </c>
      <c r="N183" s="64">
        <v>2889</v>
      </c>
      <c r="O183" s="67">
        <f t="shared" si="388"/>
        <v>0.004986218430540717</v>
      </c>
      <c r="P183" s="3">
        <v>579397</v>
      </c>
      <c r="Q183" s="68">
        <v>2856</v>
      </c>
      <c r="R183" s="67">
        <f t="shared" si="389"/>
        <v>0.25236370062737473</v>
      </c>
      <c r="S183" s="40">
        <v>11317</v>
      </c>
      <c r="T183" s="13">
        <v>334</v>
      </c>
      <c r="U183" s="67">
        <f t="shared" si="390"/>
        <v>0.7990430622009569</v>
      </c>
      <c r="V183" s="26">
        <v>418</v>
      </c>
      <c r="W183" s="63">
        <f t="shared" si="398"/>
        <v>6079</v>
      </c>
      <c r="X183" s="67">
        <f t="shared" si="391"/>
        <v>0.010283659148887219</v>
      </c>
      <c r="Y183" s="26">
        <f t="shared" si="399"/>
        <v>591132</v>
      </c>
      <c r="Z183" s="41">
        <v>126</v>
      </c>
      <c r="AA183" s="67">
        <f t="shared" si="392"/>
        <v>0.003387278885961611</v>
      </c>
      <c r="AB183" s="4">
        <v>37198</v>
      </c>
      <c r="AC183" s="78">
        <v>34</v>
      </c>
      <c r="AD183" s="7">
        <f t="shared" si="393"/>
        <v>0.1596244131455399</v>
      </c>
      <c r="AE183" s="43">
        <v>213</v>
      </c>
      <c r="AF183" s="13">
        <v>10</v>
      </c>
      <c r="AG183" s="7">
        <f t="shared" si="394"/>
        <v>0.5555555555555556</v>
      </c>
      <c r="AH183" s="44">
        <v>18</v>
      </c>
      <c r="AI183" s="63">
        <f t="shared" si="400"/>
        <v>170</v>
      </c>
      <c r="AJ183" s="7">
        <f t="shared" si="395"/>
        <v>0.004541932725961153</v>
      </c>
      <c r="AK183" s="26">
        <f t="shared" si="401"/>
        <v>37429</v>
      </c>
      <c r="AL183" s="25">
        <f t="shared" si="402"/>
        <v>0.004853585755945982</v>
      </c>
      <c r="AM183" s="7">
        <f t="shared" si="403"/>
        <v>0.2515015585797917</v>
      </c>
      <c r="AN183" s="7">
        <f t="shared" si="404"/>
        <v>0.7773109243697479</v>
      </c>
      <c r="AO183" s="171">
        <f t="shared" si="405"/>
        <v>0.009605649572457275</v>
      </c>
      <c r="AP183" s="63">
        <f t="shared" si="406"/>
        <v>7258</v>
      </c>
      <c r="AQ183" s="3">
        <f t="shared" si="407"/>
        <v>755597</v>
      </c>
      <c r="AR183" s="116">
        <f t="shared" si="408"/>
        <v>737599</v>
      </c>
      <c r="AS183" s="3">
        <f t="shared" si="409"/>
        <v>13153</v>
      </c>
      <c r="AT183" s="26">
        <f t="shared" si="410"/>
        <v>476</v>
      </c>
      <c r="AU183" s="5"/>
      <c r="AV183" s="5"/>
      <c r="AW183" s="5"/>
      <c r="AX183" s="5"/>
    </row>
    <row r="184" spans="1:50" ht="12.75">
      <c r="A184" s="147">
        <v>39264</v>
      </c>
      <c r="B184" s="3">
        <v>568</v>
      </c>
      <c r="C184" s="7">
        <f t="shared" si="384"/>
        <v>0.0047031547569760706</v>
      </c>
      <c r="D184" s="3">
        <v>120770</v>
      </c>
      <c r="E184" s="42">
        <v>415</v>
      </c>
      <c r="F184" s="7">
        <f t="shared" si="385"/>
        <v>0.25617283950617287</v>
      </c>
      <c r="G184" s="40">
        <v>1620</v>
      </c>
      <c r="H184" s="13">
        <v>26</v>
      </c>
      <c r="I184" s="7">
        <f t="shared" si="386"/>
        <v>0.65</v>
      </c>
      <c r="J184" s="13">
        <v>40</v>
      </c>
      <c r="K184" s="196">
        <f t="shared" si="396"/>
        <v>1009</v>
      </c>
      <c r="L184" s="8">
        <f t="shared" si="387"/>
        <v>0.008241444090500694</v>
      </c>
      <c r="M184" s="23">
        <f t="shared" si="397"/>
        <v>122430</v>
      </c>
      <c r="N184" s="64">
        <v>2928</v>
      </c>
      <c r="O184" s="67">
        <f t="shared" si="388"/>
        <v>0.005056348584118782</v>
      </c>
      <c r="P184" s="3">
        <v>579074</v>
      </c>
      <c r="Q184" s="68">
        <v>2853</v>
      </c>
      <c r="R184" s="67">
        <f t="shared" si="389"/>
        <v>0.25241086437229054</v>
      </c>
      <c r="S184" s="40">
        <v>11303</v>
      </c>
      <c r="T184" s="13">
        <v>335</v>
      </c>
      <c r="U184" s="67">
        <f t="shared" si="390"/>
        <v>0.8014354066985646</v>
      </c>
      <c r="V184" s="26">
        <v>418</v>
      </c>
      <c r="W184" s="63">
        <f t="shared" si="398"/>
        <v>6116</v>
      </c>
      <c r="X184" s="67">
        <f t="shared" si="391"/>
        <v>0.010352152607926607</v>
      </c>
      <c r="Y184" s="26">
        <f t="shared" si="399"/>
        <v>590795</v>
      </c>
      <c r="Z184" s="41">
        <v>128</v>
      </c>
      <c r="AA184" s="67">
        <f t="shared" si="392"/>
        <v>0.0034425259534183205</v>
      </c>
      <c r="AB184" s="4">
        <v>37182</v>
      </c>
      <c r="AC184" s="78">
        <v>34</v>
      </c>
      <c r="AD184" s="7">
        <f t="shared" si="393"/>
        <v>0.16037735849056603</v>
      </c>
      <c r="AE184" s="43">
        <v>212</v>
      </c>
      <c r="AF184" s="13">
        <v>10</v>
      </c>
      <c r="AG184" s="7">
        <f t="shared" si="394"/>
        <v>0.5555555555555556</v>
      </c>
      <c r="AH184" s="44">
        <v>18</v>
      </c>
      <c r="AI184" s="63">
        <f t="shared" si="400"/>
        <v>172</v>
      </c>
      <c r="AJ184" s="7">
        <f t="shared" si="395"/>
        <v>0.004597455361915963</v>
      </c>
      <c r="AK184" s="26">
        <f t="shared" si="401"/>
        <v>37412</v>
      </c>
      <c r="AL184" s="25">
        <f t="shared" si="402"/>
        <v>0.004917058556957285</v>
      </c>
      <c r="AM184" s="7">
        <f t="shared" si="403"/>
        <v>0.25138941758660066</v>
      </c>
      <c r="AN184" s="7">
        <f t="shared" si="404"/>
        <v>0.7794117647058824</v>
      </c>
      <c r="AO184" s="171">
        <f t="shared" si="405"/>
        <v>0.009664823855704458</v>
      </c>
      <c r="AP184" s="63">
        <f t="shared" si="406"/>
        <v>7297</v>
      </c>
      <c r="AQ184" s="3">
        <f t="shared" si="407"/>
        <v>755006</v>
      </c>
      <c r="AR184" s="116">
        <f t="shared" si="408"/>
        <v>737026</v>
      </c>
      <c r="AS184" s="3">
        <f t="shared" si="409"/>
        <v>13135</v>
      </c>
      <c r="AT184" s="26">
        <f t="shared" si="410"/>
        <v>476</v>
      </c>
      <c r="AU184" s="5"/>
      <c r="AV184" s="5"/>
      <c r="AW184" s="5"/>
      <c r="AX184" s="5"/>
    </row>
    <row r="185" spans="1:50" ht="12.75">
      <c r="A185" s="147">
        <v>39234</v>
      </c>
      <c r="B185" s="3">
        <v>562</v>
      </c>
      <c r="C185" s="7">
        <f t="shared" si="384"/>
        <v>0.004681499745932843</v>
      </c>
      <c r="D185" s="3">
        <v>120047</v>
      </c>
      <c r="E185" s="42">
        <v>421</v>
      </c>
      <c r="F185" s="7">
        <f t="shared" si="385"/>
        <v>0.26019777503090236</v>
      </c>
      <c r="G185" s="40">
        <v>1618</v>
      </c>
      <c r="H185" s="13">
        <v>26</v>
      </c>
      <c r="I185" s="7">
        <f t="shared" si="386"/>
        <v>0.65</v>
      </c>
      <c r="J185" s="13">
        <v>40</v>
      </c>
      <c r="K185" s="196">
        <f t="shared" si="396"/>
        <v>1009</v>
      </c>
      <c r="L185" s="8">
        <f t="shared" si="387"/>
        <v>0.008290538597428208</v>
      </c>
      <c r="M185" s="23">
        <f t="shared" si="397"/>
        <v>121705</v>
      </c>
      <c r="N185" s="64">
        <v>2869</v>
      </c>
      <c r="O185" s="67">
        <f t="shared" si="388"/>
        <v>0.004957081248444972</v>
      </c>
      <c r="P185" s="3">
        <v>578768</v>
      </c>
      <c r="Q185" s="68">
        <v>2877</v>
      </c>
      <c r="R185" s="67">
        <f t="shared" si="389"/>
        <v>0.2551436679673643</v>
      </c>
      <c r="S185" s="40">
        <v>11276</v>
      </c>
      <c r="T185" s="4">
        <v>337</v>
      </c>
      <c r="U185" s="67">
        <f t="shared" si="390"/>
        <v>0.8042959427207638</v>
      </c>
      <c r="V185" s="44">
        <v>419</v>
      </c>
      <c r="W185" s="63">
        <f t="shared" si="398"/>
        <v>6083</v>
      </c>
      <c r="X185" s="67">
        <f t="shared" si="391"/>
        <v>0.010302084973994983</v>
      </c>
      <c r="Y185" s="26">
        <f t="shared" si="399"/>
        <v>590463</v>
      </c>
      <c r="Z185" s="41">
        <v>129</v>
      </c>
      <c r="AA185" s="67">
        <f t="shared" si="392"/>
        <v>0.00347035402991499</v>
      </c>
      <c r="AB185" s="3">
        <v>37172</v>
      </c>
      <c r="AC185" s="78">
        <v>35</v>
      </c>
      <c r="AD185" s="7">
        <f t="shared" si="393"/>
        <v>0.1650943396226415</v>
      </c>
      <c r="AE185" s="43">
        <v>212</v>
      </c>
      <c r="AF185" s="13">
        <v>10</v>
      </c>
      <c r="AG185" s="7">
        <f t="shared" si="394"/>
        <v>0.5555555555555556</v>
      </c>
      <c r="AH185" s="44">
        <v>18</v>
      </c>
      <c r="AI185" s="63">
        <f t="shared" si="400"/>
        <v>174</v>
      </c>
      <c r="AJ185" s="7">
        <f t="shared" si="395"/>
        <v>0.004652157638628951</v>
      </c>
      <c r="AK185" s="26">
        <f t="shared" si="401"/>
        <v>37402</v>
      </c>
      <c r="AL185" s="25">
        <f t="shared" si="402"/>
        <v>0.004837041958621551</v>
      </c>
      <c r="AM185" s="7">
        <f t="shared" si="403"/>
        <v>0.25431100259423167</v>
      </c>
      <c r="AN185" s="7">
        <f t="shared" si="404"/>
        <v>0.7819706498951782</v>
      </c>
      <c r="AO185" s="171">
        <f t="shared" si="405"/>
        <v>0.009637026554212585</v>
      </c>
      <c r="AP185" s="63">
        <f t="shared" si="406"/>
        <v>7266</v>
      </c>
      <c r="AQ185" s="3">
        <f t="shared" si="407"/>
        <v>753967</v>
      </c>
      <c r="AR185" s="116">
        <f t="shared" si="408"/>
        <v>735987</v>
      </c>
      <c r="AS185" s="3">
        <f t="shared" si="409"/>
        <v>13106</v>
      </c>
      <c r="AT185" s="26">
        <f t="shared" si="410"/>
        <v>477</v>
      </c>
      <c r="AU185" s="5"/>
      <c r="AV185" s="5"/>
      <c r="AW185" s="5"/>
      <c r="AX185" s="5"/>
    </row>
    <row r="186" spans="1:50" ht="12.75">
      <c r="A186" s="147">
        <v>39203</v>
      </c>
      <c r="B186" s="3">
        <v>557</v>
      </c>
      <c r="C186" s="7">
        <f t="shared" si="384"/>
        <v>0.004677959838413021</v>
      </c>
      <c r="D186" s="107">
        <v>119069</v>
      </c>
      <c r="E186" s="42">
        <v>434</v>
      </c>
      <c r="F186" s="7">
        <f t="shared" si="385"/>
        <v>0.2697327532628962</v>
      </c>
      <c r="G186" s="40">
        <v>1609</v>
      </c>
      <c r="H186" s="13">
        <v>26</v>
      </c>
      <c r="I186" s="7">
        <f t="shared" si="386"/>
        <v>0.65</v>
      </c>
      <c r="J186" s="13">
        <v>40</v>
      </c>
      <c r="K186" s="196">
        <f t="shared" si="396"/>
        <v>1017</v>
      </c>
      <c r="L186" s="8">
        <f t="shared" si="387"/>
        <v>0.008424592852764293</v>
      </c>
      <c r="M186" s="23">
        <f t="shared" si="397"/>
        <v>120718</v>
      </c>
      <c r="N186" s="64">
        <v>2823</v>
      </c>
      <c r="O186" s="67">
        <f t="shared" si="388"/>
        <v>0.004872138718746602</v>
      </c>
      <c r="P186" s="3">
        <v>579417</v>
      </c>
      <c r="Q186" s="68">
        <v>2899</v>
      </c>
      <c r="R186" s="67">
        <f t="shared" si="389"/>
        <v>0.25704912218478454</v>
      </c>
      <c r="S186" s="40">
        <v>11278</v>
      </c>
      <c r="T186" s="4">
        <v>342</v>
      </c>
      <c r="U186" s="67">
        <f t="shared" si="390"/>
        <v>0.8104265402843602</v>
      </c>
      <c r="V186" s="26">
        <v>422</v>
      </c>
      <c r="W186" s="63">
        <f t="shared" si="398"/>
        <v>6064</v>
      </c>
      <c r="X186" s="7">
        <f t="shared" si="391"/>
        <v>0.01025854441675675</v>
      </c>
      <c r="Y186" s="26">
        <f t="shared" si="399"/>
        <v>591117</v>
      </c>
      <c r="Z186" s="41">
        <v>131</v>
      </c>
      <c r="AA186" s="7">
        <f t="shared" si="392"/>
        <v>0.003525770421208451</v>
      </c>
      <c r="AB186" s="3">
        <v>37155</v>
      </c>
      <c r="AC186" s="78">
        <v>35</v>
      </c>
      <c r="AD186" s="7">
        <f t="shared" si="393"/>
        <v>0.16908212560386474</v>
      </c>
      <c r="AE186" s="43">
        <v>207</v>
      </c>
      <c r="AF186" s="13">
        <v>10</v>
      </c>
      <c r="AG186" s="7">
        <f t="shared" si="394"/>
        <v>0.5555555555555556</v>
      </c>
      <c r="AH186" s="44">
        <v>18</v>
      </c>
      <c r="AI186" s="63">
        <f t="shared" si="400"/>
        <v>176</v>
      </c>
      <c r="AJ186" s="7">
        <f t="shared" si="395"/>
        <v>0.004708400214018192</v>
      </c>
      <c r="AK186" s="26">
        <f t="shared" si="401"/>
        <v>37380</v>
      </c>
      <c r="AL186" s="25">
        <f t="shared" si="402"/>
        <v>0.004772708427072444</v>
      </c>
      <c r="AM186" s="7">
        <f t="shared" si="403"/>
        <v>0.25721704597525585</v>
      </c>
      <c r="AN186" s="7">
        <f t="shared" si="404"/>
        <v>0.7875</v>
      </c>
      <c r="AO186" s="171">
        <f t="shared" si="405"/>
        <v>0.009629150970810019</v>
      </c>
      <c r="AP186" s="63">
        <f t="shared" si="406"/>
        <v>7257</v>
      </c>
      <c r="AQ186" s="3">
        <f t="shared" si="407"/>
        <v>753649</v>
      </c>
      <c r="AR186" s="116">
        <f aca="true" t="shared" si="411" ref="AR186:AR202">D186+P186+AB186</f>
        <v>735641</v>
      </c>
      <c r="AS186" s="3">
        <f t="shared" si="409"/>
        <v>13094</v>
      </c>
      <c r="AT186" s="26">
        <f t="shared" si="410"/>
        <v>480</v>
      </c>
      <c r="AU186" s="5"/>
      <c r="AV186" s="5"/>
      <c r="AW186" s="5"/>
      <c r="AX186" s="5"/>
    </row>
    <row r="187" spans="1:50" ht="12.75">
      <c r="A187" s="147">
        <v>39173</v>
      </c>
      <c r="B187" s="3">
        <v>548</v>
      </c>
      <c r="C187" s="7">
        <v>0.004624082355919332</v>
      </c>
      <c r="D187" s="3">
        <v>118510</v>
      </c>
      <c r="E187" s="60">
        <v>425</v>
      </c>
      <c r="F187" s="7">
        <v>0.2715654952076677</v>
      </c>
      <c r="G187" s="40">
        <v>1565</v>
      </c>
      <c r="H187" s="3">
        <v>26</v>
      </c>
      <c r="I187" s="7">
        <v>0.65</v>
      </c>
      <c r="J187" s="3">
        <v>40</v>
      </c>
      <c r="K187" s="196">
        <f t="shared" si="396"/>
        <v>999</v>
      </c>
      <c r="L187" s="8">
        <f t="shared" si="387"/>
        <v>0.008317029513383008</v>
      </c>
      <c r="M187" s="23">
        <f t="shared" si="397"/>
        <v>120115</v>
      </c>
      <c r="N187" s="63">
        <v>2806</v>
      </c>
      <c r="O187" s="67">
        <f t="shared" si="388"/>
        <v>0.004842840672958103</v>
      </c>
      <c r="P187" s="3">
        <v>579412</v>
      </c>
      <c r="Q187" s="68">
        <v>2926</v>
      </c>
      <c r="R187" s="67">
        <f t="shared" si="389"/>
        <v>0.26064493140922856</v>
      </c>
      <c r="S187" s="40">
        <v>11226</v>
      </c>
      <c r="T187" s="3">
        <v>341</v>
      </c>
      <c r="U187" s="7">
        <f t="shared" si="390"/>
        <v>0.8099762470308789</v>
      </c>
      <c r="V187" s="44">
        <v>421</v>
      </c>
      <c r="W187" s="63">
        <f t="shared" si="398"/>
        <v>6073</v>
      </c>
      <c r="X187" s="7">
        <f t="shared" si="391"/>
        <v>0.010274777983247019</v>
      </c>
      <c r="Y187" s="26">
        <f t="shared" si="399"/>
        <v>591059</v>
      </c>
      <c r="Z187" s="63">
        <v>146</v>
      </c>
      <c r="AA187" s="7">
        <f t="shared" si="392"/>
        <v>0.003926419965576592</v>
      </c>
      <c r="AB187" s="3">
        <v>37184</v>
      </c>
      <c r="AC187" s="42">
        <v>38</v>
      </c>
      <c r="AD187" s="7">
        <f t="shared" si="393"/>
        <v>0.18446601941747573</v>
      </c>
      <c r="AE187" s="43">
        <v>206</v>
      </c>
      <c r="AF187" s="13">
        <v>11</v>
      </c>
      <c r="AG187" s="7">
        <f t="shared" si="394"/>
        <v>0.6111111111111112</v>
      </c>
      <c r="AH187" s="44">
        <v>18</v>
      </c>
      <c r="AI187" s="63">
        <f t="shared" si="400"/>
        <v>195</v>
      </c>
      <c r="AJ187" s="7">
        <f t="shared" si="395"/>
        <v>0.00521278870829769</v>
      </c>
      <c r="AK187" s="26">
        <f t="shared" si="401"/>
        <v>37408</v>
      </c>
      <c r="AL187" s="25">
        <f t="shared" si="402"/>
        <v>0.004761218110041273</v>
      </c>
      <c r="AM187" s="7">
        <f t="shared" si="403"/>
        <v>0.26075248134184814</v>
      </c>
      <c r="AN187" s="7">
        <f t="shared" si="404"/>
        <v>0.7891440501043842</v>
      </c>
      <c r="AO187" s="171">
        <f t="shared" si="405"/>
        <v>0.009650179339028448</v>
      </c>
      <c r="AP187" s="63">
        <f t="shared" si="406"/>
        <v>7267</v>
      </c>
      <c r="AQ187" s="3">
        <f t="shared" si="407"/>
        <v>753043</v>
      </c>
      <c r="AR187" s="116">
        <f t="shared" si="411"/>
        <v>735106</v>
      </c>
      <c r="AS187" s="3">
        <f t="shared" si="409"/>
        <v>12997</v>
      </c>
      <c r="AT187" s="26">
        <f t="shared" si="410"/>
        <v>479</v>
      </c>
      <c r="AU187" s="5"/>
      <c r="AV187" s="5"/>
      <c r="AW187" s="5"/>
      <c r="AX187" s="5"/>
    </row>
    <row r="188" spans="1:50" ht="12.75">
      <c r="A188" s="147">
        <v>39142</v>
      </c>
      <c r="B188" s="3">
        <v>540</v>
      </c>
      <c r="C188" s="7">
        <f>B188/D188</f>
        <v>0.0045553859002370484</v>
      </c>
      <c r="D188" s="3">
        <v>118541</v>
      </c>
      <c r="E188" s="58">
        <v>427</v>
      </c>
      <c r="F188" s="7">
        <f>E188/G188</f>
        <v>0.27042431918936033</v>
      </c>
      <c r="G188" s="59">
        <v>1579</v>
      </c>
      <c r="H188" s="13">
        <v>24</v>
      </c>
      <c r="I188" s="7">
        <f>H188/J188</f>
        <v>0.6153846153846154</v>
      </c>
      <c r="J188" s="95">
        <v>39</v>
      </c>
      <c r="K188" s="196">
        <f t="shared" si="396"/>
        <v>991</v>
      </c>
      <c r="L188" s="8">
        <f t="shared" si="387"/>
        <v>0.008247405521017985</v>
      </c>
      <c r="M188" s="23">
        <f t="shared" si="397"/>
        <v>120159</v>
      </c>
      <c r="N188" s="63">
        <v>2766</v>
      </c>
      <c r="O188" s="67">
        <f t="shared" si="388"/>
        <v>0.0047756514292423185</v>
      </c>
      <c r="P188" s="3">
        <v>579188</v>
      </c>
      <c r="Q188" s="68">
        <v>2962</v>
      </c>
      <c r="R188" s="67">
        <f t="shared" si="389"/>
        <v>0.264228367528992</v>
      </c>
      <c r="S188" s="40">
        <v>11210</v>
      </c>
      <c r="T188" s="3">
        <v>344</v>
      </c>
      <c r="U188" s="7">
        <f t="shared" si="390"/>
        <v>0.8075117370892019</v>
      </c>
      <c r="V188" s="26">
        <v>426</v>
      </c>
      <c r="W188" s="63">
        <f t="shared" si="398"/>
        <v>6072</v>
      </c>
      <c r="X188" s="7">
        <f t="shared" si="391"/>
        <v>0.010277172220492058</v>
      </c>
      <c r="Y188" s="26">
        <f t="shared" si="399"/>
        <v>590824</v>
      </c>
      <c r="Z188" s="63">
        <v>146</v>
      </c>
      <c r="AA188" s="7">
        <f t="shared" si="392"/>
        <v>0.003926948008284246</v>
      </c>
      <c r="AB188" s="3">
        <v>37179</v>
      </c>
      <c r="AC188" s="42">
        <v>38</v>
      </c>
      <c r="AD188" s="7">
        <f t="shared" si="393"/>
        <v>0.18446601941747573</v>
      </c>
      <c r="AE188" s="43">
        <v>206</v>
      </c>
      <c r="AF188" s="13">
        <v>11</v>
      </c>
      <c r="AG188" s="7">
        <f t="shared" si="394"/>
        <v>0.6111111111111112</v>
      </c>
      <c r="AH188" s="44">
        <v>18</v>
      </c>
      <c r="AI188" s="63">
        <f t="shared" si="400"/>
        <v>195</v>
      </c>
      <c r="AJ188" s="7">
        <f t="shared" si="395"/>
        <v>0.00521348554928749</v>
      </c>
      <c r="AK188" s="26">
        <f t="shared" si="401"/>
        <v>37403</v>
      </c>
      <c r="AL188" s="25">
        <f t="shared" si="402"/>
        <v>0.004697186586620366</v>
      </c>
      <c r="AM188" s="7">
        <f t="shared" si="403"/>
        <v>0.26371681415929205</v>
      </c>
      <c r="AN188" s="7">
        <f t="shared" si="404"/>
        <v>0.7846790890269151</v>
      </c>
      <c r="AO188" s="171">
        <f t="shared" si="405"/>
        <v>0.009640340134789436</v>
      </c>
      <c r="AP188" s="63">
        <f t="shared" si="406"/>
        <v>7258</v>
      </c>
      <c r="AQ188" s="3">
        <f t="shared" si="407"/>
        <v>752878</v>
      </c>
      <c r="AR188" s="116">
        <f t="shared" si="411"/>
        <v>734908</v>
      </c>
      <c r="AS188" s="3">
        <f t="shared" si="409"/>
        <v>12995</v>
      </c>
      <c r="AT188" s="26">
        <f t="shared" si="410"/>
        <v>483</v>
      </c>
      <c r="AU188" s="5"/>
      <c r="AV188" s="5"/>
      <c r="AW188" s="5"/>
      <c r="AX188" s="5"/>
    </row>
    <row r="189" spans="1:50" ht="12.75">
      <c r="A189" s="147">
        <v>39114</v>
      </c>
      <c r="B189" s="3">
        <v>531</v>
      </c>
      <c r="C189" s="7">
        <f>B189/D189</f>
        <v>0.004481504300049795</v>
      </c>
      <c r="D189" s="3">
        <v>118487</v>
      </c>
      <c r="E189" s="58">
        <v>431</v>
      </c>
      <c r="F189" s="7">
        <f>E189/G189</f>
        <v>0.2703889585947302</v>
      </c>
      <c r="G189" s="40">
        <v>1594</v>
      </c>
      <c r="H189" s="13">
        <v>24</v>
      </c>
      <c r="I189" s="7">
        <f>H189/J189</f>
        <v>0.6153846153846154</v>
      </c>
      <c r="J189" s="13">
        <v>39</v>
      </c>
      <c r="K189" s="196">
        <f t="shared" si="396"/>
        <v>986</v>
      </c>
      <c r="L189" s="8">
        <f t="shared" si="387"/>
        <v>0.008208458208458209</v>
      </c>
      <c r="M189" s="23">
        <f t="shared" si="397"/>
        <v>120120</v>
      </c>
      <c r="N189" s="66">
        <v>2630</v>
      </c>
      <c r="O189" s="67">
        <f t="shared" si="388"/>
        <v>0.004544519879250552</v>
      </c>
      <c r="P189" s="4">
        <v>578719</v>
      </c>
      <c r="Q189" s="68">
        <v>2941</v>
      </c>
      <c r="R189" s="67">
        <f t="shared" si="389"/>
        <v>0.26198111526812756</v>
      </c>
      <c r="S189" s="40">
        <v>11226</v>
      </c>
      <c r="T189" s="3">
        <v>346</v>
      </c>
      <c r="U189" s="7">
        <f t="shared" si="390"/>
        <v>0.810304449648712</v>
      </c>
      <c r="V189" s="26">
        <v>427</v>
      </c>
      <c r="W189" s="63">
        <f t="shared" si="398"/>
        <v>5917</v>
      </c>
      <c r="X189" s="7">
        <f t="shared" si="391"/>
        <v>0.010022494291734702</v>
      </c>
      <c r="Y189" s="26">
        <f t="shared" si="399"/>
        <v>590372</v>
      </c>
      <c r="Z189" s="63">
        <v>220</v>
      </c>
      <c r="AA189" s="7">
        <f t="shared" si="392"/>
        <v>0.005915091549485118</v>
      </c>
      <c r="AB189" s="3">
        <v>37193</v>
      </c>
      <c r="AC189" s="42">
        <v>54</v>
      </c>
      <c r="AD189" s="7">
        <f t="shared" si="393"/>
        <v>0.2583732057416268</v>
      </c>
      <c r="AE189" s="43">
        <v>209</v>
      </c>
      <c r="AF189" s="13">
        <v>11</v>
      </c>
      <c r="AG189" s="7">
        <f t="shared" si="394"/>
        <v>0.6111111111111112</v>
      </c>
      <c r="AH189" s="44">
        <v>18</v>
      </c>
      <c r="AI189" s="63">
        <f t="shared" si="400"/>
        <v>285</v>
      </c>
      <c r="AJ189" s="7">
        <f t="shared" si="395"/>
        <v>0.007616247995724212</v>
      </c>
      <c r="AK189" s="26">
        <f t="shared" si="401"/>
        <v>37420</v>
      </c>
      <c r="AL189" s="25">
        <f t="shared" si="402"/>
        <v>0.0046037644386770675</v>
      </c>
      <c r="AM189" s="7">
        <f t="shared" si="403"/>
        <v>0.2629518765830071</v>
      </c>
      <c r="AN189" s="7">
        <f t="shared" si="404"/>
        <v>0.7871900826446281</v>
      </c>
      <c r="AO189" s="171">
        <f t="shared" si="405"/>
        <v>0.009552540300609992</v>
      </c>
      <c r="AP189" s="63">
        <f t="shared" si="406"/>
        <v>7188</v>
      </c>
      <c r="AQ189" s="3">
        <f t="shared" si="407"/>
        <v>752470</v>
      </c>
      <c r="AR189" s="116">
        <f t="shared" si="411"/>
        <v>734399</v>
      </c>
      <c r="AS189" s="3">
        <f t="shared" si="409"/>
        <v>13029</v>
      </c>
      <c r="AT189" s="26">
        <f t="shared" si="410"/>
        <v>484</v>
      </c>
      <c r="AU189" s="5"/>
      <c r="AV189" s="5"/>
      <c r="AW189" s="5"/>
      <c r="AX189" s="5"/>
    </row>
    <row r="190" spans="1:50" ht="12.75">
      <c r="A190" s="147">
        <v>39083</v>
      </c>
      <c r="B190" s="3">
        <v>507</v>
      </c>
      <c r="C190" s="7">
        <f>B190/D190</f>
        <v>0.004282962762722173</v>
      </c>
      <c r="D190" s="3">
        <v>118376</v>
      </c>
      <c r="E190" s="58">
        <v>428</v>
      </c>
      <c r="F190" s="7">
        <f>E190/G190</f>
        <v>0.26600372902423863</v>
      </c>
      <c r="G190" s="40">
        <v>1609</v>
      </c>
      <c r="H190" s="13">
        <v>24</v>
      </c>
      <c r="I190" s="7">
        <f>H190/J190</f>
        <v>0.6153846153846154</v>
      </c>
      <c r="J190" s="13">
        <v>39</v>
      </c>
      <c r="K190" s="196">
        <f t="shared" si="396"/>
        <v>959</v>
      </c>
      <c r="L190" s="8">
        <f t="shared" si="387"/>
        <v>0.00799006865293608</v>
      </c>
      <c r="M190" s="23">
        <f t="shared" si="397"/>
        <v>120024</v>
      </c>
      <c r="N190" s="63">
        <v>2604</v>
      </c>
      <c r="O190" s="67">
        <f t="shared" si="388"/>
        <v>0.004506741940564312</v>
      </c>
      <c r="P190" s="3">
        <v>577801</v>
      </c>
      <c r="Q190" s="68">
        <v>2914</v>
      </c>
      <c r="R190" s="67">
        <f t="shared" si="389"/>
        <v>0.2596685082872928</v>
      </c>
      <c r="S190" s="40">
        <v>11222</v>
      </c>
      <c r="T190" s="4">
        <v>346</v>
      </c>
      <c r="U190" s="7">
        <f t="shared" si="390"/>
        <v>0.8009259259259259</v>
      </c>
      <c r="V190" s="44">
        <v>432</v>
      </c>
      <c r="W190" s="63">
        <f t="shared" si="398"/>
        <v>5864</v>
      </c>
      <c r="X190" s="7">
        <f t="shared" si="391"/>
        <v>0.009948172464395076</v>
      </c>
      <c r="Y190" s="26">
        <f t="shared" si="399"/>
        <v>589455</v>
      </c>
      <c r="Z190" s="63">
        <v>296</v>
      </c>
      <c r="AA190" s="7">
        <v>0.008</v>
      </c>
      <c r="AB190" s="13">
        <v>37187</v>
      </c>
      <c r="AC190" s="69">
        <v>64</v>
      </c>
      <c r="AD190" s="7">
        <v>0.3018867924528302</v>
      </c>
      <c r="AE190" s="70">
        <v>212</v>
      </c>
      <c r="AF190" s="11">
        <v>11</v>
      </c>
      <c r="AG190" s="7">
        <v>0.6470588235294118</v>
      </c>
      <c r="AH190" s="50">
        <v>17</v>
      </c>
      <c r="AI190" s="63">
        <f t="shared" si="400"/>
        <v>371</v>
      </c>
      <c r="AJ190" s="7">
        <f t="shared" si="395"/>
        <v>0.009915544152234338</v>
      </c>
      <c r="AK190" s="26">
        <f t="shared" si="401"/>
        <v>37416</v>
      </c>
      <c r="AL190" s="25">
        <f t="shared" si="402"/>
        <v>0.004645714815562258</v>
      </c>
      <c r="AM190" s="7">
        <f t="shared" si="403"/>
        <v>0.2611362416621943</v>
      </c>
      <c r="AN190" s="7">
        <f t="shared" si="404"/>
        <v>0.7807377049180327</v>
      </c>
      <c r="AO190" s="171">
        <f t="shared" si="405"/>
        <v>0.00957304537016707</v>
      </c>
      <c r="AP190" s="63">
        <f t="shared" si="406"/>
        <v>7194</v>
      </c>
      <c r="AQ190" s="3">
        <f t="shared" si="407"/>
        <v>751485</v>
      </c>
      <c r="AR190" s="116">
        <f t="shared" si="411"/>
        <v>733364</v>
      </c>
      <c r="AS190" s="3">
        <f t="shared" si="409"/>
        <v>13043</v>
      </c>
      <c r="AT190" s="26">
        <f t="shared" si="410"/>
        <v>488</v>
      </c>
      <c r="AU190" s="5"/>
      <c r="AV190" s="5"/>
      <c r="AW190" s="5"/>
      <c r="AX190" s="5"/>
    </row>
    <row r="191" spans="1:50" ht="12.75">
      <c r="A191" s="147">
        <v>39052</v>
      </c>
      <c r="B191" s="3">
        <v>209</v>
      </c>
      <c r="C191" s="7">
        <v>0.0017668740700662788</v>
      </c>
      <c r="D191" s="6">
        <v>118288</v>
      </c>
      <c r="E191" s="58">
        <v>390</v>
      </c>
      <c r="F191" s="8">
        <v>0.2511268512556343</v>
      </c>
      <c r="G191" s="38">
        <v>1553</v>
      </c>
      <c r="H191" s="10">
        <v>24</v>
      </c>
      <c r="I191" s="8">
        <v>0.6153846153846154</v>
      </c>
      <c r="J191" s="6">
        <v>39</v>
      </c>
      <c r="K191" s="196">
        <f t="shared" si="396"/>
        <v>623</v>
      </c>
      <c r="L191" s="8">
        <f t="shared" si="387"/>
        <v>0.005196863530196863</v>
      </c>
      <c r="M191" s="23">
        <f t="shared" si="397"/>
        <v>119880</v>
      </c>
      <c r="N191" s="63">
        <v>2548</v>
      </c>
      <c r="O191" s="67">
        <f t="shared" si="388"/>
        <v>0.004416878438768683</v>
      </c>
      <c r="P191" s="3">
        <v>576878</v>
      </c>
      <c r="Q191" s="68">
        <v>2765</v>
      </c>
      <c r="R191" s="67">
        <f t="shared" si="389"/>
        <v>0.24606211622319124</v>
      </c>
      <c r="S191" s="40">
        <v>11237</v>
      </c>
      <c r="T191" s="4">
        <v>357</v>
      </c>
      <c r="U191" s="7">
        <f t="shared" si="390"/>
        <v>0.8040540540540541</v>
      </c>
      <c r="V191" s="44">
        <v>444</v>
      </c>
      <c r="W191" s="63">
        <f t="shared" si="398"/>
        <v>5670</v>
      </c>
      <c r="X191" s="7">
        <f t="shared" si="391"/>
        <v>0.009633698575673807</v>
      </c>
      <c r="Y191" s="26">
        <f t="shared" si="399"/>
        <v>588559</v>
      </c>
      <c r="Z191" s="63">
        <v>333</v>
      </c>
      <c r="AA191" s="7">
        <v>0.008954501452081317</v>
      </c>
      <c r="AB191" s="6">
        <v>37188</v>
      </c>
      <c r="AC191" s="69">
        <v>63</v>
      </c>
      <c r="AD191" s="7">
        <v>0.2985781990521327</v>
      </c>
      <c r="AE191" s="38">
        <v>211</v>
      </c>
      <c r="AF191" s="11">
        <v>11</v>
      </c>
      <c r="AG191" s="7">
        <v>0.6470588235294118</v>
      </c>
      <c r="AH191" s="23">
        <v>17</v>
      </c>
      <c r="AI191" s="63">
        <f t="shared" si="400"/>
        <v>407</v>
      </c>
      <c r="AJ191" s="7">
        <f t="shared" si="395"/>
        <v>0.010877699379944409</v>
      </c>
      <c r="AK191" s="26">
        <f t="shared" si="401"/>
        <v>37416</v>
      </c>
      <c r="AL191" s="25">
        <f t="shared" si="402"/>
        <v>0.00421927100828288</v>
      </c>
      <c r="AM191" s="7">
        <f t="shared" si="403"/>
        <v>0.24751942158295515</v>
      </c>
      <c r="AN191" s="7">
        <f t="shared" si="404"/>
        <v>0.784</v>
      </c>
      <c r="AO191" s="171">
        <f t="shared" si="405"/>
        <v>0.00893324995633374</v>
      </c>
      <c r="AP191" s="63">
        <f t="shared" si="406"/>
        <v>6700</v>
      </c>
      <c r="AQ191" s="3">
        <f t="shared" si="407"/>
        <v>750007</v>
      </c>
      <c r="AR191" s="116">
        <f t="shared" si="411"/>
        <v>732354</v>
      </c>
      <c r="AS191" s="3">
        <f t="shared" si="409"/>
        <v>13001</v>
      </c>
      <c r="AT191" s="26">
        <f t="shared" si="410"/>
        <v>500</v>
      </c>
      <c r="AU191" s="5"/>
      <c r="AV191" s="5"/>
      <c r="AW191" s="5"/>
      <c r="AX191" s="5"/>
    </row>
    <row r="192" spans="1:50" ht="12.75">
      <c r="A192" s="147">
        <v>39022</v>
      </c>
      <c r="B192" s="3">
        <v>506</v>
      </c>
      <c r="C192" s="7">
        <v>0.004244752780900291</v>
      </c>
      <c r="D192" s="6">
        <v>119206</v>
      </c>
      <c r="E192" s="58">
        <v>382</v>
      </c>
      <c r="F192" s="8">
        <v>0.24040276903713026</v>
      </c>
      <c r="G192" s="38">
        <v>1589</v>
      </c>
      <c r="H192" s="10">
        <v>25</v>
      </c>
      <c r="I192" s="8">
        <v>0.6410256410256411</v>
      </c>
      <c r="J192" s="6">
        <v>39</v>
      </c>
      <c r="K192" s="196">
        <f t="shared" si="396"/>
        <v>913</v>
      </c>
      <c r="L192" s="8">
        <f t="shared" si="387"/>
        <v>0.007555820381680653</v>
      </c>
      <c r="M192" s="23">
        <f t="shared" si="397"/>
        <v>120834</v>
      </c>
      <c r="N192" s="63">
        <v>2511</v>
      </c>
      <c r="O192" s="67">
        <f t="shared" si="388"/>
        <v>0.004358519943136156</v>
      </c>
      <c r="P192" s="3">
        <v>576113</v>
      </c>
      <c r="Q192" s="68">
        <v>2733</v>
      </c>
      <c r="R192" s="67">
        <f t="shared" si="389"/>
        <v>0.24222281308162721</v>
      </c>
      <c r="S192" s="40">
        <v>11283</v>
      </c>
      <c r="T192" s="4">
        <v>355</v>
      </c>
      <c r="U192" s="7">
        <f t="shared" si="390"/>
        <v>0.7924107142857143</v>
      </c>
      <c r="V192" s="44">
        <v>448</v>
      </c>
      <c r="W192" s="63">
        <f t="shared" si="398"/>
        <v>5599</v>
      </c>
      <c r="X192" s="7">
        <f t="shared" si="391"/>
        <v>0.009524635787725996</v>
      </c>
      <c r="Y192" s="26">
        <f t="shared" si="399"/>
        <v>587844</v>
      </c>
      <c r="Z192" s="63">
        <v>334</v>
      </c>
      <c r="AA192" s="7">
        <v>0.008995906054729583</v>
      </c>
      <c r="AB192" s="6">
        <v>37128</v>
      </c>
      <c r="AC192" s="69">
        <v>63</v>
      </c>
      <c r="AD192" s="7">
        <v>0.2971698113207547</v>
      </c>
      <c r="AE192" s="38">
        <v>212</v>
      </c>
      <c r="AF192" s="11">
        <v>11</v>
      </c>
      <c r="AG192" s="7">
        <v>0.6875</v>
      </c>
      <c r="AH192" s="23">
        <v>16</v>
      </c>
      <c r="AI192" s="63">
        <f t="shared" si="400"/>
        <v>408</v>
      </c>
      <c r="AJ192" s="7">
        <f t="shared" si="395"/>
        <v>0.01092194025056216</v>
      </c>
      <c r="AK192" s="26">
        <f t="shared" si="401"/>
        <v>37356</v>
      </c>
      <c r="AL192" s="25">
        <f t="shared" si="402"/>
        <v>0.004575075056625258</v>
      </c>
      <c r="AM192" s="7">
        <f t="shared" si="403"/>
        <v>0.24289208193213085</v>
      </c>
      <c r="AN192" s="7">
        <f t="shared" si="404"/>
        <v>0.7773359840954275</v>
      </c>
      <c r="AO192" s="171">
        <f t="shared" si="405"/>
        <v>0.009221219999387029</v>
      </c>
      <c r="AP192" s="63">
        <f t="shared" si="406"/>
        <v>6920</v>
      </c>
      <c r="AQ192" s="3">
        <f t="shared" si="407"/>
        <v>750443</v>
      </c>
      <c r="AR192" s="116">
        <f t="shared" si="411"/>
        <v>732447</v>
      </c>
      <c r="AS192" s="3">
        <f t="shared" si="409"/>
        <v>13084</v>
      </c>
      <c r="AT192" s="26">
        <f t="shared" si="410"/>
        <v>503</v>
      </c>
      <c r="AU192" s="5"/>
      <c r="AV192" s="5"/>
      <c r="AW192" s="5"/>
      <c r="AX192" s="5"/>
    </row>
    <row r="193" spans="1:50" ht="12.75">
      <c r="A193" s="147">
        <v>38991</v>
      </c>
      <c r="B193" s="3">
        <v>505</v>
      </c>
      <c r="C193" s="7">
        <v>0.004209175168367007</v>
      </c>
      <c r="D193" s="6">
        <v>119976</v>
      </c>
      <c r="E193" s="58">
        <v>383</v>
      </c>
      <c r="F193" s="8">
        <v>0.2398246712586099</v>
      </c>
      <c r="G193" s="38">
        <v>1597</v>
      </c>
      <c r="H193" s="10">
        <v>23</v>
      </c>
      <c r="I193" s="8">
        <v>0.5897435897435898</v>
      </c>
      <c r="J193" s="6">
        <v>39</v>
      </c>
      <c r="K193" s="196">
        <f t="shared" si="396"/>
        <v>911</v>
      </c>
      <c r="L193" s="8">
        <f t="shared" si="387"/>
        <v>0.007491037068710325</v>
      </c>
      <c r="M193" s="23">
        <f t="shared" si="397"/>
        <v>121612</v>
      </c>
      <c r="N193" s="63">
        <v>2501</v>
      </c>
      <c r="O193" s="67">
        <f t="shared" si="388"/>
        <v>0.00434728950584129</v>
      </c>
      <c r="P193" s="3">
        <v>575301</v>
      </c>
      <c r="Q193" s="68">
        <v>2703</v>
      </c>
      <c r="R193" s="67">
        <f t="shared" si="389"/>
        <v>0.2389920424403183</v>
      </c>
      <c r="S193" s="40">
        <v>11310</v>
      </c>
      <c r="T193" s="4">
        <v>351</v>
      </c>
      <c r="U193" s="7">
        <f t="shared" si="390"/>
        <v>0.7905405405405406</v>
      </c>
      <c r="V193" s="44">
        <v>444</v>
      </c>
      <c r="W193" s="63">
        <f t="shared" si="398"/>
        <v>5555</v>
      </c>
      <c r="X193" s="7">
        <f t="shared" si="391"/>
        <v>0.009462486479120355</v>
      </c>
      <c r="Y193" s="26">
        <f t="shared" si="399"/>
        <v>587055</v>
      </c>
      <c r="Z193" s="63">
        <v>334</v>
      </c>
      <c r="AA193" s="7">
        <v>0.008998087232953474</v>
      </c>
      <c r="AB193" s="6">
        <v>37119</v>
      </c>
      <c r="AC193" s="69">
        <v>63</v>
      </c>
      <c r="AD193" s="7">
        <v>0.2971698113207547</v>
      </c>
      <c r="AE193" s="38">
        <v>212</v>
      </c>
      <c r="AF193" s="11">
        <v>11</v>
      </c>
      <c r="AG193" s="7">
        <v>0.6875</v>
      </c>
      <c r="AH193" s="23">
        <v>16</v>
      </c>
      <c r="AI193" s="63">
        <f t="shared" si="400"/>
        <v>408</v>
      </c>
      <c r="AJ193" s="7">
        <f t="shared" si="395"/>
        <v>0.010924572254799583</v>
      </c>
      <c r="AK193" s="26">
        <f t="shared" si="401"/>
        <v>37347</v>
      </c>
      <c r="AL193" s="25">
        <f t="shared" si="402"/>
        <v>0.004560374442241629</v>
      </c>
      <c r="AM193" s="7">
        <f t="shared" si="403"/>
        <v>0.24003353914170286</v>
      </c>
      <c r="AN193" s="7">
        <f t="shared" si="404"/>
        <v>0.7715430861723447</v>
      </c>
      <c r="AO193" s="171">
        <f t="shared" si="405"/>
        <v>0.009160606460399767</v>
      </c>
      <c r="AP193" s="63">
        <f t="shared" si="406"/>
        <v>6874</v>
      </c>
      <c r="AQ193" s="3">
        <f t="shared" si="407"/>
        <v>750387</v>
      </c>
      <c r="AR193" s="116">
        <f t="shared" si="411"/>
        <v>732396</v>
      </c>
      <c r="AS193" s="3">
        <f t="shared" si="409"/>
        <v>13119</v>
      </c>
      <c r="AT193" s="26">
        <f t="shared" si="410"/>
        <v>499</v>
      </c>
      <c r="AU193" s="5"/>
      <c r="AV193" s="5"/>
      <c r="AW193" s="5"/>
      <c r="AX193" s="5"/>
    </row>
    <row r="194" spans="1:50" ht="12.75">
      <c r="A194" s="147">
        <v>38961</v>
      </c>
      <c r="B194" s="3">
        <v>487</v>
      </c>
      <c r="C194" s="7">
        <v>0.004051580698835274</v>
      </c>
      <c r="D194" s="6">
        <v>120200</v>
      </c>
      <c r="E194" s="58">
        <v>376</v>
      </c>
      <c r="F194" s="8">
        <v>0.2348532167395378</v>
      </c>
      <c r="G194" s="38">
        <v>1601</v>
      </c>
      <c r="H194" s="10">
        <v>24</v>
      </c>
      <c r="I194" s="8">
        <v>0.6153846153846154</v>
      </c>
      <c r="J194" s="6">
        <v>39</v>
      </c>
      <c r="K194" s="196">
        <f t="shared" si="396"/>
        <v>887</v>
      </c>
      <c r="L194" s="8">
        <f t="shared" si="387"/>
        <v>0.0072800393959290876</v>
      </c>
      <c r="M194" s="23">
        <f t="shared" si="397"/>
        <v>121840</v>
      </c>
      <c r="N194" s="63">
        <v>2454</v>
      </c>
      <c r="O194" s="67">
        <f t="shared" si="388"/>
        <v>0.004269845909717292</v>
      </c>
      <c r="P194" s="3">
        <v>574728</v>
      </c>
      <c r="Q194" s="68">
        <v>2638</v>
      </c>
      <c r="R194" s="67">
        <f t="shared" si="389"/>
        <v>0.23380306656031197</v>
      </c>
      <c r="S194" s="40">
        <v>11283</v>
      </c>
      <c r="T194" s="4">
        <v>347</v>
      </c>
      <c r="U194" s="7">
        <f t="shared" si="390"/>
        <v>0.7815315315315315</v>
      </c>
      <c r="V194" s="44">
        <v>444</v>
      </c>
      <c r="W194" s="63">
        <f t="shared" si="398"/>
        <v>5439</v>
      </c>
      <c r="X194" s="7">
        <f t="shared" si="391"/>
        <v>0.009274368877407473</v>
      </c>
      <c r="Y194" s="26">
        <f t="shared" si="399"/>
        <v>586455</v>
      </c>
      <c r="Z194" s="63">
        <v>336</v>
      </c>
      <c r="AA194" s="7">
        <v>0.009055383371513273</v>
      </c>
      <c r="AB194" s="6">
        <v>37105</v>
      </c>
      <c r="AC194" s="69">
        <v>63</v>
      </c>
      <c r="AD194" s="7">
        <v>0.3014354066985646</v>
      </c>
      <c r="AE194" s="38">
        <v>209</v>
      </c>
      <c r="AF194" s="11">
        <v>11</v>
      </c>
      <c r="AG194" s="7">
        <v>0.6875</v>
      </c>
      <c r="AH194" s="23">
        <v>16</v>
      </c>
      <c r="AI194" s="63">
        <f t="shared" si="400"/>
        <v>410</v>
      </c>
      <c r="AJ194" s="7">
        <f t="shared" si="395"/>
        <v>0.010983123493169033</v>
      </c>
      <c r="AK194" s="26">
        <f t="shared" si="401"/>
        <v>37330</v>
      </c>
      <c r="AL194" s="25">
        <f t="shared" si="402"/>
        <v>0.004476574143515388</v>
      </c>
      <c r="AM194" s="7">
        <f t="shared" si="403"/>
        <v>0.23501107462002596</v>
      </c>
      <c r="AN194" s="7">
        <f t="shared" si="404"/>
        <v>0.7655310621242485</v>
      </c>
      <c r="AO194" s="171">
        <f t="shared" si="405"/>
        <v>0.008982447156780773</v>
      </c>
      <c r="AP194" s="63">
        <f t="shared" si="406"/>
        <v>6736</v>
      </c>
      <c r="AQ194" s="3">
        <f t="shared" si="407"/>
        <v>749907</v>
      </c>
      <c r="AR194" s="116">
        <f t="shared" si="411"/>
        <v>732033</v>
      </c>
      <c r="AS194" s="3">
        <f t="shared" si="409"/>
        <v>13093</v>
      </c>
      <c r="AT194" s="26">
        <f t="shared" si="410"/>
        <v>499</v>
      </c>
      <c r="AU194" s="5"/>
      <c r="AV194" s="5"/>
      <c r="AW194" s="5"/>
      <c r="AX194" s="5"/>
    </row>
    <row r="195" spans="1:50" ht="12.75">
      <c r="A195" s="147">
        <v>38930</v>
      </c>
      <c r="B195" s="3">
        <v>480</v>
      </c>
      <c r="C195" s="7">
        <v>0.0039998000099995</v>
      </c>
      <c r="D195" s="6">
        <v>120006</v>
      </c>
      <c r="E195" s="58">
        <v>366</v>
      </c>
      <c r="F195" s="8">
        <v>0.22789539227895392</v>
      </c>
      <c r="G195" s="38">
        <v>1606</v>
      </c>
      <c r="H195" s="10">
        <v>24</v>
      </c>
      <c r="I195" s="8">
        <v>0.6153846153846154</v>
      </c>
      <c r="J195" s="6">
        <v>39</v>
      </c>
      <c r="K195" s="196">
        <f t="shared" si="396"/>
        <v>870</v>
      </c>
      <c r="L195" s="8">
        <f t="shared" si="387"/>
        <v>0.007151605823215592</v>
      </c>
      <c r="M195" s="23">
        <f t="shared" si="397"/>
        <v>121651</v>
      </c>
      <c r="N195" s="63">
        <v>2413</v>
      </c>
      <c r="O195" s="67">
        <f t="shared" si="388"/>
        <v>0.00420383275261324</v>
      </c>
      <c r="P195" s="3">
        <v>574000</v>
      </c>
      <c r="Q195" s="68">
        <v>2642</v>
      </c>
      <c r="R195" s="67">
        <f t="shared" si="389"/>
        <v>0.23492797439089455</v>
      </c>
      <c r="S195" s="40">
        <v>11246</v>
      </c>
      <c r="T195" s="4">
        <v>350</v>
      </c>
      <c r="U195" s="7">
        <f t="shared" si="390"/>
        <v>0.7608695652173914</v>
      </c>
      <c r="V195" s="44">
        <v>460</v>
      </c>
      <c r="W195" s="63">
        <f t="shared" si="398"/>
        <v>5405</v>
      </c>
      <c r="X195" s="7">
        <f t="shared" si="391"/>
        <v>0.009228179325463628</v>
      </c>
      <c r="Y195" s="26">
        <f t="shared" si="399"/>
        <v>585706</v>
      </c>
      <c r="Z195" s="63">
        <v>338</v>
      </c>
      <c r="AA195" s="7">
        <v>0.009129213483146067</v>
      </c>
      <c r="AB195" s="6">
        <v>37024</v>
      </c>
      <c r="AC195" s="69">
        <v>63</v>
      </c>
      <c r="AD195" s="7">
        <v>0.2985781990521327</v>
      </c>
      <c r="AE195" s="38">
        <v>211</v>
      </c>
      <c r="AF195" s="11">
        <v>11</v>
      </c>
      <c r="AG195" s="7">
        <v>0.6875</v>
      </c>
      <c r="AH195" s="23">
        <v>16</v>
      </c>
      <c r="AI195" s="63">
        <f t="shared" si="400"/>
        <v>412</v>
      </c>
      <c r="AJ195" s="7">
        <f t="shared" si="395"/>
        <v>0.011060105768972645</v>
      </c>
      <c r="AK195" s="26">
        <f t="shared" si="401"/>
        <v>37251</v>
      </c>
      <c r="AL195" s="25">
        <f t="shared" si="402"/>
        <v>0.004419791253436931</v>
      </c>
      <c r="AM195" s="7">
        <f t="shared" si="403"/>
        <v>0.23509147975197123</v>
      </c>
      <c r="AN195" s="7">
        <f t="shared" si="404"/>
        <v>0.7475728155339806</v>
      </c>
      <c r="AO195" s="171">
        <f t="shared" si="405"/>
        <v>0.008929310625706052</v>
      </c>
      <c r="AP195" s="63">
        <f t="shared" si="406"/>
        <v>6687</v>
      </c>
      <c r="AQ195" s="3">
        <f t="shared" si="407"/>
        <v>748882</v>
      </c>
      <c r="AR195" s="116">
        <f t="shared" si="411"/>
        <v>731030</v>
      </c>
      <c r="AS195" s="3">
        <f t="shared" si="409"/>
        <v>13063</v>
      </c>
      <c r="AT195" s="26">
        <f t="shared" si="410"/>
        <v>515</v>
      </c>
      <c r="AU195" s="5"/>
      <c r="AV195" s="5"/>
      <c r="AW195" s="5"/>
      <c r="AX195" s="5"/>
    </row>
    <row r="196" spans="1:50" ht="12.75">
      <c r="A196" s="147">
        <v>38899</v>
      </c>
      <c r="B196" s="3">
        <v>475</v>
      </c>
      <c r="C196" s="7">
        <v>0.003969381445021978</v>
      </c>
      <c r="D196" s="6">
        <v>119666</v>
      </c>
      <c r="E196" s="58">
        <v>353</v>
      </c>
      <c r="F196" s="8">
        <v>0.2196639701306783</v>
      </c>
      <c r="G196" s="38">
        <v>1607</v>
      </c>
      <c r="H196" s="10">
        <v>24</v>
      </c>
      <c r="I196" s="8">
        <v>0.6153846153846154</v>
      </c>
      <c r="J196" s="6">
        <v>39</v>
      </c>
      <c r="K196" s="196">
        <f t="shared" si="396"/>
        <v>852</v>
      </c>
      <c r="L196" s="8">
        <f t="shared" si="387"/>
        <v>0.007023212872592983</v>
      </c>
      <c r="M196" s="23">
        <f t="shared" si="397"/>
        <v>121312</v>
      </c>
      <c r="N196" s="63">
        <v>2360</v>
      </c>
      <c r="O196" s="67">
        <f t="shared" si="388"/>
        <v>0.004113648248213352</v>
      </c>
      <c r="P196" s="3">
        <v>573700</v>
      </c>
      <c r="Q196" s="68">
        <v>2582</v>
      </c>
      <c r="R196" s="67">
        <f t="shared" si="389"/>
        <v>0.2300837640349314</v>
      </c>
      <c r="S196" s="40">
        <v>11222</v>
      </c>
      <c r="T196" s="4">
        <v>334</v>
      </c>
      <c r="U196" s="7">
        <f t="shared" si="390"/>
        <v>0.7472035794183445</v>
      </c>
      <c r="V196" s="44">
        <v>447</v>
      </c>
      <c r="W196" s="63">
        <f t="shared" si="398"/>
        <v>5276</v>
      </c>
      <c r="X196" s="7">
        <f t="shared" si="391"/>
        <v>0.009013118221156228</v>
      </c>
      <c r="Y196" s="26">
        <f t="shared" si="399"/>
        <v>585369</v>
      </c>
      <c r="Z196" s="63">
        <v>344</v>
      </c>
      <c r="AA196" s="7">
        <v>0.00930106800054076</v>
      </c>
      <c r="AB196" s="6">
        <v>36985</v>
      </c>
      <c r="AC196" s="69">
        <v>63</v>
      </c>
      <c r="AD196" s="7">
        <v>0.3014354066985646</v>
      </c>
      <c r="AE196" s="38">
        <v>209</v>
      </c>
      <c r="AF196" s="11">
        <v>11</v>
      </c>
      <c r="AG196" s="7">
        <v>0.6875</v>
      </c>
      <c r="AH196" s="23">
        <v>16</v>
      </c>
      <c r="AI196" s="63">
        <f t="shared" si="400"/>
        <v>418</v>
      </c>
      <c r="AJ196" s="7">
        <f t="shared" si="395"/>
        <v>0.01123353937113679</v>
      </c>
      <c r="AK196" s="26">
        <f t="shared" si="401"/>
        <v>37210</v>
      </c>
      <c r="AL196" s="25">
        <f t="shared" si="402"/>
        <v>0.004352701646194775</v>
      </c>
      <c r="AM196" s="7">
        <f t="shared" si="403"/>
        <v>0.2299432428286547</v>
      </c>
      <c r="AN196" s="7">
        <f t="shared" si="404"/>
        <v>0.7350597609561753</v>
      </c>
      <c r="AO196" s="171">
        <f t="shared" si="405"/>
        <v>0.008750436118207083</v>
      </c>
      <c r="AP196" s="63">
        <f t="shared" si="406"/>
        <v>6546</v>
      </c>
      <c r="AQ196" s="3">
        <f t="shared" si="407"/>
        <v>748077</v>
      </c>
      <c r="AR196" s="116">
        <f t="shared" si="411"/>
        <v>730351</v>
      </c>
      <c r="AS196" s="3">
        <f t="shared" si="409"/>
        <v>13038</v>
      </c>
      <c r="AT196" s="26">
        <f t="shared" si="410"/>
        <v>502</v>
      </c>
      <c r="AU196" s="5"/>
      <c r="AV196" s="5"/>
      <c r="AW196" s="5"/>
      <c r="AX196" s="5"/>
    </row>
    <row r="197" spans="1:50" ht="12.75">
      <c r="A197" s="147">
        <v>38869</v>
      </c>
      <c r="B197" s="3">
        <v>488</v>
      </c>
      <c r="C197" s="7">
        <v>0.004097431548543648</v>
      </c>
      <c r="D197" s="6">
        <v>119099</v>
      </c>
      <c r="E197" s="58">
        <v>351</v>
      </c>
      <c r="F197" s="8">
        <v>0.21910112359550563</v>
      </c>
      <c r="G197" s="38">
        <v>1602</v>
      </c>
      <c r="H197" s="10">
        <v>23</v>
      </c>
      <c r="I197" s="8">
        <v>0.5897435897435898</v>
      </c>
      <c r="J197" s="6">
        <v>39</v>
      </c>
      <c r="K197" s="196">
        <f t="shared" si="396"/>
        <v>862</v>
      </c>
      <c r="L197" s="8">
        <f t="shared" si="387"/>
        <v>0.00713930760311413</v>
      </c>
      <c r="M197" s="23">
        <f t="shared" si="397"/>
        <v>120740</v>
      </c>
      <c r="N197" s="63">
        <v>2334</v>
      </c>
      <c r="O197" s="67">
        <f t="shared" si="388"/>
        <v>0.004073810321715818</v>
      </c>
      <c r="P197" s="3">
        <v>572928</v>
      </c>
      <c r="Q197" s="68">
        <v>2528</v>
      </c>
      <c r="R197" s="67">
        <f t="shared" si="389"/>
        <v>0.22613829501744342</v>
      </c>
      <c r="S197" s="40">
        <v>11179</v>
      </c>
      <c r="T197" s="4">
        <v>328</v>
      </c>
      <c r="U197" s="7">
        <f t="shared" si="390"/>
        <v>0.7288888888888889</v>
      </c>
      <c r="V197" s="44">
        <v>450</v>
      </c>
      <c r="W197" s="63">
        <f t="shared" si="398"/>
        <v>5190</v>
      </c>
      <c r="X197" s="7">
        <f t="shared" si="391"/>
        <v>0.008878518262547536</v>
      </c>
      <c r="Y197" s="26">
        <f t="shared" si="399"/>
        <v>584557</v>
      </c>
      <c r="Z197" s="63">
        <v>346</v>
      </c>
      <c r="AA197" s="7">
        <v>0.009368569262428246</v>
      </c>
      <c r="AB197" s="6">
        <v>36932</v>
      </c>
      <c r="AC197" s="69">
        <v>64</v>
      </c>
      <c r="AD197" s="7">
        <v>0.30917874396135264</v>
      </c>
      <c r="AE197" s="38">
        <v>207</v>
      </c>
      <c r="AF197" s="11">
        <v>11</v>
      </c>
      <c r="AG197" s="7">
        <v>0.6875</v>
      </c>
      <c r="AH197" s="23">
        <v>16</v>
      </c>
      <c r="AI197" s="63">
        <f t="shared" si="400"/>
        <v>421</v>
      </c>
      <c r="AJ197" s="7">
        <f t="shared" si="395"/>
        <v>0.011330911048311128</v>
      </c>
      <c r="AK197" s="26">
        <f t="shared" si="401"/>
        <v>37155</v>
      </c>
      <c r="AL197" s="25">
        <f t="shared" si="402"/>
        <v>0.004345923433279512</v>
      </c>
      <c r="AM197" s="7">
        <f t="shared" si="403"/>
        <v>0.22659377887280566</v>
      </c>
      <c r="AN197" s="7">
        <f t="shared" si="404"/>
        <v>0.7168316831683168</v>
      </c>
      <c r="AO197" s="171">
        <f t="shared" si="405"/>
        <v>0.00867007504778386</v>
      </c>
      <c r="AP197" s="63">
        <f t="shared" si="406"/>
        <v>6473</v>
      </c>
      <c r="AQ197" s="3">
        <f t="shared" si="407"/>
        <v>746591</v>
      </c>
      <c r="AR197" s="116">
        <f t="shared" si="411"/>
        <v>728959</v>
      </c>
      <c r="AS197" s="3">
        <f t="shared" si="409"/>
        <v>12988</v>
      </c>
      <c r="AT197" s="26">
        <f t="shared" si="410"/>
        <v>505</v>
      </c>
      <c r="AU197" s="5"/>
      <c r="AV197" s="5"/>
      <c r="AW197" s="5"/>
      <c r="AX197" s="5"/>
    </row>
    <row r="198" spans="1:50" ht="12.75">
      <c r="A198" s="147">
        <v>38838</v>
      </c>
      <c r="B198" s="3">
        <v>483</v>
      </c>
      <c r="C198" s="7">
        <v>0.004098638878517362</v>
      </c>
      <c r="D198" s="6">
        <v>117844</v>
      </c>
      <c r="E198" s="58">
        <v>347</v>
      </c>
      <c r="F198" s="8">
        <v>0.21948134092346616</v>
      </c>
      <c r="G198" s="38">
        <v>1581</v>
      </c>
      <c r="H198" s="10">
        <v>22</v>
      </c>
      <c r="I198" s="8">
        <v>0.5789473684210527</v>
      </c>
      <c r="J198" s="6">
        <v>38</v>
      </c>
      <c r="K198" s="196">
        <f t="shared" si="396"/>
        <v>852</v>
      </c>
      <c r="L198" s="8">
        <f t="shared" si="387"/>
        <v>0.007131915321061751</v>
      </c>
      <c r="M198" s="23">
        <f t="shared" si="397"/>
        <v>119463</v>
      </c>
      <c r="N198" s="63">
        <v>2313</v>
      </c>
      <c r="O198" s="67">
        <f aca="true" t="shared" si="412" ref="O198:O229">N198/P198</f>
        <v>0.004035543489829139</v>
      </c>
      <c r="P198" s="3">
        <v>573157</v>
      </c>
      <c r="Q198" s="68">
        <v>2535</v>
      </c>
      <c r="R198" s="67">
        <f aca="true" t="shared" si="413" ref="R198:R229">Q198/S198</f>
        <v>0.2261172063152261</v>
      </c>
      <c r="S198" s="40">
        <v>11211</v>
      </c>
      <c r="T198" s="4">
        <v>322</v>
      </c>
      <c r="U198" s="7">
        <f aca="true" t="shared" si="414" ref="U198:U229">T198/V198</f>
        <v>0.7155555555555555</v>
      </c>
      <c r="V198" s="44">
        <v>450</v>
      </c>
      <c r="W198" s="63">
        <f aca="true" t="shared" si="415" ref="W198:W229">+T198+Q198+N198</f>
        <v>5170</v>
      </c>
      <c r="X198" s="7">
        <f aca="true" t="shared" si="416" ref="X198:X229">W198/Y198</f>
        <v>0.008840357170948911</v>
      </c>
      <c r="Y198" s="26">
        <f aca="true" t="shared" si="417" ref="Y198:Y229">+V198+S198+P198</f>
        <v>584818</v>
      </c>
      <c r="Z198" s="63">
        <v>364</v>
      </c>
      <c r="AA198" s="7">
        <v>0.009862360463856074</v>
      </c>
      <c r="AB198" s="6">
        <v>36908</v>
      </c>
      <c r="AC198" s="69">
        <v>63</v>
      </c>
      <c r="AD198" s="7">
        <v>0.3058252427184466</v>
      </c>
      <c r="AE198" s="38">
        <v>206</v>
      </c>
      <c r="AF198" s="11">
        <v>11</v>
      </c>
      <c r="AG198" s="7">
        <v>0.6875</v>
      </c>
      <c r="AH198" s="23">
        <v>16</v>
      </c>
      <c r="AI198" s="63">
        <f aca="true" t="shared" si="418" ref="AI198:AI214">+AF198+AC198+Z198</f>
        <v>438</v>
      </c>
      <c r="AJ198" s="7">
        <f aca="true" t="shared" si="419" ref="AJ198:AJ214">AI198/AK198</f>
        <v>0.011796391058443307</v>
      </c>
      <c r="AK198" s="26">
        <f aca="true" t="shared" si="420" ref="AK198:AK214">+AH198+AE198+AB198</f>
        <v>37130</v>
      </c>
      <c r="AL198" s="25">
        <f t="shared" si="402"/>
        <v>0.004341201990908204</v>
      </c>
      <c r="AM198" s="7">
        <f t="shared" si="403"/>
        <v>0.22657331897214955</v>
      </c>
      <c r="AN198" s="7">
        <f t="shared" si="404"/>
        <v>0.7043650793650794</v>
      </c>
      <c r="AO198" s="171">
        <f t="shared" si="405"/>
        <v>0.008664651174019995</v>
      </c>
      <c r="AP198" s="63">
        <f t="shared" si="406"/>
        <v>6460</v>
      </c>
      <c r="AQ198" s="3">
        <f t="shared" si="407"/>
        <v>745558</v>
      </c>
      <c r="AR198" s="116">
        <f t="shared" si="411"/>
        <v>727909</v>
      </c>
      <c r="AS198" s="3">
        <f t="shared" si="409"/>
        <v>12998</v>
      </c>
      <c r="AT198" s="26">
        <f t="shared" si="410"/>
        <v>504</v>
      </c>
      <c r="AU198" s="5"/>
      <c r="AV198" s="5"/>
      <c r="AW198" s="5"/>
      <c r="AX198" s="5"/>
    </row>
    <row r="199" spans="1:50" ht="12.75">
      <c r="A199" s="147">
        <v>38808</v>
      </c>
      <c r="B199" s="3">
        <v>477</v>
      </c>
      <c r="C199" s="7">
        <v>0.004067848645329649</v>
      </c>
      <c r="D199" s="6">
        <v>117261</v>
      </c>
      <c r="E199" s="58">
        <v>335</v>
      </c>
      <c r="F199" s="8">
        <v>0.2166882276843467</v>
      </c>
      <c r="G199" s="38">
        <v>1546</v>
      </c>
      <c r="H199" s="10">
        <v>22</v>
      </c>
      <c r="I199" s="8">
        <v>0.5789473684210527</v>
      </c>
      <c r="J199" s="6">
        <v>38</v>
      </c>
      <c r="K199" s="196">
        <f t="shared" si="396"/>
        <v>834</v>
      </c>
      <c r="L199" s="8">
        <f t="shared" si="387"/>
        <v>0.007017543859649123</v>
      </c>
      <c r="M199" s="23">
        <f t="shared" si="397"/>
        <v>118845</v>
      </c>
      <c r="N199" s="63">
        <v>2301</v>
      </c>
      <c r="O199" s="67">
        <f t="shared" si="412"/>
        <v>0.004016940630979149</v>
      </c>
      <c r="P199" s="3">
        <v>572824</v>
      </c>
      <c r="Q199" s="68">
        <v>2481</v>
      </c>
      <c r="R199" s="67">
        <f t="shared" si="413"/>
        <v>0.2213794949585081</v>
      </c>
      <c r="S199" s="40">
        <v>11207</v>
      </c>
      <c r="T199" s="4">
        <v>313</v>
      </c>
      <c r="U199" s="7">
        <f t="shared" si="414"/>
        <v>0.6894273127753304</v>
      </c>
      <c r="V199" s="44">
        <v>454</v>
      </c>
      <c r="W199" s="63">
        <f t="shared" si="415"/>
        <v>5095</v>
      </c>
      <c r="X199" s="7">
        <f t="shared" si="416"/>
        <v>0.008717075716228817</v>
      </c>
      <c r="Y199" s="26">
        <f t="shared" si="417"/>
        <v>584485</v>
      </c>
      <c r="Z199" s="63">
        <v>1230</v>
      </c>
      <c r="AA199" s="7">
        <v>0.033348697231787</v>
      </c>
      <c r="AB199" s="6">
        <v>36883</v>
      </c>
      <c r="AC199" s="69">
        <v>65</v>
      </c>
      <c r="AD199" s="7">
        <v>0.3125</v>
      </c>
      <c r="AE199" s="38">
        <v>208</v>
      </c>
      <c r="AF199" s="11">
        <v>11</v>
      </c>
      <c r="AG199" s="7">
        <v>0.6875</v>
      </c>
      <c r="AH199" s="23">
        <v>16</v>
      </c>
      <c r="AI199" s="63">
        <f t="shared" si="418"/>
        <v>1306</v>
      </c>
      <c r="AJ199" s="7">
        <f t="shared" si="419"/>
        <v>0.035195515670897674</v>
      </c>
      <c r="AK199" s="26">
        <f t="shared" si="420"/>
        <v>37107</v>
      </c>
      <c r="AL199" s="25">
        <f t="shared" si="402"/>
        <v>0.00551331007692223</v>
      </c>
      <c r="AM199" s="7">
        <f t="shared" si="403"/>
        <v>0.22228223130931254</v>
      </c>
      <c r="AN199" s="7">
        <f t="shared" si="404"/>
        <v>0.6811023622047244</v>
      </c>
      <c r="AO199" s="171">
        <f t="shared" si="405"/>
        <v>0.00970657565158827</v>
      </c>
      <c r="AP199" s="63">
        <f t="shared" si="406"/>
        <v>7235</v>
      </c>
      <c r="AQ199" s="3">
        <f t="shared" si="407"/>
        <v>745371</v>
      </c>
      <c r="AR199" s="116">
        <f t="shared" si="411"/>
        <v>726968</v>
      </c>
      <c r="AS199" s="3">
        <f t="shared" si="409"/>
        <v>12961</v>
      </c>
      <c r="AT199" s="26">
        <f t="shared" si="410"/>
        <v>508</v>
      </c>
      <c r="AU199" s="5"/>
      <c r="AV199" s="5"/>
      <c r="AW199" s="5"/>
      <c r="AX199" s="5"/>
    </row>
    <row r="200" spans="1:50" ht="12.75">
      <c r="A200" s="147">
        <v>38777</v>
      </c>
      <c r="B200" s="3">
        <v>492</v>
      </c>
      <c r="C200" s="7">
        <v>0.0041990987300286765</v>
      </c>
      <c r="D200" s="6">
        <v>117168</v>
      </c>
      <c r="E200" s="58">
        <v>333</v>
      </c>
      <c r="F200" s="8">
        <v>0.21623376623376622</v>
      </c>
      <c r="G200" s="38">
        <v>1540</v>
      </c>
      <c r="H200" s="10">
        <v>22</v>
      </c>
      <c r="I200" s="8">
        <v>0.5789473684210527</v>
      </c>
      <c r="J200" s="6">
        <v>38</v>
      </c>
      <c r="K200" s="196">
        <f t="shared" si="396"/>
        <v>847</v>
      </c>
      <c r="L200" s="8">
        <f t="shared" si="387"/>
        <v>0.007132871844104222</v>
      </c>
      <c r="M200" s="23">
        <f t="shared" si="397"/>
        <v>118746</v>
      </c>
      <c r="N200" s="63">
        <v>2270</v>
      </c>
      <c r="O200" s="67">
        <f t="shared" si="412"/>
        <v>0.003967387029965132</v>
      </c>
      <c r="P200" s="3">
        <v>572165</v>
      </c>
      <c r="Q200" s="68">
        <v>2356</v>
      </c>
      <c r="R200" s="67">
        <f t="shared" si="413"/>
        <v>0.20934778745334992</v>
      </c>
      <c r="S200" s="40">
        <v>11254</v>
      </c>
      <c r="T200" s="4">
        <v>293</v>
      </c>
      <c r="U200" s="7">
        <f t="shared" si="414"/>
        <v>0.6482300884955752</v>
      </c>
      <c r="V200" s="44">
        <v>452</v>
      </c>
      <c r="W200" s="63">
        <f t="shared" si="415"/>
        <v>4919</v>
      </c>
      <c r="X200" s="7">
        <f t="shared" si="416"/>
        <v>0.00842480616437535</v>
      </c>
      <c r="Y200" s="26">
        <f t="shared" si="417"/>
        <v>583871</v>
      </c>
      <c r="Z200" s="63">
        <v>1630</v>
      </c>
      <c r="AA200" s="7">
        <v>0.04419140572048258</v>
      </c>
      <c r="AB200" s="6">
        <v>36885</v>
      </c>
      <c r="AC200" s="69">
        <v>84</v>
      </c>
      <c r="AD200" s="7">
        <v>0.4019138755980861</v>
      </c>
      <c r="AE200" s="38">
        <v>209</v>
      </c>
      <c r="AF200" s="11">
        <v>11</v>
      </c>
      <c r="AG200" s="7">
        <v>0.6875</v>
      </c>
      <c r="AH200" s="23">
        <v>16</v>
      </c>
      <c r="AI200" s="63">
        <f t="shared" si="418"/>
        <v>1725</v>
      </c>
      <c r="AJ200" s="7">
        <f t="shared" si="419"/>
        <v>0.04648342764753436</v>
      </c>
      <c r="AK200" s="26">
        <f t="shared" si="420"/>
        <v>37110</v>
      </c>
      <c r="AL200" s="25">
        <f t="shared" si="402"/>
        <v>0.006047770779573075</v>
      </c>
      <c r="AM200" s="7">
        <f t="shared" si="403"/>
        <v>0.21325847881258173</v>
      </c>
      <c r="AN200" s="7">
        <f t="shared" si="404"/>
        <v>0.6442687747035574</v>
      </c>
      <c r="AO200" s="171">
        <f t="shared" si="405"/>
        <v>0.010055735433882633</v>
      </c>
      <c r="AP200" s="63">
        <f t="shared" si="406"/>
        <v>7491</v>
      </c>
      <c r="AQ200" s="3">
        <f t="shared" si="407"/>
        <v>744948</v>
      </c>
      <c r="AR200" s="116">
        <f t="shared" si="411"/>
        <v>726218</v>
      </c>
      <c r="AS200" s="3">
        <f t="shared" si="409"/>
        <v>13003</v>
      </c>
      <c r="AT200" s="26">
        <f t="shared" si="410"/>
        <v>506</v>
      </c>
      <c r="AU200" s="5"/>
      <c r="AV200" s="5"/>
      <c r="AW200" s="5"/>
      <c r="AX200" s="5"/>
    </row>
    <row r="201" spans="1:50" ht="12.75">
      <c r="A201" s="147">
        <v>38749</v>
      </c>
      <c r="B201" s="3">
        <v>503</v>
      </c>
      <c r="C201" s="7">
        <v>0.0042955840030060545</v>
      </c>
      <c r="D201" s="6">
        <v>117097</v>
      </c>
      <c r="E201" s="58">
        <v>323</v>
      </c>
      <c r="F201" s="8">
        <v>0.20946822308690013</v>
      </c>
      <c r="G201" s="38">
        <v>1542</v>
      </c>
      <c r="H201" s="10">
        <v>22</v>
      </c>
      <c r="I201" s="8">
        <v>0.5641025641025641</v>
      </c>
      <c r="J201" s="6">
        <v>39</v>
      </c>
      <c r="K201" s="196">
        <f t="shared" si="396"/>
        <v>848</v>
      </c>
      <c r="L201" s="8">
        <f t="shared" si="387"/>
        <v>0.007145384991321053</v>
      </c>
      <c r="M201" s="23">
        <f t="shared" si="397"/>
        <v>118678</v>
      </c>
      <c r="N201" s="65">
        <v>2274</v>
      </c>
      <c r="O201" s="67">
        <f t="shared" si="412"/>
        <v>0.003979274176190501</v>
      </c>
      <c r="P201" s="3">
        <v>571461</v>
      </c>
      <c r="Q201" s="68">
        <v>2364</v>
      </c>
      <c r="R201" s="67">
        <f t="shared" si="413"/>
        <v>0.21043261527505785</v>
      </c>
      <c r="S201" s="40">
        <v>11234</v>
      </c>
      <c r="T201" s="4">
        <v>299</v>
      </c>
      <c r="U201" s="7">
        <f t="shared" si="414"/>
        <v>0.6600441501103753</v>
      </c>
      <c r="V201" s="44">
        <v>453</v>
      </c>
      <c r="W201" s="63">
        <f t="shared" si="415"/>
        <v>4937</v>
      </c>
      <c r="X201" s="7">
        <f t="shared" si="416"/>
        <v>0.008466118378181868</v>
      </c>
      <c r="Y201" s="26">
        <f t="shared" si="417"/>
        <v>583148</v>
      </c>
      <c r="Z201" s="63">
        <v>1633</v>
      </c>
      <c r="AA201" s="7">
        <v>0.04426553902035727</v>
      </c>
      <c r="AB201" s="6">
        <v>36891</v>
      </c>
      <c r="AC201" s="69">
        <v>84</v>
      </c>
      <c r="AD201" s="7">
        <v>0.4019138755980861</v>
      </c>
      <c r="AE201" s="38">
        <v>209</v>
      </c>
      <c r="AF201" s="11">
        <v>11</v>
      </c>
      <c r="AG201" s="7">
        <v>0.6470588235294118</v>
      </c>
      <c r="AH201" s="23">
        <v>17</v>
      </c>
      <c r="AI201" s="63">
        <f t="shared" si="418"/>
        <v>1728</v>
      </c>
      <c r="AJ201" s="7">
        <f t="shared" si="419"/>
        <v>0.04655548670420562</v>
      </c>
      <c r="AK201" s="26">
        <f t="shared" si="420"/>
        <v>37117</v>
      </c>
      <c r="AL201" s="25">
        <f t="shared" si="402"/>
        <v>0.006078993836920307</v>
      </c>
      <c r="AM201" s="7">
        <f t="shared" si="403"/>
        <v>0.21340007701193686</v>
      </c>
      <c r="AN201" s="7">
        <f t="shared" si="404"/>
        <v>0.6522593320235757</v>
      </c>
      <c r="AO201" s="171">
        <f t="shared" si="405"/>
        <v>0.010095648645089508</v>
      </c>
      <c r="AP201" s="63">
        <f t="shared" si="406"/>
        <v>7513</v>
      </c>
      <c r="AQ201" s="3">
        <f t="shared" si="407"/>
        <v>744182</v>
      </c>
      <c r="AR201" s="116">
        <f t="shared" si="411"/>
        <v>725449</v>
      </c>
      <c r="AS201" s="3">
        <f t="shared" si="409"/>
        <v>12985</v>
      </c>
      <c r="AT201" s="26">
        <f t="shared" si="410"/>
        <v>509</v>
      </c>
      <c r="AU201" s="5"/>
      <c r="AV201" s="5"/>
      <c r="AW201" s="5"/>
      <c r="AX201" s="5"/>
    </row>
    <row r="202" spans="1:50" ht="12.75">
      <c r="A202" s="147">
        <v>38718</v>
      </c>
      <c r="B202" s="3">
        <v>506</v>
      </c>
      <c r="C202" s="7">
        <v>0.004321203788312254</v>
      </c>
      <c r="D202" s="6">
        <v>117097</v>
      </c>
      <c r="E202" s="58">
        <v>327</v>
      </c>
      <c r="F202" s="8">
        <v>0.21219987021414666</v>
      </c>
      <c r="G202" s="38">
        <v>1541</v>
      </c>
      <c r="H202" s="10">
        <v>22</v>
      </c>
      <c r="I202" s="8">
        <v>0.5641025641025641</v>
      </c>
      <c r="J202" s="6">
        <v>39</v>
      </c>
      <c r="K202" s="196">
        <f t="shared" si="396"/>
        <v>855</v>
      </c>
      <c r="L202" s="8">
        <f t="shared" si="387"/>
        <v>0.00720442882782679</v>
      </c>
      <c r="M202" s="23">
        <f t="shared" si="397"/>
        <v>118677</v>
      </c>
      <c r="N202" s="64">
        <v>2254</v>
      </c>
      <c r="O202" s="67">
        <f t="shared" si="412"/>
        <v>0.003950297060936925</v>
      </c>
      <c r="P202" s="3">
        <v>570590</v>
      </c>
      <c r="Q202" s="68">
        <v>2360</v>
      </c>
      <c r="R202" s="67">
        <f t="shared" si="413"/>
        <v>0.2103386809269162</v>
      </c>
      <c r="S202" s="40">
        <v>11220</v>
      </c>
      <c r="T202" s="4">
        <v>295</v>
      </c>
      <c r="U202" s="7">
        <f t="shared" si="414"/>
        <v>0.6512141280353201</v>
      </c>
      <c r="V202" s="44">
        <v>453</v>
      </c>
      <c r="W202" s="63">
        <f t="shared" si="415"/>
        <v>4909</v>
      </c>
      <c r="X202" s="7">
        <f t="shared" si="416"/>
        <v>0.008430898064963771</v>
      </c>
      <c r="Y202" s="26">
        <f t="shared" si="417"/>
        <v>582263</v>
      </c>
      <c r="Z202" s="63">
        <v>1637</v>
      </c>
      <c r="AA202" s="7">
        <f aca="true" t="shared" si="421" ref="AA202:AA214">Z202/AB202</f>
        <v>0.04439201648768847</v>
      </c>
      <c r="AB202" s="3">
        <v>36876</v>
      </c>
      <c r="AC202" s="42">
        <v>82</v>
      </c>
      <c r="AD202" s="7">
        <f aca="true" t="shared" si="422" ref="AD202:AD214">AC202/AE202</f>
        <v>0.3886255924170616</v>
      </c>
      <c r="AE202" s="43">
        <v>211</v>
      </c>
      <c r="AF202" s="13">
        <v>11</v>
      </c>
      <c r="AG202" s="7">
        <f aca="true" t="shared" si="423" ref="AG202:AG214">AF202/AH202</f>
        <v>0.6470588235294118</v>
      </c>
      <c r="AH202" s="44">
        <v>17</v>
      </c>
      <c r="AI202" s="63">
        <f t="shared" si="418"/>
        <v>1730</v>
      </c>
      <c r="AJ202" s="7">
        <f t="shared" si="419"/>
        <v>0.0466257007330746</v>
      </c>
      <c r="AK202" s="26">
        <f t="shared" si="420"/>
        <v>37104</v>
      </c>
      <c r="AL202" s="25">
        <f t="shared" si="402"/>
        <v>0.00606848541810719</v>
      </c>
      <c r="AM202" s="7">
        <f t="shared" si="403"/>
        <v>0.21345975948196114</v>
      </c>
      <c r="AN202" s="7">
        <f t="shared" si="404"/>
        <v>0.6444007858546169</v>
      </c>
      <c r="AO202" s="171">
        <f t="shared" si="405"/>
        <v>0.010082283487872738</v>
      </c>
      <c r="AP202" s="63">
        <f t="shared" si="406"/>
        <v>7494</v>
      </c>
      <c r="AQ202" s="3">
        <f t="shared" si="407"/>
        <v>743284</v>
      </c>
      <c r="AR202" s="116">
        <f t="shared" si="411"/>
        <v>724563</v>
      </c>
      <c r="AS202" s="3">
        <f t="shared" si="409"/>
        <v>12972</v>
      </c>
      <c r="AT202" s="26">
        <f t="shared" si="410"/>
        <v>509</v>
      </c>
      <c r="AU202" s="5"/>
      <c r="AV202" s="5"/>
      <c r="AW202" s="5"/>
      <c r="AX202" s="5"/>
    </row>
    <row r="203" spans="1:50" ht="12.75">
      <c r="A203" s="147">
        <v>38687</v>
      </c>
      <c r="B203" s="3">
        <v>501</v>
      </c>
      <c r="C203" s="13"/>
      <c r="D203" s="13"/>
      <c r="E203" s="58">
        <v>337</v>
      </c>
      <c r="F203" s="13"/>
      <c r="G203" s="43"/>
      <c r="H203" s="13">
        <v>22</v>
      </c>
      <c r="I203" s="13"/>
      <c r="J203" s="13"/>
      <c r="K203" s="41"/>
      <c r="L203" s="13"/>
      <c r="M203" s="44"/>
      <c r="N203" s="64">
        <v>2263</v>
      </c>
      <c r="O203" s="67">
        <f t="shared" si="412"/>
        <v>0.003974365954278108</v>
      </c>
      <c r="P203" s="3">
        <f>520178+48799+422</f>
        <v>569399</v>
      </c>
      <c r="Q203" s="68">
        <v>2332</v>
      </c>
      <c r="R203" s="67">
        <f t="shared" si="413"/>
        <v>0.20845624385447395</v>
      </c>
      <c r="S203" s="40">
        <v>11187</v>
      </c>
      <c r="T203" s="3">
        <v>305</v>
      </c>
      <c r="U203" s="7">
        <f t="shared" si="414"/>
        <v>0.6777777777777778</v>
      </c>
      <c r="V203" s="44">
        <v>450</v>
      </c>
      <c r="W203" s="63">
        <f t="shared" si="415"/>
        <v>4900</v>
      </c>
      <c r="X203" s="7">
        <f t="shared" si="416"/>
        <v>0.008433212399920143</v>
      </c>
      <c r="Y203" s="26">
        <f t="shared" si="417"/>
        <v>581036</v>
      </c>
      <c r="Z203" s="63">
        <v>1644</v>
      </c>
      <c r="AA203" s="7">
        <f t="shared" si="421"/>
        <v>0.044591515677552346</v>
      </c>
      <c r="AB203" s="3">
        <v>36868</v>
      </c>
      <c r="AC203" s="42">
        <v>83</v>
      </c>
      <c r="AD203" s="7">
        <f t="shared" si="422"/>
        <v>0.38967136150234744</v>
      </c>
      <c r="AE203" s="43">
        <v>213</v>
      </c>
      <c r="AF203" s="13">
        <v>11</v>
      </c>
      <c r="AG203" s="7">
        <f t="shared" si="423"/>
        <v>0.6470588235294118</v>
      </c>
      <c r="AH203" s="44">
        <v>17</v>
      </c>
      <c r="AI203" s="63">
        <f t="shared" si="418"/>
        <v>1738</v>
      </c>
      <c r="AJ203" s="7">
        <f t="shared" si="419"/>
        <v>0.04684888673243841</v>
      </c>
      <c r="AK203" s="26">
        <f t="shared" si="420"/>
        <v>37098</v>
      </c>
      <c r="AL203" s="41"/>
      <c r="AM203" s="13"/>
      <c r="AN203" s="13"/>
      <c r="AO203" s="44"/>
      <c r="AP203" s="63">
        <v>5613</v>
      </c>
      <c r="AQ203" s="13"/>
      <c r="AR203" s="13"/>
      <c r="AS203" s="13"/>
      <c r="AT203" s="44"/>
      <c r="AU203" s="5"/>
      <c r="AV203" s="5"/>
      <c r="AW203" s="5"/>
      <c r="AX203" s="5"/>
    </row>
    <row r="204" spans="1:50" ht="12.75">
      <c r="A204" s="147">
        <v>38657</v>
      </c>
      <c r="B204" s="3">
        <v>500</v>
      </c>
      <c r="C204" s="13"/>
      <c r="D204" s="13"/>
      <c r="E204" s="57">
        <v>338</v>
      </c>
      <c r="F204" s="13"/>
      <c r="G204" s="43"/>
      <c r="H204" s="13">
        <v>23</v>
      </c>
      <c r="I204" s="13"/>
      <c r="J204" s="13"/>
      <c r="K204" s="41"/>
      <c r="L204" s="13"/>
      <c r="M204" s="44"/>
      <c r="N204" s="64">
        <v>2280</v>
      </c>
      <c r="O204" s="67">
        <f t="shared" si="412"/>
        <v>0.004011909035241454</v>
      </c>
      <c r="P204" s="3">
        <f>519084+48792+432</f>
        <v>568308</v>
      </c>
      <c r="Q204" s="68">
        <v>2366</v>
      </c>
      <c r="R204" s="67">
        <f t="shared" si="413"/>
        <v>0.21221634227284958</v>
      </c>
      <c r="S204" s="40">
        <v>11149</v>
      </c>
      <c r="T204" s="3">
        <v>311</v>
      </c>
      <c r="U204" s="7">
        <f t="shared" si="414"/>
        <v>0.6880530973451328</v>
      </c>
      <c r="V204" s="44">
        <v>452</v>
      </c>
      <c r="W204" s="63">
        <f t="shared" si="415"/>
        <v>4957</v>
      </c>
      <c r="X204" s="7">
        <f t="shared" si="416"/>
        <v>0.008547892859052024</v>
      </c>
      <c r="Y204" s="26">
        <f t="shared" si="417"/>
        <v>579909</v>
      </c>
      <c r="Z204" s="63">
        <v>1644</v>
      </c>
      <c r="AA204" s="7">
        <f t="shared" si="421"/>
        <v>0.044607244607244606</v>
      </c>
      <c r="AB204" s="3">
        <v>36855</v>
      </c>
      <c r="AC204" s="42">
        <v>82</v>
      </c>
      <c r="AD204" s="7">
        <f t="shared" si="422"/>
        <v>0.3867924528301887</v>
      </c>
      <c r="AE204" s="43">
        <v>212</v>
      </c>
      <c r="AF204" s="13">
        <v>10</v>
      </c>
      <c r="AG204" s="7">
        <f t="shared" si="423"/>
        <v>0.5882352941176471</v>
      </c>
      <c r="AH204" s="44">
        <v>17</v>
      </c>
      <c r="AI204" s="63">
        <f t="shared" si="418"/>
        <v>1736</v>
      </c>
      <c r="AJ204" s="7">
        <f t="shared" si="419"/>
        <v>0.046812641570488624</v>
      </c>
      <c r="AK204" s="26">
        <f t="shared" si="420"/>
        <v>37084</v>
      </c>
      <c r="AL204" s="41"/>
      <c r="AM204" s="13"/>
      <c r="AN204" s="13"/>
      <c r="AO204" s="44"/>
      <c r="AP204" s="63">
        <v>5630</v>
      </c>
      <c r="AQ204" s="13"/>
      <c r="AR204" s="13"/>
      <c r="AS204" s="13"/>
      <c r="AT204" s="44"/>
      <c r="AU204" s="5"/>
      <c r="AV204" s="5"/>
      <c r="AW204" s="5"/>
      <c r="AX204" s="5"/>
    </row>
    <row r="205" spans="1:50" ht="12.75">
      <c r="A205" s="147">
        <v>38626</v>
      </c>
      <c r="B205" s="3">
        <v>500</v>
      </c>
      <c r="C205" s="13"/>
      <c r="D205" s="13"/>
      <c r="E205" s="57">
        <v>333</v>
      </c>
      <c r="F205" s="13"/>
      <c r="G205" s="43"/>
      <c r="H205" s="13">
        <v>23</v>
      </c>
      <c r="I205" s="13"/>
      <c r="J205" s="13"/>
      <c r="K205" s="41"/>
      <c r="L205" s="13"/>
      <c r="M205" s="44"/>
      <c r="N205" s="64">
        <v>2241</v>
      </c>
      <c r="O205" s="67">
        <f t="shared" si="412"/>
        <v>0.003948001247293567</v>
      </c>
      <c r="P205" s="3">
        <f>518404+48792+433</f>
        <v>567629</v>
      </c>
      <c r="Q205" s="68">
        <v>2414</v>
      </c>
      <c r="R205" s="67">
        <f t="shared" si="413"/>
        <v>0.21685231764283147</v>
      </c>
      <c r="S205" s="40">
        <v>11132</v>
      </c>
      <c r="T205" s="3">
        <v>313</v>
      </c>
      <c r="U205" s="7">
        <f t="shared" si="414"/>
        <v>0.6940133037694013</v>
      </c>
      <c r="V205" s="44">
        <v>451</v>
      </c>
      <c r="W205" s="63">
        <f t="shared" si="415"/>
        <v>4968</v>
      </c>
      <c r="X205" s="7">
        <f t="shared" si="416"/>
        <v>0.00857717036249249</v>
      </c>
      <c r="Y205" s="26">
        <f t="shared" si="417"/>
        <v>579212</v>
      </c>
      <c r="Z205" s="63">
        <v>1649</v>
      </c>
      <c r="AA205" s="7">
        <f t="shared" si="421"/>
        <v>0.044725921505872145</v>
      </c>
      <c r="AB205" s="3">
        <v>36869</v>
      </c>
      <c r="AC205" s="42">
        <v>82</v>
      </c>
      <c r="AD205" s="7">
        <f t="shared" si="422"/>
        <v>0.38497652582159625</v>
      </c>
      <c r="AE205" s="43">
        <v>213</v>
      </c>
      <c r="AF205" s="13">
        <v>11</v>
      </c>
      <c r="AG205" s="7">
        <f t="shared" si="423"/>
        <v>0.6470588235294118</v>
      </c>
      <c r="AH205" s="44">
        <v>17</v>
      </c>
      <c r="AI205" s="63">
        <f t="shared" si="418"/>
        <v>1742</v>
      </c>
      <c r="AJ205" s="7">
        <f t="shared" si="419"/>
        <v>0.04695544354295264</v>
      </c>
      <c r="AK205" s="26">
        <f t="shared" si="420"/>
        <v>37099</v>
      </c>
      <c r="AL205" s="41"/>
      <c r="AM205" s="13"/>
      <c r="AN205" s="13"/>
      <c r="AO205" s="44"/>
      <c r="AP205" s="63">
        <v>5691</v>
      </c>
      <c r="AQ205" s="15"/>
      <c r="AR205" s="13"/>
      <c r="AS205" s="13"/>
      <c r="AT205" s="44"/>
      <c r="AU205" s="5"/>
      <c r="AV205" s="5"/>
      <c r="AW205" s="5"/>
      <c r="AX205" s="5"/>
    </row>
    <row r="206" spans="1:50" ht="12.75">
      <c r="A206" s="147">
        <v>38596</v>
      </c>
      <c r="B206" s="3">
        <v>497</v>
      </c>
      <c r="C206" s="13"/>
      <c r="D206" s="13"/>
      <c r="E206" s="57">
        <v>333</v>
      </c>
      <c r="F206" s="13"/>
      <c r="G206" s="43"/>
      <c r="H206" s="13">
        <v>23</v>
      </c>
      <c r="I206" s="13"/>
      <c r="J206" s="13"/>
      <c r="K206" s="41"/>
      <c r="L206" s="13"/>
      <c r="M206" s="44"/>
      <c r="N206" s="64">
        <v>2209</v>
      </c>
      <c r="O206" s="67">
        <f t="shared" si="412"/>
        <v>0.00389644522134243</v>
      </c>
      <c r="P206" s="3">
        <f>517550+48943+434</f>
        <v>566927</v>
      </c>
      <c r="Q206" s="68">
        <v>2441</v>
      </c>
      <c r="R206" s="67">
        <f t="shared" si="413"/>
        <v>0.22296309828279137</v>
      </c>
      <c r="S206" s="40">
        <v>10948</v>
      </c>
      <c r="T206" s="3">
        <v>315</v>
      </c>
      <c r="U206" s="7">
        <f t="shared" si="414"/>
        <v>0.7</v>
      </c>
      <c r="V206" s="44">
        <v>450</v>
      </c>
      <c r="W206" s="63">
        <f t="shared" si="415"/>
        <v>4965</v>
      </c>
      <c r="X206" s="7">
        <f t="shared" si="416"/>
        <v>0.008585138114382052</v>
      </c>
      <c r="Y206" s="26">
        <f t="shared" si="417"/>
        <v>578325</v>
      </c>
      <c r="Z206" s="63">
        <v>1658</v>
      </c>
      <c r="AA206" s="7">
        <f t="shared" si="421"/>
        <v>0.04501031599522207</v>
      </c>
      <c r="AB206" s="3">
        <v>36836</v>
      </c>
      <c r="AC206" s="42">
        <v>85</v>
      </c>
      <c r="AD206" s="7">
        <f t="shared" si="422"/>
        <v>0.3953488372093023</v>
      </c>
      <c r="AE206" s="43">
        <v>215</v>
      </c>
      <c r="AF206" s="13">
        <v>11</v>
      </c>
      <c r="AG206" s="7">
        <f t="shared" si="423"/>
        <v>0.6470588235294118</v>
      </c>
      <c r="AH206" s="44">
        <v>17</v>
      </c>
      <c r="AI206" s="63">
        <f t="shared" si="418"/>
        <v>1754</v>
      </c>
      <c r="AJ206" s="7">
        <f t="shared" si="419"/>
        <v>0.04731844178266969</v>
      </c>
      <c r="AK206" s="26">
        <f t="shared" si="420"/>
        <v>37068</v>
      </c>
      <c r="AL206" s="41"/>
      <c r="AM206" s="13"/>
      <c r="AN206" s="13"/>
      <c r="AO206" s="44"/>
      <c r="AP206" s="63">
        <v>5752</v>
      </c>
      <c r="AQ206" s="15"/>
      <c r="AR206" s="13"/>
      <c r="AS206" s="13"/>
      <c r="AT206" s="44"/>
      <c r="AU206" s="5"/>
      <c r="AV206" s="5"/>
      <c r="AW206" s="5"/>
      <c r="AX206" s="5"/>
    </row>
    <row r="207" spans="1:50" ht="12.75">
      <c r="A207" s="147">
        <v>38565</v>
      </c>
      <c r="B207" s="3">
        <v>490</v>
      </c>
      <c r="C207" s="13"/>
      <c r="D207" s="13"/>
      <c r="E207" s="57">
        <v>338</v>
      </c>
      <c r="F207" s="13"/>
      <c r="G207" s="43"/>
      <c r="H207" s="13">
        <v>23</v>
      </c>
      <c r="I207" s="13"/>
      <c r="J207" s="13"/>
      <c r="K207" s="41"/>
      <c r="L207" s="13"/>
      <c r="M207" s="44"/>
      <c r="N207" s="64">
        <v>2194</v>
      </c>
      <c r="O207" s="67">
        <f t="shared" si="412"/>
        <v>0.003875777275296778</v>
      </c>
      <c r="P207" s="3">
        <f>516823+48823+434</f>
        <v>566080</v>
      </c>
      <c r="Q207" s="68">
        <v>2445</v>
      </c>
      <c r="R207" s="67">
        <f t="shared" si="413"/>
        <v>0.22406524926686217</v>
      </c>
      <c r="S207" s="40">
        <v>10912</v>
      </c>
      <c r="T207" s="3">
        <v>310</v>
      </c>
      <c r="U207" s="7">
        <f t="shared" si="414"/>
        <v>0.6935123042505593</v>
      </c>
      <c r="V207" s="44">
        <v>447</v>
      </c>
      <c r="W207" s="63">
        <f t="shared" si="415"/>
        <v>4949</v>
      </c>
      <c r="X207" s="7">
        <f t="shared" si="416"/>
        <v>0.008570602262749832</v>
      </c>
      <c r="Y207" s="26">
        <f t="shared" si="417"/>
        <v>577439</v>
      </c>
      <c r="Z207" s="63">
        <v>1672</v>
      </c>
      <c r="AA207" s="7">
        <f t="shared" si="421"/>
        <v>0.04547432550043516</v>
      </c>
      <c r="AB207" s="3">
        <v>36768</v>
      </c>
      <c r="AC207" s="42">
        <v>86</v>
      </c>
      <c r="AD207" s="7">
        <f t="shared" si="422"/>
        <v>0.4</v>
      </c>
      <c r="AE207" s="43">
        <v>215</v>
      </c>
      <c r="AF207" s="13">
        <v>11</v>
      </c>
      <c r="AG207" s="7">
        <f t="shared" si="423"/>
        <v>0.6470588235294118</v>
      </c>
      <c r="AH207" s="44">
        <v>17</v>
      </c>
      <c r="AI207" s="63">
        <f t="shared" si="418"/>
        <v>1769</v>
      </c>
      <c r="AJ207" s="7">
        <f t="shared" si="419"/>
        <v>0.04781081081081081</v>
      </c>
      <c r="AK207" s="26">
        <f t="shared" si="420"/>
        <v>37000</v>
      </c>
      <c r="AL207" s="41"/>
      <c r="AM207" s="13"/>
      <c r="AN207" s="13"/>
      <c r="AO207" s="44"/>
      <c r="AP207" s="63">
        <v>5790</v>
      </c>
      <c r="AQ207" s="15"/>
      <c r="AR207" s="13"/>
      <c r="AS207" s="13"/>
      <c r="AT207" s="44"/>
      <c r="AU207" s="5"/>
      <c r="AV207" s="5"/>
      <c r="AW207" s="5"/>
      <c r="AX207" s="5"/>
    </row>
    <row r="208" spans="1:50" ht="12.75">
      <c r="A208" s="147">
        <v>38534</v>
      </c>
      <c r="B208" s="3">
        <v>430</v>
      </c>
      <c r="C208" s="13"/>
      <c r="D208" s="13"/>
      <c r="E208" s="57">
        <v>328</v>
      </c>
      <c r="F208" s="13"/>
      <c r="G208" s="43"/>
      <c r="H208" s="13">
        <v>22</v>
      </c>
      <c r="I208" s="13"/>
      <c r="J208" s="13"/>
      <c r="K208" s="41"/>
      <c r="L208" s="13"/>
      <c r="M208" s="44"/>
      <c r="N208" s="64">
        <v>1898</v>
      </c>
      <c r="O208" s="67">
        <f t="shared" si="412"/>
        <v>0.003355307236892116</v>
      </c>
      <c r="P208" s="3">
        <f>516378+48859+434</f>
        <v>565671</v>
      </c>
      <c r="Q208" s="68">
        <v>2427</v>
      </c>
      <c r="R208" s="67">
        <f t="shared" si="413"/>
        <v>0.22309035756962955</v>
      </c>
      <c r="S208" s="40">
        <v>10879</v>
      </c>
      <c r="T208" s="3">
        <v>310</v>
      </c>
      <c r="U208" s="7">
        <f t="shared" si="414"/>
        <v>0.6935123042505593</v>
      </c>
      <c r="V208" s="44">
        <v>447</v>
      </c>
      <c r="W208" s="63">
        <f t="shared" si="415"/>
        <v>4635</v>
      </c>
      <c r="X208" s="7">
        <f t="shared" si="416"/>
        <v>0.008032970708686527</v>
      </c>
      <c r="Y208" s="26">
        <f t="shared" si="417"/>
        <v>576997</v>
      </c>
      <c r="Z208" s="63">
        <v>1679</v>
      </c>
      <c r="AA208" s="7">
        <f t="shared" si="421"/>
        <v>0.045710707576706325</v>
      </c>
      <c r="AB208" s="3">
        <v>36731</v>
      </c>
      <c r="AC208" s="42">
        <v>86</v>
      </c>
      <c r="AD208" s="7">
        <f t="shared" si="422"/>
        <v>0.39814814814814814</v>
      </c>
      <c r="AE208" s="43">
        <v>216</v>
      </c>
      <c r="AF208" s="13">
        <v>11</v>
      </c>
      <c r="AG208" s="7">
        <f t="shared" si="423"/>
        <v>0.6470588235294118</v>
      </c>
      <c r="AH208" s="44">
        <v>17</v>
      </c>
      <c r="AI208" s="63">
        <f t="shared" si="418"/>
        <v>1776</v>
      </c>
      <c r="AJ208" s="7">
        <f t="shared" si="419"/>
        <v>0.0480467481874256</v>
      </c>
      <c r="AK208" s="26">
        <f t="shared" si="420"/>
        <v>36964</v>
      </c>
      <c r="AL208" s="41"/>
      <c r="AM208" s="13"/>
      <c r="AN208" s="13"/>
      <c r="AO208" s="44"/>
      <c r="AP208" s="63">
        <v>5806</v>
      </c>
      <c r="AQ208" s="15"/>
      <c r="AR208" s="13"/>
      <c r="AS208" s="13"/>
      <c r="AT208" s="44"/>
      <c r="AU208" s="5"/>
      <c r="AV208" s="5"/>
      <c r="AW208" s="5"/>
      <c r="AX208" s="5"/>
    </row>
    <row r="209" spans="1:50" ht="12.75">
      <c r="A209" s="147">
        <v>38504</v>
      </c>
      <c r="B209" s="3">
        <v>421</v>
      </c>
      <c r="C209" s="13"/>
      <c r="D209" s="13"/>
      <c r="E209" s="57">
        <v>330</v>
      </c>
      <c r="F209" s="13"/>
      <c r="G209" s="43"/>
      <c r="H209" s="13">
        <v>22</v>
      </c>
      <c r="I209" s="13"/>
      <c r="J209" s="13"/>
      <c r="K209" s="41"/>
      <c r="L209" s="13"/>
      <c r="M209" s="44"/>
      <c r="N209" s="64">
        <v>1835</v>
      </c>
      <c r="O209" s="67">
        <f t="shared" si="412"/>
        <v>0.0032465751728115695</v>
      </c>
      <c r="P209" s="3">
        <f>515936+48840+435</f>
        <v>565211</v>
      </c>
      <c r="Q209" s="68">
        <v>2462</v>
      </c>
      <c r="R209" s="67">
        <f t="shared" si="413"/>
        <v>0.22664089109822333</v>
      </c>
      <c r="S209" s="40">
        <v>10863</v>
      </c>
      <c r="T209" s="3">
        <v>306</v>
      </c>
      <c r="U209" s="7">
        <f t="shared" si="414"/>
        <v>0.6860986547085202</v>
      </c>
      <c r="V209" s="44">
        <v>446</v>
      </c>
      <c r="W209" s="63">
        <f t="shared" si="415"/>
        <v>4603</v>
      </c>
      <c r="X209" s="7">
        <f t="shared" si="416"/>
        <v>0.007984111565947409</v>
      </c>
      <c r="Y209" s="26">
        <f t="shared" si="417"/>
        <v>576520</v>
      </c>
      <c r="Z209" s="63">
        <v>1704</v>
      </c>
      <c r="AA209" s="7">
        <f t="shared" si="421"/>
        <v>0.046403965033631984</v>
      </c>
      <c r="AB209" s="3">
        <v>36721</v>
      </c>
      <c r="AC209" s="42">
        <v>85</v>
      </c>
      <c r="AD209" s="7">
        <f t="shared" si="422"/>
        <v>0.4028436018957346</v>
      </c>
      <c r="AE209" s="43">
        <v>211</v>
      </c>
      <c r="AF209" s="13">
        <v>11</v>
      </c>
      <c r="AG209" s="7">
        <f t="shared" si="423"/>
        <v>0.6470588235294118</v>
      </c>
      <c r="AH209" s="44">
        <v>17</v>
      </c>
      <c r="AI209" s="63">
        <f t="shared" si="418"/>
        <v>1800</v>
      </c>
      <c r="AJ209" s="7">
        <f t="shared" si="419"/>
        <v>0.04871579745053994</v>
      </c>
      <c r="AK209" s="26">
        <f t="shared" si="420"/>
        <v>36949</v>
      </c>
      <c r="AL209" s="41"/>
      <c r="AM209" s="13"/>
      <c r="AN209" s="13"/>
      <c r="AO209" s="44"/>
      <c r="AP209" s="63">
        <v>5472</v>
      </c>
      <c r="AQ209" s="15"/>
      <c r="AR209" s="13"/>
      <c r="AS209" s="13"/>
      <c r="AT209" s="44"/>
      <c r="AU209" s="5"/>
      <c r="AV209" s="5"/>
      <c r="AW209" s="5"/>
      <c r="AX209" s="5"/>
    </row>
    <row r="210" spans="1:50" ht="12.75">
      <c r="A210" s="147">
        <v>38473</v>
      </c>
      <c r="B210" s="3">
        <v>399</v>
      </c>
      <c r="C210" s="13"/>
      <c r="D210" s="13"/>
      <c r="E210" s="57">
        <v>332</v>
      </c>
      <c r="F210" s="13"/>
      <c r="G210" s="43"/>
      <c r="H210" s="13">
        <v>19</v>
      </c>
      <c r="I210" s="13"/>
      <c r="J210" s="13"/>
      <c r="K210" s="41"/>
      <c r="L210" s="13"/>
      <c r="M210" s="44"/>
      <c r="N210" s="64">
        <v>1747</v>
      </c>
      <c r="O210" s="67">
        <f t="shared" si="412"/>
        <v>0.0030902086200370045</v>
      </c>
      <c r="P210" s="3">
        <f>516164+48734+436</f>
        <v>565334</v>
      </c>
      <c r="Q210" s="68">
        <v>2476</v>
      </c>
      <c r="R210" s="67">
        <f t="shared" si="413"/>
        <v>0.22795065365494385</v>
      </c>
      <c r="S210" s="40">
        <v>10862</v>
      </c>
      <c r="T210" s="3">
        <v>309</v>
      </c>
      <c r="U210" s="7">
        <f t="shared" si="414"/>
        <v>0.6975169300225733</v>
      </c>
      <c r="V210" s="44">
        <v>443</v>
      </c>
      <c r="W210" s="63">
        <f t="shared" si="415"/>
        <v>4532</v>
      </c>
      <c r="X210" s="7">
        <f t="shared" si="416"/>
        <v>0.007859336604010482</v>
      </c>
      <c r="Y210" s="26">
        <f t="shared" si="417"/>
        <v>576639</v>
      </c>
      <c r="Z210" s="63">
        <v>2248</v>
      </c>
      <c r="AA210" s="7">
        <f t="shared" si="421"/>
        <v>0.061563740928385596</v>
      </c>
      <c r="AB210" s="3">
        <v>36515</v>
      </c>
      <c r="AC210" s="42">
        <v>117</v>
      </c>
      <c r="AD210" s="7">
        <f t="shared" si="422"/>
        <v>0.5492957746478874</v>
      </c>
      <c r="AE210" s="43">
        <v>213</v>
      </c>
      <c r="AF210" s="13">
        <v>11</v>
      </c>
      <c r="AG210" s="7">
        <f t="shared" si="423"/>
        <v>0.6470588235294118</v>
      </c>
      <c r="AH210" s="44">
        <v>17</v>
      </c>
      <c r="AI210" s="63">
        <f t="shared" si="418"/>
        <v>2376</v>
      </c>
      <c r="AJ210" s="7">
        <f t="shared" si="419"/>
        <v>0.06466185875629338</v>
      </c>
      <c r="AK210" s="26">
        <f t="shared" si="420"/>
        <v>36745</v>
      </c>
      <c r="AL210" s="41"/>
      <c r="AM210" s="13"/>
      <c r="AN210" s="13"/>
      <c r="AO210" s="44"/>
      <c r="AP210" s="63">
        <v>5514</v>
      </c>
      <c r="AQ210" s="15"/>
      <c r="AR210" s="13"/>
      <c r="AS210" s="13"/>
      <c r="AT210" s="44"/>
      <c r="AU210" s="5"/>
      <c r="AV210" s="5"/>
      <c r="AW210" s="5"/>
      <c r="AX210" s="5"/>
    </row>
    <row r="211" spans="1:50" ht="12.75">
      <c r="A211" s="147">
        <v>38443</v>
      </c>
      <c r="B211" s="3">
        <v>351</v>
      </c>
      <c r="C211" s="13"/>
      <c r="D211" s="13"/>
      <c r="E211" s="57">
        <v>331</v>
      </c>
      <c r="F211" s="13"/>
      <c r="G211" s="43"/>
      <c r="H211" s="13">
        <v>22</v>
      </c>
      <c r="I211" s="13"/>
      <c r="J211" s="13"/>
      <c r="K211" s="41"/>
      <c r="L211" s="13"/>
      <c r="M211" s="44"/>
      <c r="N211" s="64">
        <v>1234</v>
      </c>
      <c r="O211" s="67">
        <f t="shared" si="412"/>
        <v>0.0021839007227755715</v>
      </c>
      <c r="P211" s="3">
        <f>516007+48602+435</f>
        <v>565044</v>
      </c>
      <c r="Q211" s="68">
        <v>2520</v>
      </c>
      <c r="R211" s="67">
        <f t="shared" si="413"/>
        <v>0.23083264633140974</v>
      </c>
      <c r="S211" s="40">
        <v>10917</v>
      </c>
      <c r="T211" s="3">
        <v>311</v>
      </c>
      <c r="U211" s="7">
        <f t="shared" si="414"/>
        <v>0.6973094170403588</v>
      </c>
      <c r="V211" s="44">
        <v>446</v>
      </c>
      <c r="W211" s="63">
        <f t="shared" si="415"/>
        <v>4065</v>
      </c>
      <c r="X211" s="7">
        <f t="shared" si="416"/>
        <v>0.00705230852505261</v>
      </c>
      <c r="Y211" s="26">
        <f t="shared" si="417"/>
        <v>576407</v>
      </c>
      <c r="Z211" s="63">
        <v>2261</v>
      </c>
      <c r="AA211" s="7">
        <f t="shared" si="421"/>
        <v>0.06159588089465225</v>
      </c>
      <c r="AB211" s="3">
        <v>36707</v>
      </c>
      <c r="AC211" s="42">
        <v>116</v>
      </c>
      <c r="AD211" s="7">
        <f t="shared" si="422"/>
        <v>0.5420560747663551</v>
      </c>
      <c r="AE211" s="43">
        <v>214</v>
      </c>
      <c r="AF211" s="13">
        <v>11</v>
      </c>
      <c r="AG211" s="7">
        <f t="shared" si="423"/>
        <v>0.6470588235294118</v>
      </c>
      <c r="AH211" s="44">
        <v>17</v>
      </c>
      <c r="AI211" s="63">
        <f t="shared" si="418"/>
        <v>2388</v>
      </c>
      <c r="AJ211" s="7">
        <f t="shared" si="419"/>
        <v>0.06464887108127132</v>
      </c>
      <c r="AK211" s="26">
        <f t="shared" si="420"/>
        <v>36938</v>
      </c>
      <c r="AL211" s="41"/>
      <c r="AM211" s="13"/>
      <c r="AN211" s="13"/>
      <c r="AO211" s="44"/>
      <c r="AP211" s="63">
        <v>6086</v>
      </c>
      <c r="AQ211" s="15"/>
      <c r="AR211" s="13"/>
      <c r="AS211" s="13"/>
      <c r="AT211" s="44"/>
      <c r="AU211" s="5"/>
      <c r="AV211" s="5"/>
      <c r="AW211" s="5"/>
      <c r="AX211" s="5"/>
    </row>
    <row r="212" spans="1:50" ht="12.75">
      <c r="A212" s="147">
        <v>38412</v>
      </c>
      <c r="B212" s="3">
        <v>325</v>
      </c>
      <c r="C212" s="13"/>
      <c r="D212" s="13"/>
      <c r="E212" s="57">
        <v>327</v>
      </c>
      <c r="F212" s="13"/>
      <c r="G212" s="43"/>
      <c r="H212" s="13">
        <v>22</v>
      </c>
      <c r="I212" s="13"/>
      <c r="J212" s="13"/>
      <c r="K212" s="41"/>
      <c r="L212" s="13"/>
      <c r="M212" s="44"/>
      <c r="N212" s="64">
        <v>1100</v>
      </c>
      <c r="O212" s="67">
        <f t="shared" si="412"/>
        <v>0.0019482543640897756</v>
      </c>
      <c r="P212" s="3">
        <f>515606+48567+435</f>
        <v>564608</v>
      </c>
      <c r="Q212" s="68">
        <v>2505</v>
      </c>
      <c r="R212" s="67">
        <f t="shared" si="413"/>
        <v>0.2291228391109485</v>
      </c>
      <c r="S212" s="40">
        <v>10933</v>
      </c>
      <c r="T212" s="3">
        <v>308</v>
      </c>
      <c r="U212" s="7">
        <f t="shared" si="414"/>
        <v>0.6859688195991092</v>
      </c>
      <c r="V212" s="44">
        <v>449</v>
      </c>
      <c r="W212" s="63">
        <f t="shared" si="415"/>
        <v>3913</v>
      </c>
      <c r="X212" s="7">
        <f t="shared" si="416"/>
        <v>0.006793520720845848</v>
      </c>
      <c r="Y212" s="26">
        <f t="shared" si="417"/>
        <v>575990</v>
      </c>
      <c r="Z212" s="63">
        <v>2332</v>
      </c>
      <c r="AA212" s="7">
        <f t="shared" si="421"/>
        <v>0.06351800403115977</v>
      </c>
      <c r="AB212" s="3">
        <v>36714</v>
      </c>
      <c r="AC212" s="42">
        <v>121</v>
      </c>
      <c r="AD212" s="7">
        <f t="shared" si="422"/>
        <v>0.568075117370892</v>
      </c>
      <c r="AE212" s="43">
        <v>213</v>
      </c>
      <c r="AF212" s="13">
        <v>12</v>
      </c>
      <c r="AG212" s="7">
        <f t="shared" si="423"/>
        <v>0.7058823529411765</v>
      </c>
      <c r="AH212" s="44">
        <v>17</v>
      </c>
      <c r="AI212" s="63">
        <f t="shared" si="418"/>
        <v>2465</v>
      </c>
      <c r="AJ212" s="7">
        <f t="shared" si="419"/>
        <v>0.06672260718925942</v>
      </c>
      <c r="AK212" s="26">
        <f t="shared" si="420"/>
        <v>36944</v>
      </c>
      <c r="AL212" s="41"/>
      <c r="AM212" s="13"/>
      <c r="AN212" s="13"/>
      <c r="AO212" s="44"/>
      <c r="AP212" s="63">
        <v>6110</v>
      </c>
      <c r="AQ212" s="15"/>
      <c r="AR212" s="13"/>
      <c r="AS212" s="13"/>
      <c r="AT212" s="44"/>
      <c r="AU212" s="5"/>
      <c r="AV212" s="5"/>
      <c r="AW212" s="5"/>
      <c r="AX212" s="5"/>
    </row>
    <row r="213" spans="1:50" ht="12.75">
      <c r="A213" s="147">
        <v>38384</v>
      </c>
      <c r="B213" s="3">
        <v>508</v>
      </c>
      <c r="C213" s="13"/>
      <c r="D213" s="13"/>
      <c r="E213" s="57">
        <v>327</v>
      </c>
      <c r="F213" s="13"/>
      <c r="G213" s="43"/>
      <c r="H213" s="13">
        <v>22</v>
      </c>
      <c r="I213" s="13"/>
      <c r="J213" s="13"/>
      <c r="K213" s="41"/>
      <c r="L213" s="13"/>
      <c r="M213" s="44"/>
      <c r="N213" s="63">
        <v>2450</v>
      </c>
      <c r="O213" s="67">
        <f t="shared" si="412"/>
        <v>0.004341408352869671</v>
      </c>
      <c r="P213" s="3">
        <f>515310+48588+435</f>
        <v>564333</v>
      </c>
      <c r="Q213" s="68">
        <v>2458</v>
      </c>
      <c r="R213" s="67">
        <f t="shared" si="413"/>
        <v>0.22429053745779726</v>
      </c>
      <c r="S213" s="40">
        <v>10959</v>
      </c>
      <c r="T213" s="3">
        <v>306</v>
      </c>
      <c r="U213" s="7">
        <f t="shared" si="414"/>
        <v>0.6845637583892618</v>
      </c>
      <c r="V213" s="44">
        <v>447</v>
      </c>
      <c r="W213" s="63">
        <f t="shared" si="415"/>
        <v>5214</v>
      </c>
      <c r="X213" s="7">
        <f t="shared" si="416"/>
        <v>0.009056186918030566</v>
      </c>
      <c r="Y213" s="26">
        <f t="shared" si="417"/>
        <v>575739</v>
      </c>
      <c r="Z213" s="63">
        <v>2663</v>
      </c>
      <c r="AA213" s="7">
        <f t="shared" si="421"/>
        <v>0.07254154181421955</v>
      </c>
      <c r="AB213" s="3">
        <v>36710</v>
      </c>
      <c r="AC213" s="42">
        <v>127</v>
      </c>
      <c r="AD213" s="7">
        <f t="shared" si="422"/>
        <v>0.5990566037735849</v>
      </c>
      <c r="AE213" s="43">
        <v>212</v>
      </c>
      <c r="AF213" s="13">
        <v>12</v>
      </c>
      <c r="AG213" s="7">
        <f t="shared" si="423"/>
        <v>0.7058823529411765</v>
      </c>
      <c r="AH213" s="44">
        <v>17</v>
      </c>
      <c r="AI213" s="63">
        <f t="shared" si="418"/>
        <v>2802</v>
      </c>
      <c r="AJ213" s="7">
        <f t="shared" si="419"/>
        <v>0.07585478762283765</v>
      </c>
      <c r="AK213" s="26">
        <f t="shared" si="420"/>
        <v>36939</v>
      </c>
      <c r="AL213" s="41"/>
      <c r="AM213" s="13"/>
      <c r="AN213" s="13"/>
      <c r="AO213" s="44"/>
      <c r="AP213" s="63">
        <v>6372</v>
      </c>
      <c r="AQ213" s="15"/>
      <c r="AR213" s="13"/>
      <c r="AS213" s="13"/>
      <c r="AT213" s="44"/>
      <c r="AU213" s="5"/>
      <c r="AV213" s="5"/>
      <c r="AW213" s="5"/>
      <c r="AX213" s="5"/>
    </row>
    <row r="214" spans="1:50" ht="12.75">
      <c r="A214" s="147">
        <v>38353</v>
      </c>
      <c r="B214" s="3">
        <v>507</v>
      </c>
      <c r="C214" s="13"/>
      <c r="D214" s="13"/>
      <c r="E214" s="57">
        <v>315</v>
      </c>
      <c r="F214" s="13"/>
      <c r="G214" s="43"/>
      <c r="H214" s="13">
        <v>22</v>
      </c>
      <c r="I214" s="13"/>
      <c r="J214" s="13"/>
      <c r="K214" s="41"/>
      <c r="L214" s="13"/>
      <c r="M214" s="44"/>
      <c r="N214" s="63">
        <v>2400</v>
      </c>
      <c r="O214" s="67">
        <f t="shared" si="412"/>
        <v>0.004260266799208301</v>
      </c>
      <c r="P214" s="3">
        <f>514400+48509+436</f>
        <v>563345</v>
      </c>
      <c r="Q214" s="68">
        <v>2435</v>
      </c>
      <c r="R214" s="67">
        <f t="shared" si="413"/>
        <v>0.22219180582169906</v>
      </c>
      <c r="S214" s="40">
        <v>10959</v>
      </c>
      <c r="T214" s="3">
        <v>303</v>
      </c>
      <c r="U214" s="7">
        <f t="shared" si="414"/>
        <v>0.679372197309417</v>
      </c>
      <c r="V214" s="44">
        <v>446</v>
      </c>
      <c r="W214" s="63">
        <f t="shared" si="415"/>
        <v>5138</v>
      </c>
      <c r="X214" s="7">
        <f t="shared" si="416"/>
        <v>0.008939538929969551</v>
      </c>
      <c r="Y214" s="26">
        <f t="shared" si="417"/>
        <v>574750</v>
      </c>
      <c r="Z214" s="63">
        <v>2672</v>
      </c>
      <c r="AA214" s="7">
        <f t="shared" si="421"/>
        <v>0.07280058850775141</v>
      </c>
      <c r="AB214" s="3">
        <v>36703</v>
      </c>
      <c r="AC214" s="42">
        <v>128</v>
      </c>
      <c r="AD214" s="7">
        <f t="shared" si="422"/>
        <v>0.5871559633027523</v>
      </c>
      <c r="AE214" s="43">
        <v>218</v>
      </c>
      <c r="AF214" s="13">
        <v>12</v>
      </c>
      <c r="AG214" s="7">
        <f t="shared" si="423"/>
        <v>0.7058823529411765</v>
      </c>
      <c r="AH214" s="44">
        <v>17</v>
      </c>
      <c r="AI214" s="63">
        <f t="shared" si="418"/>
        <v>2812</v>
      </c>
      <c r="AJ214" s="7">
        <f t="shared" si="419"/>
        <v>0.07612756510910174</v>
      </c>
      <c r="AK214" s="26">
        <f t="shared" si="420"/>
        <v>36938</v>
      </c>
      <c r="AL214" s="41"/>
      <c r="AM214" s="13"/>
      <c r="AN214" s="13"/>
      <c r="AO214" s="44"/>
      <c r="AP214" s="63">
        <v>8854</v>
      </c>
      <c r="AQ214" s="15"/>
      <c r="AR214" s="13"/>
      <c r="AS214" s="13"/>
      <c r="AT214" s="44"/>
      <c r="AU214" s="5"/>
      <c r="AV214" s="5"/>
      <c r="AW214" s="5"/>
      <c r="AX214" s="5"/>
    </row>
    <row r="215" spans="1:50" ht="12.75">
      <c r="A215" s="147">
        <v>38322</v>
      </c>
      <c r="B215" s="3">
        <v>496</v>
      </c>
      <c r="C215" s="13"/>
      <c r="D215" s="13"/>
      <c r="E215" s="57">
        <v>304</v>
      </c>
      <c r="F215" s="13"/>
      <c r="G215" s="43"/>
      <c r="H215" s="13">
        <v>22</v>
      </c>
      <c r="I215" s="13"/>
      <c r="J215" s="13"/>
      <c r="K215" s="41"/>
      <c r="L215" s="13"/>
      <c r="M215" s="44"/>
      <c r="N215" s="63">
        <v>2346</v>
      </c>
      <c r="O215" s="67">
        <f t="shared" si="412"/>
        <v>0.0041736642851043235</v>
      </c>
      <c r="P215" s="3">
        <f>513156+48505+435</f>
        <v>562096</v>
      </c>
      <c r="Q215" s="68">
        <v>2454</v>
      </c>
      <c r="R215" s="67">
        <f t="shared" si="413"/>
        <v>0.22429394022484234</v>
      </c>
      <c r="S215" s="40">
        <v>10941</v>
      </c>
      <c r="T215" s="3">
        <v>299</v>
      </c>
      <c r="U215" s="7">
        <f t="shared" si="414"/>
        <v>0.6749435665914221</v>
      </c>
      <c r="V215" s="44">
        <v>443</v>
      </c>
      <c r="W215" s="63">
        <f t="shared" si="415"/>
        <v>5099</v>
      </c>
      <c r="X215" s="7">
        <f t="shared" si="416"/>
        <v>0.008891330124851783</v>
      </c>
      <c r="Y215" s="26">
        <f t="shared" si="417"/>
        <v>573480</v>
      </c>
      <c r="Z215" s="63">
        <v>2671</v>
      </c>
      <c r="AA215" s="13"/>
      <c r="AB215" s="13"/>
      <c r="AC215" s="42">
        <v>128</v>
      </c>
      <c r="AD215" s="13"/>
      <c r="AE215" s="43"/>
      <c r="AF215" s="13">
        <v>12</v>
      </c>
      <c r="AG215" s="13"/>
      <c r="AH215" s="44"/>
      <c r="AI215" s="41"/>
      <c r="AJ215" s="13"/>
      <c r="AK215" s="44"/>
      <c r="AL215" s="41"/>
      <c r="AM215" s="13"/>
      <c r="AN215" s="13"/>
      <c r="AO215" s="44"/>
      <c r="AP215" s="63">
        <v>8778</v>
      </c>
      <c r="AQ215" s="15"/>
      <c r="AR215" s="13"/>
      <c r="AS215" s="13"/>
      <c r="AT215" s="44"/>
      <c r="AU215" s="5"/>
      <c r="AV215" s="5"/>
      <c r="AW215" s="5"/>
      <c r="AX215" s="5"/>
    </row>
    <row r="216" spans="1:50" ht="12.75">
      <c r="A216" s="147">
        <v>38292</v>
      </c>
      <c r="B216" s="3">
        <v>492</v>
      </c>
      <c r="C216" s="13"/>
      <c r="D216" s="13"/>
      <c r="E216" s="57">
        <v>293</v>
      </c>
      <c r="F216" s="13"/>
      <c r="G216" s="43"/>
      <c r="H216" s="13">
        <v>21</v>
      </c>
      <c r="I216" s="13"/>
      <c r="J216" s="13"/>
      <c r="K216" s="41"/>
      <c r="L216" s="13"/>
      <c r="M216" s="44"/>
      <c r="N216" s="63">
        <v>2280</v>
      </c>
      <c r="O216" s="67">
        <f t="shared" si="412"/>
        <v>0.0040670782502287735</v>
      </c>
      <c r="P216" s="3">
        <f>511832+48334+433</f>
        <v>560599</v>
      </c>
      <c r="Q216" s="68">
        <v>2448</v>
      </c>
      <c r="R216" s="67">
        <f t="shared" si="413"/>
        <v>0.2221012520413718</v>
      </c>
      <c r="S216" s="40">
        <v>11022</v>
      </c>
      <c r="T216" s="3">
        <v>303</v>
      </c>
      <c r="U216" s="7">
        <f t="shared" si="414"/>
        <v>0.6824324324324325</v>
      </c>
      <c r="V216" s="44">
        <v>444</v>
      </c>
      <c r="W216" s="63">
        <f t="shared" si="415"/>
        <v>5031</v>
      </c>
      <c r="X216" s="7">
        <f t="shared" si="416"/>
        <v>0.008794455175548234</v>
      </c>
      <c r="Y216" s="26">
        <f t="shared" si="417"/>
        <v>572065</v>
      </c>
      <c r="Z216" s="63">
        <v>2682</v>
      </c>
      <c r="AA216" s="13"/>
      <c r="AB216" s="13"/>
      <c r="AC216" s="42">
        <v>128</v>
      </c>
      <c r="AD216" s="13"/>
      <c r="AE216" s="43"/>
      <c r="AF216" s="13">
        <v>12</v>
      </c>
      <c r="AG216" s="13"/>
      <c r="AH216" s="44"/>
      <c r="AI216" s="41"/>
      <c r="AJ216" s="13"/>
      <c r="AK216" s="44"/>
      <c r="AL216" s="41"/>
      <c r="AM216" s="13"/>
      <c r="AN216" s="13"/>
      <c r="AO216" s="44"/>
      <c r="AP216" s="63">
        <v>8717</v>
      </c>
      <c r="AQ216" s="15"/>
      <c r="AR216" s="13"/>
      <c r="AS216" s="13"/>
      <c r="AT216" s="44"/>
      <c r="AU216" s="5"/>
      <c r="AV216" s="5"/>
      <c r="AW216" s="5"/>
      <c r="AX216" s="5"/>
    </row>
    <row r="217" spans="1:50" ht="12.75">
      <c r="A217" s="147">
        <v>38261</v>
      </c>
      <c r="B217" s="3">
        <v>479</v>
      </c>
      <c r="C217" s="13"/>
      <c r="D217" s="13"/>
      <c r="E217" s="57">
        <v>300</v>
      </c>
      <c r="F217" s="13"/>
      <c r="G217" s="43"/>
      <c r="H217" s="13">
        <v>21</v>
      </c>
      <c r="I217" s="13"/>
      <c r="J217" s="13"/>
      <c r="K217" s="41"/>
      <c r="L217" s="13"/>
      <c r="M217" s="44"/>
      <c r="N217" s="63">
        <v>2293</v>
      </c>
      <c r="O217" s="67">
        <f t="shared" si="412"/>
        <v>0.004098587747850163</v>
      </c>
      <c r="P217" s="3">
        <f>510794+48233+434</f>
        <v>559461</v>
      </c>
      <c r="Q217" s="68">
        <v>2352</v>
      </c>
      <c r="R217" s="67">
        <f t="shared" si="413"/>
        <v>0.21246612466124662</v>
      </c>
      <c r="S217" s="40">
        <v>11070</v>
      </c>
      <c r="T217" s="3">
        <v>262</v>
      </c>
      <c r="U217" s="7">
        <f t="shared" si="414"/>
        <v>0.6164705882352941</v>
      </c>
      <c r="V217" s="44">
        <v>425</v>
      </c>
      <c r="W217" s="63">
        <f t="shared" si="415"/>
        <v>4907</v>
      </c>
      <c r="X217" s="7">
        <f t="shared" si="416"/>
        <v>0.008594357533680354</v>
      </c>
      <c r="Y217" s="26">
        <f t="shared" si="417"/>
        <v>570956</v>
      </c>
      <c r="Z217" s="63">
        <v>2648</v>
      </c>
      <c r="AA217" s="13"/>
      <c r="AB217" s="13"/>
      <c r="AC217" s="42">
        <v>128</v>
      </c>
      <c r="AD217" s="13"/>
      <c r="AE217" s="43"/>
      <c r="AF217" s="13">
        <v>12</v>
      </c>
      <c r="AG217" s="13"/>
      <c r="AH217" s="44"/>
      <c r="AI217" s="41"/>
      <c r="AJ217" s="13"/>
      <c r="AK217" s="44"/>
      <c r="AL217" s="41"/>
      <c r="AM217" s="13"/>
      <c r="AN217" s="13"/>
      <c r="AO217" s="44"/>
      <c r="AP217" s="63">
        <v>8557</v>
      </c>
      <c r="AQ217" s="15"/>
      <c r="AR217" s="13"/>
      <c r="AS217" s="13"/>
      <c r="AT217" s="44"/>
      <c r="AU217" s="5"/>
      <c r="AV217" s="5"/>
      <c r="AW217" s="5"/>
      <c r="AX217" s="5"/>
    </row>
    <row r="218" spans="1:50" ht="12.75">
      <c r="A218" s="147">
        <v>38231</v>
      </c>
      <c r="B218" s="3">
        <v>477</v>
      </c>
      <c r="C218" s="13"/>
      <c r="D218" s="13"/>
      <c r="E218" s="57">
        <v>300</v>
      </c>
      <c r="F218" s="13"/>
      <c r="G218" s="43"/>
      <c r="H218" s="13">
        <v>20</v>
      </c>
      <c r="I218" s="13"/>
      <c r="J218" s="13"/>
      <c r="K218" s="41"/>
      <c r="L218" s="13"/>
      <c r="M218" s="44"/>
      <c r="N218" s="63">
        <v>2280</v>
      </c>
      <c r="O218" s="67">
        <f t="shared" si="412"/>
        <v>0.004079580447358204</v>
      </c>
      <c r="P218" s="3">
        <f>510093+48355+433</f>
        <v>558881</v>
      </c>
      <c r="Q218" s="68">
        <v>2396</v>
      </c>
      <c r="R218" s="67">
        <f t="shared" si="413"/>
        <v>0.21845368344274252</v>
      </c>
      <c r="S218" s="40">
        <v>10968</v>
      </c>
      <c r="T218" s="3">
        <v>253</v>
      </c>
      <c r="U218" s="7">
        <f t="shared" si="414"/>
        <v>0.5981087470449172</v>
      </c>
      <c r="V218" s="44">
        <v>423</v>
      </c>
      <c r="W218" s="63">
        <f t="shared" si="415"/>
        <v>4929</v>
      </c>
      <c r="X218" s="7">
        <f t="shared" si="416"/>
        <v>0.008643243925705629</v>
      </c>
      <c r="Y218" s="26">
        <f t="shared" si="417"/>
        <v>570272</v>
      </c>
      <c r="Z218" s="63">
        <v>2649</v>
      </c>
      <c r="AA218" s="13"/>
      <c r="AB218" s="13"/>
      <c r="AC218" s="42">
        <v>125</v>
      </c>
      <c r="AD218" s="13"/>
      <c r="AE218" s="43"/>
      <c r="AF218" s="13">
        <v>12</v>
      </c>
      <c r="AG218" s="13"/>
      <c r="AH218" s="44"/>
      <c r="AI218" s="41"/>
      <c r="AJ218" s="13"/>
      <c r="AK218" s="44"/>
      <c r="AL218" s="41"/>
      <c r="AM218" s="13"/>
      <c r="AN218" s="13"/>
      <c r="AO218" s="44"/>
      <c r="AP218" s="63">
        <v>8495</v>
      </c>
      <c r="AQ218" s="15"/>
      <c r="AR218" s="13"/>
      <c r="AS218" s="13"/>
      <c r="AT218" s="44"/>
      <c r="AU218" s="5"/>
      <c r="AV218" s="5"/>
      <c r="AW218" s="5"/>
      <c r="AX218" s="5"/>
    </row>
    <row r="219" spans="1:50" ht="12.75">
      <c r="A219" s="147">
        <v>38200</v>
      </c>
      <c r="B219" s="3">
        <v>471</v>
      </c>
      <c r="C219" s="13"/>
      <c r="D219" s="13"/>
      <c r="E219" s="57">
        <v>300</v>
      </c>
      <c r="F219" s="13"/>
      <c r="G219" s="43"/>
      <c r="H219" s="13">
        <v>20</v>
      </c>
      <c r="I219" s="13"/>
      <c r="J219" s="13"/>
      <c r="K219" s="41"/>
      <c r="L219" s="13"/>
      <c r="M219" s="44"/>
      <c r="N219" s="63">
        <v>2248</v>
      </c>
      <c r="O219" s="67">
        <f t="shared" si="412"/>
        <v>0.004029439284165093</v>
      </c>
      <c r="P219" s="3">
        <f>509167+48293+434</f>
        <v>557894</v>
      </c>
      <c r="Q219" s="68">
        <v>2403</v>
      </c>
      <c r="R219" s="67">
        <f t="shared" si="413"/>
        <v>0.21871302448348048</v>
      </c>
      <c r="S219" s="40">
        <v>10987</v>
      </c>
      <c r="T219" s="3">
        <v>248</v>
      </c>
      <c r="U219" s="7">
        <f t="shared" si="414"/>
        <v>0.5890736342042755</v>
      </c>
      <c r="V219" s="44">
        <v>421</v>
      </c>
      <c r="W219" s="63">
        <f t="shared" si="415"/>
        <v>4899</v>
      </c>
      <c r="X219" s="7">
        <f t="shared" si="416"/>
        <v>0.00860527452916027</v>
      </c>
      <c r="Y219" s="26">
        <f t="shared" si="417"/>
        <v>569302</v>
      </c>
      <c r="Z219" s="63">
        <v>2641</v>
      </c>
      <c r="AA219" s="13"/>
      <c r="AB219" s="13"/>
      <c r="AC219" s="42">
        <v>120</v>
      </c>
      <c r="AD219" s="13"/>
      <c r="AE219" s="43"/>
      <c r="AF219" s="13">
        <v>12</v>
      </c>
      <c r="AG219" s="13"/>
      <c r="AH219" s="44"/>
      <c r="AI219" s="41"/>
      <c r="AJ219" s="13"/>
      <c r="AK219" s="44"/>
      <c r="AL219" s="41"/>
      <c r="AM219" s="13"/>
      <c r="AN219" s="13"/>
      <c r="AO219" s="44"/>
      <c r="AP219" s="63">
        <v>8512</v>
      </c>
      <c r="AQ219" s="15"/>
      <c r="AR219" s="13"/>
      <c r="AS219" s="13"/>
      <c r="AT219" s="44"/>
      <c r="AU219" s="5"/>
      <c r="AV219" s="5"/>
      <c r="AW219" s="5"/>
      <c r="AX219" s="5"/>
    </row>
    <row r="220" spans="1:50" ht="12.75">
      <c r="A220" s="147">
        <v>38169</v>
      </c>
      <c r="B220" s="3">
        <v>469</v>
      </c>
      <c r="C220" s="13"/>
      <c r="D220" s="13"/>
      <c r="E220" s="57">
        <v>299</v>
      </c>
      <c r="F220" s="13"/>
      <c r="G220" s="43"/>
      <c r="H220" s="13">
        <v>20</v>
      </c>
      <c r="I220" s="13"/>
      <c r="J220" s="13"/>
      <c r="K220" s="41"/>
      <c r="L220" s="13"/>
      <c r="M220" s="44"/>
      <c r="N220" s="63">
        <v>2226</v>
      </c>
      <c r="O220" s="67">
        <f t="shared" si="412"/>
        <v>0.0039956274265897694</v>
      </c>
      <c r="P220" s="3">
        <f>508396+48280+433</f>
        <v>557109</v>
      </c>
      <c r="Q220" s="68">
        <v>2419</v>
      </c>
      <c r="R220" s="67">
        <f t="shared" si="413"/>
        <v>0.22063115651222182</v>
      </c>
      <c r="S220" s="40">
        <v>10964</v>
      </c>
      <c r="T220" s="3">
        <v>248</v>
      </c>
      <c r="U220" s="7">
        <f t="shared" si="414"/>
        <v>0.5904761904761905</v>
      </c>
      <c r="V220" s="44">
        <v>420</v>
      </c>
      <c r="W220" s="63">
        <f t="shared" si="415"/>
        <v>4893</v>
      </c>
      <c r="X220" s="7">
        <f t="shared" si="416"/>
        <v>0.008606966136786205</v>
      </c>
      <c r="Y220" s="26">
        <f t="shared" si="417"/>
        <v>568493</v>
      </c>
      <c r="Z220" s="63">
        <v>2642</v>
      </c>
      <c r="AA220" s="13"/>
      <c r="AB220" s="13"/>
      <c r="AC220" s="42">
        <v>121</v>
      </c>
      <c r="AD220" s="13"/>
      <c r="AE220" s="43"/>
      <c r="AF220" s="13">
        <v>12</v>
      </c>
      <c r="AG220" s="13"/>
      <c r="AH220" s="44"/>
      <c r="AI220" s="41"/>
      <c r="AJ220" s="13"/>
      <c r="AK220" s="44"/>
      <c r="AL220" s="41"/>
      <c r="AM220" s="13"/>
      <c r="AN220" s="13"/>
      <c r="AO220" s="44"/>
      <c r="AP220" s="63">
        <v>8463</v>
      </c>
      <c r="AQ220" s="15"/>
      <c r="AR220" s="13"/>
      <c r="AS220" s="13"/>
      <c r="AT220" s="44"/>
      <c r="AU220" s="5"/>
      <c r="AV220" s="5"/>
      <c r="AW220" s="5"/>
      <c r="AX220" s="5"/>
    </row>
    <row r="221" spans="1:50" ht="12.75">
      <c r="A221" s="147">
        <v>38139</v>
      </c>
      <c r="B221" s="3">
        <v>460</v>
      </c>
      <c r="C221" s="13"/>
      <c r="D221" s="13"/>
      <c r="E221" s="57">
        <v>305</v>
      </c>
      <c r="F221" s="13"/>
      <c r="G221" s="43"/>
      <c r="H221" s="13">
        <v>17</v>
      </c>
      <c r="I221" s="13"/>
      <c r="J221" s="13"/>
      <c r="K221" s="41"/>
      <c r="L221" s="13"/>
      <c r="M221" s="44"/>
      <c r="N221" s="63">
        <v>2193</v>
      </c>
      <c r="O221" s="67">
        <f t="shared" si="412"/>
        <v>0.0039406512406852025</v>
      </c>
      <c r="P221" s="3">
        <f>507759+48315+433</f>
        <v>556507</v>
      </c>
      <c r="Q221" s="68">
        <v>2520</v>
      </c>
      <c r="R221" s="67">
        <f t="shared" si="413"/>
        <v>0.23123508900715728</v>
      </c>
      <c r="S221" s="40">
        <v>10898</v>
      </c>
      <c r="T221" s="3">
        <v>248</v>
      </c>
      <c r="U221" s="7">
        <f t="shared" si="414"/>
        <v>0.5933014354066986</v>
      </c>
      <c r="V221" s="44">
        <v>418</v>
      </c>
      <c r="W221" s="63">
        <f t="shared" si="415"/>
        <v>4961</v>
      </c>
      <c r="X221" s="7">
        <f t="shared" si="416"/>
        <v>0.008736877512886938</v>
      </c>
      <c r="Y221" s="26">
        <f t="shared" si="417"/>
        <v>567823</v>
      </c>
      <c r="Z221" s="63">
        <v>2646</v>
      </c>
      <c r="AA221" s="13"/>
      <c r="AB221" s="13"/>
      <c r="AC221" s="42">
        <v>120</v>
      </c>
      <c r="AD221" s="13"/>
      <c r="AE221" s="43"/>
      <c r="AF221" s="13">
        <v>12</v>
      </c>
      <c r="AG221" s="13"/>
      <c r="AH221" s="44"/>
      <c r="AI221" s="41"/>
      <c r="AJ221" s="13"/>
      <c r="AK221" s="44"/>
      <c r="AL221" s="41"/>
      <c r="AM221" s="13"/>
      <c r="AN221" s="13"/>
      <c r="AO221" s="44"/>
      <c r="AP221" s="63">
        <v>8456</v>
      </c>
      <c r="AQ221" s="15"/>
      <c r="AR221" s="13"/>
      <c r="AS221" s="13"/>
      <c r="AT221" s="44"/>
      <c r="AU221" s="5"/>
      <c r="AV221" s="5"/>
      <c r="AW221" s="5"/>
      <c r="AX221" s="5"/>
    </row>
    <row r="222" spans="1:50" ht="12.75">
      <c r="A222" s="147">
        <v>38108</v>
      </c>
      <c r="B222" s="3">
        <v>434</v>
      </c>
      <c r="C222" s="13"/>
      <c r="D222" s="13"/>
      <c r="E222" s="57">
        <v>304</v>
      </c>
      <c r="F222" s="13"/>
      <c r="G222" s="43"/>
      <c r="H222" s="13">
        <v>16</v>
      </c>
      <c r="I222" s="13"/>
      <c r="J222" s="13"/>
      <c r="K222" s="41"/>
      <c r="L222" s="13"/>
      <c r="M222" s="44"/>
      <c r="N222" s="63">
        <v>2124</v>
      </c>
      <c r="O222" s="67">
        <f t="shared" si="412"/>
        <v>0.003816793893129771</v>
      </c>
      <c r="P222" s="3">
        <f>507833+48222+433</f>
        <v>556488</v>
      </c>
      <c r="Q222" s="68">
        <v>2542</v>
      </c>
      <c r="R222" s="67">
        <f t="shared" si="413"/>
        <v>0.23269864518491395</v>
      </c>
      <c r="S222" s="40">
        <v>10924</v>
      </c>
      <c r="T222" s="3">
        <v>248</v>
      </c>
      <c r="U222" s="7">
        <f t="shared" si="414"/>
        <v>0.5918854415274463</v>
      </c>
      <c r="V222" s="44">
        <v>419</v>
      </c>
      <c r="W222" s="63">
        <f t="shared" si="415"/>
        <v>4914</v>
      </c>
      <c r="X222" s="7">
        <f t="shared" si="416"/>
        <v>0.008653983315458297</v>
      </c>
      <c r="Y222" s="26">
        <f t="shared" si="417"/>
        <v>567831</v>
      </c>
      <c r="Z222" s="63">
        <v>2641</v>
      </c>
      <c r="AA222" s="13"/>
      <c r="AB222" s="13"/>
      <c r="AC222" s="42">
        <v>120</v>
      </c>
      <c r="AD222" s="13"/>
      <c r="AE222" s="43"/>
      <c r="AF222" s="13">
        <v>12</v>
      </c>
      <c r="AG222" s="13"/>
      <c r="AH222" s="44"/>
      <c r="AI222" s="41"/>
      <c r="AJ222" s="13"/>
      <c r="AK222" s="44"/>
      <c r="AL222" s="41"/>
      <c r="AM222" s="13"/>
      <c r="AN222" s="13"/>
      <c r="AO222" s="44"/>
      <c r="AP222" s="63">
        <v>8521</v>
      </c>
      <c r="AQ222" s="15"/>
      <c r="AR222" s="13"/>
      <c r="AS222" s="13"/>
      <c r="AT222" s="44"/>
      <c r="AU222" s="5"/>
      <c r="AV222" s="5"/>
      <c r="AW222" s="5"/>
      <c r="AX222" s="5"/>
    </row>
    <row r="223" spans="1:50" ht="12.75">
      <c r="A223" s="147">
        <v>38078</v>
      </c>
      <c r="B223" s="3">
        <v>422</v>
      </c>
      <c r="C223" s="13"/>
      <c r="D223" s="13"/>
      <c r="E223" s="57">
        <v>294</v>
      </c>
      <c r="F223" s="13"/>
      <c r="G223" s="43"/>
      <c r="H223" s="13">
        <v>16</v>
      </c>
      <c r="I223" s="13"/>
      <c r="J223" s="13"/>
      <c r="K223" s="41"/>
      <c r="L223" s="13"/>
      <c r="M223" s="44"/>
      <c r="N223" s="63">
        <v>2074</v>
      </c>
      <c r="O223" s="67">
        <f t="shared" si="412"/>
        <v>0.0037300481093476014</v>
      </c>
      <c r="P223" s="3">
        <f>507437+48156+432</f>
        <v>556025</v>
      </c>
      <c r="Q223" s="68">
        <v>2554</v>
      </c>
      <c r="R223" s="67">
        <f t="shared" si="413"/>
        <v>0.2343979441997063</v>
      </c>
      <c r="S223" s="40">
        <v>10896</v>
      </c>
      <c r="T223" s="3">
        <v>249</v>
      </c>
      <c r="U223" s="7">
        <f t="shared" si="414"/>
        <v>0.5928571428571429</v>
      </c>
      <c r="V223" s="44">
        <v>420</v>
      </c>
      <c r="W223" s="63">
        <f t="shared" si="415"/>
        <v>4877</v>
      </c>
      <c r="X223" s="7">
        <f t="shared" si="416"/>
        <v>0.00859624106137226</v>
      </c>
      <c r="Y223" s="26">
        <f t="shared" si="417"/>
        <v>567341</v>
      </c>
      <c r="Z223" s="63">
        <v>2758</v>
      </c>
      <c r="AA223" s="13"/>
      <c r="AB223" s="13"/>
      <c r="AC223" s="42">
        <v>123</v>
      </c>
      <c r="AD223" s="13"/>
      <c r="AE223" s="43"/>
      <c r="AF223" s="13">
        <v>12</v>
      </c>
      <c r="AG223" s="13"/>
      <c r="AH223" s="44"/>
      <c r="AI223" s="41"/>
      <c r="AJ223" s="13"/>
      <c r="AK223" s="44"/>
      <c r="AL223" s="41"/>
      <c r="AM223" s="13"/>
      <c r="AN223" s="13"/>
      <c r="AO223" s="44"/>
      <c r="AP223" s="63">
        <v>8441</v>
      </c>
      <c r="AQ223" s="15"/>
      <c r="AR223" s="13"/>
      <c r="AS223" s="13"/>
      <c r="AT223" s="44"/>
      <c r="AU223" s="5"/>
      <c r="AV223" s="5"/>
      <c r="AW223" s="5"/>
      <c r="AX223" s="5"/>
    </row>
    <row r="224" spans="1:50" ht="12.75">
      <c r="A224" s="147">
        <v>38047</v>
      </c>
      <c r="B224" s="3">
        <v>415</v>
      </c>
      <c r="C224" s="13"/>
      <c r="D224" s="13"/>
      <c r="E224" s="57">
        <v>291</v>
      </c>
      <c r="F224" s="13"/>
      <c r="G224" s="43"/>
      <c r="H224" s="13">
        <v>16</v>
      </c>
      <c r="I224" s="13"/>
      <c r="J224" s="13"/>
      <c r="K224" s="41"/>
      <c r="L224" s="13"/>
      <c r="M224" s="44"/>
      <c r="N224" s="63">
        <v>2033</v>
      </c>
      <c r="O224" s="67">
        <f t="shared" si="412"/>
        <v>0.00365966056783243</v>
      </c>
      <c r="P224" s="3">
        <f>506962+48122+432</f>
        <v>555516</v>
      </c>
      <c r="Q224" s="68">
        <v>2528</v>
      </c>
      <c r="R224" s="67">
        <f t="shared" si="413"/>
        <v>0.23248114769174177</v>
      </c>
      <c r="S224" s="40">
        <v>10874</v>
      </c>
      <c r="T224" s="3">
        <v>250</v>
      </c>
      <c r="U224" s="7">
        <f t="shared" si="414"/>
        <v>0.5827505827505828</v>
      </c>
      <c r="V224" s="44">
        <v>429</v>
      </c>
      <c r="W224" s="63">
        <f t="shared" si="415"/>
        <v>4811</v>
      </c>
      <c r="X224" s="7">
        <f t="shared" si="416"/>
        <v>0.008487718301609508</v>
      </c>
      <c r="Y224" s="26">
        <f t="shared" si="417"/>
        <v>566819</v>
      </c>
      <c r="Z224" s="63">
        <v>2503</v>
      </c>
      <c r="AA224" s="13"/>
      <c r="AB224" s="13"/>
      <c r="AC224" s="42">
        <v>123</v>
      </c>
      <c r="AD224" s="13"/>
      <c r="AE224" s="43"/>
      <c r="AF224" s="13">
        <v>12</v>
      </c>
      <c r="AG224" s="13"/>
      <c r="AH224" s="44"/>
      <c r="AI224" s="41"/>
      <c r="AJ224" s="13"/>
      <c r="AK224" s="44"/>
      <c r="AL224" s="41"/>
      <c r="AM224" s="13"/>
      <c r="AN224" s="13"/>
      <c r="AO224" s="44"/>
      <c r="AP224" s="63">
        <v>8502</v>
      </c>
      <c r="AQ224" s="15"/>
      <c r="AR224" s="13"/>
      <c r="AS224" s="13"/>
      <c r="AT224" s="44"/>
      <c r="AU224" s="5"/>
      <c r="AV224" s="5"/>
      <c r="AW224" s="5"/>
      <c r="AX224" s="5"/>
    </row>
    <row r="225" spans="1:50" ht="12.75">
      <c r="A225" s="147">
        <v>38018</v>
      </c>
      <c r="B225" s="3">
        <v>406</v>
      </c>
      <c r="C225" s="13"/>
      <c r="D225" s="13"/>
      <c r="E225" s="57">
        <v>291</v>
      </c>
      <c r="F225" s="13"/>
      <c r="G225" s="43"/>
      <c r="H225" s="13">
        <v>17</v>
      </c>
      <c r="I225" s="13"/>
      <c r="J225" s="13"/>
      <c r="K225" s="41"/>
      <c r="L225" s="13"/>
      <c r="M225" s="44"/>
      <c r="N225" s="63">
        <v>1980</v>
      </c>
      <c r="O225" s="67">
        <f t="shared" si="412"/>
        <v>0.0035678504241777728</v>
      </c>
      <c r="P225" s="3">
        <f>506349+48175+432</f>
        <v>554956</v>
      </c>
      <c r="Q225" s="68">
        <v>2546</v>
      </c>
      <c r="R225" s="67">
        <f t="shared" si="413"/>
        <v>0.23539201183431951</v>
      </c>
      <c r="S225" s="40">
        <v>10816</v>
      </c>
      <c r="T225" s="3">
        <v>251</v>
      </c>
      <c r="U225" s="7">
        <f t="shared" si="414"/>
        <v>0.5823665893271461</v>
      </c>
      <c r="V225" s="44">
        <v>431</v>
      </c>
      <c r="W225" s="63">
        <f t="shared" si="415"/>
        <v>4777</v>
      </c>
      <c r="X225" s="7">
        <f t="shared" si="416"/>
        <v>0.008436903372112123</v>
      </c>
      <c r="Y225" s="26">
        <f t="shared" si="417"/>
        <v>566203</v>
      </c>
      <c r="Z225" s="63">
        <v>2691</v>
      </c>
      <c r="AA225" s="13"/>
      <c r="AB225" s="13"/>
      <c r="AC225" s="42">
        <v>162</v>
      </c>
      <c r="AD225" s="13"/>
      <c r="AE225" s="43"/>
      <c r="AF225" s="13">
        <v>14</v>
      </c>
      <c r="AG225" s="13"/>
      <c r="AH225" s="44"/>
      <c r="AI225" s="41"/>
      <c r="AJ225" s="13"/>
      <c r="AK225" s="44"/>
      <c r="AL225" s="41"/>
      <c r="AM225" s="13"/>
      <c r="AN225" s="13"/>
      <c r="AO225" s="44"/>
      <c r="AP225" s="63">
        <v>8171</v>
      </c>
      <c r="AQ225" s="15"/>
      <c r="AR225" s="13"/>
      <c r="AS225" s="13"/>
      <c r="AT225" s="44"/>
      <c r="AU225" s="5"/>
      <c r="AV225" s="5"/>
      <c r="AW225" s="5"/>
      <c r="AX225" s="5"/>
    </row>
    <row r="226" spans="1:50" ht="12.75">
      <c r="A226" s="147">
        <v>37987</v>
      </c>
      <c r="B226" s="3">
        <v>409</v>
      </c>
      <c r="C226" s="13"/>
      <c r="D226" s="13"/>
      <c r="E226" s="57">
        <v>302</v>
      </c>
      <c r="F226" s="13"/>
      <c r="G226" s="43"/>
      <c r="H226" s="13">
        <v>17</v>
      </c>
      <c r="I226" s="13"/>
      <c r="J226" s="13"/>
      <c r="K226" s="41"/>
      <c r="L226" s="13"/>
      <c r="M226" s="44"/>
      <c r="N226" s="63">
        <v>1941</v>
      </c>
      <c r="O226" s="67">
        <f t="shared" si="412"/>
        <v>0.0035024658008845485</v>
      </c>
      <c r="P226" s="3">
        <f>505597+48150+434</f>
        <v>554181</v>
      </c>
      <c r="Q226" s="68">
        <v>2641</v>
      </c>
      <c r="R226" s="67">
        <f t="shared" si="413"/>
        <v>0.24455968145198628</v>
      </c>
      <c r="S226" s="40">
        <v>10799</v>
      </c>
      <c r="T226" s="3">
        <v>253</v>
      </c>
      <c r="U226" s="7">
        <f t="shared" si="414"/>
        <v>0.5829493087557603</v>
      </c>
      <c r="V226" s="44">
        <v>434</v>
      </c>
      <c r="W226" s="63">
        <f t="shared" si="415"/>
        <v>4835</v>
      </c>
      <c r="X226" s="7">
        <f t="shared" si="416"/>
        <v>0.008551256247634477</v>
      </c>
      <c r="Y226" s="26">
        <f t="shared" si="417"/>
        <v>565414</v>
      </c>
      <c r="Z226" s="63">
        <v>2875</v>
      </c>
      <c r="AA226" s="13"/>
      <c r="AB226" s="13"/>
      <c r="AC226" s="42">
        <v>162</v>
      </c>
      <c r="AD226" s="13"/>
      <c r="AE226" s="43"/>
      <c r="AF226" s="13">
        <v>14</v>
      </c>
      <c r="AG226" s="13"/>
      <c r="AH226" s="44"/>
      <c r="AI226" s="41"/>
      <c r="AJ226" s="13"/>
      <c r="AK226" s="44"/>
      <c r="AL226" s="41"/>
      <c r="AM226" s="13"/>
      <c r="AN226" s="13"/>
      <c r="AO226" s="44"/>
      <c r="AP226" s="63">
        <v>8358</v>
      </c>
      <c r="AQ226" s="15"/>
      <c r="AR226" s="13"/>
      <c r="AS226" s="13"/>
      <c r="AT226" s="44"/>
      <c r="AU226" s="5"/>
      <c r="AV226" s="5"/>
      <c r="AW226" s="5"/>
      <c r="AX226" s="5"/>
    </row>
    <row r="227" spans="1:50" ht="12.75">
      <c r="A227" s="147">
        <v>37956</v>
      </c>
      <c r="B227" s="3">
        <v>402</v>
      </c>
      <c r="C227" s="13"/>
      <c r="D227" s="13"/>
      <c r="E227" s="57">
        <v>310</v>
      </c>
      <c r="F227" s="13"/>
      <c r="G227" s="43"/>
      <c r="H227" s="13">
        <v>16</v>
      </c>
      <c r="I227" s="13"/>
      <c r="J227" s="13"/>
      <c r="K227" s="41"/>
      <c r="L227" s="13"/>
      <c r="M227" s="44"/>
      <c r="N227" s="63">
        <v>1895</v>
      </c>
      <c r="O227" s="67">
        <f t="shared" si="412"/>
        <v>0.0034277610660608244</v>
      </c>
      <c r="P227" s="3">
        <f>504333+48076+430</f>
        <v>552839</v>
      </c>
      <c r="Q227" s="68">
        <v>2433</v>
      </c>
      <c r="R227" s="67">
        <f t="shared" si="413"/>
        <v>0.22496532593619972</v>
      </c>
      <c r="S227" s="40">
        <v>10815</v>
      </c>
      <c r="T227" s="3">
        <v>246</v>
      </c>
      <c r="U227" s="7">
        <f t="shared" si="414"/>
        <v>0.5707656612529002</v>
      </c>
      <c r="V227" s="44">
        <v>431</v>
      </c>
      <c r="W227" s="63">
        <f t="shared" si="415"/>
        <v>4574</v>
      </c>
      <c r="X227" s="7">
        <f t="shared" si="416"/>
        <v>0.008108707021104975</v>
      </c>
      <c r="Y227" s="26">
        <f t="shared" si="417"/>
        <v>564085</v>
      </c>
      <c r="Z227" s="63">
        <v>2882</v>
      </c>
      <c r="AA227" s="13"/>
      <c r="AB227" s="13"/>
      <c r="AC227" s="42">
        <v>166</v>
      </c>
      <c r="AD227" s="13"/>
      <c r="AE227" s="43"/>
      <c r="AF227" s="13">
        <v>14</v>
      </c>
      <c r="AG227" s="13"/>
      <c r="AH227" s="44"/>
      <c r="AI227" s="41"/>
      <c r="AJ227" s="13"/>
      <c r="AK227" s="44"/>
      <c r="AL227" s="41"/>
      <c r="AM227" s="13"/>
      <c r="AN227" s="13"/>
      <c r="AO227" s="44"/>
      <c r="AP227" s="63">
        <v>8614</v>
      </c>
      <c r="AQ227" s="15"/>
      <c r="AR227" s="13"/>
      <c r="AS227" s="13"/>
      <c r="AT227" s="44"/>
      <c r="AU227" s="5"/>
      <c r="AV227" s="5"/>
      <c r="AW227" s="5"/>
      <c r="AX227" s="5"/>
    </row>
    <row r="228" spans="1:50" ht="12.75">
      <c r="A228" s="147">
        <v>37926</v>
      </c>
      <c r="B228" s="3">
        <v>397</v>
      </c>
      <c r="C228" s="13"/>
      <c r="D228" s="13"/>
      <c r="E228" s="57">
        <v>305</v>
      </c>
      <c r="F228" s="13"/>
      <c r="G228" s="43"/>
      <c r="H228" s="13">
        <v>15</v>
      </c>
      <c r="I228" s="13"/>
      <c r="J228" s="13"/>
      <c r="K228" s="41"/>
      <c r="L228" s="13"/>
      <c r="M228" s="44"/>
      <c r="N228" s="63">
        <v>1861</v>
      </c>
      <c r="O228" s="67">
        <f t="shared" si="412"/>
        <v>0.0033716272404290897</v>
      </c>
      <c r="P228" s="3">
        <f>503472+48057+430</f>
        <v>551959</v>
      </c>
      <c r="Q228" s="68">
        <v>2400</v>
      </c>
      <c r="R228" s="67">
        <f t="shared" si="413"/>
        <v>0.22183196228856641</v>
      </c>
      <c r="S228" s="40">
        <v>10819</v>
      </c>
      <c r="T228" s="3">
        <v>241</v>
      </c>
      <c r="U228" s="7">
        <f t="shared" si="414"/>
        <v>0.5565819861431871</v>
      </c>
      <c r="V228" s="44">
        <v>433</v>
      </c>
      <c r="W228" s="63">
        <f t="shared" si="415"/>
        <v>4502</v>
      </c>
      <c r="X228" s="7">
        <f t="shared" si="416"/>
        <v>0.007993451832439352</v>
      </c>
      <c r="Y228" s="26">
        <f t="shared" si="417"/>
        <v>563211</v>
      </c>
      <c r="Z228" s="63">
        <v>2888</v>
      </c>
      <c r="AA228" s="13"/>
      <c r="AB228" s="13"/>
      <c r="AC228" s="42">
        <v>166</v>
      </c>
      <c r="AD228" s="13"/>
      <c r="AE228" s="43"/>
      <c r="AF228" s="13">
        <v>14</v>
      </c>
      <c r="AG228" s="13"/>
      <c r="AH228" s="44"/>
      <c r="AI228" s="41"/>
      <c r="AJ228" s="13"/>
      <c r="AK228" s="44"/>
      <c r="AL228" s="41"/>
      <c r="AM228" s="13"/>
      <c r="AN228" s="13"/>
      <c r="AO228" s="44"/>
      <c r="AP228" s="63">
        <v>8364</v>
      </c>
      <c r="AQ228" s="15"/>
      <c r="AR228" s="13"/>
      <c r="AS228" s="13"/>
      <c r="AT228" s="44"/>
      <c r="AU228" s="5"/>
      <c r="AV228" s="5"/>
      <c r="AW228" s="5"/>
      <c r="AX228" s="5"/>
    </row>
    <row r="229" spans="1:50" ht="12.75">
      <c r="A229" s="147">
        <v>37895</v>
      </c>
      <c r="B229" s="3">
        <v>387</v>
      </c>
      <c r="C229" s="13"/>
      <c r="D229" s="13"/>
      <c r="E229" s="57">
        <v>293</v>
      </c>
      <c r="F229" s="13"/>
      <c r="G229" s="43"/>
      <c r="H229" s="13">
        <v>12</v>
      </c>
      <c r="I229" s="13"/>
      <c r="J229" s="13"/>
      <c r="K229" s="41"/>
      <c r="L229" s="13"/>
      <c r="M229" s="44"/>
      <c r="N229" s="63">
        <v>1786</v>
      </c>
      <c r="O229" s="67">
        <f t="shared" si="412"/>
        <v>0.0032429919778619496</v>
      </c>
      <c r="P229" s="3">
        <f>502474+47822+430</f>
        <v>550726</v>
      </c>
      <c r="Q229" s="68">
        <v>2290</v>
      </c>
      <c r="R229" s="67">
        <f t="shared" si="413"/>
        <v>0.20842814235005006</v>
      </c>
      <c r="S229" s="40">
        <v>10987</v>
      </c>
      <c r="T229" s="3">
        <v>232</v>
      </c>
      <c r="U229" s="7">
        <f t="shared" si="414"/>
        <v>0.5333333333333333</v>
      </c>
      <c r="V229" s="44">
        <v>435</v>
      </c>
      <c r="W229" s="63">
        <f t="shared" si="415"/>
        <v>4308</v>
      </c>
      <c r="X229" s="7">
        <f t="shared" si="416"/>
        <v>0.007663462291069256</v>
      </c>
      <c r="Y229" s="26">
        <f t="shared" si="417"/>
        <v>562148</v>
      </c>
      <c r="Z229" s="63">
        <v>2901</v>
      </c>
      <c r="AA229" s="13"/>
      <c r="AB229" s="13"/>
      <c r="AC229" s="42">
        <v>167</v>
      </c>
      <c r="AD229" s="13"/>
      <c r="AE229" s="43"/>
      <c r="AF229" s="13">
        <v>14</v>
      </c>
      <c r="AG229" s="13"/>
      <c r="AH229" s="44"/>
      <c r="AI229" s="41"/>
      <c r="AJ229" s="13"/>
      <c r="AK229" s="44"/>
      <c r="AL229" s="41"/>
      <c r="AM229" s="13"/>
      <c r="AN229" s="13"/>
      <c r="AO229" s="44"/>
      <c r="AP229" s="63">
        <v>8287</v>
      </c>
      <c r="AQ229" s="15"/>
      <c r="AR229" s="13"/>
      <c r="AS229" s="13"/>
      <c r="AT229" s="44"/>
      <c r="AU229" s="5"/>
      <c r="AV229" s="5"/>
      <c r="AW229" s="5"/>
      <c r="AX229" s="5"/>
    </row>
    <row r="230" spans="1:50" ht="12.75">
      <c r="A230" s="147">
        <v>37865</v>
      </c>
      <c r="B230" s="3">
        <v>379</v>
      </c>
      <c r="C230" s="13"/>
      <c r="D230" s="13"/>
      <c r="E230" s="57">
        <v>295</v>
      </c>
      <c r="F230" s="13"/>
      <c r="G230" s="43"/>
      <c r="H230" s="13">
        <v>9</v>
      </c>
      <c r="I230" s="13"/>
      <c r="J230" s="13"/>
      <c r="K230" s="41"/>
      <c r="L230" s="13"/>
      <c r="M230" s="44"/>
      <c r="N230" s="63">
        <v>1732</v>
      </c>
      <c r="O230" s="67">
        <f aca="true" t="shared" si="424" ref="O230:O261">N230/P230</f>
        <v>0.0031482838036067115</v>
      </c>
      <c r="P230" s="3">
        <f>501825+47886+430</f>
        <v>550141</v>
      </c>
      <c r="Q230" s="68">
        <v>1852</v>
      </c>
      <c r="R230" s="67">
        <f aca="true" t="shared" si="425" ref="R230:R261">Q230/S230</f>
        <v>0.16970585540181435</v>
      </c>
      <c r="S230" s="40">
        <v>10913</v>
      </c>
      <c r="T230" s="3">
        <v>200</v>
      </c>
      <c r="U230" s="7">
        <f aca="true" t="shared" si="426" ref="U230:U261">T230/V230</f>
        <v>0.45977011494252873</v>
      </c>
      <c r="V230" s="44">
        <v>435</v>
      </c>
      <c r="W230" s="63">
        <f aca="true" t="shared" si="427" ref="W230:W261">+T230+Q230+N230</f>
        <v>3784</v>
      </c>
      <c r="X230" s="7">
        <f aca="true" t="shared" si="428" ref="X230:X261">W230/Y230</f>
        <v>0.00673922374258445</v>
      </c>
      <c r="Y230" s="26">
        <f aca="true" t="shared" si="429" ref="Y230:Y261">+V230+S230+P230</f>
        <v>561489</v>
      </c>
      <c r="Z230" s="63">
        <v>2905</v>
      </c>
      <c r="AA230" s="13"/>
      <c r="AB230" s="13"/>
      <c r="AC230" s="42">
        <v>166</v>
      </c>
      <c r="AD230" s="13"/>
      <c r="AE230" s="43"/>
      <c r="AF230" s="13">
        <v>14</v>
      </c>
      <c r="AG230" s="13"/>
      <c r="AH230" s="44"/>
      <c r="AI230" s="41"/>
      <c r="AJ230" s="13"/>
      <c r="AK230" s="44"/>
      <c r="AL230" s="41"/>
      <c r="AM230" s="13"/>
      <c r="AN230" s="13"/>
      <c r="AO230" s="44"/>
      <c r="AP230" s="63">
        <v>8082</v>
      </c>
      <c r="AQ230" s="15"/>
      <c r="AR230" s="13"/>
      <c r="AS230" s="13"/>
      <c r="AT230" s="44"/>
      <c r="AU230" s="5"/>
      <c r="AV230" s="5"/>
      <c r="AW230" s="5"/>
      <c r="AX230" s="5"/>
    </row>
    <row r="231" spans="1:50" ht="12.75">
      <c r="A231" s="147">
        <v>37834</v>
      </c>
      <c r="B231" s="3">
        <v>372</v>
      </c>
      <c r="C231" s="13"/>
      <c r="D231" s="13"/>
      <c r="E231" s="57">
        <v>294</v>
      </c>
      <c r="F231" s="13"/>
      <c r="G231" s="43"/>
      <c r="H231" s="13">
        <v>9</v>
      </c>
      <c r="I231" s="13"/>
      <c r="J231" s="13"/>
      <c r="K231" s="41"/>
      <c r="L231" s="13"/>
      <c r="M231" s="44"/>
      <c r="N231" s="63">
        <v>1661</v>
      </c>
      <c r="O231" s="67">
        <f t="shared" si="424"/>
        <v>0.003024200889963513</v>
      </c>
      <c r="P231" s="3">
        <f>500974+47832+430</f>
        <v>549236</v>
      </c>
      <c r="Q231" s="68">
        <v>1835</v>
      </c>
      <c r="R231" s="67">
        <f t="shared" si="425"/>
        <v>0.1685032139577594</v>
      </c>
      <c r="S231" s="40">
        <v>10890</v>
      </c>
      <c r="T231" s="3">
        <v>199</v>
      </c>
      <c r="U231" s="7">
        <f t="shared" si="426"/>
        <v>0.45537757437070936</v>
      </c>
      <c r="V231" s="44">
        <v>437</v>
      </c>
      <c r="W231" s="63">
        <f t="shared" si="427"/>
        <v>3695</v>
      </c>
      <c r="X231" s="7">
        <f t="shared" si="428"/>
        <v>0.00659158738625275</v>
      </c>
      <c r="Y231" s="26">
        <f t="shared" si="429"/>
        <v>560563</v>
      </c>
      <c r="Z231" s="63">
        <v>2902</v>
      </c>
      <c r="AA231" s="13"/>
      <c r="AB231" s="13"/>
      <c r="AC231" s="42">
        <v>167</v>
      </c>
      <c r="AD231" s="13"/>
      <c r="AE231" s="43"/>
      <c r="AF231" s="13">
        <v>14</v>
      </c>
      <c r="AG231" s="13"/>
      <c r="AH231" s="44"/>
      <c r="AI231" s="41"/>
      <c r="AJ231" s="13"/>
      <c r="AK231" s="44"/>
      <c r="AL231" s="41"/>
      <c r="AM231" s="13"/>
      <c r="AN231" s="13"/>
      <c r="AO231" s="44"/>
      <c r="AP231" s="63">
        <v>7379</v>
      </c>
      <c r="AQ231" s="15"/>
      <c r="AR231" s="13"/>
      <c r="AS231" s="13"/>
      <c r="AT231" s="44"/>
      <c r="AU231" s="5"/>
      <c r="AV231" s="5"/>
      <c r="AW231" s="5"/>
      <c r="AX231" s="5"/>
    </row>
    <row r="232" spans="1:50" ht="12.75">
      <c r="A232" s="147">
        <v>37803</v>
      </c>
      <c r="B232" s="3">
        <v>355</v>
      </c>
      <c r="C232" s="13"/>
      <c r="D232" s="13"/>
      <c r="E232" s="57">
        <v>287</v>
      </c>
      <c r="F232" s="13"/>
      <c r="G232" s="43"/>
      <c r="H232" s="13">
        <v>8</v>
      </c>
      <c r="I232" s="13"/>
      <c r="J232" s="13"/>
      <c r="K232" s="41"/>
      <c r="L232" s="13"/>
      <c r="M232" s="44"/>
      <c r="N232" s="63">
        <v>1587</v>
      </c>
      <c r="O232" s="67">
        <f t="shared" si="424"/>
        <v>0.0028938572546102046</v>
      </c>
      <c r="P232" s="3">
        <f>500217+47756+430</f>
        <v>548403</v>
      </c>
      <c r="Q232" s="68">
        <v>1831</v>
      </c>
      <c r="R232" s="67">
        <f t="shared" si="425"/>
        <v>0.1683059104697123</v>
      </c>
      <c r="S232" s="40">
        <v>10879</v>
      </c>
      <c r="T232" s="3">
        <v>193</v>
      </c>
      <c r="U232" s="7">
        <f t="shared" si="426"/>
        <v>0.4447004608294931</v>
      </c>
      <c r="V232" s="44">
        <v>434</v>
      </c>
      <c r="W232" s="63">
        <f t="shared" si="427"/>
        <v>3611</v>
      </c>
      <c r="X232" s="7">
        <f t="shared" si="428"/>
        <v>0.006451486110813341</v>
      </c>
      <c r="Y232" s="26">
        <f t="shared" si="429"/>
        <v>559716</v>
      </c>
      <c r="Z232" s="63">
        <v>5603</v>
      </c>
      <c r="AA232" s="13"/>
      <c r="AB232" s="13"/>
      <c r="AC232" s="42">
        <v>163</v>
      </c>
      <c r="AD232" s="13"/>
      <c r="AE232" s="43"/>
      <c r="AF232" s="13">
        <v>15</v>
      </c>
      <c r="AG232" s="13"/>
      <c r="AH232" s="44"/>
      <c r="AI232" s="41"/>
      <c r="AJ232" s="13"/>
      <c r="AK232" s="44"/>
      <c r="AL232" s="41"/>
      <c r="AM232" s="13"/>
      <c r="AN232" s="13"/>
      <c r="AO232" s="44"/>
      <c r="AP232" s="63">
        <v>7453</v>
      </c>
      <c r="AQ232" s="15"/>
      <c r="AR232" s="13"/>
      <c r="AS232" s="13"/>
      <c r="AT232" s="44"/>
      <c r="AU232" s="5"/>
      <c r="AV232" s="5"/>
      <c r="AW232" s="5"/>
      <c r="AX232" s="5"/>
    </row>
    <row r="233" spans="1:50" ht="12.75">
      <c r="A233" s="147">
        <v>37773</v>
      </c>
      <c r="B233" s="3">
        <v>341</v>
      </c>
      <c r="C233" s="13"/>
      <c r="D233" s="13"/>
      <c r="E233" s="57">
        <v>284</v>
      </c>
      <c r="F233" s="13"/>
      <c r="G233" s="43"/>
      <c r="H233" s="13">
        <v>8</v>
      </c>
      <c r="I233" s="13"/>
      <c r="J233" s="13"/>
      <c r="K233" s="41"/>
      <c r="L233" s="13"/>
      <c r="M233" s="44"/>
      <c r="N233" s="63">
        <v>1506</v>
      </c>
      <c r="O233" s="67">
        <f t="shared" si="424"/>
        <v>0.0027483657625893766</v>
      </c>
      <c r="P233" s="3">
        <f>499852+47682+428</f>
        <v>547962</v>
      </c>
      <c r="Q233" s="68">
        <v>1838</v>
      </c>
      <c r="R233" s="67">
        <f t="shared" si="425"/>
        <v>0.1693384927215773</v>
      </c>
      <c r="S233" s="40">
        <v>10854</v>
      </c>
      <c r="T233" s="3">
        <v>183</v>
      </c>
      <c r="U233" s="7">
        <f t="shared" si="426"/>
        <v>0.4226327944572748</v>
      </c>
      <c r="V233" s="44">
        <v>433</v>
      </c>
      <c r="W233" s="63">
        <f t="shared" si="427"/>
        <v>3527</v>
      </c>
      <c r="X233" s="7">
        <f t="shared" si="428"/>
        <v>0.006306671983320489</v>
      </c>
      <c r="Y233" s="26">
        <f t="shared" si="429"/>
        <v>559249</v>
      </c>
      <c r="Z233" s="63">
        <v>5662</v>
      </c>
      <c r="AA233" s="13"/>
      <c r="AB233" s="13"/>
      <c r="AC233" s="42">
        <v>172</v>
      </c>
      <c r="AD233" s="13"/>
      <c r="AE233" s="43"/>
      <c r="AF233" s="13">
        <v>15</v>
      </c>
      <c r="AG233" s="13"/>
      <c r="AH233" s="44"/>
      <c r="AI233" s="41"/>
      <c r="AJ233" s="13"/>
      <c r="AK233" s="44"/>
      <c r="AL233" s="41"/>
      <c r="AM233" s="13"/>
      <c r="AN233" s="13"/>
      <c r="AO233" s="44"/>
      <c r="AP233" s="63">
        <v>10042</v>
      </c>
      <c r="AQ233" s="15"/>
      <c r="AR233" s="13"/>
      <c r="AS233" s="13"/>
      <c r="AT233" s="44"/>
      <c r="AU233" s="5"/>
      <c r="AV233" s="5"/>
      <c r="AW233" s="5"/>
      <c r="AX233" s="5"/>
    </row>
    <row r="234" spans="1:50" ht="12.75">
      <c r="A234" s="147">
        <v>37742</v>
      </c>
      <c r="B234" s="3">
        <v>210</v>
      </c>
      <c r="C234" s="13"/>
      <c r="D234" s="13"/>
      <c r="E234" s="57">
        <v>290</v>
      </c>
      <c r="F234" s="13"/>
      <c r="G234" s="43"/>
      <c r="H234" s="13">
        <v>9</v>
      </c>
      <c r="I234" s="13"/>
      <c r="J234" s="13"/>
      <c r="K234" s="41"/>
      <c r="L234" s="13"/>
      <c r="M234" s="44"/>
      <c r="N234" s="63">
        <v>740</v>
      </c>
      <c r="O234" s="67">
        <f t="shared" si="424"/>
        <v>0.0013511440903878878</v>
      </c>
      <c r="P234" s="3">
        <f>499747+47508+429</f>
        <v>547684</v>
      </c>
      <c r="Q234" s="68">
        <v>1839</v>
      </c>
      <c r="R234" s="67">
        <f t="shared" si="425"/>
        <v>0.16933701657458564</v>
      </c>
      <c r="S234" s="40">
        <v>10860</v>
      </c>
      <c r="T234" s="3">
        <v>180</v>
      </c>
      <c r="U234" s="7">
        <f t="shared" si="426"/>
        <v>0.4186046511627907</v>
      </c>
      <c r="V234" s="44">
        <v>430</v>
      </c>
      <c r="W234" s="63">
        <f t="shared" si="427"/>
        <v>2759</v>
      </c>
      <c r="X234" s="7">
        <f t="shared" si="428"/>
        <v>0.004935828857871744</v>
      </c>
      <c r="Y234" s="26">
        <f t="shared" si="429"/>
        <v>558974</v>
      </c>
      <c r="Z234" s="63">
        <v>5700</v>
      </c>
      <c r="AA234" s="13"/>
      <c r="AB234" s="13"/>
      <c r="AC234" s="42">
        <v>172</v>
      </c>
      <c r="AD234" s="13"/>
      <c r="AE234" s="43"/>
      <c r="AF234" s="13">
        <v>15</v>
      </c>
      <c r="AG234" s="13"/>
      <c r="AH234" s="44"/>
      <c r="AI234" s="41"/>
      <c r="AJ234" s="13"/>
      <c r="AK234" s="44"/>
      <c r="AL234" s="41"/>
      <c r="AM234" s="13"/>
      <c r="AN234" s="13"/>
      <c r="AO234" s="44"/>
      <c r="AP234" s="63">
        <v>10009</v>
      </c>
      <c r="AQ234" s="15"/>
      <c r="AR234" s="13"/>
      <c r="AS234" s="13"/>
      <c r="AT234" s="44"/>
      <c r="AU234" s="5"/>
      <c r="AV234" s="5"/>
      <c r="AW234" s="5"/>
      <c r="AX234" s="5"/>
    </row>
    <row r="235" spans="1:50" ht="12.75">
      <c r="A235" s="147">
        <v>37712</v>
      </c>
      <c r="B235" s="3">
        <v>183</v>
      </c>
      <c r="C235" s="13"/>
      <c r="D235" s="13"/>
      <c r="E235" s="57">
        <v>314</v>
      </c>
      <c r="F235" s="13"/>
      <c r="G235" s="43"/>
      <c r="H235" s="13">
        <v>8</v>
      </c>
      <c r="I235" s="13"/>
      <c r="J235" s="13"/>
      <c r="K235" s="41"/>
      <c r="L235" s="13"/>
      <c r="M235" s="44"/>
      <c r="N235" s="63">
        <v>523</v>
      </c>
      <c r="O235" s="67">
        <f t="shared" si="424"/>
        <v>0.0009555548247296858</v>
      </c>
      <c r="P235" s="3">
        <f>499430+47463+433</f>
        <v>547326</v>
      </c>
      <c r="Q235" s="68">
        <v>1915</v>
      </c>
      <c r="R235" s="67">
        <f t="shared" si="425"/>
        <v>0.17672572905131045</v>
      </c>
      <c r="S235" s="40">
        <v>10836</v>
      </c>
      <c r="T235" s="3">
        <v>175</v>
      </c>
      <c r="U235" s="7">
        <f t="shared" si="426"/>
        <v>0.4098360655737705</v>
      </c>
      <c r="V235" s="44">
        <v>427</v>
      </c>
      <c r="W235" s="63">
        <f t="shared" si="427"/>
        <v>2613</v>
      </c>
      <c r="X235" s="7">
        <f t="shared" si="428"/>
        <v>0.004677857959966988</v>
      </c>
      <c r="Y235" s="26">
        <f t="shared" si="429"/>
        <v>558589</v>
      </c>
      <c r="Z235" s="63">
        <v>5722</v>
      </c>
      <c r="AA235" s="13"/>
      <c r="AB235" s="13"/>
      <c r="AC235" s="42">
        <v>172</v>
      </c>
      <c r="AD235" s="13"/>
      <c r="AE235" s="43"/>
      <c r="AF235" s="13">
        <v>15</v>
      </c>
      <c r="AG235" s="13"/>
      <c r="AH235" s="44"/>
      <c r="AI235" s="41"/>
      <c r="AJ235" s="13"/>
      <c r="AK235" s="44"/>
      <c r="AL235" s="41"/>
      <c r="AM235" s="13"/>
      <c r="AN235" s="13"/>
      <c r="AO235" s="44"/>
      <c r="AP235" s="63">
        <v>9155</v>
      </c>
      <c r="AQ235" s="15"/>
      <c r="AR235" s="13"/>
      <c r="AS235" s="13"/>
      <c r="AT235" s="44"/>
      <c r="AU235" s="5"/>
      <c r="AV235" s="5"/>
      <c r="AW235" s="5"/>
      <c r="AX235" s="5"/>
    </row>
    <row r="236" spans="1:50" ht="12.75">
      <c r="A236" s="147">
        <v>37681</v>
      </c>
      <c r="B236" s="3">
        <v>139</v>
      </c>
      <c r="C236" s="13"/>
      <c r="D236" s="13"/>
      <c r="E236" s="57">
        <v>315</v>
      </c>
      <c r="F236" s="13"/>
      <c r="G236" s="43"/>
      <c r="H236" s="13">
        <v>10</v>
      </c>
      <c r="I236" s="13"/>
      <c r="J236" s="13"/>
      <c r="K236" s="41"/>
      <c r="L236" s="13"/>
      <c r="M236" s="44"/>
      <c r="N236" s="63">
        <v>281</v>
      </c>
      <c r="O236" s="67">
        <f t="shared" si="424"/>
        <v>0.0005136604430275622</v>
      </c>
      <c r="P236" s="3">
        <f>499143+47478+433</f>
        <v>547054</v>
      </c>
      <c r="Q236" s="68">
        <v>1950</v>
      </c>
      <c r="R236" s="67">
        <f t="shared" si="425"/>
        <v>0.18038852913968548</v>
      </c>
      <c r="S236" s="40">
        <v>10810</v>
      </c>
      <c r="T236" s="3">
        <v>175</v>
      </c>
      <c r="U236" s="7">
        <f t="shared" si="426"/>
        <v>0.4088785046728972</v>
      </c>
      <c r="V236" s="44">
        <v>428</v>
      </c>
      <c r="W236" s="63">
        <f t="shared" si="427"/>
        <v>2406</v>
      </c>
      <c r="X236" s="7">
        <f t="shared" si="428"/>
        <v>0.004309572768372107</v>
      </c>
      <c r="Y236" s="26">
        <f t="shared" si="429"/>
        <v>558292</v>
      </c>
      <c r="Z236" s="63">
        <v>5724</v>
      </c>
      <c r="AA236" s="13"/>
      <c r="AB236" s="13"/>
      <c r="AC236" s="42">
        <v>168</v>
      </c>
      <c r="AD236" s="13"/>
      <c r="AE236" s="43"/>
      <c r="AF236" s="13">
        <v>15</v>
      </c>
      <c r="AG236" s="13"/>
      <c r="AH236" s="44"/>
      <c r="AI236" s="41"/>
      <c r="AJ236" s="13"/>
      <c r="AK236" s="44"/>
      <c r="AL236" s="41"/>
      <c r="AM236" s="13"/>
      <c r="AN236" s="13"/>
      <c r="AO236" s="44"/>
      <c r="AP236" s="63">
        <v>9027</v>
      </c>
      <c r="AQ236" s="15"/>
      <c r="AR236" s="13"/>
      <c r="AS236" s="13"/>
      <c r="AT236" s="44"/>
      <c r="AU236" s="5"/>
      <c r="AV236" s="5"/>
      <c r="AW236" s="5"/>
      <c r="AX236" s="5"/>
    </row>
    <row r="237" spans="1:50" ht="12.75">
      <c r="A237" s="147">
        <v>37653</v>
      </c>
      <c r="B237" s="3"/>
      <c r="C237" s="13"/>
      <c r="D237" s="13"/>
      <c r="E237" s="57"/>
      <c r="F237" s="13"/>
      <c r="G237" s="43"/>
      <c r="H237" s="13"/>
      <c r="I237" s="13"/>
      <c r="J237" s="13"/>
      <c r="K237" s="41"/>
      <c r="L237" s="13"/>
      <c r="M237" s="44"/>
      <c r="N237" s="63">
        <v>114</v>
      </c>
      <c r="O237" s="67">
        <f t="shared" si="424"/>
        <v>0.00020850403839400679</v>
      </c>
      <c r="P237" s="3">
        <f>498842+47475+435</f>
        <v>546752</v>
      </c>
      <c r="Q237" s="68">
        <v>1985</v>
      </c>
      <c r="R237" s="67">
        <f t="shared" si="425"/>
        <v>0.1837962962962963</v>
      </c>
      <c r="S237" s="40">
        <v>10800</v>
      </c>
      <c r="T237" s="3">
        <v>176</v>
      </c>
      <c r="U237" s="7">
        <f t="shared" si="426"/>
        <v>0.4180522565320665</v>
      </c>
      <c r="V237" s="44">
        <v>421</v>
      </c>
      <c r="W237" s="63">
        <f t="shared" si="427"/>
        <v>2275</v>
      </c>
      <c r="X237" s="7">
        <f t="shared" si="428"/>
        <v>0.004077258218587638</v>
      </c>
      <c r="Y237" s="26">
        <f t="shared" si="429"/>
        <v>557973</v>
      </c>
      <c r="Z237" s="63"/>
      <c r="AA237" s="13"/>
      <c r="AB237" s="13"/>
      <c r="AC237" s="42"/>
      <c r="AD237" s="13"/>
      <c r="AE237" s="43"/>
      <c r="AF237" s="13"/>
      <c r="AG237" s="13"/>
      <c r="AH237" s="44"/>
      <c r="AI237" s="41"/>
      <c r="AJ237" s="13"/>
      <c r="AK237" s="44"/>
      <c r="AL237" s="41"/>
      <c r="AM237" s="13"/>
      <c r="AN237" s="13"/>
      <c r="AO237" s="44"/>
      <c r="AP237" s="63">
        <v>8777</v>
      </c>
      <c r="AQ237" s="15"/>
      <c r="AR237" s="13"/>
      <c r="AS237" s="13"/>
      <c r="AT237" s="44"/>
      <c r="AU237" s="5"/>
      <c r="AV237" s="5"/>
      <c r="AW237" s="5"/>
      <c r="AX237" s="5"/>
    </row>
    <row r="238" spans="1:50" ht="12.75">
      <c r="A238" s="147">
        <v>37622</v>
      </c>
      <c r="B238" s="3">
        <v>148</v>
      </c>
      <c r="C238" s="13"/>
      <c r="D238" s="13"/>
      <c r="E238" s="57">
        <v>332</v>
      </c>
      <c r="F238" s="13"/>
      <c r="G238" s="43"/>
      <c r="H238" s="13">
        <v>11</v>
      </c>
      <c r="I238" s="13"/>
      <c r="J238" s="13"/>
      <c r="K238" s="41"/>
      <c r="L238" s="13"/>
      <c r="M238" s="44"/>
      <c r="N238" s="63">
        <v>113</v>
      </c>
      <c r="O238" s="67">
        <f t="shared" si="424"/>
        <v>0.00020694606216439942</v>
      </c>
      <c r="P238" s="3">
        <f>498133+47467+436</f>
        <v>546036</v>
      </c>
      <c r="Q238" s="68">
        <v>2038</v>
      </c>
      <c r="R238" s="67">
        <f t="shared" si="425"/>
        <v>0.1885640266469282</v>
      </c>
      <c r="S238" s="40">
        <v>10808</v>
      </c>
      <c r="T238" s="3">
        <v>176</v>
      </c>
      <c r="U238" s="7">
        <f t="shared" si="426"/>
        <v>0.42206235011990406</v>
      </c>
      <c r="V238" s="44">
        <v>417</v>
      </c>
      <c r="W238" s="63">
        <f t="shared" si="427"/>
        <v>2327</v>
      </c>
      <c r="X238" s="7">
        <f t="shared" si="428"/>
        <v>0.004175781186912416</v>
      </c>
      <c r="Y238" s="26">
        <f t="shared" si="429"/>
        <v>557261</v>
      </c>
      <c r="Z238" s="63">
        <v>5713</v>
      </c>
      <c r="AA238" s="13"/>
      <c r="AB238" s="13"/>
      <c r="AC238" s="42">
        <v>167</v>
      </c>
      <c r="AD238" s="13"/>
      <c r="AE238" s="43"/>
      <c r="AF238" s="13">
        <v>15</v>
      </c>
      <c r="AG238" s="13"/>
      <c r="AH238" s="44"/>
      <c r="AI238" s="41"/>
      <c r="AJ238" s="13"/>
      <c r="AK238" s="44"/>
      <c r="AL238" s="41"/>
      <c r="AM238" s="13"/>
      <c r="AN238" s="13"/>
      <c r="AO238" s="44"/>
      <c r="AP238" s="63"/>
      <c r="AQ238" s="15"/>
      <c r="AR238" s="13"/>
      <c r="AS238" s="13"/>
      <c r="AT238" s="44"/>
      <c r="AU238" s="5"/>
      <c r="AV238" s="5"/>
      <c r="AW238" s="5"/>
      <c r="AX238" s="5"/>
    </row>
    <row r="239" spans="1:50" ht="12.75">
      <c r="A239" s="147">
        <v>37591</v>
      </c>
      <c r="B239" s="3">
        <v>154</v>
      </c>
      <c r="C239" s="13"/>
      <c r="D239" s="13"/>
      <c r="E239" s="57">
        <v>353</v>
      </c>
      <c r="F239" s="13"/>
      <c r="G239" s="43"/>
      <c r="H239" s="13">
        <v>12</v>
      </c>
      <c r="I239" s="13"/>
      <c r="J239" s="13"/>
      <c r="K239" s="41"/>
      <c r="L239" s="13"/>
      <c r="M239" s="44"/>
      <c r="N239" s="63">
        <v>119</v>
      </c>
      <c r="O239" s="67">
        <f t="shared" si="424"/>
        <v>0.00021828654235951243</v>
      </c>
      <c r="P239" s="3">
        <f>497282+47440+433</f>
        <v>545155</v>
      </c>
      <c r="Q239" s="68">
        <v>2176</v>
      </c>
      <c r="R239" s="67">
        <f t="shared" si="425"/>
        <v>0.20150013890175017</v>
      </c>
      <c r="S239" s="40">
        <v>10799</v>
      </c>
      <c r="T239" s="3">
        <v>172</v>
      </c>
      <c r="U239" s="7">
        <f t="shared" si="426"/>
        <v>0.4246913580246914</v>
      </c>
      <c r="V239" s="44">
        <v>405</v>
      </c>
      <c r="W239" s="63">
        <f t="shared" si="427"/>
        <v>2467</v>
      </c>
      <c r="X239" s="7">
        <f t="shared" si="428"/>
        <v>0.004434187278358039</v>
      </c>
      <c r="Y239" s="26">
        <f t="shared" si="429"/>
        <v>556359</v>
      </c>
      <c r="Z239" s="63">
        <v>5715</v>
      </c>
      <c r="AA239" s="13"/>
      <c r="AB239" s="13"/>
      <c r="AC239" s="42">
        <v>171</v>
      </c>
      <c r="AD239" s="13"/>
      <c r="AE239" s="43"/>
      <c r="AF239" s="13">
        <v>14</v>
      </c>
      <c r="AG239" s="13"/>
      <c r="AH239" s="44"/>
      <c r="AI239" s="41"/>
      <c r="AJ239" s="13"/>
      <c r="AK239" s="44"/>
      <c r="AL239" s="41"/>
      <c r="AM239" s="13"/>
      <c r="AN239" s="13"/>
      <c r="AO239" s="44"/>
      <c r="AP239" s="63">
        <v>8713</v>
      </c>
      <c r="AQ239" s="15"/>
      <c r="AR239" s="13"/>
      <c r="AS239" s="13"/>
      <c r="AT239" s="44"/>
      <c r="AU239" s="5"/>
      <c r="AV239" s="5"/>
      <c r="AW239" s="5"/>
      <c r="AX239" s="5"/>
    </row>
    <row r="240" spans="1:50" ht="12.75">
      <c r="A240" s="147">
        <v>37561</v>
      </c>
      <c r="B240" s="3">
        <v>155</v>
      </c>
      <c r="C240" s="13"/>
      <c r="D240" s="13"/>
      <c r="E240" s="57">
        <v>355</v>
      </c>
      <c r="F240" s="13"/>
      <c r="G240" s="43"/>
      <c r="H240" s="13">
        <v>11</v>
      </c>
      <c r="I240" s="13"/>
      <c r="J240" s="13"/>
      <c r="K240" s="41"/>
      <c r="L240" s="13"/>
      <c r="M240" s="44"/>
      <c r="N240" s="63">
        <v>118</v>
      </c>
      <c r="O240" s="67">
        <f t="shared" si="424"/>
        <v>0.0002167981847745207</v>
      </c>
      <c r="P240" s="3">
        <f>496354+47498+433</f>
        <v>544285</v>
      </c>
      <c r="Q240" s="68">
        <v>2163</v>
      </c>
      <c r="R240" s="67">
        <f t="shared" si="425"/>
        <v>0.20249017038007863</v>
      </c>
      <c r="S240" s="40">
        <v>10682</v>
      </c>
      <c r="T240" s="3">
        <v>169</v>
      </c>
      <c r="U240" s="7">
        <f t="shared" si="426"/>
        <v>0.41728395061728396</v>
      </c>
      <c r="V240" s="44">
        <v>405</v>
      </c>
      <c r="W240" s="63">
        <f t="shared" si="427"/>
        <v>2450</v>
      </c>
      <c r="X240" s="7">
        <f t="shared" si="428"/>
        <v>0.004411457545573057</v>
      </c>
      <c r="Y240" s="26">
        <f t="shared" si="429"/>
        <v>555372</v>
      </c>
      <c r="Z240" s="63">
        <v>5703</v>
      </c>
      <c r="AA240" s="13"/>
      <c r="AB240" s="13"/>
      <c r="AC240" s="42">
        <v>172</v>
      </c>
      <c r="AD240" s="13"/>
      <c r="AE240" s="43"/>
      <c r="AF240" s="13">
        <v>14</v>
      </c>
      <c r="AG240" s="13"/>
      <c r="AH240" s="44"/>
      <c r="AI240" s="41"/>
      <c r="AJ240" s="13"/>
      <c r="AK240" s="44"/>
      <c r="AL240" s="41"/>
      <c r="AM240" s="13"/>
      <c r="AN240" s="13"/>
      <c r="AO240" s="44"/>
      <c r="AP240" s="63">
        <v>8886</v>
      </c>
      <c r="AQ240" s="15"/>
      <c r="AR240" s="13"/>
      <c r="AS240" s="13"/>
      <c r="AT240" s="44"/>
      <c r="AU240" s="5"/>
      <c r="AV240" s="5"/>
      <c r="AW240" s="5"/>
      <c r="AX240" s="5"/>
    </row>
    <row r="241" spans="1:50" ht="12.75">
      <c r="A241" s="147">
        <v>37530</v>
      </c>
      <c r="B241" s="3">
        <v>161</v>
      </c>
      <c r="C241" s="13"/>
      <c r="D241" s="13"/>
      <c r="E241" s="57">
        <v>364</v>
      </c>
      <c r="F241" s="13"/>
      <c r="G241" s="43"/>
      <c r="H241" s="13">
        <v>12</v>
      </c>
      <c r="I241" s="13"/>
      <c r="J241" s="13"/>
      <c r="K241" s="41"/>
      <c r="L241" s="13"/>
      <c r="M241" s="44"/>
      <c r="N241" s="63">
        <v>118</v>
      </c>
      <c r="O241" s="67">
        <f t="shared" si="424"/>
        <v>0.0002171145113451532</v>
      </c>
      <c r="P241" s="3">
        <f>495390+47669+433</f>
        <v>543492</v>
      </c>
      <c r="Q241" s="68">
        <v>2175</v>
      </c>
      <c r="R241" s="67">
        <f t="shared" si="425"/>
        <v>0.20464809936018066</v>
      </c>
      <c r="S241" s="40">
        <v>10628</v>
      </c>
      <c r="T241" s="3">
        <v>175</v>
      </c>
      <c r="U241" s="7">
        <f t="shared" si="426"/>
        <v>0.43424317617866004</v>
      </c>
      <c r="V241" s="44">
        <v>403</v>
      </c>
      <c r="W241" s="63">
        <f t="shared" si="427"/>
        <v>2468</v>
      </c>
      <c r="X241" s="7">
        <f t="shared" si="428"/>
        <v>0.00445067201901454</v>
      </c>
      <c r="Y241" s="26">
        <f t="shared" si="429"/>
        <v>554523</v>
      </c>
      <c r="Z241" s="63">
        <v>5646</v>
      </c>
      <c r="AA241" s="13"/>
      <c r="AB241" s="13"/>
      <c r="AC241" s="42">
        <v>170</v>
      </c>
      <c r="AD241" s="13"/>
      <c r="AE241" s="43"/>
      <c r="AF241" s="13">
        <v>14</v>
      </c>
      <c r="AG241" s="13"/>
      <c r="AH241" s="44"/>
      <c r="AI241" s="41"/>
      <c r="AJ241" s="13"/>
      <c r="AK241" s="44"/>
      <c r="AL241" s="41"/>
      <c r="AM241" s="13"/>
      <c r="AN241" s="13"/>
      <c r="AO241" s="44"/>
      <c r="AP241" s="63">
        <v>8860</v>
      </c>
      <c r="AQ241" s="15"/>
      <c r="AR241" s="13"/>
      <c r="AS241" s="13"/>
      <c r="AT241" s="44"/>
      <c r="AU241" s="5"/>
      <c r="AV241" s="5"/>
      <c r="AW241" s="5"/>
      <c r="AX241" s="5"/>
    </row>
    <row r="242" spans="1:50" ht="12.75">
      <c r="A242" s="147">
        <v>37500</v>
      </c>
      <c r="B242" s="3">
        <v>162</v>
      </c>
      <c r="C242" s="13"/>
      <c r="D242" s="13"/>
      <c r="E242" s="57">
        <v>361</v>
      </c>
      <c r="F242" s="13"/>
      <c r="G242" s="43"/>
      <c r="H242" s="13">
        <v>13</v>
      </c>
      <c r="I242" s="13"/>
      <c r="J242" s="13"/>
      <c r="K242" s="41"/>
      <c r="L242" s="13"/>
      <c r="M242" s="44"/>
      <c r="N242" s="63">
        <v>120</v>
      </c>
      <c r="O242" s="67">
        <f t="shared" si="424"/>
        <v>0.00022097982454201932</v>
      </c>
      <c r="P242" s="3">
        <f>494815+47789+432</f>
        <v>543036</v>
      </c>
      <c r="Q242" s="68">
        <v>2166</v>
      </c>
      <c r="R242" s="67">
        <f t="shared" si="425"/>
        <v>0.20620715917745622</v>
      </c>
      <c r="S242" s="40">
        <v>10504</v>
      </c>
      <c r="T242" s="3">
        <v>186</v>
      </c>
      <c r="U242" s="7">
        <f t="shared" si="426"/>
        <v>0.46733668341708545</v>
      </c>
      <c r="V242" s="44">
        <v>398</v>
      </c>
      <c r="W242" s="63">
        <f t="shared" si="427"/>
        <v>2472</v>
      </c>
      <c r="X242" s="7">
        <f t="shared" si="428"/>
        <v>0.004462593286613303</v>
      </c>
      <c r="Y242" s="26">
        <f t="shared" si="429"/>
        <v>553938</v>
      </c>
      <c r="Z242" s="63">
        <v>5597</v>
      </c>
      <c r="AA242" s="13"/>
      <c r="AB242" s="13"/>
      <c r="AC242" s="42">
        <v>168</v>
      </c>
      <c r="AD242" s="13"/>
      <c r="AE242" s="43"/>
      <c r="AF242" s="13">
        <v>15</v>
      </c>
      <c r="AG242" s="13"/>
      <c r="AH242" s="44"/>
      <c r="AI242" s="41"/>
      <c r="AJ242" s="13"/>
      <c r="AK242" s="44"/>
      <c r="AL242" s="41"/>
      <c r="AM242" s="13"/>
      <c r="AN242" s="13"/>
      <c r="AO242" s="44"/>
      <c r="AP242" s="63">
        <v>8835</v>
      </c>
      <c r="AQ242" s="15"/>
      <c r="AR242" s="13"/>
      <c r="AS242" s="13"/>
      <c r="AT242" s="44"/>
      <c r="AU242" s="5"/>
      <c r="AV242" s="5"/>
      <c r="AW242" s="5"/>
      <c r="AX242" s="5"/>
    </row>
    <row r="243" spans="1:50" ht="12.75">
      <c r="A243" s="147">
        <v>37469</v>
      </c>
      <c r="B243" s="3">
        <v>161</v>
      </c>
      <c r="C243" s="13"/>
      <c r="D243" s="13"/>
      <c r="E243" s="57">
        <v>364</v>
      </c>
      <c r="F243" s="13"/>
      <c r="G243" s="43"/>
      <c r="H243" s="13">
        <v>13</v>
      </c>
      <c r="I243" s="13"/>
      <c r="J243" s="13"/>
      <c r="K243" s="41"/>
      <c r="L243" s="13"/>
      <c r="M243" s="44"/>
      <c r="N243" s="63">
        <v>122</v>
      </c>
      <c r="O243" s="67">
        <f t="shared" si="424"/>
        <v>0.00022497353794861014</v>
      </c>
      <c r="P243" s="3">
        <f>494111+47743+432</f>
        <v>542286</v>
      </c>
      <c r="Q243" s="68">
        <v>2236</v>
      </c>
      <c r="R243" s="67">
        <f t="shared" si="425"/>
        <v>0.2129726640632441</v>
      </c>
      <c r="S243" s="40">
        <v>10499</v>
      </c>
      <c r="T243" s="3">
        <v>193</v>
      </c>
      <c r="U243" s="7">
        <f t="shared" si="426"/>
        <v>0.4923469387755102</v>
      </c>
      <c r="V243" s="44">
        <v>392</v>
      </c>
      <c r="W243" s="63">
        <f t="shared" si="427"/>
        <v>2551</v>
      </c>
      <c r="X243" s="7">
        <f t="shared" si="428"/>
        <v>0.004611543863898897</v>
      </c>
      <c r="Y243" s="26">
        <f t="shared" si="429"/>
        <v>553177</v>
      </c>
      <c r="Z243" s="63">
        <v>5571</v>
      </c>
      <c r="AA243" s="13"/>
      <c r="AB243" s="13"/>
      <c r="AC243" s="42">
        <v>164</v>
      </c>
      <c r="AD243" s="13"/>
      <c r="AE243" s="43"/>
      <c r="AF243" s="13">
        <v>15</v>
      </c>
      <c r="AG243" s="13"/>
      <c r="AH243" s="44"/>
      <c r="AI243" s="41"/>
      <c r="AJ243" s="13"/>
      <c r="AK243" s="44"/>
      <c r="AL243" s="41"/>
      <c r="AM243" s="13"/>
      <c r="AN243" s="13"/>
      <c r="AO243" s="44"/>
      <c r="AP243" s="63">
        <v>8789</v>
      </c>
      <c r="AQ243" s="15"/>
      <c r="AR243" s="13"/>
      <c r="AS243" s="13"/>
      <c r="AT243" s="44"/>
      <c r="AU243" s="5"/>
      <c r="AV243" s="5"/>
      <c r="AW243" s="5"/>
      <c r="AX243" s="5"/>
    </row>
    <row r="244" spans="1:50" ht="12.75">
      <c r="A244" s="147">
        <v>37438</v>
      </c>
      <c r="B244" s="3">
        <v>173</v>
      </c>
      <c r="C244" s="13"/>
      <c r="D244" s="13"/>
      <c r="E244" s="57">
        <v>382</v>
      </c>
      <c r="F244" s="13"/>
      <c r="G244" s="43"/>
      <c r="H244" s="13">
        <v>13</v>
      </c>
      <c r="I244" s="13"/>
      <c r="J244" s="13"/>
      <c r="K244" s="41"/>
      <c r="L244" s="13"/>
      <c r="M244" s="44"/>
      <c r="N244" s="63">
        <v>123</v>
      </c>
      <c r="O244" s="67">
        <f t="shared" si="424"/>
        <v>0.00022715184824040422</v>
      </c>
      <c r="P244" s="3">
        <f>493406+47650+432</f>
        <v>541488</v>
      </c>
      <c r="Q244" s="68">
        <v>2334</v>
      </c>
      <c r="R244" s="67">
        <f t="shared" si="425"/>
        <v>0.22296522735957203</v>
      </c>
      <c r="S244" s="40">
        <v>10468</v>
      </c>
      <c r="T244" s="3">
        <v>197</v>
      </c>
      <c r="U244" s="7">
        <f t="shared" si="426"/>
        <v>0.5038363171355499</v>
      </c>
      <c r="V244" s="44">
        <v>391</v>
      </c>
      <c r="W244" s="63">
        <f t="shared" si="427"/>
        <v>2654</v>
      </c>
      <c r="X244" s="7">
        <f t="shared" si="428"/>
        <v>0.004804950511182282</v>
      </c>
      <c r="Y244" s="26">
        <f t="shared" si="429"/>
        <v>552347</v>
      </c>
      <c r="Z244" s="63">
        <v>5467</v>
      </c>
      <c r="AA244" s="13"/>
      <c r="AB244" s="13"/>
      <c r="AC244" s="42">
        <v>161</v>
      </c>
      <c r="AD244" s="13"/>
      <c r="AE244" s="43"/>
      <c r="AF244" s="13">
        <v>15</v>
      </c>
      <c r="AG244" s="13"/>
      <c r="AH244" s="44"/>
      <c r="AI244" s="41"/>
      <c r="AJ244" s="13"/>
      <c r="AK244" s="44"/>
      <c r="AL244" s="41"/>
      <c r="AM244" s="13"/>
      <c r="AN244" s="13"/>
      <c r="AO244" s="44"/>
      <c r="AP244" s="63">
        <v>8839</v>
      </c>
      <c r="AQ244" s="15"/>
      <c r="AR244" s="13"/>
      <c r="AS244" s="13"/>
      <c r="AT244" s="44"/>
      <c r="AU244" s="5"/>
      <c r="AV244" s="5"/>
      <c r="AW244" s="5"/>
      <c r="AX244" s="5"/>
    </row>
    <row r="245" spans="1:50" ht="12.75">
      <c r="A245" s="147">
        <v>37408</v>
      </c>
      <c r="B245" s="3">
        <v>175</v>
      </c>
      <c r="C245" s="13"/>
      <c r="D245" s="13"/>
      <c r="E245" s="57">
        <v>384</v>
      </c>
      <c r="F245" s="13"/>
      <c r="G245" s="43"/>
      <c r="H245" s="13">
        <v>14</v>
      </c>
      <c r="I245" s="13"/>
      <c r="J245" s="13"/>
      <c r="K245" s="41"/>
      <c r="L245" s="13"/>
      <c r="M245" s="44"/>
      <c r="N245" s="63">
        <v>124</v>
      </c>
      <c r="O245" s="67">
        <f t="shared" si="424"/>
        <v>0.00022923059858764373</v>
      </c>
      <c r="P245" s="3">
        <f>492893+47614+433</f>
        <v>540940</v>
      </c>
      <c r="Q245" s="68">
        <v>2338</v>
      </c>
      <c r="R245" s="67">
        <f t="shared" si="425"/>
        <v>0.2246564812145671</v>
      </c>
      <c r="S245" s="40">
        <v>10407</v>
      </c>
      <c r="T245" s="3">
        <v>198</v>
      </c>
      <c r="U245" s="7">
        <f t="shared" si="426"/>
        <v>0.5012658227848101</v>
      </c>
      <c r="V245" s="44">
        <v>395</v>
      </c>
      <c r="W245" s="63">
        <f t="shared" si="427"/>
        <v>2660</v>
      </c>
      <c r="X245" s="7">
        <f t="shared" si="428"/>
        <v>0.004821093917084435</v>
      </c>
      <c r="Y245" s="26">
        <f t="shared" si="429"/>
        <v>551742</v>
      </c>
      <c r="Z245" s="63">
        <v>5262</v>
      </c>
      <c r="AA245" s="13"/>
      <c r="AB245" s="13"/>
      <c r="AC245" s="42">
        <v>160</v>
      </c>
      <c r="AD245" s="13"/>
      <c r="AE245" s="43"/>
      <c r="AF245" s="13">
        <v>15</v>
      </c>
      <c r="AG245" s="13"/>
      <c r="AH245" s="44"/>
      <c r="AI245" s="41"/>
      <c r="AJ245" s="13"/>
      <c r="AK245" s="44"/>
      <c r="AL245" s="41"/>
      <c r="AM245" s="13"/>
      <c r="AN245" s="13"/>
      <c r="AO245" s="44"/>
      <c r="AP245" s="63">
        <v>8865</v>
      </c>
      <c r="AQ245" s="15"/>
      <c r="AR245" s="13"/>
      <c r="AS245" s="13"/>
      <c r="AT245" s="44"/>
      <c r="AU245" s="5"/>
      <c r="AV245" s="5"/>
      <c r="AW245" s="5"/>
      <c r="AX245" s="5"/>
    </row>
    <row r="246" spans="1:50" ht="12.75">
      <c r="A246" s="147">
        <v>37377</v>
      </c>
      <c r="B246" s="3">
        <v>177</v>
      </c>
      <c r="C246" s="13"/>
      <c r="D246" s="13"/>
      <c r="E246" s="57">
        <v>385</v>
      </c>
      <c r="F246" s="13"/>
      <c r="G246" s="43"/>
      <c r="H246" s="13">
        <v>14</v>
      </c>
      <c r="I246" s="13"/>
      <c r="J246" s="13"/>
      <c r="K246" s="41"/>
      <c r="L246" s="13"/>
      <c r="M246" s="44"/>
      <c r="N246" s="63">
        <v>126</v>
      </c>
      <c r="O246" s="67">
        <f t="shared" si="424"/>
        <v>0.0002331058393012745</v>
      </c>
      <c r="P246" s="3">
        <f>492578+47516+433</f>
        <v>540527</v>
      </c>
      <c r="Q246" s="68">
        <v>2396</v>
      </c>
      <c r="R246" s="67">
        <f t="shared" si="425"/>
        <v>0.231945788964182</v>
      </c>
      <c r="S246" s="40">
        <v>10330</v>
      </c>
      <c r="T246" s="3">
        <v>212</v>
      </c>
      <c r="U246" s="7">
        <f t="shared" si="426"/>
        <v>0.5367088607594936</v>
      </c>
      <c r="V246" s="44">
        <v>395</v>
      </c>
      <c r="W246" s="63">
        <f t="shared" si="427"/>
        <v>2734</v>
      </c>
      <c r="X246" s="7">
        <f t="shared" si="428"/>
        <v>0.004959619194125373</v>
      </c>
      <c r="Y246" s="26">
        <f t="shared" si="429"/>
        <v>551252</v>
      </c>
      <c r="Z246" s="63">
        <v>4723</v>
      </c>
      <c r="AA246" s="13"/>
      <c r="AB246" s="13"/>
      <c r="AC246" s="42">
        <v>158</v>
      </c>
      <c r="AD246" s="13"/>
      <c r="AE246" s="43"/>
      <c r="AF246" s="13">
        <v>15</v>
      </c>
      <c r="AG246" s="13"/>
      <c r="AH246" s="44"/>
      <c r="AI246" s="41"/>
      <c r="AJ246" s="13"/>
      <c r="AK246" s="44"/>
      <c r="AL246" s="41"/>
      <c r="AM246" s="13"/>
      <c r="AN246" s="13"/>
      <c r="AO246" s="44"/>
      <c r="AP246" s="63">
        <v>8670</v>
      </c>
      <c r="AQ246" s="15"/>
      <c r="AR246" s="13"/>
      <c r="AS246" s="13"/>
      <c r="AT246" s="44"/>
      <c r="AU246" s="5"/>
      <c r="AV246" s="5"/>
      <c r="AW246" s="5"/>
      <c r="AX246" s="5"/>
    </row>
    <row r="247" spans="1:50" ht="12.75">
      <c r="A247" s="147">
        <v>37347</v>
      </c>
      <c r="B247" s="3">
        <v>178</v>
      </c>
      <c r="C247" s="13"/>
      <c r="D247" s="13"/>
      <c r="E247" s="57">
        <v>383</v>
      </c>
      <c r="F247" s="13"/>
      <c r="G247" s="43"/>
      <c r="H247" s="13">
        <v>19</v>
      </c>
      <c r="I247" s="13"/>
      <c r="J247" s="13"/>
      <c r="K247" s="41"/>
      <c r="L247" s="13"/>
      <c r="M247" s="44"/>
      <c r="N247" s="63">
        <v>133</v>
      </c>
      <c r="O247" s="67">
        <f t="shared" si="424"/>
        <v>0.00024604250800563124</v>
      </c>
      <c r="P247" s="3">
        <f>492315+47809+433</f>
        <v>540557</v>
      </c>
      <c r="Q247" s="68">
        <v>3321</v>
      </c>
      <c r="R247" s="67">
        <f t="shared" si="425"/>
        <v>0.33538679054736414</v>
      </c>
      <c r="S247" s="40">
        <v>9902</v>
      </c>
      <c r="T247" s="3">
        <v>256</v>
      </c>
      <c r="U247" s="7">
        <f t="shared" si="426"/>
        <v>0.6448362720403022</v>
      </c>
      <c r="V247" s="44">
        <v>397</v>
      </c>
      <c r="W247" s="63">
        <f t="shared" si="427"/>
        <v>3710</v>
      </c>
      <c r="X247" s="7">
        <f t="shared" si="428"/>
        <v>0.006734972479196015</v>
      </c>
      <c r="Y247" s="26">
        <f t="shared" si="429"/>
        <v>550856</v>
      </c>
      <c r="Z247" s="63">
        <v>2750</v>
      </c>
      <c r="AA247" s="13"/>
      <c r="AB247" s="13"/>
      <c r="AC247" s="42">
        <v>156</v>
      </c>
      <c r="AD247" s="13"/>
      <c r="AE247" s="43"/>
      <c r="AF247" s="13">
        <v>15</v>
      </c>
      <c r="AG247" s="13"/>
      <c r="AH247" s="44"/>
      <c r="AI247" s="41"/>
      <c r="AJ247" s="13"/>
      <c r="AK247" s="44"/>
      <c r="AL247" s="41"/>
      <c r="AM247" s="13"/>
      <c r="AN247" s="13"/>
      <c r="AO247" s="44"/>
      <c r="AP247" s="63">
        <v>8206</v>
      </c>
      <c r="AQ247" s="15"/>
      <c r="AR247" s="13"/>
      <c r="AS247" s="13"/>
      <c r="AT247" s="44"/>
      <c r="AU247" s="5"/>
      <c r="AV247" s="5"/>
      <c r="AW247" s="5"/>
      <c r="AX247" s="5"/>
    </row>
    <row r="248" spans="1:50" ht="12.75">
      <c r="A248" s="147">
        <v>37316</v>
      </c>
      <c r="B248" s="3">
        <v>177</v>
      </c>
      <c r="C248" s="13"/>
      <c r="D248" s="13"/>
      <c r="E248" s="57">
        <v>383</v>
      </c>
      <c r="F248" s="13"/>
      <c r="G248" s="43"/>
      <c r="H248" s="13">
        <v>20</v>
      </c>
      <c r="I248" s="13"/>
      <c r="J248" s="13"/>
      <c r="K248" s="41"/>
      <c r="L248" s="13"/>
      <c r="M248" s="44"/>
      <c r="N248" s="63">
        <v>125</v>
      </c>
      <c r="O248" s="67">
        <f t="shared" si="424"/>
        <v>0.0002315020594423208</v>
      </c>
      <c r="P248" s="3">
        <f>491861+47658+433</f>
        <v>539952</v>
      </c>
      <c r="Q248" s="68">
        <v>3368</v>
      </c>
      <c r="R248" s="67">
        <f t="shared" si="425"/>
        <v>0.34483464728166274</v>
      </c>
      <c r="S248" s="40">
        <v>9767</v>
      </c>
      <c r="T248" s="3">
        <v>256</v>
      </c>
      <c r="U248" s="7">
        <f t="shared" si="426"/>
        <v>0.6513994910941476</v>
      </c>
      <c r="V248" s="44">
        <v>393</v>
      </c>
      <c r="W248" s="63">
        <f t="shared" si="427"/>
        <v>3749</v>
      </c>
      <c r="X248" s="7">
        <f t="shared" si="428"/>
        <v>0.006814975859461346</v>
      </c>
      <c r="Y248" s="26">
        <f t="shared" si="429"/>
        <v>550112</v>
      </c>
      <c r="Z248" s="63">
        <v>2240</v>
      </c>
      <c r="AA248" s="13"/>
      <c r="AB248" s="13"/>
      <c r="AC248" s="42">
        <v>150</v>
      </c>
      <c r="AD248" s="13"/>
      <c r="AE248" s="43"/>
      <c r="AF248" s="13">
        <v>16</v>
      </c>
      <c r="AG248" s="13"/>
      <c r="AH248" s="44"/>
      <c r="AI248" s="41"/>
      <c r="AJ248" s="13"/>
      <c r="AK248" s="44"/>
      <c r="AL248" s="41"/>
      <c r="AM248" s="13"/>
      <c r="AN248" s="13"/>
      <c r="AO248" s="44"/>
      <c r="AP248" s="63">
        <v>7211</v>
      </c>
      <c r="AQ248" s="15"/>
      <c r="AR248" s="13"/>
      <c r="AS248" s="13"/>
      <c r="AT248" s="44"/>
      <c r="AU248" s="5"/>
      <c r="AV248" s="5"/>
      <c r="AW248" s="5"/>
      <c r="AX248" s="5"/>
    </row>
    <row r="249" spans="1:50" ht="12.75">
      <c r="A249" s="147">
        <v>37288</v>
      </c>
      <c r="B249" s="3">
        <v>170</v>
      </c>
      <c r="C249" s="13"/>
      <c r="D249" s="43"/>
      <c r="E249" s="57">
        <v>346</v>
      </c>
      <c r="F249" s="13"/>
      <c r="G249" s="43"/>
      <c r="H249" s="13">
        <v>19</v>
      </c>
      <c r="I249" s="13"/>
      <c r="J249" s="13"/>
      <c r="K249" s="41"/>
      <c r="L249" s="13"/>
      <c r="M249" s="44"/>
      <c r="N249" s="63">
        <v>149</v>
      </c>
      <c r="O249" s="67">
        <f t="shared" si="424"/>
        <v>0.0002762620447470348</v>
      </c>
      <c r="P249" s="3">
        <f>491410+47503+430</f>
        <v>539343</v>
      </c>
      <c r="Q249" s="68">
        <v>3243</v>
      </c>
      <c r="R249" s="67">
        <f t="shared" si="425"/>
        <v>0.3343298969072165</v>
      </c>
      <c r="S249" s="40">
        <v>9700</v>
      </c>
      <c r="T249" s="3">
        <v>249</v>
      </c>
      <c r="U249" s="7">
        <f t="shared" si="426"/>
        <v>0.6450777202072538</v>
      </c>
      <c r="V249" s="44">
        <v>386</v>
      </c>
      <c r="W249" s="63">
        <f t="shared" si="427"/>
        <v>3641</v>
      </c>
      <c r="X249" s="7">
        <f t="shared" si="428"/>
        <v>0.006626879906229922</v>
      </c>
      <c r="Y249" s="26">
        <f t="shared" si="429"/>
        <v>549429</v>
      </c>
      <c r="Z249" s="63">
        <v>2010</v>
      </c>
      <c r="AA249" s="13"/>
      <c r="AB249" s="13"/>
      <c r="AC249" s="42">
        <v>147</v>
      </c>
      <c r="AD249" s="13"/>
      <c r="AE249" s="43"/>
      <c r="AF249" s="13">
        <v>15</v>
      </c>
      <c r="AG249" s="13"/>
      <c r="AH249" s="44"/>
      <c r="AI249" s="41"/>
      <c r="AJ249" s="13"/>
      <c r="AK249" s="44"/>
      <c r="AL249" s="41"/>
      <c r="AM249" s="13"/>
      <c r="AN249" s="13"/>
      <c r="AO249" s="44"/>
      <c r="AP249" s="63">
        <v>6735</v>
      </c>
      <c r="AQ249" s="15"/>
      <c r="AR249" s="13"/>
      <c r="AS249" s="13"/>
      <c r="AT249" s="44"/>
      <c r="AU249" s="5"/>
      <c r="AV249" s="5"/>
      <c r="AW249" s="5"/>
      <c r="AX249" s="5"/>
    </row>
    <row r="250" spans="1:50" ht="12.75">
      <c r="A250" s="147">
        <v>37257</v>
      </c>
      <c r="B250" s="3">
        <v>154</v>
      </c>
      <c r="C250" s="13"/>
      <c r="D250" s="13"/>
      <c r="E250" s="57">
        <v>304</v>
      </c>
      <c r="F250" s="13"/>
      <c r="G250" s="43"/>
      <c r="H250" s="13">
        <v>18</v>
      </c>
      <c r="I250" s="13"/>
      <c r="J250" s="13"/>
      <c r="K250" s="41"/>
      <c r="L250" s="13"/>
      <c r="M250" s="44"/>
      <c r="N250" s="63">
        <v>163</v>
      </c>
      <c r="O250" s="67">
        <f t="shared" si="424"/>
        <v>0.0003027263947700765</v>
      </c>
      <c r="P250" s="3">
        <f>490703+47309+428</f>
        <v>538440</v>
      </c>
      <c r="Q250" s="68">
        <v>3092</v>
      </c>
      <c r="R250" s="67">
        <f t="shared" si="425"/>
        <v>0.31755160727123344</v>
      </c>
      <c r="S250" s="40">
        <v>9737</v>
      </c>
      <c r="T250" s="3">
        <v>245</v>
      </c>
      <c r="U250" s="7">
        <f t="shared" si="426"/>
        <v>0.6314432989690721</v>
      </c>
      <c r="V250" s="44">
        <v>388</v>
      </c>
      <c r="W250" s="63">
        <f t="shared" si="427"/>
        <v>3500</v>
      </c>
      <c r="X250" s="7">
        <f t="shared" si="428"/>
        <v>0.006380283102275938</v>
      </c>
      <c r="Y250" s="26">
        <f t="shared" si="429"/>
        <v>548565</v>
      </c>
      <c r="Z250" s="63">
        <v>1650</v>
      </c>
      <c r="AA250" s="13"/>
      <c r="AB250" s="13"/>
      <c r="AC250" s="42">
        <v>172</v>
      </c>
      <c r="AD250" s="13"/>
      <c r="AE250" s="43"/>
      <c r="AF250" s="13">
        <v>15</v>
      </c>
      <c r="AG250" s="13"/>
      <c r="AH250" s="44"/>
      <c r="AI250" s="41"/>
      <c r="AJ250" s="13"/>
      <c r="AK250" s="44"/>
      <c r="AL250" s="41"/>
      <c r="AM250" s="13"/>
      <c r="AN250" s="13"/>
      <c r="AO250" s="44"/>
      <c r="AP250" s="63">
        <v>6348</v>
      </c>
      <c r="AQ250" s="15"/>
      <c r="AR250" s="13"/>
      <c r="AS250" s="13"/>
      <c r="AT250" s="44"/>
      <c r="AU250" s="5"/>
      <c r="AV250" s="5"/>
      <c r="AW250" s="5"/>
      <c r="AX250" s="5"/>
    </row>
    <row r="251" spans="1:50" ht="12.75">
      <c r="A251" s="147">
        <v>37226</v>
      </c>
      <c r="B251" s="3">
        <v>133</v>
      </c>
      <c r="C251" s="13"/>
      <c r="D251" s="13"/>
      <c r="E251" s="57">
        <v>225</v>
      </c>
      <c r="F251" s="13"/>
      <c r="G251" s="43"/>
      <c r="H251" s="13">
        <v>18</v>
      </c>
      <c r="I251" s="13"/>
      <c r="J251" s="13"/>
      <c r="K251" s="41"/>
      <c r="L251" s="13"/>
      <c r="M251" s="44"/>
      <c r="N251" s="63">
        <v>161</v>
      </c>
      <c r="O251" s="67">
        <f t="shared" si="424"/>
        <v>0.0002995510455447829</v>
      </c>
      <c r="P251" s="3">
        <f>489925+47119+427</f>
        <v>537471</v>
      </c>
      <c r="Q251" s="68">
        <v>2908</v>
      </c>
      <c r="R251" s="67">
        <f t="shared" si="425"/>
        <v>0.2973415132924335</v>
      </c>
      <c r="S251" s="40">
        <v>9780</v>
      </c>
      <c r="T251" s="3">
        <v>238</v>
      </c>
      <c r="U251" s="7">
        <f t="shared" si="426"/>
        <v>0.6181818181818182</v>
      </c>
      <c r="V251" s="44">
        <v>385</v>
      </c>
      <c r="W251" s="63">
        <f t="shared" si="427"/>
        <v>3307</v>
      </c>
      <c r="X251" s="7">
        <f t="shared" si="428"/>
        <v>0.006038682628607323</v>
      </c>
      <c r="Y251" s="26">
        <f t="shared" si="429"/>
        <v>547636</v>
      </c>
      <c r="Z251" s="63">
        <v>1281</v>
      </c>
      <c r="AA251" s="13"/>
      <c r="AB251" s="13"/>
      <c r="AC251" s="42">
        <v>130</v>
      </c>
      <c r="AD251" s="13"/>
      <c r="AE251" s="43"/>
      <c r="AF251" s="13">
        <v>14</v>
      </c>
      <c r="AG251" s="13"/>
      <c r="AH251" s="44"/>
      <c r="AI251" s="41"/>
      <c r="AJ251" s="13"/>
      <c r="AK251" s="44"/>
      <c r="AL251" s="41"/>
      <c r="AM251" s="13"/>
      <c r="AN251" s="13"/>
      <c r="AO251" s="44"/>
      <c r="AP251" s="63">
        <v>5813</v>
      </c>
      <c r="AQ251" s="15"/>
      <c r="AR251" s="13"/>
      <c r="AS251" s="13"/>
      <c r="AT251" s="44"/>
      <c r="AU251" s="5"/>
      <c r="AV251" s="5"/>
      <c r="AW251" s="5"/>
      <c r="AX251" s="5"/>
    </row>
    <row r="252" spans="1:50" ht="12.75">
      <c r="A252" s="147">
        <v>37196</v>
      </c>
      <c r="B252" s="3">
        <v>125</v>
      </c>
      <c r="C252" s="13"/>
      <c r="D252" s="13"/>
      <c r="E252" s="57">
        <v>203</v>
      </c>
      <c r="F252" s="13"/>
      <c r="G252" s="43"/>
      <c r="H252" s="13">
        <v>18</v>
      </c>
      <c r="I252" s="13"/>
      <c r="J252" s="13"/>
      <c r="K252" s="41"/>
      <c r="L252" s="13"/>
      <c r="M252" s="44"/>
      <c r="N252" s="63">
        <v>162</v>
      </c>
      <c r="O252" s="67">
        <f t="shared" si="424"/>
        <v>0.0003020641047155563</v>
      </c>
      <c r="P252" s="3">
        <f>488997+46886+427</f>
        <v>536310</v>
      </c>
      <c r="Q252" s="68">
        <v>2808</v>
      </c>
      <c r="R252" s="67">
        <f t="shared" si="425"/>
        <v>0.2860344300702862</v>
      </c>
      <c r="S252" s="40">
        <v>9817</v>
      </c>
      <c r="T252" s="3">
        <v>231</v>
      </c>
      <c r="U252" s="7">
        <f t="shared" si="426"/>
        <v>0.6094986807387863</v>
      </c>
      <c r="V252" s="44">
        <v>379</v>
      </c>
      <c r="W252" s="63">
        <f t="shared" si="427"/>
        <v>3201</v>
      </c>
      <c r="X252" s="7">
        <f t="shared" si="428"/>
        <v>0.005857209252963371</v>
      </c>
      <c r="Y252" s="26">
        <f t="shared" si="429"/>
        <v>546506</v>
      </c>
      <c r="Z252" s="63">
        <v>1095</v>
      </c>
      <c r="AA252" s="13"/>
      <c r="AB252" s="13"/>
      <c r="AC252" s="42">
        <v>89</v>
      </c>
      <c r="AD252" s="13"/>
      <c r="AE252" s="43"/>
      <c r="AF252" s="13">
        <v>14</v>
      </c>
      <c r="AG252" s="13"/>
      <c r="AH252" s="44"/>
      <c r="AI252" s="41"/>
      <c r="AJ252" s="13"/>
      <c r="AK252" s="44"/>
      <c r="AL252" s="41"/>
      <c r="AM252" s="13"/>
      <c r="AN252" s="13"/>
      <c r="AO252" s="44"/>
      <c r="AP252" s="63">
        <v>5108</v>
      </c>
      <c r="AQ252" s="15"/>
      <c r="AR252" s="13"/>
      <c r="AS252" s="13"/>
      <c r="AT252" s="44"/>
      <c r="AU252" s="5"/>
      <c r="AV252" s="5"/>
      <c r="AW252" s="5"/>
      <c r="AX252" s="5"/>
    </row>
    <row r="253" spans="1:50" ht="12.75">
      <c r="A253" s="147">
        <v>37165</v>
      </c>
      <c r="B253" s="3">
        <v>121</v>
      </c>
      <c r="C253" s="13"/>
      <c r="D253" s="13"/>
      <c r="E253" s="57">
        <v>179</v>
      </c>
      <c r="F253" s="13"/>
      <c r="G253" s="43"/>
      <c r="H253" s="13">
        <v>18</v>
      </c>
      <c r="I253" s="13"/>
      <c r="J253" s="13"/>
      <c r="K253" s="41"/>
      <c r="L253" s="13"/>
      <c r="M253" s="44"/>
      <c r="N253" s="63">
        <v>170</v>
      </c>
      <c r="O253" s="67">
        <f t="shared" si="424"/>
        <v>0.00031711684823160723</v>
      </c>
      <c r="P253" s="3">
        <f>488779+46875+426</f>
        <v>536080</v>
      </c>
      <c r="Q253" s="68">
        <v>2644</v>
      </c>
      <c r="R253" s="67">
        <f t="shared" si="425"/>
        <v>0.2702923737476999</v>
      </c>
      <c r="S253" s="40">
        <v>9782</v>
      </c>
      <c r="T253" s="3">
        <v>229</v>
      </c>
      <c r="U253" s="7">
        <f t="shared" si="426"/>
        <v>0.6058201058201058</v>
      </c>
      <c r="V253" s="44">
        <v>378</v>
      </c>
      <c r="W253" s="63">
        <f t="shared" si="427"/>
        <v>3043</v>
      </c>
      <c r="X253" s="7">
        <f t="shared" si="428"/>
        <v>0.00557081136496778</v>
      </c>
      <c r="Y253" s="26">
        <f t="shared" si="429"/>
        <v>546240</v>
      </c>
      <c r="Z253" s="63">
        <v>1072</v>
      </c>
      <c r="AA253" s="13"/>
      <c r="AB253" s="13"/>
      <c r="AC253" s="42">
        <v>89</v>
      </c>
      <c r="AD253" s="13"/>
      <c r="AE253" s="43"/>
      <c r="AF253" s="13">
        <v>13</v>
      </c>
      <c r="AG253" s="13"/>
      <c r="AH253" s="44"/>
      <c r="AI253" s="41"/>
      <c r="AJ253" s="13"/>
      <c r="AK253" s="44"/>
      <c r="AL253" s="41"/>
      <c r="AM253" s="13"/>
      <c r="AN253" s="13"/>
      <c r="AO253" s="44"/>
      <c r="AP253" s="63">
        <v>4745</v>
      </c>
      <c r="AQ253" s="15"/>
      <c r="AR253" s="13"/>
      <c r="AS253" s="13"/>
      <c r="AT253" s="44"/>
      <c r="AU253" s="5"/>
      <c r="AV253" s="5"/>
      <c r="AW253" s="5"/>
      <c r="AX253" s="5"/>
    </row>
    <row r="254" spans="1:50" ht="12.75">
      <c r="A254" s="147">
        <v>37135</v>
      </c>
      <c r="B254" s="3">
        <v>85</v>
      </c>
      <c r="C254" s="13"/>
      <c r="D254" s="13"/>
      <c r="E254" s="57">
        <v>140</v>
      </c>
      <c r="F254" s="13"/>
      <c r="G254" s="43"/>
      <c r="H254" s="13">
        <v>17</v>
      </c>
      <c r="I254" s="13"/>
      <c r="J254" s="13"/>
      <c r="K254" s="41"/>
      <c r="L254" s="13"/>
      <c r="M254" s="44"/>
      <c r="N254" s="63">
        <v>176</v>
      </c>
      <c r="O254" s="67">
        <f t="shared" si="424"/>
        <v>0.0003286175470567257</v>
      </c>
      <c r="P254" s="3">
        <f>488292+46860+425</f>
        <v>535577</v>
      </c>
      <c r="Q254" s="68">
        <v>2417</v>
      </c>
      <c r="R254" s="67">
        <f t="shared" si="425"/>
        <v>0.24761807191886076</v>
      </c>
      <c r="S254" s="40">
        <v>9761</v>
      </c>
      <c r="T254" s="3">
        <v>213</v>
      </c>
      <c r="U254" s="7">
        <f t="shared" si="426"/>
        <v>0.5710455764075067</v>
      </c>
      <c r="V254" s="44">
        <v>373</v>
      </c>
      <c r="W254" s="63">
        <f t="shared" si="427"/>
        <v>2806</v>
      </c>
      <c r="X254" s="7">
        <f t="shared" si="428"/>
        <v>0.005141915775932682</v>
      </c>
      <c r="Y254" s="26">
        <f t="shared" si="429"/>
        <v>545711</v>
      </c>
      <c r="Z254" s="63">
        <v>1065</v>
      </c>
      <c r="AA254" s="13"/>
      <c r="AB254" s="13"/>
      <c r="AC254" s="42">
        <v>37</v>
      </c>
      <c r="AD254" s="13"/>
      <c r="AE254" s="43"/>
      <c r="AF254" s="13">
        <v>10</v>
      </c>
      <c r="AG254" s="13"/>
      <c r="AH254" s="44"/>
      <c r="AI254" s="41"/>
      <c r="AJ254" s="13"/>
      <c r="AK254" s="44"/>
      <c r="AL254" s="41"/>
      <c r="AM254" s="13"/>
      <c r="AN254" s="13"/>
      <c r="AO254" s="44"/>
      <c r="AP254" s="63">
        <v>4535</v>
      </c>
      <c r="AQ254" s="15"/>
      <c r="AR254" s="13"/>
      <c r="AS254" s="13"/>
      <c r="AT254" s="44"/>
      <c r="AU254" s="5"/>
      <c r="AV254" s="5"/>
      <c r="AW254" s="5"/>
      <c r="AX254" s="5"/>
    </row>
    <row r="255" spans="1:50" ht="12.75">
      <c r="A255" s="147">
        <v>37104</v>
      </c>
      <c r="B255" s="3">
        <v>73</v>
      </c>
      <c r="C255" s="13"/>
      <c r="D255" s="13"/>
      <c r="E255" s="57">
        <v>121</v>
      </c>
      <c r="F255" s="13"/>
      <c r="G255" s="43"/>
      <c r="H255" s="13">
        <v>18</v>
      </c>
      <c r="I255" s="13"/>
      <c r="J255" s="13"/>
      <c r="K255" s="41"/>
      <c r="L255" s="13"/>
      <c r="M255" s="44"/>
      <c r="N255" s="63">
        <v>169</v>
      </c>
      <c r="O255" s="67">
        <f t="shared" si="424"/>
        <v>0.0003164497706207284</v>
      </c>
      <c r="P255" s="3">
        <f>487014+46608+428</f>
        <v>534050</v>
      </c>
      <c r="Q255" s="68">
        <v>2291</v>
      </c>
      <c r="R255" s="67">
        <f t="shared" si="425"/>
        <v>0.23531224322103533</v>
      </c>
      <c r="S255" s="40">
        <v>9736</v>
      </c>
      <c r="T255" s="3">
        <v>200</v>
      </c>
      <c r="U255" s="7">
        <f t="shared" si="426"/>
        <v>0.5420054200542005</v>
      </c>
      <c r="V255" s="44">
        <v>369</v>
      </c>
      <c r="W255" s="63">
        <f t="shared" si="427"/>
        <v>2660</v>
      </c>
      <c r="X255" s="7">
        <f t="shared" si="428"/>
        <v>0.004888313072562046</v>
      </c>
      <c r="Y255" s="26">
        <f t="shared" si="429"/>
        <v>544155</v>
      </c>
      <c r="Z255" s="63">
        <v>1815</v>
      </c>
      <c r="AA255" s="13"/>
      <c r="AB255" s="13"/>
      <c r="AC255" s="42">
        <v>104</v>
      </c>
      <c r="AD255" s="13"/>
      <c r="AE255" s="43"/>
      <c r="AF255" s="13">
        <v>10</v>
      </c>
      <c r="AG255" s="13"/>
      <c r="AH255" s="44"/>
      <c r="AI255" s="41"/>
      <c r="AJ255" s="13"/>
      <c r="AK255" s="44"/>
      <c r="AL255" s="41"/>
      <c r="AM255" s="13"/>
      <c r="AN255" s="13"/>
      <c r="AO255" s="44"/>
      <c r="AP255" s="63">
        <v>4160</v>
      </c>
      <c r="AQ255" s="15"/>
      <c r="AR255" s="13"/>
      <c r="AS255" s="13"/>
      <c r="AT255" s="44"/>
      <c r="AU255" s="5"/>
      <c r="AV255" s="5"/>
      <c r="AW255" s="5"/>
      <c r="AX255" s="5"/>
    </row>
    <row r="256" spans="1:50" ht="12.75">
      <c r="A256" s="147">
        <v>37073</v>
      </c>
      <c r="B256" s="3">
        <v>72</v>
      </c>
      <c r="C256" s="13"/>
      <c r="D256" s="13"/>
      <c r="E256" s="57">
        <v>107</v>
      </c>
      <c r="F256" s="13"/>
      <c r="G256" s="43"/>
      <c r="H256" s="13">
        <v>13</v>
      </c>
      <c r="I256" s="13"/>
      <c r="J256" s="13"/>
      <c r="K256" s="41"/>
      <c r="L256" s="13"/>
      <c r="M256" s="44"/>
      <c r="N256" s="63">
        <v>161</v>
      </c>
      <c r="O256" s="67">
        <f t="shared" si="424"/>
        <v>0.0003017620278408271</v>
      </c>
      <c r="P256" s="3">
        <f>486650+46454+429</f>
        <v>533533</v>
      </c>
      <c r="Q256" s="68">
        <v>2133</v>
      </c>
      <c r="R256" s="67">
        <f t="shared" si="425"/>
        <v>0.2171655467318265</v>
      </c>
      <c r="S256" s="40">
        <v>9822</v>
      </c>
      <c r="T256" s="3">
        <v>185</v>
      </c>
      <c r="U256" s="7">
        <f t="shared" si="426"/>
        <v>0.5068493150684932</v>
      </c>
      <c r="V256" s="44">
        <v>365</v>
      </c>
      <c r="W256" s="63">
        <f t="shared" si="427"/>
        <v>2479</v>
      </c>
      <c r="X256" s="7">
        <f t="shared" si="428"/>
        <v>0.004559332009122343</v>
      </c>
      <c r="Y256" s="26">
        <f t="shared" si="429"/>
        <v>543720</v>
      </c>
      <c r="Z256" s="63">
        <v>1857</v>
      </c>
      <c r="AA256" s="13"/>
      <c r="AB256" s="13"/>
      <c r="AC256" s="42">
        <v>114</v>
      </c>
      <c r="AD256" s="13"/>
      <c r="AE256" s="43"/>
      <c r="AF256" s="13">
        <v>11</v>
      </c>
      <c r="AG256" s="13"/>
      <c r="AH256" s="44"/>
      <c r="AI256" s="41"/>
      <c r="AJ256" s="13"/>
      <c r="AK256" s="44"/>
      <c r="AL256" s="41"/>
      <c r="AM256" s="13"/>
      <c r="AN256" s="13"/>
      <c r="AO256" s="44"/>
      <c r="AP256" s="63">
        <v>4801</v>
      </c>
      <c r="AQ256" s="15"/>
      <c r="AR256" s="13"/>
      <c r="AS256" s="13"/>
      <c r="AT256" s="44"/>
      <c r="AU256" s="5"/>
      <c r="AV256" s="5"/>
      <c r="AW256" s="5"/>
      <c r="AX256" s="5"/>
    </row>
    <row r="257" spans="1:50" ht="12.75">
      <c r="A257" s="147">
        <v>37043</v>
      </c>
      <c r="B257" s="3">
        <v>70</v>
      </c>
      <c r="C257" s="13"/>
      <c r="D257" s="13"/>
      <c r="E257" s="57">
        <v>106</v>
      </c>
      <c r="F257" s="13"/>
      <c r="G257" s="43"/>
      <c r="H257" s="13">
        <v>14</v>
      </c>
      <c r="I257" s="13"/>
      <c r="J257" s="13"/>
      <c r="K257" s="41"/>
      <c r="L257" s="13"/>
      <c r="M257" s="44"/>
      <c r="N257" s="63">
        <v>153</v>
      </c>
      <c r="O257" s="67">
        <f t="shared" si="424"/>
        <v>0.00028709750056293625</v>
      </c>
      <c r="P257" s="3">
        <f>486353+46142+425</f>
        <v>532920</v>
      </c>
      <c r="Q257" s="68">
        <v>1562</v>
      </c>
      <c r="R257" s="67">
        <f t="shared" si="425"/>
        <v>0.1562156215621562</v>
      </c>
      <c r="S257" s="40">
        <v>9999</v>
      </c>
      <c r="T257" s="3">
        <v>180</v>
      </c>
      <c r="U257" s="7">
        <f t="shared" si="426"/>
        <v>0.4864864864864865</v>
      </c>
      <c r="V257" s="44">
        <v>370</v>
      </c>
      <c r="W257" s="63">
        <f t="shared" si="427"/>
        <v>1895</v>
      </c>
      <c r="X257" s="7">
        <f t="shared" si="428"/>
        <v>0.003488014666227367</v>
      </c>
      <c r="Y257" s="26">
        <f t="shared" si="429"/>
        <v>543289</v>
      </c>
      <c r="Z257" s="63">
        <v>1875</v>
      </c>
      <c r="AA257" s="13"/>
      <c r="AB257" s="13"/>
      <c r="AC257" s="42">
        <v>114</v>
      </c>
      <c r="AD257" s="13"/>
      <c r="AE257" s="43"/>
      <c r="AF257" s="13">
        <v>11</v>
      </c>
      <c r="AG257" s="13"/>
      <c r="AH257" s="44"/>
      <c r="AI257" s="41"/>
      <c r="AJ257" s="13"/>
      <c r="AK257" s="44"/>
      <c r="AL257" s="41"/>
      <c r="AM257" s="13"/>
      <c r="AN257" s="13"/>
      <c r="AO257" s="44"/>
      <c r="AP257" s="63">
        <v>4653</v>
      </c>
      <c r="AQ257" s="15"/>
      <c r="AR257" s="13"/>
      <c r="AS257" s="13"/>
      <c r="AT257" s="44"/>
      <c r="AU257" s="5"/>
      <c r="AV257" s="5"/>
      <c r="AW257" s="5"/>
      <c r="AX257" s="5"/>
    </row>
    <row r="258" spans="1:50" ht="12.75">
      <c r="A258" s="147">
        <v>37012</v>
      </c>
      <c r="B258" s="3">
        <v>65</v>
      </c>
      <c r="C258" s="13"/>
      <c r="D258" s="13"/>
      <c r="E258" s="57">
        <v>109</v>
      </c>
      <c r="F258" s="13"/>
      <c r="G258" s="43"/>
      <c r="H258" s="13">
        <v>11</v>
      </c>
      <c r="I258" s="13"/>
      <c r="J258" s="13"/>
      <c r="K258" s="41"/>
      <c r="L258" s="13"/>
      <c r="M258" s="44"/>
      <c r="N258" s="63">
        <v>163</v>
      </c>
      <c r="O258" s="67">
        <f t="shared" si="424"/>
        <v>0.00030597170418730725</v>
      </c>
      <c r="P258" s="3">
        <f>486390+45913+426</f>
        <v>532729</v>
      </c>
      <c r="Q258" s="68">
        <v>1575</v>
      </c>
      <c r="R258" s="67">
        <f t="shared" si="425"/>
        <v>0.1571072319201995</v>
      </c>
      <c r="S258" s="40">
        <v>10025</v>
      </c>
      <c r="T258" s="3">
        <v>165</v>
      </c>
      <c r="U258" s="7">
        <f t="shared" si="426"/>
        <v>0.45081967213114754</v>
      </c>
      <c r="V258" s="44">
        <v>366</v>
      </c>
      <c r="W258" s="63">
        <f t="shared" si="427"/>
        <v>1903</v>
      </c>
      <c r="X258" s="7">
        <f t="shared" si="428"/>
        <v>0.0035038297245544264</v>
      </c>
      <c r="Y258" s="26">
        <f t="shared" si="429"/>
        <v>543120</v>
      </c>
      <c r="Z258" s="63">
        <v>1863</v>
      </c>
      <c r="AA258" s="13"/>
      <c r="AB258" s="13"/>
      <c r="AC258" s="42">
        <v>115</v>
      </c>
      <c r="AD258" s="13"/>
      <c r="AE258" s="43"/>
      <c r="AF258" s="13">
        <v>11</v>
      </c>
      <c r="AG258" s="13"/>
      <c r="AH258" s="44"/>
      <c r="AI258" s="41"/>
      <c r="AJ258" s="13"/>
      <c r="AK258" s="44"/>
      <c r="AL258" s="41"/>
      <c r="AM258" s="13"/>
      <c r="AN258" s="13"/>
      <c r="AO258" s="44"/>
      <c r="AP258" s="63">
        <v>4085</v>
      </c>
      <c r="AQ258" s="15"/>
      <c r="AR258" s="13"/>
      <c r="AS258" s="13"/>
      <c r="AT258" s="44"/>
      <c r="AU258" s="5"/>
      <c r="AV258" s="5"/>
      <c r="AW258" s="5"/>
      <c r="AX258" s="5"/>
    </row>
    <row r="259" spans="1:50" ht="12.75">
      <c r="A259" s="147">
        <v>36982</v>
      </c>
      <c r="B259" s="3">
        <v>62</v>
      </c>
      <c r="C259" s="13"/>
      <c r="D259" s="13"/>
      <c r="E259" s="57">
        <v>98</v>
      </c>
      <c r="F259" s="13"/>
      <c r="G259" s="43"/>
      <c r="H259" s="13">
        <v>7</v>
      </c>
      <c r="I259" s="13"/>
      <c r="J259" s="13"/>
      <c r="K259" s="41"/>
      <c r="L259" s="13"/>
      <c r="M259" s="44"/>
      <c r="N259" s="63">
        <v>163</v>
      </c>
      <c r="O259" s="67">
        <f t="shared" si="424"/>
        <v>0.000306492949721994</v>
      </c>
      <c r="P259" s="3">
        <f>486283+45114+426</f>
        <v>531823</v>
      </c>
      <c r="Q259" s="68">
        <v>1527</v>
      </c>
      <c r="R259" s="67">
        <f t="shared" si="425"/>
        <v>0.1428972487366648</v>
      </c>
      <c r="S259" s="40">
        <v>10686</v>
      </c>
      <c r="T259" s="3">
        <v>164</v>
      </c>
      <c r="U259" s="7">
        <f t="shared" si="426"/>
        <v>0.44808743169398907</v>
      </c>
      <c r="V259" s="44">
        <v>366</v>
      </c>
      <c r="W259" s="63">
        <f t="shared" si="427"/>
        <v>1854</v>
      </c>
      <c r="X259" s="7">
        <f t="shared" si="428"/>
        <v>0.003415150817407322</v>
      </c>
      <c r="Y259" s="26">
        <f t="shared" si="429"/>
        <v>542875</v>
      </c>
      <c r="Z259" s="63">
        <v>1900</v>
      </c>
      <c r="AA259" s="13"/>
      <c r="AB259" s="13"/>
      <c r="AC259" s="42">
        <v>114</v>
      </c>
      <c r="AD259" s="13"/>
      <c r="AE259" s="43"/>
      <c r="AF259" s="13">
        <v>11</v>
      </c>
      <c r="AG259" s="13"/>
      <c r="AH259" s="44"/>
      <c r="AI259" s="41"/>
      <c r="AJ259" s="13"/>
      <c r="AK259" s="44"/>
      <c r="AL259" s="41"/>
      <c r="AM259" s="13"/>
      <c r="AN259" s="13"/>
      <c r="AO259" s="44"/>
      <c r="AP259" s="63">
        <v>4077</v>
      </c>
      <c r="AQ259" s="15"/>
      <c r="AR259" s="13"/>
      <c r="AS259" s="13"/>
      <c r="AT259" s="44"/>
      <c r="AU259" s="5"/>
      <c r="AV259" s="5"/>
      <c r="AW259" s="5"/>
      <c r="AX259" s="5"/>
    </row>
    <row r="260" spans="1:50" ht="12.75">
      <c r="A260" s="147">
        <v>36951</v>
      </c>
      <c r="B260" s="3">
        <v>42</v>
      </c>
      <c r="C260" s="13"/>
      <c r="D260" s="43"/>
      <c r="E260" s="57">
        <v>46</v>
      </c>
      <c r="F260" s="13"/>
      <c r="G260" s="43"/>
      <c r="H260" s="13">
        <v>6</v>
      </c>
      <c r="I260" s="13"/>
      <c r="J260" s="13"/>
      <c r="K260" s="41"/>
      <c r="L260" s="13"/>
      <c r="M260" s="44"/>
      <c r="N260" s="63">
        <v>142</v>
      </c>
      <c r="O260" s="67">
        <f t="shared" si="424"/>
        <v>0.0002671528095256909</v>
      </c>
      <c r="P260" s="3">
        <f>486080+45025+426</f>
        <v>531531</v>
      </c>
      <c r="Q260" s="68">
        <v>934</v>
      </c>
      <c r="R260" s="67">
        <f t="shared" si="425"/>
        <v>0.08715938783128033</v>
      </c>
      <c r="S260" s="40">
        <v>10716</v>
      </c>
      <c r="T260" s="3">
        <v>122</v>
      </c>
      <c r="U260" s="7">
        <f t="shared" si="426"/>
        <v>0.45692883895131087</v>
      </c>
      <c r="V260" s="44">
        <v>267</v>
      </c>
      <c r="W260" s="63">
        <f t="shared" si="427"/>
        <v>1198</v>
      </c>
      <c r="X260" s="7">
        <f t="shared" si="428"/>
        <v>0.002208237944089922</v>
      </c>
      <c r="Y260" s="26">
        <f t="shared" si="429"/>
        <v>542514</v>
      </c>
      <c r="Z260" s="63">
        <v>2022</v>
      </c>
      <c r="AA260" s="13"/>
      <c r="AB260" s="13"/>
      <c r="AC260" s="42">
        <v>114</v>
      </c>
      <c r="AD260" s="13"/>
      <c r="AE260" s="43"/>
      <c r="AF260" s="13">
        <v>11</v>
      </c>
      <c r="AG260" s="13"/>
      <c r="AH260" s="44"/>
      <c r="AI260" s="41"/>
      <c r="AJ260" s="13"/>
      <c r="AK260" s="44"/>
      <c r="AL260" s="41"/>
      <c r="AM260" s="13"/>
      <c r="AN260" s="13"/>
      <c r="AO260" s="44"/>
      <c r="AP260" s="63">
        <v>4046</v>
      </c>
      <c r="AQ260" s="15"/>
      <c r="AR260" s="13"/>
      <c r="AS260" s="13"/>
      <c r="AT260" s="44"/>
      <c r="AU260" s="5"/>
      <c r="AV260" s="5"/>
      <c r="AW260" s="5"/>
      <c r="AX260" s="5"/>
    </row>
    <row r="261" spans="1:50" ht="12.75">
      <c r="A261" s="147">
        <v>36923</v>
      </c>
      <c r="B261" s="3">
        <v>42</v>
      </c>
      <c r="C261" s="13"/>
      <c r="D261" s="13"/>
      <c r="E261" s="57">
        <v>46</v>
      </c>
      <c r="F261" s="13"/>
      <c r="G261" s="43"/>
      <c r="H261" s="13">
        <v>6</v>
      </c>
      <c r="I261" s="13"/>
      <c r="J261" s="13"/>
      <c r="K261" s="41"/>
      <c r="L261" s="13"/>
      <c r="M261" s="44"/>
      <c r="N261" s="63">
        <v>142</v>
      </c>
      <c r="O261" s="67">
        <f t="shared" si="424"/>
        <v>0.0002673182706390413</v>
      </c>
      <c r="P261" s="3">
        <f>485886+44893+423</f>
        <v>531202</v>
      </c>
      <c r="Q261" s="68">
        <v>949</v>
      </c>
      <c r="R261" s="67">
        <f t="shared" si="425"/>
        <v>0.08834481474585738</v>
      </c>
      <c r="S261" s="40">
        <v>10742</v>
      </c>
      <c r="T261" s="3">
        <v>119</v>
      </c>
      <c r="U261" s="7">
        <f t="shared" si="426"/>
        <v>0.3269230769230769</v>
      </c>
      <c r="V261" s="44">
        <v>364</v>
      </c>
      <c r="W261" s="63">
        <f t="shared" si="427"/>
        <v>1210</v>
      </c>
      <c r="X261" s="7">
        <f t="shared" si="428"/>
        <v>0.0022312044078272864</v>
      </c>
      <c r="Y261" s="26">
        <f t="shared" si="429"/>
        <v>542308</v>
      </c>
      <c r="Z261" s="63">
        <v>2037</v>
      </c>
      <c r="AA261" s="13"/>
      <c r="AB261" s="13"/>
      <c r="AC261" s="42">
        <v>115</v>
      </c>
      <c r="AD261" s="13"/>
      <c r="AE261" s="43"/>
      <c r="AF261" s="13">
        <v>11</v>
      </c>
      <c r="AG261" s="13"/>
      <c r="AH261" s="44"/>
      <c r="AI261" s="41"/>
      <c r="AJ261" s="13"/>
      <c r="AK261" s="44"/>
      <c r="AL261" s="41"/>
      <c r="AM261" s="13"/>
      <c r="AN261" s="13"/>
      <c r="AO261" s="44"/>
      <c r="AP261" s="63">
        <v>3451</v>
      </c>
      <c r="AQ261" s="15"/>
      <c r="AR261" s="13"/>
      <c r="AS261" s="13"/>
      <c r="AT261" s="44"/>
      <c r="AU261" s="5"/>
      <c r="AV261" s="5"/>
      <c r="AW261" s="5"/>
      <c r="AX261" s="5"/>
    </row>
    <row r="262" spans="1:50" ht="12.75">
      <c r="A262" s="147">
        <v>36892</v>
      </c>
      <c r="B262" s="3">
        <v>42</v>
      </c>
      <c r="C262" s="13"/>
      <c r="D262" s="13"/>
      <c r="E262" s="57">
        <v>46</v>
      </c>
      <c r="F262" s="13"/>
      <c r="G262" s="43"/>
      <c r="H262" s="13">
        <v>6</v>
      </c>
      <c r="I262" s="13"/>
      <c r="J262" s="13"/>
      <c r="K262" s="41"/>
      <c r="L262" s="13"/>
      <c r="M262" s="44"/>
      <c r="N262" s="63">
        <v>137</v>
      </c>
      <c r="O262" s="67">
        <f aca="true" t="shared" si="430" ref="O262:O269">N262/P262</f>
        <v>0.0002582255194668114</v>
      </c>
      <c r="P262" s="3">
        <f>485323+44803+418</f>
        <v>530544</v>
      </c>
      <c r="Q262" s="68">
        <v>945</v>
      </c>
      <c r="R262" s="67">
        <f aca="true" t="shared" si="431" ref="R262:R269">Q262/S262</f>
        <v>0.08806262230919765</v>
      </c>
      <c r="S262" s="40">
        <v>10731</v>
      </c>
      <c r="T262" s="3">
        <v>118</v>
      </c>
      <c r="U262" s="7">
        <f aca="true" t="shared" si="432" ref="U262:U269">T262/V262</f>
        <v>0.3277777777777778</v>
      </c>
      <c r="V262" s="44">
        <v>360</v>
      </c>
      <c r="W262" s="63">
        <f aca="true" t="shared" si="433" ref="W262:W269">+T262+Q262+N262</f>
        <v>1200</v>
      </c>
      <c r="X262" s="7">
        <f aca="true" t="shared" si="434" ref="X262:X269">W262/Y262</f>
        <v>0.0022155141377495917</v>
      </c>
      <c r="Y262" s="26">
        <f aca="true" t="shared" si="435" ref="Y262:Y269">+V262+S262+P262</f>
        <v>541635</v>
      </c>
      <c r="Z262" s="63">
        <v>1833</v>
      </c>
      <c r="AA262" s="13"/>
      <c r="AB262" s="13"/>
      <c r="AC262" s="42">
        <v>111</v>
      </c>
      <c r="AD262" s="13"/>
      <c r="AE262" s="43"/>
      <c r="AF262" s="13">
        <v>11</v>
      </c>
      <c r="AG262" s="13"/>
      <c r="AH262" s="44"/>
      <c r="AI262" s="41"/>
      <c r="AJ262" s="13"/>
      <c r="AK262" s="44"/>
      <c r="AL262" s="41"/>
      <c r="AM262" s="13"/>
      <c r="AN262" s="13"/>
      <c r="AO262" s="44"/>
      <c r="AP262" s="63">
        <v>3467</v>
      </c>
      <c r="AQ262" s="15"/>
      <c r="AR262" s="13"/>
      <c r="AS262" s="13"/>
      <c r="AT262" s="44"/>
      <c r="AU262" s="5"/>
      <c r="AV262" s="5"/>
      <c r="AW262" s="5"/>
      <c r="AX262" s="5"/>
    </row>
    <row r="263" spans="1:50" ht="12.75">
      <c r="A263" s="147">
        <v>36861</v>
      </c>
      <c r="B263" s="3">
        <v>37</v>
      </c>
      <c r="C263" s="13"/>
      <c r="D263" s="13"/>
      <c r="E263" s="57">
        <v>38</v>
      </c>
      <c r="F263" s="13"/>
      <c r="G263" s="43"/>
      <c r="H263" s="13">
        <v>7</v>
      </c>
      <c r="I263" s="13"/>
      <c r="J263" s="13"/>
      <c r="K263" s="41"/>
      <c r="L263" s="13"/>
      <c r="M263" s="44"/>
      <c r="N263" s="63">
        <v>129</v>
      </c>
      <c r="O263" s="67">
        <f t="shared" si="430"/>
        <v>0.00024359431915387797</v>
      </c>
      <c r="P263" s="3">
        <f>484489+44663+417</f>
        <v>529569</v>
      </c>
      <c r="Q263" s="68">
        <v>956</v>
      </c>
      <c r="R263" s="67">
        <f t="shared" si="431"/>
        <v>0.08918742420001866</v>
      </c>
      <c r="S263" s="40">
        <v>10719</v>
      </c>
      <c r="T263" s="3">
        <v>126</v>
      </c>
      <c r="U263" s="7">
        <f t="shared" si="432"/>
        <v>0.34615384615384615</v>
      </c>
      <c r="V263" s="44">
        <v>364</v>
      </c>
      <c r="W263" s="63">
        <f t="shared" si="433"/>
        <v>1211</v>
      </c>
      <c r="X263" s="7">
        <f t="shared" si="434"/>
        <v>0.0022398881350665493</v>
      </c>
      <c r="Y263" s="26">
        <f t="shared" si="435"/>
        <v>540652</v>
      </c>
      <c r="Z263" s="63">
        <v>1680</v>
      </c>
      <c r="AA263" s="13"/>
      <c r="AB263" s="13"/>
      <c r="AC263" s="42">
        <v>111</v>
      </c>
      <c r="AD263" s="13"/>
      <c r="AE263" s="43"/>
      <c r="AF263" s="13">
        <v>11</v>
      </c>
      <c r="AG263" s="13"/>
      <c r="AH263" s="44"/>
      <c r="AI263" s="41"/>
      <c r="AJ263" s="13"/>
      <c r="AK263" s="44"/>
      <c r="AL263" s="41"/>
      <c r="AM263" s="13"/>
      <c r="AN263" s="13"/>
      <c r="AO263" s="44"/>
      <c r="AP263" s="63">
        <v>3252</v>
      </c>
      <c r="AQ263" s="15"/>
      <c r="AR263" s="13"/>
      <c r="AS263" s="13"/>
      <c r="AT263" s="44"/>
      <c r="AU263" s="5"/>
      <c r="AV263" s="5"/>
      <c r="AW263" s="5"/>
      <c r="AX263" s="5"/>
    </row>
    <row r="264" spans="1:50" ht="12.75">
      <c r="A264" s="147">
        <v>36831</v>
      </c>
      <c r="B264" s="3">
        <v>36</v>
      </c>
      <c r="C264" s="13"/>
      <c r="D264" s="43"/>
      <c r="E264" s="57">
        <v>38</v>
      </c>
      <c r="F264" s="13"/>
      <c r="G264" s="43"/>
      <c r="H264" s="13">
        <v>7</v>
      </c>
      <c r="I264" s="13"/>
      <c r="J264" s="13"/>
      <c r="K264" s="41"/>
      <c r="L264" s="13"/>
      <c r="M264" s="44"/>
      <c r="N264" s="63">
        <v>110</v>
      </c>
      <c r="O264" s="67">
        <f t="shared" si="430"/>
        <v>0.00020827653064315794</v>
      </c>
      <c r="P264" s="3">
        <f>483191+44538+415</f>
        <v>528144</v>
      </c>
      <c r="Q264" s="68">
        <v>957</v>
      </c>
      <c r="R264" s="67">
        <f t="shared" si="431"/>
        <v>0.08877551020408163</v>
      </c>
      <c r="S264" s="40">
        <v>10780</v>
      </c>
      <c r="T264" s="3">
        <v>121</v>
      </c>
      <c r="U264" s="7">
        <f t="shared" si="432"/>
        <v>0.3333333333333333</v>
      </c>
      <c r="V264" s="44">
        <v>363</v>
      </c>
      <c r="W264" s="63">
        <f t="shared" si="433"/>
        <v>1188</v>
      </c>
      <c r="X264" s="7">
        <f t="shared" si="434"/>
        <v>0.002202908655317113</v>
      </c>
      <c r="Y264" s="26">
        <f t="shared" si="435"/>
        <v>539287</v>
      </c>
      <c r="Z264" s="63">
        <v>1644</v>
      </c>
      <c r="AA264" s="13"/>
      <c r="AB264" s="43"/>
      <c r="AC264" s="42">
        <v>110</v>
      </c>
      <c r="AD264" s="13"/>
      <c r="AE264" s="43"/>
      <c r="AF264" s="13">
        <v>11</v>
      </c>
      <c r="AG264" s="13"/>
      <c r="AH264" s="44"/>
      <c r="AI264" s="41"/>
      <c r="AJ264" s="13"/>
      <c r="AK264" s="44"/>
      <c r="AL264" s="41"/>
      <c r="AM264" s="13"/>
      <c r="AN264" s="13"/>
      <c r="AO264" s="44"/>
      <c r="AP264" s="63">
        <v>3089</v>
      </c>
      <c r="AQ264" s="15"/>
      <c r="AR264" s="13"/>
      <c r="AS264" s="13"/>
      <c r="AT264" s="44"/>
      <c r="AU264" s="5"/>
      <c r="AV264" s="5"/>
      <c r="AW264" s="5"/>
      <c r="AX264" s="5"/>
    </row>
    <row r="265" spans="1:50" ht="12.75">
      <c r="A265" s="147">
        <v>36800</v>
      </c>
      <c r="B265" s="3">
        <v>35</v>
      </c>
      <c r="C265" s="13"/>
      <c r="D265" s="43"/>
      <c r="E265" s="57">
        <v>39</v>
      </c>
      <c r="F265" s="13"/>
      <c r="G265" s="43"/>
      <c r="H265" s="13">
        <v>7</v>
      </c>
      <c r="I265" s="13"/>
      <c r="J265" s="13"/>
      <c r="K265" s="41"/>
      <c r="L265" s="13"/>
      <c r="M265" s="44"/>
      <c r="N265" s="63">
        <v>102</v>
      </c>
      <c r="O265" s="67">
        <f t="shared" si="430"/>
        <v>0.00019318437933836245</v>
      </c>
      <c r="P265" s="3">
        <f>483157+44423+413</f>
        <v>527993</v>
      </c>
      <c r="Q265" s="68">
        <v>808</v>
      </c>
      <c r="R265" s="67">
        <f t="shared" si="431"/>
        <v>0.07415565345080763</v>
      </c>
      <c r="S265" s="40">
        <v>10896</v>
      </c>
      <c r="T265" s="3">
        <v>118</v>
      </c>
      <c r="U265" s="7">
        <f t="shared" si="432"/>
        <v>0.325068870523416</v>
      </c>
      <c r="V265" s="44">
        <v>363</v>
      </c>
      <c r="W265" s="63">
        <f t="shared" si="433"/>
        <v>1028</v>
      </c>
      <c r="X265" s="7">
        <f t="shared" si="434"/>
        <v>0.0019063443436463843</v>
      </c>
      <c r="Y265" s="26">
        <f t="shared" si="435"/>
        <v>539252</v>
      </c>
      <c r="Z265" s="63">
        <v>1461</v>
      </c>
      <c r="AA265" s="13"/>
      <c r="AB265" s="43"/>
      <c r="AC265" s="42">
        <v>109</v>
      </c>
      <c r="AD265" s="13"/>
      <c r="AE265" s="43"/>
      <c r="AF265" s="13">
        <v>11</v>
      </c>
      <c r="AG265" s="13"/>
      <c r="AH265" s="44"/>
      <c r="AI265" s="41"/>
      <c r="AJ265" s="13"/>
      <c r="AK265" s="44"/>
      <c r="AL265" s="41"/>
      <c r="AM265" s="13"/>
      <c r="AN265" s="13"/>
      <c r="AO265" s="44"/>
      <c r="AP265" s="63">
        <v>3048</v>
      </c>
      <c r="AQ265" s="15"/>
      <c r="AR265" s="13"/>
      <c r="AS265" s="13"/>
      <c r="AT265" s="44"/>
      <c r="AU265" s="5"/>
      <c r="AV265" s="5"/>
      <c r="AW265" s="5"/>
      <c r="AX265" s="5"/>
    </row>
    <row r="266" spans="1:50" ht="12.75">
      <c r="A266" s="147">
        <v>36770</v>
      </c>
      <c r="B266" s="3"/>
      <c r="C266" s="13"/>
      <c r="D266" s="43"/>
      <c r="E266" s="57"/>
      <c r="F266" s="13"/>
      <c r="G266" s="43"/>
      <c r="H266" s="13"/>
      <c r="I266" s="13"/>
      <c r="J266" s="13"/>
      <c r="K266" s="41"/>
      <c r="L266" s="13"/>
      <c r="M266" s="44"/>
      <c r="N266" s="63">
        <v>40</v>
      </c>
      <c r="O266" s="67">
        <f t="shared" si="430"/>
        <v>7.590334468088336E-05</v>
      </c>
      <c r="P266" s="3">
        <f>482511+44062+413</f>
        <v>526986</v>
      </c>
      <c r="Q266" s="68">
        <v>425</v>
      </c>
      <c r="R266" s="67">
        <f t="shared" si="431"/>
        <v>0.03804153240243466</v>
      </c>
      <c r="S266" s="40">
        <v>11172</v>
      </c>
      <c r="T266" s="3">
        <v>98</v>
      </c>
      <c r="U266" s="7">
        <f t="shared" si="432"/>
        <v>0.2677595628415301</v>
      </c>
      <c r="V266" s="44">
        <v>366</v>
      </c>
      <c r="W266" s="63">
        <f t="shared" si="433"/>
        <v>563</v>
      </c>
      <c r="X266" s="7">
        <f t="shared" si="434"/>
        <v>0.0010454501563532915</v>
      </c>
      <c r="Y266" s="26">
        <f t="shared" si="435"/>
        <v>538524</v>
      </c>
      <c r="Z266" s="63"/>
      <c r="AA266" s="13"/>
      <c r="AB266" s="43"/>
      <c r="AC266" s="42"/>
      <c r="AD266" s="13"/>
      <c r="AE266" s="43"/>
      <c r="AF266" s="13"/>
      <c r="AG266" s="13"/>
      <c r="AH266" s="44"/>
      <c r="AI266" s="41"/>
      <c r="AJ266" s="13"/>
      <c r="AK266" s="44"/>
      <c r="AL266" s="41"/>
      <c r="AM266" s="13"/>
      <c r="AN266" s="13"/>
      <c r="AO266" s="44"/>
      <c r="AP266" s="63">
        <v>2694</v>
      </c>
      <c r="AQ266" s="15"/>
      <c r="AR266" s="13"/>
      <c r="AS266" s="13"/>
      <c r="AT266" s="44"/>
      <c r="AU266" s="5"/>
      <c r="AV266" s="5"/>
      <c r="AW266" s="5"/>
      <c r="AX266" s="5"/>
    </row>
    <row r="267" spans="1:50" ht="12.75">
      <c r="A267" s="147">
        <v>36739</v>
      </c>
      <c r="B267" s="3">
        <v>35</v>
      </c>
      <c r="C267" s="13"/>
      <c r="D267" s="43"/>
      <c r="E267" s="57">
        <v>29</v>
      </c>
      <c r="F267" s="13"/>
      <c r="G267" s="43"/>
      <c r="H267" s="13">
        <v>6</v>
      </c>
      <c r="I267" s="13"/>
      <c r="J267" s="13"/>
      <c r="K267" s="41"/>
      <c r="L267" s="13"/>
      <c r="M267" s="44"/>
      <c r="N267" s="63">
        <v>74</v>
      </c>
      <c r="O267" s="67">
        <f t="shared" si="430"/>
        <v>0.00014066676044450696</v>
      </c>
      <c r="P267" s="3">
        <f>481665+43988+413</f>
        <v>526066</v>
      </c>
      <c r="Q267" s="68">
        <v>420</v>
      </c>
      <c r="R267" s="67">
        <f t="shared" si="431"/>
        <v>0.03769182446378892</v>
      </c>
      <c r="S267" s="40">
        <v>11143</v>
      </c>
      <c r="T267" s="3">
        <v>98</v>
      </c>
      <c r="U267" s="7">
        <f t="shared" si="432"/>
        <v>0.266304347826087</v>
      </c>
      <c r="V267" s="44">
        <v>368</v>
      </c>
      <c r="W267" s="63">
        <f t="shared" si="433"/>
        <v>592</v>
      </c>
      <c r="X267" s="7">
        <f t="shared" si="434"/>
        <v>0.0011012375901498762</v>
      </c>
      <c r="Y267" s="26">
        <f t="shared" si="435"/>
        <v>537577</v>
      </c>
      <c r="Z267" s="63">
        <v>867</v>
      </c>
      <c r="AA267" s="13"/>
      <c r="AB267" s="43"/>
      <c r="AC267" s="42">
        <v>69</v>
      </c>
      <c r="AD267" s="13"/>
      <c r="AE267" s="43"/>
      <c r="AF267" s="13">
        <v>10</v>
      </c>
      <c r="AG267" s="13"/>
      <c r="AH267" s="44"/>
      <c r="AI267" s="41"/>
      <c r="AJ267" s="13"/>
      <c r="AK267" s="44"/>
      <c r="AL267" s="41"/>
      <c r="AM267" s="13"/>
      <c r="AN267" s="13"/>
      <c r="AO267" s="44"/>
      <c r="AP267" s="63">
        <v>1611</v>
      </c>
      <c r="AQ267" s="15"/>
      <c r="AR267" s="13"/>
      <c r="AS267" s="13"/>
      <c r="AT267" s="44"/>
      <c r="AU267" s="5"/>
      <c r="AV267" s="5"/>
      <c r="AW267" s="5"/>
      <c r="AX267" s="5"/>
    </row>
    <row r="268" spans="1:50" ht="12.75">
      <c r="A268" s="147">
        <v>36708</v>
      </c>
      <c r="B268" s="3"/>
      <c r="C268" s="13"/>
      <c r="D268" s="43"/>
      <c r="E268" s="52"/>
      <c r="F268" s="13"/>
      <c r="G268" s="43"/>
      <c r="H268" s="13"/>
      <c r="I268" s="13"/>
      <c r="J268" s="13"/>
      <c r="K268" s="41"/>
      <c r="L268" s="13"/>
      <c r="M268" s="44"/>
      <c r="N268" s="63">
        <v>70</v>
      </c>
      <c r="O268" s="67">
        <f t="shared" si="430"/>
        <v>0.0001329120653775462</v>
      </c>
      <c r="P268" s="3">
        <f>482344+43906+414</f>
        <v>526664</v>
      </c>
      <c r="Q268" s="68">
        <v>420</v>
      </c>
      <c r="R268" s="67">
        <f t="shared" si="431"/>
        <v>0.037678299093926615</v>
      </c>
      <c r="S268" s="40">
        <v>11147</v>
      </c>
      <c r="T268" s="3">
        <v>102</v>
      </c>
      <c r="U268" s="7">
        <f t="shared" si="432"/>
        <v>0.2749326145552561</v>
      </c>
      <c r="V268" s="44">
        <v>371</v>
      </c>
      <c r="W268" s="63">
        <f t="shared" si="433"/>
        <v>592</v>
      </c>
      <c r="X268" s="7">
        <f t="shared" si="434"/>
        <v>0.001099999628378504</v>
      </c>
      <c r="Y268" s="26">
        <f t="shared" si="435"/>
        <v>538182</v>
      </c>
      <c r="Z268" s="63">
        <v>536</v>
      </c>
      <c r="AA268" s="13"/>
      <c r="AB268" s="43"/>
      <c r="AC268" s="42">
        <v>63</v>
      </c>
      <c r="AD268" s="13"/>
      <c r="AE268" s="43"/>
      <c r="AF268" s="13">
        <v>3</v>
      </c>
      <c r="AG268" s="13"/>
      <c r="AH268" s="44"/>
      <c r="AI268" s="41"/>
      <c r="AJ268" s="13"/>
      <c r="AK268" s="44"/>
      <c r="AL268" s="41"/>
      <c r="AM268" s="13"/>
      <c r="AN268" s="13"/>
      <c r="AO268" s="44"/>
      <c r="AP268" s="63"/>
      <c r="AQ268" s="15"/>
      <c r="AR268" s="13"/>
      <c r="AS268" s="13"/>
      <c r="AT268" s="44"/>
      <c r="AU268" s="5"/>
      <c r="AV268" s="5"/>
      <c r="AW268" s="5"/>
      <c r="AX268" s="5"/>
    </row>
    <row r="269" spans="1:50" ht="13.5" thickBot="1">
      <c r="A269" s="148">
        <v>36678</v>
      </c>
      <c r="B269" s="3"/>
      <c r="C269" s="55"/>
      <c r="D269" s="62"/>
      <c r="E269" s="145"/>
      <c r="F269" s="55"/>
      <c r="G269" s="62"/>
      <c r="H269" s="55"/>
      <c r="I269" s="55"/>
      <c r="J269" s="55"/>
      <c r="K269" s="54"/>
      <c r="L269" s="55"/>
      <c r="M269" s="56"/>
      <c r="N269" s="109">
        <v>61</v>
      </c>
      <c r="O269" s="112">
        <f t="shared" si="430"/>
        <v>0.00011609229527789831</v>
      </c>
      <c r="P269" s="113">
        <f>481289+43742+413</f>
        <v>525444</v>
      </c>
      <c r="Q269" s="114">
        <v>412</v>
      </c>
      <c r="R269" s="112">
        <f t="shared" si="431"/>
        <v>0.037073697471429856</v>
      </c>
      <c r="S269" s="111">
        <v>11113</v>
      </c>
      <c r="T269" s="113">
        <v>99</v>
      </c>
      <c r="U269" s="108">
        <f t="shared" si="432"/>
        <v>0.2647058823529412</v>
      </c>
      <c r="V269" s="56">
        <v>374</v>
      </c>
      <c r="W269" s="109">
        <f t="shared" si="433"/>
        <v>572</v>
      </c>
      <c r="X269" s="108">
        <f t="shared" si="434"/>
        <v>0.0010653137926474724</v>
      </c>
      <c r="Y269" s="110">
        <f t="shared" si="435"/>
        <v>536931</v>
      </c>
      <c r="Z269" s="109"/>
      <c r="AA269" s="55"/>
      <c r="AB269" s="62"/>
      <c r="AC269" s="61"/>
      <c r="AD269" s="55"/>
      <c r="AE269" s="62"/>
      <c r="AF269" s="55"/>
      <c r="AG269" s="55"/>
      <c r="AH269" s="56"/>
      <c r="AI269" s="54"/>
      <c r="AJ269" s="55"/>
      <c r="AK269" s="56"/>
      <c r="AL269" s="54"/>
      <c r="AM269" s="55"/>
      <c r="AN269" s="55"/>
      <c r="AO269" s="56"/>
      <c r="AP269" s="109"/>
      <c r="AQ269" s="29"/>
      <c r="AR269" s="55"/>
      <c r="AS269" s="55"/>
      <c r="AT269" s="56"/>
      <c r="AU269" s="5"/>
      <c r="AV269" s="5"/>
      <c r="AW269" s="5"/>
      <c r="AX269" s="5"/>
    </row>
    <row r="270" spans="7:13" ht="12.75">
      <c r="G270" s="16"/>
      <c r="J270" s="16"/>
      <c r="K270" s="16"/>
      <c r="L270" s="16"/>
      <c r="M270" s="16"/>
    </row>
    <row r="271" spans="1:45" ht="15.75">
      <c r="A271" s="152"/>
      <c r="B271" s="153"/>
      <c r="C271" s="153"/>
      <c r="D271" s="153"/>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row>
    <row r="272" spans="1:45" ht="15">
      <c r="A272" s="153"/>
      <c r="B272" s="155"/>
      <c r="C272" s="155"/>
      <c r="D272" s="155"/>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row>
    <row r="273" spans="1:45" ht="15">
      <c r="A273" s="151"/>
      <c r="B273" s="102"/>
      <c r="C273" s="102"/>
      <c r="D273" s="102"/>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row>
    <row r="274" spans="1:45" ht="15">
      <c r="A274" s="151"/>
      <c r="B274" s="102"/>
      <c r="C274" s="102"/>
      <c r="D274" s="102"/>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row>
    <row r="275" spans="1:45" ht="15">
      <c r="A275" s="150"/>
      <c r="B275" s="102"/>
      <c r="C275" s="102"/>
      <c r="D275" s="102"/>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row>
    <row r="276" spans="2:45" ht="15">
      <c r="B276" s="98"/>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row>
  </sheetData>
  <sheetProtection/>
  <mergeCells count="19">
    <mergeCell ref="A2:A4"/>
    <mergeCell ref="Q3:S3"/>
    <mergeCell ref="N3:P3"/>
    <mergeCell ref="K3:M3"/>
    <mergeCell ref="H3:J3"/>
    <mergeCell ref="E3:G3"/>
    <mergeCell ref="B3:D3"/>
    <mergeCell ref="B2:M2"/>
    <mergeCell ref="N2:Y2"/>
    <mergeCell ref="W3:Y3"/>
    <mergeCell ref="T3:V3"/>
    <mergeCell ref="AL2:AT2"/>
    <mergeCell ref="AI3:AK3"/>
    <mergeCell ref="Z2:AK2"/>
    <mergeCell ref="Z3:AB3"/>
    <mergeCell ref="AC3:AE3"/>
    <mergeCell ref="AF3:AH3"/>
    <mergeCell ref="AQ3:AT3"/>
    <mergeCell ref="AL3:AO3"/>
  </mergeCells>
  <printOptions/>
  <pageMargins left="0.75" right="0.75" top="1" bottom="1" header="0.5" footer="0.5"/>
  <pageSetup horizontalDpi="600" verticalDpi="600" orientation="landscape" pageOrder="overThenDown" scale="63" r:id="rId3"/>
  <colBreaks count="3" manualBreakCount="3">
    <brk id="13" max="65535" man="1"/>
    <brk id="25" max="65535" man="1"/>
    <brk id="37" max="65535" man="1"/>
  </colBreaks>
  <ignoredErrors>
    <ignoredError sqref="L166:L202" formula="1"/>
  </ignoredErrors>
  <legacyDrawing r:id="rId2"/>
</worksheet>
</file>

<file path=xl/worksheets/sheet2.xml><?xml version="1.0" encoding="utf-8"?>
<worksheet xmlns="http://schemas.openxmlformats.org/spreadsheetml/2006/main" xmlns:r="http://schemas.openxmlformats.org/officeDocument/2006/relationships">
  <dimension ref="A1:AQ269"/>
  <sheetViews>
    <sheetView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O10" sqref="AO10:AO105"/>
    </sheetView>
  </sheetViews>
  <sheetFormatPr defaultColWidth="9.140625" defaultRowHeight="12.75"/>
  <cols>
    <col min="1" max="1" width="8.28125" style="0" customWidth="1"/>
    <col min="2" max="2" width="11.7109375" style="0" customWidth="1"/>
    <col min="3" max="3" width="15.7109375" style="0" customWidth="1"/>
    <col min="4" max="4" width="13.8515625" style="0" customWidth="1"/>
    <col min="5" max="5" width="11.7109375" style="0" customWidth="1"/>
    <col min="6" max="6" width="15.7109375" style="0" customWidth="1"/>
    <col min="7" max="7" width="11.57421875" style="0" customWidth="1"/>
    <col min="8" max="8" width="11.7109375" style="0" customWidth="1"/>
    <col min="9" max="9" width="15.7109375" style="0" customWidth="1"/>
    <col min="10" max="10" width="11.57421875" style="0" customWidth="1"/>
    <col min="11" max="11" width="15.7109375" style="0" customWidth="1"/>
    <col min="12" max="12" width="11.7109375" style="0" customWidth="1"/>
    <col min="13" max="13" width="15.8515625" style="0" customWidth="1"/>
    <col min="14" max="14" width="11.7109375" style="0" customWidth="1"/>
    <col min="15" max="15" width="15.7109375" style="0" customWidth="1"/>
    <col min="16" max="16" width="22.421875" style="0" customWidth="1"/>
    <col min="17" max="37" width="12.7109375" style="0" customWidth="1"/>
    <col min="38" max="38" width="9.421875" style="0" bestFit="1" customWidth="1"/>
    <col min="39" max="39" width="11.7109375" style="0" bestFit="1" customWidth="1"/>
    <col min="40" max="40" width="15.8515625" style="0" bestFit="1" customWidth="1"/>
    <col min="41" max="41" width="12.421875" style="0" bestFit="1" customWidth="1"/>
    <col min="42" max="42" width="8.7109375" style="0" customWidth="1"/>
    <col min="43" max="43" width="8.00390625" style="0" customWidth="1"/>
    <col min="44" max="44" width="16.140625" style="0" bestFit="1" customWidth="1"/>
    <col min="45" max="45" width="8.7109375" style="0" customWidth="1"/>
    <col min="46" max="46" width="10.421875" style="0" customWidth="1"/>
  </cols>
  <sheetData>
    <row r="1" spans="1:39" ht="15">
      <c r="A1" s="149" t="s">
        <v>11</v>
      </c>
      <c r="C1" s="101"/>
      <c r="D1" s="102"/>
      <c r="E1" s="102"/>
      <c r="F1" s="102"/>
      <c r="G1" s="96"/>
      <c r="H1" s="96"/>
      <c r="I1" s="96"/>
      <c r="J1" s="96"/>
      <c r="K1" s="96"/>
      <c r="L1" s="96"/>
      <c r="M1" s="96"/>
      <c r="N1" s="183"/>
      <c r="O1" s="183"/>
      <c r="P1" s="183"/>
      <c r="Q1" s="183"/>
      <c r="R1" s="183"/>
      <c r="S1" s="183"/>
      <c r="T1" s="96"/>
      <c r="U1" s="96"/>
      <c r="V1" s="96"/>
      <c r="W1" s="96"/>
      <c r="X1" s="96"/>
      <c r="Y1" s="96"/>
      <c r="Z1" s="96"/>
      <c r="AA1" s="96"/>
      <c r="AB1" s="96"/>
      <c r="AC1" s="96"/>
      <c r="AD1" s="96"/>
      <c r="AE1" s="96"/>
      <c r="AF1" s="96"/>
      <c r="AG1" s="96"/>
      <c r="AH1" s="96"/>
      <c r="AI1" s="96"/>
      <c r="AJ1" s="96"/>
      <c r="AK1" s="96"/>
      <c r="AL1" s="96"/>
      <c r="AM1" s="96"/>
    </row>
    <row r="2" spans="1:39" ht="15.75" thickBot="1">
      <c r="A2" s="149" t="s">
        <v>41</v>
      </c>
      <c r="B2" s="97"/>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1:43" ht="19.5" thickBot="1" thickTop="1">
      <c r="A3" s="244" t="s">
        <v>0</v>
      </c>
      <c r="B3" s="214" t="s">
        <v>48</v>
      </c>
      <c r="C3" s="215"/>
      <c r="D3" s="215"/>
      <c r="E3" s="215"/>
      <c r="F3" s="215"/>
      <c r="G3" s="215"/>
      <c r="H3" s="215"/>
      <c r="I3" s="215"/>
      <c r="J3" s="215"/>
      <c r="K3" s="226"/>
      <c r="L3" s="226"/>
      <c r="M3" s="226"/>
      <c r="N3" s="214" t="s">
        <v>12</v>
      </c>
      <c r="O3" s="215"/>
      <c r="P3" s="215"/>
      <c r="Q3" s="215"/>
      <c r="R3" s="215"/>
      <c r="S3" s="215"/>
      <c r="T3" s="215"/>
      <c r="U3" s="215"/>
      <c r="V3" s="215"/>
      <c r="W3" s="226"/>
      <c r="X3" s="226"/>
      <c r="Y3" s="226"/>
      <c r="Z3" s="221" t="s">
        <v>49</v>
      </c>
      <c r="AA3" s="237"/>
      <c r="AB3" s="237"/>
      <c r="AC3" s="237"/>
      <c r="AD3" s="237"/>
      <c r="AE3" s="237"/>
      <c r="AF3" s="237"/>
      <c r="AG3" s="237"/>
      <c r="AH3" s="237"/>
      <c r="AI3" s="238"/>
      <c r="AJ3" s="238"/>
      <c r="AK3" s="239"/>
      <c r="AL3" s="240" t="s">
        <v>2</v>
      </c>
      <c r="AM3" s="241"/>
      <c r="AN3" s="241"/>
      <c r="AO3" s="241"/>
      <c r="AP3" s="241"/>
      <c r="AQ3" s="242"/>
    </row>
    <row r="4" spans="1:43" ht="12.75">
      <c r="A4" s="245"/>
      <c r="B4" s="218" t="s">
        <v>5</v>
      </c>
      <c r="C4" s="219"/>
      <c r="D4" s="219"/>
      <c r="E4" s="225" t="s">
        <v>6</v>
      </c>
      <c r="F4" s="219"/>
      <c r="G4" s="243"/>
      <c r="H4" s="219" t="s">
        <v>7</v>
      </c>
      <c r="I4" s="219"/>
      <c r="J4" s="220"/>
      <c r="K4" s="218" t="s">
        <v>50</v>
      </c>
      <c r="L4" s="219"/>
      <c r="M4" s="220"/>
      <c r="N4" s="218" t="s">
        <v>5</v>
      </c>
      <c r="O4" s="219"/>
      <c r="P4" s="219"/>
      <c r="Q4" s="225" t="s">
        <v>6</v>
      </c>
      <c r="R4" s="219"/>
      <c r="S4" s="243"/>
      <c r="T4" s="219" t="s">
        <v>7</v>
      </c>
      <c r="U4" s="219"/>
      <c r="V4" s="220"/>
      <c r="W4" s="218" t="s">
        <v>17</v>
      </c>
      <c r="X4" s="219"/>
      <c r="Y4" s="220"/>
      <c r="Z4" s="218" t="s">
        <v>5</v>
      </c>
      <c r="AA4" s="219"/>
      <c r="AB4" s="219"/>
      <c r="AC4" s="225" t="s">
        <v>6</v>
      </c>
      <c r="AD4" s="219"/>
      <c r="AE4" s="243"/>
      <c r="AF4" s="219" t="s">
        <v>7</v>
      </c>
      <c r="AG4" s="219"/>
      <c r="AH4" s="220"/>
      <c r="AI4" s="218" t="s">
        <v>51</v>
      </c>
      <c r="AJ4" s="226"/>
      <c r="AK4" s="220"/>
      <c r="AL4" s="90"/>
      <c r="AM4" s="15"/>
      <c r="AN4" s="15"/>
      <c r="AO4" s="15"/>
      <c r="AP4" s="15"/>
      <c r="AQ4" s="91"/>
    </row>
    <row r="5" spans="1:43" ht="24.75" customHeight="1">
      <c r="A5" s="246"/>
      <c r="B5" s="157" t="s">
        <v>13</v>
      </c>
      <c r="C5" s="158" t="s">
        <v>45</v>
      </c>
      <c r="D5" s="159" t="s">
        <v>43</v>
      </c>
      <c r="E5" s="158" t="s">
        <v>13</v>
      </c>
      <c r="F5" s="158" t="s">
        <v>45</v>
      </c>
      <c r="G5" s="179" t="s">
        <v>43</v>
      </c>
      <c r="H5" s="158" t="s">
        <v>13</v>
      </c>
      <c r="I5" s="158" t="s">
        <v>45</v>
      </c>
      <c r="J5" s="160" t="s">
        <v>43</v>
      </c>
      <c r="K5" s="157" t="s">
        <v>45</v>
      </c>
      <c r="L5" s="158" t="s">
        <v>13</v>
      </c>
      <c r="M5" s="158" t="s">
        <v>44</v>
      </c>
      <c r="N5" s="157" t="s">
        <v>13</v>
      </c>
      <c r="O5" s="160" t="s">
        <v>53</v>
      </c>
      <c r="P5" s="159" t="s">
        <v>43</v>
      </c>
      <c r="Q5" s="158" t="s">
        <v>13</v>
      </c>
      <c r="R5" s="160" t="s">
        <v>53</v>
      </c>
      <c r="S5" s="159" t="s">
        <v>43</v>
      </c>
      <c r="T5" s="13" t="s">
        <v>13</v>
      </c>
      <c r="U5" s="160" t="s">
        <v>53</v>
      </c>
      <c r="V5" s="160" t="s">
        <v>43</v>
      </c>
      <c r="W5" s="157" t="s">
        <v>16</v>
      </c>
      <c r="X5" s="158" t="s">
        <v>13</v>
      </c>
      <c r="Y5" s="158" t="s">
        <v>44</v>
      </c>
      <c r="Z5" s="157" t="s">
        <v>13</v>
      </c>
      <c r="AA5" s="158" t="s">
        <v>45</v>
      </c>
      <c r="AB5" s="159" t="s">
        <v>43</v>
      </c>
      <c r="AC5" s="158" t="s">
        <v>13</v>
      </c>
      <c r="AD5" s="158" t="s">
        <v>45</v>
      </c>
      <c r="AE5" s="179" t="s">
        <v>43</v>
      </c>
      <c r="AF5" s="13" t="s">
        <v>13</v>
      </c>
      <c r="AG5" s="158" t="s">
        <v>45</v>
      </c>
      <c r="AH5" s="160" t="s">
        <v>43</v>
      </c>
      <c r="AI5" s="157" t="s">
        <v>45</v>
      </c>
      <c r="AJ5" s="158" t="s">
        <v>13</v>
      </c>
      <c r="AK5" s="158" t="s">
        <v>44</v>
      </c>
      <c r="AL5" s="161" t="s">
        <v>18</v>
      </c>
      <c r="AM5" s="158" t="s">
        <v>13</v>
      </c>
      <c r="AN5" s="158" t="s">
        <v>44</v>
      </c>
      <c r="AO5" s="158" t="s">
        <v>19</v>
      </c>
      <c r="AP5" s="158" t="s">
        <v>20</v>
      </c>
      <c r="AQ5" s="162" t="s">
        <v>21</v>
      </c>
    </row>
    <row r="6" spans="1:43" ht="5.25" customHeight="1">
      <c r="A6" s="177"/>
      <c r="B6" s="25"/>
      <c r="C6" s="13"/>
      <c r="D6" s="185"/>
      <c r="E6" s="25"/>
      <c r="F6" s="13"/>
      <c r="G6" s="185"/>
      <c r="H6" s="25"/>
      <c r="I6" s="13"/>
      <c r="J6" s="185"/>
      <c r="K6" s="63"/>
      <c r="L6" s="7"/>
      <c r="M6" s="26"/>
      <c r="N6" s="45"/>
      <c r="O6" s="3"/>
      <c r="P6" s="174"/>
      <c r="Q6" s="39"/>
      <c r="R6" s="3"/>
      <c r="S6" s="3"/>
      <c r="T6" s="39"/>
      <c r="U6" s="3"/>
      <c r="V6" s="3"/>
      <c r="W6" s="63"/>
      <c r="X6" s="7"/>
      <c r="Y6" s="24"/>
      <c r="Z6" s="25"/>
      <c r="AA6" s="3"/>
      <c r="AB6" s="3"/>
      <c r="AC6" s="39"/>
      <c r="AD6" s="3"/>
      <c r="AE6" s="3"/>
      <c r="AF6" s="39"/>
      <c r="AG6" s="3"/>
      <c r="AH6" s="3"/>
      <c r="AI6" s="63"/>
      <c r="AJ6" s="7"/>
      <c r="AK6" s="26"/>
      <c r="AL6" s="93"/>
      <c r="AM6" s="7"/>
      <c r="AN6" s="3"/>
      <c r="AO6" s="7"/>
      <c r="AP6" s="7"/>
      <c r="AQ6" s="94"/>
    </row>
    <row r="7" spans="1:43" ht="36.75" customHeight="1">
      <c r="A7" s="177"/>
      <c r="B7" s="25"/>
      <c r="C7" s="13"/>
      <c r="D7" s="185"/>
      <c r="E7" s="25"/>
      <c r="F7" s="13"/>
      <c r="G7" s="185"/>
      <c r="H7" s="25"/>
      <c r="I7" s="13"/>
      <c r="J7" s="185"/>
      <c r="K7" s="63"/>
      <c r="L7" s="7"/>
      <c r="M7" s="26"/>
      <c r="N7" s="45"/>
      <c r="O7" s="3"/>
      <c r="P7" s="174"/>
      <c r="Q7" s="39"/>
      <c r="R7" s="3"/>
      <c r="S7" s="3"/>
      <c r="T7" s="39"/>
      <c r="U7" s="3"/>
      <c r="V7" s="3"/>
      <c r="W7" s="63"/>
      <c r="X7" s="7"/>
      <c r="Y7" s="24"/>
      <c r="Z7" s="25"/>
      <c r="AA7" s="3"/>
      <c r="AB7" s="3"/>
      <c r="AC7" s="39"/>
      <c r="AD7" s="3"/>
      <c r="AE7" s="3"/>
      <c r="AF7" s="39"/>
      <c r="AG7" s="3"/>
      <c r="AH7" s="3"/>
      <c r="AI7" s="63"/>
      <c r="AJ7" s="7"/>
      <c r="AK7" s="26"/>
      <c r="AL7" s="93"/>
      <c r="AM7" s="7"/>
      <c r="AN7" s="3"/>
      <c r="AO7" s="7"/>
      <c r="AP7" s="7"/>
      <c r="AQ7" s="94"/>
    </row>
    <row r="8" spans="1:43" ht="36.75" customHeight="1">
      <c r="A8" s="177"/>
      <c r="B8" s="25"/>
      <c r="C8" s="13"/>
      <c r="D8" s="185"/>
      <c r="E8" s="25"/>
      <c r="F8" s="13"/>
      <c r="G8" s="185"/>
      <c r="H8" s="25"/>
      <c r="I8" s="13"/>
      <c r="J8" s="185"/>
      <c r="K8" s="63"/>
      <c r="L8" s="7"/>
      <c r="M8" s="26"/>
      <c r="N8" s="45"/>
      <c r="O8" s="3"/>
      <c r="P8" s="174"/>
      <c r="Q8" s="39"/>
      <c r="R8" s="3"/>
      <c r="S8" s="3"/>
      <c r="T8" s="39"/>
      <c r="U8" s="3"/>
      <c r="V8" s="3"/>
      <c r="W8" s="63"/>
      <c r="X8" s="7"/>
      <c r="Y8" s="24"/>
      <c r="Z8" s="25"/>
      <c r="AA8" s="3"/>
      <c r="AB8" s="3"/>
      <c r="AC8" s="39"/>
      <c r="AD8" s="3"/>
      <c r="AE8" s="3"/>
      <c r="AF8" s="39"/>
      <c r="AG8" s="3"/>
      <c r="AH8" s="3"/>
      <c r="AI8" s="63"/>
      <c r="AJ8" s="7"/>
      <c r="AK8" s="26"/>
      <c r="AL8" s="93"/>
      <c r="AM8" s="7"/>
      <c r="AN8" s="3"/>
      <c r="AO8" s="7"/>
      <c r="AP8" s="7"/>
      <c r="AQ8" s="94"/>
    </row>
    <row r="9" spans="1:43" ht="36.75" customHeight="1">
      <c r="A9" s="177"/>
      <c r="B9" s="25"/>
      <c r="C9" s="13"/>
      <c r="D9" s="185"/>
      <c r="E9" s="25"/>
      <c r="F9" s="13"/>
      <c r="G9" s="185"/>
      <c r="H9" s="25"/>
      <c r="I9" s="13"/>
      <c r="J9" s="185"/>
      <c r="K9" s="63"/>
      <c r="L9" s="7"/>
      <c r="M9" s="26"/>
      <c r="N9" s="45"/>
      <c r="O9" s="3"/>
      <c r="P9" s="174"/>
      <c r="Q9" s="39"/>
      <c r="R9" s="3"/>
      <c r="S9" s="3"/>
      <c r="T9" s="39"/>
      <c r="U9" s="3"/>
      <c r="V9" s="3"/>
      <c r="W9" s="63"/>
      <c r="X9" s="7"/>
      <c r="Y9" s="24"/>
      <c r="Z9" s="25"/>
      <c r="AA9" s="3"/>
      <c r="AB9" s="3"/>
      <c r="AC9" s="39"/>
      <c r="AD9" s="3"/>
      <c r="AE9" s="3"/>
      <c r="AF9" s="39"/>
      <c r="AG9" s="3"/>
      <c r="AH9" s="3"/>
      <c r="AI9" s="63"/>
      <c r="AJ9" s="7"/>
      <c r="AK9" s="26"/>
      <c r="AL9" s="93">
        <f>+AI9+W9+K9</f>
        <v>0</v>
      </c>
      <c r="AM9" s="7" t="e">
        <f>AL9/AN9</f>
        <v>#DIV/0!</v>
      </c>
      <c r="AN9" s="3">
        <f>+AK9+Y9+M9</f>
        <v>0</v>
      </c>
      <c r="AO9" s="7" t="e">
        <f>(+AA9+O9+C9)/(D9+P9+AB9)</f>
        <v>#DIV/0!</v>
      </c>
      <c r="AP9" s="7" t="e">
        <f>(+AD9+R9+F9)/(G9+S9+AE9)</f>
        <v>#DIV/0!</v>
      </c>
      <c r="AQ9" s="94" t="e">
        <f>(AG9+U9+I9)/(AH9+V9+J9)</f>
        <v>#DIV/0!</v>
      </c>
    </row>
    <row r="10" spans="1:43" ht="36.75" customHeight="1">
      <c r="A10" s="177">
        <v>44561</v>
      </c>
      <c r="B10" s="25">
        <v>0.093</v>
      </c>
      <c r="C10" s="13">
        <v>237</v>
      </c>
      <c r="D10" s="174">
        <v>2561</v>
      </c>
      <c r="E10" s="25">
        <v>0.671</v>
      </c>
      <c r="F10" s="13">
        <v>741</v>
      </c>
      <c r="G10" s="174">
        <v>1105</v>
      </c>
      <c r="H10" s="25">
        <v>0.918</v>
      </c>
      <c r="I10" s="13">
        <v>280</v>
      </c>
      <c r="J10" s="185">
        <v>305</v>
      </c>
      <c r="K10" s="63">
        <v>1259</v>
      </c>
      <c r="L10" s="7">
        <v>0.317</v>
      </c>
      <c r="M10" s="26">
        <v>3971</v>
      </c>
      <c r="N10" s="45">
        <v>0.12080513623118361</v>
      </c>
      <c r="O10" s="3">
        <v>1779.2608387096773</v>
      </c>
      <c r="P10" s="174">
        <v>14728.354225806452</v>
      </c>
      <c r="Q10" s="39">
        <v>0.6246216041871605</v>
      </c>
      <c r="R10" s="3">
        <v>3517.4957741935486</v>
      </c>
      <c r="S10" s="3">
        <v>5631.402677419355</v>
      </c>
      <c r="T10" s="39">
        <v>0.9715795886456312</v>
      </c>
      <c r="U10" s="3">
        <v>6836.3334516129025</v>
      </c>
      <c r="V10" s="3">
        <v>7036.3082258064505</v>
      </c>
      <c r="W10" s="63">
        <v>12133.090064516127</v>
      </c>
      <c r="X10" s="7">
        <v>0.4428771068900112</v>
      </c>
      <c r="Y10" s="24">
        <v>27396.065129032257</v>
      </c>
      <c r="Z10" s="25">
        <v>0.031</v>
      </c>
      <c r="AA10" s="3">
        <v>30</v>
      </c>
      <c r="AB10" s="3">
        <v>957</v>
      </c>
      <c r="AC10" s="39">
        <v>0.46</v>
      </c>
      <c r="AD10" s="3">
        <v>97</v>
      </c>
      <c r="AE10" s="3">
        <v>211</v>
      </c>
      <c r="AF10" s="39">
        <v>0.93</v>
      </c>
      <c r="AG10" s="3">
        <v>183</v>
      </c>
      <c r="AH10" s="3">
        <v>197</v>
      </c>
      <c r="AI10" s="63">
        <v>310</v>
      </c>
      <c r="AJ10" s="7">
        <v>0.227</v>
      </c>
      <c r="AK10" s="26">
        <v>1365</v>
      </c>
      <c r="AL10" s="93">
        <f>+AI10+W10+K10</f>
        <v>13702.090064516127</v>
      </c>
      <c r="AM10" s="7">
        <f>AL10/AN10</f>
        <v>0.4186136747101492</v>
      </c>
      <c r="AN10" s="3">
        <f>+AK10+Y10+M10</f>
        <v>32732.065129032257</v>
      </c>
      <c r="AO10" s="7">
        <f>(+AA10+O10+C10)/(D10+P10+AB10)</f>
        <v>0.11214628486251679</v>
      </c>
      <c r="AP10" s="7">
        <f>(+AD10+R10+F10)/(G10+S10+AE10)</f>
        <v>0.6269243307790269</v>
      </c>
      <c r="AQ10" s="94">
        <f>(AG10+U10+I10)/(AH10+V10+J10)</f>
        <v>0.9682986199243687</v>
      </c>
    </row>
    <row r="11" spans="1:43" ht="36.75" customHeight="1">
      <c r="A11" s="177">
        <v>44530</v>
      </c>
      <c r="B11" s="25">
        <v>0.09912388675693289</v>
      </c>
      <c r="C11" s="13">
        <v>195.57142857142858</v>
      </c>
      <c r="D11" s="174">
        <v>1973</v>
      </c>
      <c r="E11" s="25">
        <v>0.682</v>
      </c>
      <c r="F11" s="13">
        <v>682</v>
      </c>
      <c r="G11" s="174">
        <v>1000</v>
      </c>
      <c r="H11" s="25">
        <v>0.9290017211703959</v>
      </c>
      <c r="I11" s="13">
        <v>308.42857142857144</v>
      </c>
      <c r="J11" s="185">
        <v>332</v>
      </c>
      <c r="K11" s="63">
        <v>1186</v>
      </c>
      <c r="L11" s="7">
        <v>0.3588502269288956</v>
      </c>
      <c r="M11" s="26">
        <v>3305</v>
      </c>
      <c r="N11" s="45">
        <v>0.1245249541268968</v>
      </c>
      <c r="O11" s="3">
        <v>1371.7087</v>
      </c>
      <c r="P11" s="174">
        <v>11015.532666666666</v>
      </c>
      <c r="Q11" s="39">
        <v>0.6298452954409101</v>
      </c>
      <c r="R11" s="3">
        <v>3139.9583666666667</v>
      </c>
      <c r="S11" s="3">
        <v>4985.2851</v>
      </c>
      <c r="T11" s="39">
        <v>0.9671684403640746</v>
      </c>
      <c r="U11" s="3">
        <v>6311.487166666667</v>
      </c>
      <c r="V11" s="3">
        <v>6525.7373</v>
      </c>
      <c r="W11" s="63">
        <v>10823.154233333335</v>
      </c>
      <c r="X11" s="7">
        <v>0.480462023656193</v>
      </c>
      <c r="Y11" s="24">
        <v>22526.555066666668</v>
      </c>
      <c r="Z11" s="25">
        <v>0.0247425438009897</v>
      </c>
      <c r="AA11" s="3">
        <v>18.5</v>
      </c>
      <c r="AB11" s="3">
        <v>747.7</v>
      </c>
      <c r="AC11" s="39">
        <v>0.501944867241671</v>
      </c>
      <c r="AD11" s="3">
        <v>98.93333333333334</v>
      </c>
      <c r="AE11" s="3">
        <v>197.1</v>
      </c>
      <c r="AF11" s="39">
        <v>1</v>
      </c>
      <c r="AG11" s="3">
        <v>67.53333333333333</v>
      </c>
      <c r="AH11" s="3">
        <v>67.53333333333333</v>
      </c>
      <c r="AI11" s="63">
        <v>184.96666666666667</v>
      </c>
      <c r="AJ11" s="7">
        <v>0.18271320381955877</v>
      </c>
      <c r="AK11" s="26">
        <v>1012.3333333333334</v>
      </c>
      <c r="AL11" s="93">
        <f>+AI11+W11+K11</f>
        <v>12194.120900000002</v>
      </c>
      <c r="AM11" s="7">
        <f>AL11/AN11</f>
        <v>0.45426060182845945</v>
      </c>
      <c r="AN11" s="3">
        <f>+AK11+Y11+M11</f>
        <v>26843.8884</v>
      </c>
      <c r="AO11" s="7">
        <f>(+AA11+O11+C11)/(D11+P11+AB11)</f>
        <v>0.11544505448132056</v>
      </c>
      <c r="AP11" s="7">
        <f>(+AD11+R11+F11)/(G11+S11+AE11)</f>
        <v>0.6342037315016174</v>
      </c>
      <c r="AQ11" s="94">
        <f>(AG11+U11+I11)/(AH11+V11+J11)</f>
        <v>0.9656588782595648</v>
      </c>
    </row>
    <row r="12" spans="1:43" ht="36.75" customHeight="1">
      <c r="A12" s="177">
        <v>44500</v>
      </c>
      <c r="B12" s="25">
        <v>0.1001621462264151</v>
      </c>
      <c r="C12" s="13">
        <v>194.14285714285714</v>
      </c>
      <c r="D12" s="174">
        <v>1938.2857142857142</v>
      </c>
      <c r="E12" s="25">
        <v>0.6779661016949152</v>
      </c>
      <c r="F12" s="13">
        <v>714.2857142857143</v>
      </c>
      <c r="G12" s="174">
        <v>1053.5714285714287</v>
      </c>
      <c r="H12" s="25">
        <v>0.9329656342808655</v>
      </c>
      <c r="I12" s="13">
        <v>314.14285714285717</v>
      </c>
      <c r="J12" s="185">
        <v>336.7142857142857</v>
      </c>
      <c r="K12" s="63">
        <v>1222.5714285714287</v>
      </c>
      <c r="L12" s="7">
        <v>0.36729613733905586</v>
      </c>
      <c r="M12" s="26">
        <v>3328.5714285714284</v>
      </c>
      <c r="N12" s="45">
        <v>0.13199396769012</v>
      </c>
      <c r="O12" s="3">
        <v>1395.5496451612905</v>
      </c>
      <c r="P12" s="174">
        <v>10572.828967741936</v>
      </c>
      <c r="Q12" s="39">
        <v>0.6259761384761887</v>
      </c>
      <c r="R12" s="3">
        <v>3197.125129032258</v>
      </c>
      <c r="S12" s="3">
        <v>5107.423322580646</v>
      </c>
      <c r="T12" s="39">
        <v>0.9740129621029066</v>
      </c>
      <c r="U12" s="3">
        <v>6403.760419354839</v>
      </c>
      <c r="V12" s="3">
        <v>6574.615193548387</v>
      </c>
      <c r="W12" s="63">
        <v>10996.435193548386</v>
      </c>
      <c r="X12" s="7">
        <v>0.4941137124953883</v>
      </c>
      <c r="Y12" s="24">
        <v>22254.86748387097</v>
      </c>
      <c r="Z12" s="25">
        <v>0.03009304128707114</v>
      </c>
      <c r="AA12" s="3">
        <v>20.032258064516128</v>
      </c>
      <c r="AB12" s="3">
        <v>665.6774193548387</v>
      </c>
      <c r="AC12" s="39">
        <v>0.4909502262443439</v>
      </c>
      <c r="AD12" s="3">
        <v>84</v>
      </c>
      <c r="AE12" s="3">
        <v>171.09677419354838</v>
      </c>
      <c r="AF12" s="39">
        <v>0.9276125743415463</v>
      </c>
      <c r="AG12" s="3">
        <v>176.09677419354838</v>
      </c>
      <c r="AH12" s="3">
        <v>189.83870967741936</v>
      </c>
      <c r="AI12" s="63">
        <v>280.1290322580645</v>
      </c>
      <c r="AJ12" s="7">
        <v>0.27286724273369994</v>
      </c>
      <c r="AK12" s="26">
        <v>1026.6129032258063</v>
      </c>
      <c r="AL12" s="93">
        <f>+AI12+W12+K12</f>
        <v>12499.13565437788</v>
      </c>
      <c r="AM12" s="7">
        <f>AL12/AN12</f>
        <v>0.46971481833110496</v>
      </c>
      <c r="AN12" s="3">
        <f>+AK12+Y12+M12</f>
        <v>26610.051815668205</v>
      </c>
      <c r="AO12" s="7">
        <f>(+AA12+O12+C12)/(D12+P12+AB12)</f>
        <v>0.12216363041804187</v>
      </c>
      <c r="AP12" s="7">
        <f>(+AD12+R12+F12)/(G12+S12+AE12)</f>
        <v>0.6309780626709895</v>
      </c>
      <c r="AQ12" s="94">
        <f>(AG12+U12+I12)/(AH12+V12+J12)</f>
        <v>0.9708261890527382</v>
      </c>
    </row>
    <row r="13" spans="1:43" ht="36.75" customHeight="1">
      <c r="A13" s="177">
        <v>44469</v>
      </c>
      <c r="B13" s="25">
        <v>0.09763479430557113</v>
      </c>
      <c r="C13" s="13">
        <v>248.85714285714286</v>
      </c>
      <c r="D13" s="174">
        <v>2548.8571428571427</v>
      </c>
      <c r="E13" s="25">
        <v>0.6798341335661283</v>
      </c>
      <c r="F13" s="13">
        <v>890</v>
      </c>
      <c r="G13" s="174">
        <v>1309.142857142857</v>
      </c>
      <c r="H13" s="25">
        <v>0.8244944677603968</v>
      </c>
      <c r="I13" s="13">
        <v>308.7142857142857</v>
      </c>
      <c r="J13" s="185">
        <v>374.42857142857144</v>
      </c>
      <c r="K13" s="63">
        <v>1447.5714285714287</v>
      </c>
      <c r="L13" s="7">
        <v>0.3420191041954974</v>
      </c>
      <c r="M13" s="26">
        <v>4232.428571428571</v>
      </c>
      <c r="N13" s="45">
        <v>0.13023269910135965</v>
      </c>
      <c r="O13" s="3">
        <v>1831.8731666666667</v>
      </c>
      <c r="P13" s="174">
        <v>14066.153733333333</v>
      </c>
      <c r="Q13" s="39">
        <v>0.621929632083474</v>
      </c>
      <c r="R13" s="3">
        <v>4103.968566666667</v>
      </c>
      <c r="S13" s="3">
        <v>6598.766733333334</v>
      </c>
      <c r="T13" s="39">
        <v>0.9667200559603546</v>
      </c>
      <c r="U13" s="3">
        <v>6370.868233333334</v>
      </c>
      <c r="V13" s="3">
        <v>6590.1893666666665</v>
      </c>
      <c r="W13" s="63">
        <v>12306.709966666669</v>
      </c>
      <c r="X13" s="7">
        <v>0.4515377131819668</v>
      </c>
      <c r="Y13" s="24">
        <v>27255.109833333332</v>
      </c>
      <c r="Z13" s="25">
        <v>0.030680488212673464</v>
      </c>
      <c r="AA13" s="3">
        <v>24.466666666666665</v>
      </c>
      <c r="AB13" s="3">
        <v>797.4666666666667</v>
      </c>
      <c r="AC13" s="39">
        <v>0.5068904352571973</v>
      </c>
      <c r="AD13" s="3">
        <v>123.83333333333333</v>
      </c>
      <c r="AE13" s="3">
        <v>244.3</v>
      </c>
      <c r="AF13" s="39">
        <v>0.9913544668587896</v>
      </c>
      <c r="AG13" s="3">
        <v>298.1333333333333</v>
      </c>
      <c r="AH13" s="3">
        <v>300.73333333333335</v>
      </c>
      <c r="AI13" s="63">
        <v>446.4333333333333</v>
      </c>
      <c r="AJ13" s="7">
        <v>0.3325387957790192</v>
      </c>
      <c r="AK13" s="26">
        <v>1342.5</v>
      </c>
      <c r="AL13" s="93">
        <f aca="true" t="shared" si="0" ref="AL13:AL22">+AI13+W13+K13</f>
        <v>14200.71472857143</v>
      </c>
      <c r="AM13" s="7">
        <f aca="true" t="shared" si="1" ref="AM13:AM22">AL13/AN13</f>
        <v>0.43255248603399926</v>
      </c>
      <c r="AN13" s="3">
        <f aca="true" t="shared" si="2" ref="AN13:AN22">+AK13+Y13+M13</f>
        <v>32830.0384047619</v>
      </c>
      <c r="AO13" s="7">
        <f aca="true" t="shared" si="3" ref="AO13:AO22">(+AA13+O13+C13)/(D13+P13+AB13)</f>
        <v>0.12090163338381789</v>
      </c>
      <c r="AP13" s="7">
        <f aca="true" t="shared" si="4" ref="AP13:AP22">(+AD13+R13+F13)/(G13+S13+AE13)</f>
        <v>0.6277809522928441</v>
      </c>
      <c r="AQ13" s="94">
        <f aca="true" t="shared" si="5" ref="AQ13:AQ22">(AG13+U13+I13)/(AH13+V13+J13)</f>
        <v>0.9604099776732389</v>
      </c>
    </row>
    <row r="14" spans="1:43" ht="36.75" customHeight="1">
      <c r="A14" s="177">
        <v>44439</v>
      </c>
      <c r="B14" s="25">
        <v>0.098</v>
      </c>
      <c r="C14" s="13">
        <v>222</v>
      </c>
      <c r="D14" s="174">
        <v>2265</v>
      </c>
      <c r="E14" s="25">
        <v>0.674</v>
      </c>
      <c r="F14" s="13">
        <v>800</v>
      </c>
      <c r="G14" s="174">
        <v>1186</v>
      </c>
      <c r="H14" s="25">
        <v>0.92</v>
      </c>
      <c r="I14" s="13">
        <v>312</v>
      </c>
      <c r="J14" s="185">
        <v>339</v>
      </c>
      <c r="K14" s="63">
        <v>1333</v>
      </c>
      <c r="L14" s="7">
        <v>0.352</v>
      </c>
      <c r="M14" s="26">
        <v>3790</v>
      </c>
      <c r="N14" s="45">
        <v>0.13111283311964497</v>
      </c>
      <c r="O14" s="3">
        <v>1733.9497419354839</v>
      </c>
      <c r="P14" s="174">
        <v>13224.866709677419</v>
      </c>
      <c r="Q14" s="39">
        <v>0.6169659879524592</v>
      </c>
      <c r="R14" s="3">
        <v>3647.729387096774</v>
      </c>
      <c r="S14" s="3">
        <v>5912.367064516129</v>
      </c>
      <c r="T14" s="39">
        <v>0.9752692154303744</v>
      </c>
      <c r="U14" s="3">
        <v>7567.710612903226</v>
      </c>
      <c r="V14" s="3">
        <v>7759.611903225807</v>
      </c>
      <c r="W14" s="63">
        <v>12949.389741935483</v>
      </c>
      <c r="X14" s="7">
        <v>0.4814464081491479</v>
      </c>
      <c r="Y14" s="24">
        <v>26896.845677419355</v>
      </c>
      <c r="Z14" s="25">
        <v>0.029</v>
      </c>
      <c r="AA14" s="3">
        <v>18</v>
      </c>
      <c r="AB14" s="3">
        <v>613</v>
      </c>
      <c r="AC14" s="39">
        <v>0.821</v>
      </c>
      <c r="AD14" s="3">
        <v>104</v>
      </c>
      <c r="AE14" s="3">
        <v>126</v>
      </c>
      <c r="AF14" s="39">
        <v>0.995</v>
      </c>
      <c r="AG14" s="3">
        <v>395</v>
      </c>
      <c r="AH14" s="3">
        <v>397</v>
      </c>
      <c r="AI14" s="63">
        <v>516</v>
      </c>
      <c r="AJ14" s="7">
        <v>0.454</v>
      </c>
      <c r="AK14" s="26">
        <v>1136</v>
      </c>
      <c r="AL14" s="93">
        <f t="shared" si="0"/>
        <v>14798.389741935483</v>
      </c>
      <c r="AM14" s="7">
        <f t="shared" si="1"/>
        <v>0.4650240865302636</v>
      </c>
      <c r="AN14" s="3">
        <f t="shared" si="2"/>
        <v>31822.845677419355</v>
      </c>
      <c r="AO14" s="7">
        <f t="shared" si="3"/>
        <v>0.12258374720006777</v>
      </c>
      <c r="AP14" s="7">
        <f t="shared" si="4"/>
        <v>0.630052341810464</v>
      </c>
      <c r="AQ14" s="94">
        <f t="shared" si="5"/>
        <v>0.9739981895549272</v>
      </c>
    </row>
    <row r="15" spans="1:43" ht="28.5" customHeight="1">
      <c r="A15" s="177">
        <v>44378</v>
      </c>
      <c r="B15" s="25">
        <v>0.09976290351997082</v>
      </c>
      <c r="C15" s="13">
        <v>234.42857142857142</v>
      </c>
      <c r="D15" s="185">
        <v>2349.8571428571427</v>
      </c>
      <c r="E15" s="25">
        <v>0.6786006786006786</v>
      </c>
      <c r="F15" s="13">
        <v>828.5714285714286</v>
      </c>
      <c r="G15" s="185">
        <v>1221</v>
      </c>
      <c r="H15" s="25">
        <v>0.9244211446046309</v>
      </c>
      <c r="I15" s="13">
        <v>302.2857142857143</v>
      </c>
      <c r="J15" s="185">
        <v>327</v>
      </c>
      <c r="K15" s="63">
        <v>1365.2857142857142</v>
      </c>
      <c r="L15" s="7">
        <v>0.3502657137621404</v>
      </c>
      <c r="M15" s="26">
        <v>3897.8571428571427</v>
      </c>
      <c r="N15" s="45">
        <v>0.13130062108808838</v>
      </c>
      <c r="O15" s="3">
        <v>1813.3180322580645</v>
      </c>
      <c r="P15" s="174">
        <v>13810.429967741937</v>
      </c>
      <c r="Q15" s="39">
        <v>0.6265929381761212</v>
      </c>
      <c r="R15" s="3">
        <v>3905.9339032258067</v>
      </c>
      <c r="S15" s="3">
        <v>6233.6066451612905</v>
      </c>
      <c r="T15" s="39">
        <v>0.9693652080002934</v>
      </c>
      <c r="U15" s="3">
        <v>5581.986516129033</v>
      </c>
      <c r="V15" s="3">
        <v>5758.39370967742</v>
      </c>
      <c r="W15" s="63">
        <v>11301.238451612904</v>
      </c>
      <c r="X15" s="7">
        <v>0.43799123998497064</v>
      </c>
      <c r="Y15" s="24">
        <v>25802.430322580647</v>
      </c>
      <c r="Z15" s="25">
        <v>0.025577488671189537</v>
      </c>
      <c r="AA15" s="3">
        <v>18.5058064516129</v>
      </c>
      <c r="AB15" s="3">
        <v>723.5192903225807</v>
      </c>
      <c r="AC15" s="39">
        <v>0.5555640531882566</v>
      </c>
      <c r="AD15" s="3">
        <v>113.88545161290322</v>
      </c>
      <c r="AE15" s="3">
        <v>204.99067741935485</v>
      </c>
      <c r="AF15" s="39">
        <v>0.9209702653074157</v>
      </c>
      <c r="AG15" s="3">
        <v>412.12667741935485</v>
      </c>
      <c r="AH15" s="3">
        <v>447.4918387096774</v>
      </c>
      <c r="AI15" s="63">
        <v>544.5179354838709</v>
      </c>
      <c r="AJ15" s="7">
        <v>0.39572472429237243</v>
      </c>
      <c r="AK15" s="26">
        <v>1376.001806451613</v>
      </c>
      <c r="AL15" s="93">
        <f t="shared" si="0"/>
        <v>13211.042101382489</v>
      </c>
      <c r="AM15" s="7">
        <f t="shared" si="1"/>
        <v>0.4251164605206828</v>
      </c>
      <c r="AN15" s="3">
        <f t="shared" si="2"/>
        <v>31076.2892718894</v>
      </c>
      <c r="AO15" s="7">
        <f t="shared" si="3"/>
        <v>0.1223807215667585</v>
      </c>
      <c r="AP15" s="7">
        <f t="shared" si="4"/>
        <v>0.6329824635972684</v>
      </c>
      <c r="AQ15" s="94">
        <f t="shared" si="5"/>
        <v>0.9638005841673773</v>
      </c>
    </row>
    <row r="16" spans="1:43" ht="28.5" customHeight="1">
      <c r="A16" s="177">
        <v>44348</v>
      </c>
      <c r="B16" s="25">
        <v>0.10323110624315444</v>
      </c>
      <c r="C16" s="13">
        <v>215.42857142857142</v>
      </c>
      <c r="D16" s="185">
        <v>2086.8571428571427</v>
      </c>
      <c r="E16" s="25">
        <v>0.684123972169513</v>
      </c>
      <c r="F16" s="13">
        <v>772.5714285714286</v>
      </c>
      <c r="G16" s="185">
        <v>1129.2857142857142</v>
      </c>
      <c r="H16" s="25">
        <v>0.9251040221914008</v>
      </c>
      <c r="I16" s="51">
        <v>285.85714285714283</v>
      </c>
      <c r="J16" s="185">
        <v>309</v>
      </c>
      <c r="K16" s="63">
        <v>1273.857142857143</v>
      </c>
      <c r="L16" s="7">
        <v>0.3613632679526666</v>
      </c>
      <c r="M16" s="26">
        <v>3525.142857142857</v>
      </c>
      <c r="N16" s="45">
        <v>0.1325640782597937</v>
      </c>
      <c r="O16" s="3">
        <v>1593.0416</v>
      </c>
      <c r="P16" s="174">
        <v>12017.143866666669</v>
      </c>
      <c r="Q16" s="39">
        <v>0.6355864132187817</v>
      </c>
      <c r="R16" s="3">
        <v>3762.9760333333334</v>
      </c>
      <c r="S16" s="3">
        <v>5920.479033333333</v>
      </c>
      <c r="T16" s="39">
        <v>0.9794102216956263</v>
      </c>
      <c r="U16" s="3">
        <v>9296.388566666667</v>
      </c>
      <c r="V16" s="3">
        <v>9491.8231</v>
      </c>
      <c r="W16" s="63">
        <v>14652.4062</v>
      </c>
      <c r="X16" s="7">
        <v>0.5341852766548766</v>
      </c>
      <c r="Y16" s="24">
        <v>27429.446000000004</v>
      </c>
      <c r="Z16" s="25">
        <v>0.02559945668793333</v>
      </c>
      <c r="AA16" s="3">
        <v>17.130633333333332</v>
      </c>
      <c r="AB16" s="3">
        <v>669.1795666666668</v>
      </c>
      <c r="AC16" s="39">
        <v>0.5336321436020953</v>
      </c>
      <c r="AD16" s="3">
        <v>108.4729</v>
      </c>
      <c r="AE16" s="3">
        <v>203.2728</v>
      </c>
      <c r="AF16" s="39">
        <v>0.9907857596781284</v>
      </c>
      <c r="AG16" s="3">
        <v>472.0894666666666</v>
      </c>
      <c r="AH16" s="3">
        <v>476.4798666666666</v>
      </c>
      <c r="AI16" s="63">
        <v>597.693</v>
      </c>
      <c r="AJ16" s="7">
        <v>0.44308600923787445</v>
      </c>
      <c r="AK16" s="26">
        <v>1348.9322333333334</v>
      </c>
      <c r="AL16" s="93">
        <f t="shared" si="0"/>
        <v>16523.956342857142</v>
      </c>
      <c r="AM16" s="7">
        <f t="shared" si="1"/>
        <v>0.5115218336904077</v>
      </c>
      <c r="AN16" s="3">
        <f t="shared" si="2"/>
        <v>32303.52109047619</v>
      </c>
      <c r="AO16" s="7">
        <f t="shared" si="3"/>
        <v>0.12357533947051147</v>
      </c>
      <c r="AP16" s="7">
        <f t="shared" si="4"/>
        <v>0.6402862706024808</v>
      </c>
      <c r="AQ16" s="94">
        <f t="shared" si="5"/>
        <v>0.9783048343325712</v>
      </c>
    </row>
    <row r="17" spans="1:43" ht="28.5" customHeight="1">
      <c r="A17" s="177">
        <v>44317</v>
      </c>
      <c r="B17" s="25">
        <v>0.10418094585332419</v>
      </c>
      <c r="C17" s="13">
        <v>195.42857142857142</v>
      </c>
      <c r="D17" s="185">
        <v>1875.857142857143</v>
      </c>
      <c r="E17" s="25">
        <v>0.6848884229444362</v>
      </c>
      <c r="F17" s="13">
        <v>653.2857142857143</v>
      </c>
      <c r="G17" s="185">
        <v>953.8571428571429</v>
      </c>
      <c r="H17" s="25">
        <v>0.9273525109702584</v>
      </c>
      <c r="I17" s="51">
        <v>271.7142857142857</v>
      </c>
      <c r="J17" s="185">
        <v>293</v>
      </c>
      <c r="K17" s="63">
        <v>1120.4285714285716</v>
      </c>
      <c r="L17" s="7">
        <v>0.35879957912072835</v>
      </c>
      <c r="M17" s="26">
        <v>3122.714285714286</v>
      </c>
      <c r="N17" s="45">
        <v>0.13101061425027033</v>
      </c>
      <c r="O17" s="3">
        <v>1327.3023548387096</v>
      </c>
      <c r="P17" s="174">
        <v>10131.258161290323</v>
      </c>
      <c r="Q17" s="39">
        <v>0.642849447574426</v>
      </c>
      <c r="R17" s="3">
        <v>3020.4612258064512</v>
      </c>
      <c r="S17" s="3">
        <v>4698.551483870968</v>
      </c>
      <c r="T17" s="39">
        <v>0.973850716413905</v>
      </c>
      <c r="U17" s="3">
        <v>6579.834774193549</v>
      </c>
      <c r="V17" s="3">
        <v>6756.512741935484</v>
      </c>
      <c r="W17" s="63">
        <v>10927.598354838708</v>
      </c>
      <c r="X17" s="7">
        <v>0.5062278862920476</v>
      </c>
      <c r="Y17" s="24">
        <v>21586.322387096774</v>
      </c>
      <c r="Z17" s="25">
        <v>0.02551199513429912</v>
      </c>
      <c r="AA17" s="3">
        <v>17.216741935483874</v>
      </c>
      <c r="AB17" s="3">
        <v>674.8489032258066</v>
      </c>
      <c r="AC17" s="39">
        <v>0.48500233093910294</v>
      </c>
      <c r="AD17" s="3">
        <v>95.74651612903226</v>
      </c>
      <c r="AE17" s="3">
        <v>197.41454838709677</v>
      </c>
      <c r="AF17" s="39">
        <v>0.9960797036183338</v>
      </c>
      <c r="AG17" s="3">
        <v>368.23967741935485</v>
      </c>
      <c r="AH17" s="3">
        <v>369.68896774193547</v>
      </c>
      <c r="AI17" s="63">
        <v>481.202935483871</v>
      </c>
      <c r="AJ17" s="7">
        <v>0.38745682039400764</v>
      </c>
      <c r="AK17" s="26">
        <v>1241.9524193548386</v>
      </c>
      <c r="AL17" s="93">
        <f t="shared" si="0"/>
        <v>12529.229861751151</v>
      </c>
      <c r="AM17" s="7">
        <f t="shared" si="1"/>
        <v>0.482803557785529</v>
      </c>
      <c r="AN17" s="3">
        <f t="shared" si="2"/>
        <v>25950.9890921659</v>
      </c>
      <c r="AO17" s="7">
        <f t="shared" si="3"/>
        <v>0.1214281670427237</v>
      </c>
      <c r="AP17" s="7">
        <f t="shared" si="4"/>
        <v>0.64437733302032</v>
      </c>
      <c r="AQ17" s="94">
        <f t="shared" si="5"/>
        <v>0.9731220446412554</v>
      </c>
    </row>
    <row r="18" spans="1:43" ht="28.5" customHeight="1">
      <c r="A18" s="177">
        <v>44287</v>
      </c>
      <c r="B18" s="25">
        <v>0.10187027457222443</v>
      </c>
      <c r="C18" s="13">
        <v>219.42857142857142</v>
      </c>
      <c r="D18" s="185">
        <v>2154</v>
      </c>
      <c r="E18" s="25">
        <v>0.6869676320272573</v>
      </c>
      <c r="F18" s="13">
        <v>691.2857142857143</v>
      </c>
      <c r="G18" s="185">
        <v>1006.2857142857143</v>
      </c>
      <c r="H18" s="25">
        <v>0.9189794091316024</v>
      </c>
      <c r="I18" s="51">
        <v>293.2857142857143</v>
      </c>
      <c r="J18" s="185">
        <v>319.14285714285717</v>
      </c>
      <c r="K18" s="63">
        <v>1204</v>
      </c>
      <c r="L18" s="7">
        <v>0.3460338314994252</v>
      </c>
      <c r="M18" s="26">
        <v>3479.4285714285716</v>
      </c>
      <c r="N18" s="45">
        <v>0.12909820368693478</v>
      </c>
      <c r="O18" s="3">
        <v>1609.0484333333334</v>
      </c>
      <c r="P18" s="174">
        <v>12463.7554</v>
      </c>
      <c r="Q18" s="39">
        <v>0.6523870594914156</v>
      </c>
      <c r="R18" s="3">
        <v>3449.997066666667</v>
      </c>
      <c r="S18" s="3">
        <v>5288.2671666666665</v>
      </c>
      <c r="T18" s="39">
        <v>0.9629448049059933</v>
      </c>
      <c r="U18" s="3">
        <v>5049.9517000000005</v>
      </c>
      <c r="V18" s="3">
        <v>5244.279500000001</v>
      </c>
      <c r="W18" s="63">
        <v>10108.997200000002</v>
      </c>
      <c r="X18" s="7">
        <v>0.43959229491306245</v>
      </c>
      <c r="Y18" s="24">
        <v>22996.302066666667</v>
      </c>
      <c r="Z18" s="25">
        <v>0.0250835884702731</v>
      </c>
      <c r="AA18" s="3">
        <v>20.1099</v>
      </c>
      <c r="AB18" s="3">
        <v>801.7154333333333</v>
      </c>
      <c r="AC18" s="39">
        <v>0.4832770461688368</v>
      </c>
      <c r="AD18" s="3">
        <v>104.48586666666667</v>
      </c>
      <c r="AE18" s="3">
        <v>216.20283333333333</v>
      </c>
      <c r="AF18" s="39">
        <v>0.9945002314658106</v>
      </c>
      <c r="AG18" s="3">
        <v>423.56643333333335</v>
      </c>
      <c r="AH18" s="3">
        <v>425.90883333333335</v>
      </c>
      <c r="AI18" s="63">
        <v>548.1622000000001</v>
      </c>
      <c r="AJ18" s="7">
        <v>0.3796591711015814</v>
      </c>
      <c r="AK18" s="26">
        <v>1443.8271</v>
      </c>
      <c r="AL18" s="93">
        <f t="shared" si="0"/>
        <v>11861.159400000002</v>
      </c>
      <c r="AM18" s="7">
        <f t="shared" si="1"/>
        <v>0.42483335557338986</v>
      </c>
      <c r="AN18" s="3">
        <f t="shared" si="2"/>
        <v>27919.557738095238</v>
      </c>
      <c r="AO18" s="7">
        <f t="shared" si="3"/>
        <v>0.11988653337997092</v>
      </c>
      <c r="AP18" s="7">
        <f t="shared" si="4"/>
        <v>0.6521161035581635</v>
      </c>
      <c r="AQ18" s="94">
        <f t="shared" si="5"/>
        <v>0.9628460447785908</v>
      </c>
    </row>
    <row r="19" spans="1:43" ht="28.5" customHeight="1">
      <c r="A19" s="177">
        <v>44256</v>
      </c>
      <c r="B19" s="25">
        <v>0.09774475432996702</v>
      </c>
      <c r="C19" s="13">
        <v>266.85714285714283</v>
      </c>
      <c r="D19" s="185">
        <v>2730.1428571428573</v>
      </c>
      <c r="E19" s="25">
        <v>0.6840950167828556</v>
      </c>
      <c r="F19" s="13">
        <v>757</v>
      </c>
      <c r="G19" s="185">
        <v>1106.5714285714287</v>
      </c>
      <c r="H19" s="25">
        <v>0.9156265601597603</v>
      </c>
      <c r="I19" s="13">
        <v>262</v>
      </c>
      <c r="J19" s="185">
        <v>286.14285714285717</v>
      </c>
      <c r="K19" s="63">
        <v>1285.857142857143</v>
      </c>
      <c r="L19" s="7">
        <v>0.3118849618849619</v>
      </c>
      <c r="M19" s="26">
        <v>4122.857142857143</v>
      </c>
      <c r="N19" s="45">
        <v>0.12648345831377839</v>
      </c>
      <c r="O19" s="3">
        <v>1852.9298064516129</v>
      </c>
      <c r="P19" s="174">
        <v>14649.582096774195</v>
      </c>
      <c r="Q19" s="39">
        <v>0.6521552925416738</v>
      </c>
      <c r="R19" s="3">
        <v>3709.0042258064514</v>
      </c>
      <c r="S19" s="3">
        <v>5687.302193548387</v>
      </c>
      <c r="T19" s="39">
        <v>0.9730641187182395</v>
      </c>
      <c r="U19" s="3">
        <v>8419.91729032258</v>
      </c>
      <c r="V19" s="3">
        <v>8652.99329032258</v>
      </c>
      <c r="W19" s="63">
        <v>13981.851322580646</v>
      </c>
      <c r="X19" s="7">
        <v>0.4823011509339904</v>
      </c>
      <c r="Y19" s="24">
        <v>28989.87758064516</v>
      </c>
      <c r="Z19" s="25">
        <v>0.025207547010353798</v>
      </c>
      <c r="AA19" s="3">
        <v>21.552419354838708</v>
      </c>
      <c r="AB19" s="3">
        <v>854.9986774193547</v>
      </c>
      <c r="AC19" s="39">
        <v>0.5286433798628051</v>
      </c>
      <c r="AD19" s="3">
        <v>113.85174193548387</v>
      </c>
      <c r="AE19" s="3">
        <v>215.36587096774196</v>
      </c>
      <c r="AF19" s="39">
        <v>0.9820419318641995</v>
      </c>
      <c r="AG19" s="3">
        <v>450.7478064516129</v>
      </c>
      <c r="AH19" s="3">
        <v>458.9903870967742</v>
      </c>
      <c r="AI19" s="63">
        <v>586.1519677419354</v>
      </c>
      <c r="AJ19" s="7">
        <v>0.383267450963882</v>
      </c>
      <c r="AK19" s="26">
        <v>1529.354935483871</v>
      </c>
      <c r="AL19" s="93">
        <f t="shared" si="0"/>
        <v>15853.860433179723</v>
      </c>
      <c r="AM19" s="7">
        <f t="shared" si="1"/>
        <v>0.45764734717922034</v>
      </c>
      <c r="AN19" s="3">
        <f t="shared" si="2"/>
        <v>34642.08965898617</v>
      </c>
      <c r="AO19" s="7">
        <f t="shared" si="3"/>
        <v>0.11743196178656083</v>
      </c>
      <c r="AP19" s="7">
        <f t="shared" si="4"/>
        <v>0.653402694009606</v>
      </c>
      <c r="AQ19" s="94">
        <f t="shared" si="5"/>
        <v>0.9717537919061032</v>
      </c>
    </row>
    <row r="20" spans="1:43" ht="28.5" customHeight="1">
      <c r="A20" s="177">
        <v>44228</v>
      </c>
      <c r="B20" s="25">
        <v>0.0975169779286927</v>
      </c>
      <c r="C20" s="13">
        <v>262.57142857142856</v>
      </c>
      <c r="D20" s="185">
        <v>2692.5714285714284</v>
      </c>
      <c r="E20" s="25">
        <v>0.6781667086376227</v>
      </c>
      <c r="F20" s="13">
        <v>769.4285714285714</v>
      </c>
      <c r="G20" s="185">
        <v>1134.5714285714287</v>
      </c>
      <c r="H20" s="25">
        <v>0.9309138609532138</v>
      </c>
      <c r="I20" s="51">
        <v>304.14285714285717</v>
      </c>
      <c r="J20" s="185">
        <v>326.7142857142857</v>
      </c>
      <c r="K20" s="63">
        <v>1336.142857142857</v>
      </c>
      <c r="L20" s="7">
        <v>0.3216631702032534</v>
      </c>
      <c r="M20" s="26">
        <v>4153.857142857143</v>
      </c>
      <c r="N20" s="45">
        <v>0.12063785669119015</v>
      </c>
      <c r="O20" s="3">
        <v>1761.2715357142856</v>
      </c>
      <c r="P20" s="174">
        <v>14599.658714285715</v>
      </c>
      <c r="Q20" s="39">
        <v>0.6461408478264614</v>
      </c>
      <c r="R20" s="3">
        <v>3472.8121071428573</v>
      </c>
      <c r="S20" s="3">
        <v>5374.698285714286</v>
      </c>
      <c r="T20" s="39">
        <v>0.9703502687535532</v>
      </c>
      <c r="U20" s="3">
        <v>6553.123928571428</v>
      </c>
      <c r="V20" s="3">
        <v>6753.359214285714</v>
      </c>
      <c r="W20" s="63">
        <v>11787.207571428571</v>
      </c>
      <c r="X20" s="7">
        <v>0.4410106526470982</v>
      </c>
      <c r="Y20" s="24">
        <v>26727.716214285712</v>
      </c>
      <c r="Z20" s="25">
        <v>0.025263064551419155</v>
      </c>
      <c r="AA20" s="3">
        <v>24.337857142857143</v>
      </c>
      <c r="AB20" s="3">
        <v>963.3770714285714</v>
      </c>
      <c r="AC20" s="39">
        <v>0.5193614257491662</v>
      </c>
      <c r="AD20" s="3">
        <v>123.47385714285714</v>
      </c>
      <c r="AE20" s="3">
        <v>237.74167857142857</v>
      </c>
      <c r="AF20" s="39">
        <v>0.9887856974410425</v>
      </c>
      <c r="AG20" s="3">
        <v>434.5612142857143</v>
      </c>
      <c r="AH20" s="3">
        <v>439.4897857142857</v>
      </c>
      <c r="AI20" s="63">
        <v>582.3729285714286</v>
      </c>
      <c r="AJ20" s="7">
        <v>0.35497372828057117</v>
      </c>
      <c r="AK20" s="26">
        <v>1640.6085357142856</v>
      </c>
      <c r="AL20" s="93">
        <f t="shared" si="0"/>
        <v>13705.723357142857</v>
      </c>
      <c r="AM20" s="7">
        <f t="shared" si="1"/>
        <v>0.42142693261773584</v>
      </c>
      <c r="AN20" s="3">
        <f t="shared" si="2"/>
        <v>32522.181892857145</v>
      </c>
      <c r="AO20" s="7">
        <f t="shared" si="3"/>
        <v>0.11219461491402985</v>
      </c>
      <c r="AP20" s="7">
        <f t="shared" si="4"/>
        <v>0.6470590134672273</v>
      </c>
      <c r="AQ20" s="94">
        <f t="shared" si="5"/>
        <v>0.9697142936283363</v>
      </c>
    </row>
    <row r="21" spans="1:43" ht="28.5" customHeight="1">
      <c r="A21" s="177">
        <v>44197</v>
      </c>
      <c r="B21" s="25">
        <v>0.09355980967135112</v>
      </c>
      <c r="C21" s="13">
        <v>241.57142857142858</v>
      </c>
      <c r="D21" s="185">
        <v>2582</v>
      </c>
      <c r="E21" s="25">
        <v>0.6791289518562246</v>
      </c>
      <c r="F21" s="13">
        <v>739.5714285714286</v>
      </c>
      <c r="G21" s="185">
        <v>1089</v>
      </c>
      <c r="H21" s="25">
        <v>0.9346437346437346</v>
      </c>
      <c r="I21" s="51">
        <v>271.7142857142857</v>
      </c>
      <c r="J21" s="185">
        <v>290.7142857142857</v>
      </c>
      <c r="K21" s="63">
        <v>1252.857142857143</v>
      </c>
      <c r="L21" s="7">
        <v>0.3162411654406462</v>
      </c>
      <c r="M21" s="26">
        <v>3961.714285714286</v>
      </c>
      <c r="N21" s="45">
        <v>0.12866892796586032</v>
      </c>
      <c r="O21" s="3">
        <v>1862.8201935483871</v>
      </c>
      <c r="P21" s="174">
        <v>14477.622709677418</v>
      </c>
      <c r="Q21" s="39">
        <v>0.6482718661263834</v>
      </c>
      <c r="R21" s="3">
        <v>3411.683290322581</v>
      </c>
      <c r="S21" s="3">
        <v>5262.7353870967745</v>
      </c>
      <c r="T21" s="210">
        <v>0.7940260842041085</v>
      </c>
      <c r="U21" s="3">
        <v>5498.262870967742</v>
      </c>
      <c r="V21" s="3">
        <v>6924.536838709678</v>
      </c>
      <c r="W21" s="63">
        <v>10772.76635483871</v>
      </c>
      <c r="X21" s="7">
        <v>0.40400558040463264</v>
      </c>
      <c r="Y21" s="24">
        <v>26664.89493548387</v>
      </c>
      <c r="Z21" s="25">
        <v>0.02439846033869181</v>
      </c>
      <c r="AA21" s="3">
        <v>23.188032258064514</v>
      </c>
      <c r="AB21" s="3">
        <v>950.3891612903227</v>
      </c>
      <c r="AC21" s="39">
        <v>0.5156207043177677</v>
      </c>
      <c r="AD21" s="3">
        <v>108.90029032258064</v>
      </c>
      <c r="AE21" s="3">
        <v>211.20232258064516</v>
      </c>
      <c r="AF21" s="39">
        <v>0.937054466825303</v>
      </c>
      <c r="AG21" s="3">
        <v>382.9218064516129</v>
      </c>
      <c r="AH21" s="3">
        <v>408.64412903225804</v>
      </c>
      <c r="AI21" s="63">
        <v>515.0101290322581</v>
      </c>
      <c r="AJ21" s="7">
        <v>0.32798270832747844</v>
      </c>
      <c r="AK21" s="26">
        <v>1570.235612903226</v>
      </c>
      <c r="AL21" s="93">
        <f t="shared" si="0"/>
        <v>12540.633626728111</v>
      </c>
      <c r="AM21" s="7">
        <f t="shared" si="1"/>
        <v>0.3894988372725784</v>
      </c>
      <c r="AN21" s="3">
        <f t="shared" si="2"/>
        <v>32196.844834101383</v>
      </c>
      <c r="AO21" s="7">
        <f t="shared" si="3"/>
        <v>0.11813316224447096</v>
      </c>
      <c r="AP21" s="7">
        <f t="shared" si="4"/>
        <v>0.6491231819760764</v>
      </c>
      <c r="AQ21" s="94">
        <f t="shared" si="5"/>
        <v>0.8070544988592651</v>
      </c>
    </row>
    <row r="22" spans="1:43" ht="28.5" customHeight="1">
      <c r="A22" s="177">
        <v>44196</v>
      </c>
      <c r="B22" s="25">
        <v>0.0954913163998416</v>
      </c>
      <c r="C22" s="13">
        <v>241.14285714285714</v>
      </c>
      <c r="D22" s="185">
        <v>2525.285714285714</v>
      </c>
      <c r="E22" s="25">
        <v>0.6721602434077079</v>
      </c>
      <c r="F22" s="13">
        <v>757.4285714285714</v>
      </c>
      <c r="G22" s="185">
        <v>1126.857142857143</v>
      </c>
      <c r="H22" s="25">
        <v>0.9459729864932468</v>
      </c>
      <c r="I22" s="51">
        <v>270.14285714285717</v>
      </c>
      <c r="J22" s="185">
        <v>285.57142857142856</v>
      </c>
      <c r="K22" s="63">
        <v>1268.7142857142858</v>
      </c>
      <c r="L22" s="7">
        <v>0.32219561747206504</v>
      </c>
      <c r="M22" s="26">
        <v>3937.714285714286</v>
      </c>
      <c r="N22" s="45">
        <v>0.13509649859991793</v>
      </c>
      <c r="O22" s="3">
        <v>1999.0277096774194</v>
      </c>
      <c r="P22" s="174">
        <v>14797.035677419353</v>
      </c>
      <c r="Q22" s="39">
        <v>0.6469572838795594</v>
      </c>
      <c r="R22" s="3">
        <v>3741.071064516129</v>
      </c>
      <c r="S22" s="3">
        <v>5782.56270967742</v>
      </c>
      <c r="T22" s="39">
        <v>0.9751130112475811</v>
      </c>
      <c r="U22" s="3">
        <v>7949.052129032259</v>
      </c>
      <c r="V22" s="3">
        <v>8151.9290967741945</v>
      </c>
      <c r="W22" s="63">
        <v>13689.150903225807</v>
      </c>
      <c r="X22" s="7">
        <v>0.47645050931978794</v>
      </c>
      <c r="Y22" s="24">
        <v>28731.527483870967</v>
      </c>
      <c r="Z22" s="25">
        <v>0.022778645121623108</v>
      </c>
      <c r="AA22" s="3">
        <v>19.379677419354838</v>
      </c>
      <c r="AB22" s="3">
        <v>850.7827096774193</v>
      </c>
      <c r="AC22" s="39">
        <v>0.48176922193225385</v>
      </c>
      <c r="AD22" s="3">
        <v>94.56</v>
      </c>
      <c r="AE22" s="3">
        <v>196.2765483870968</v>
      </c>
      <c r="AF22" s="39">
        <v>0.9284634465887177</v>
      </c>
      <c r="AG22" s="3">
        <v>363.36809677419353</v>
      </c>
      <c r="AH22" s="3">
        <v>391.365</v>
      </c>
      <c r="AI22" s="63">
        <v>477.30777419354837</v>
      </c>
      <c r="AJ22" s="7">
        <v>0.3318268386517576</v>
      </c>
      <c r="AK22" s="26">
        <v>1438.4242580645162</v>
      </c>
      <c r="AL22" s="93">
        <f t="shared" si="0"/>
        <v>15435.172963133642</v>
      </c>
      <c r="AM22" s="7">
        <f t="shared" si="1"/>
        <v>0.45254263222294205</v>
      </c>
      <c r="AN22" s="3">
        <f t="shared" si="2"/>
        <v>34107.666027649764</v>
      </c>
      <c r="AO22" s="7">
        <f t="shared" si="3"/>
        <v>0.12433485394868453</v>
      </c>
      <c r="AP22" s="7">
        <f t="shared" si="4"/>
        <v>0.646391201761582</v>
      </c>
      <c r="AQ22" s="94">
        <f t="shared" si="5"/>
        <v>0.9721025944172287</v>
      </c>
    </row>
    <row r="23" spans="1:43" ht="39.75" customHeight="1">
      <c r="A23" s="177">
        <v>44165</v>
      </c>
      <c r="B23" s="25">
        <v>0.09698029968814179</v>
      </c>
      <c r="C23" s="13">
        <v>182.14285714285714</v>
      </c>
      <c r="D23" s="185">
        <v>1878.142857142857</v>
      </c>
      <c r="E23" s="25">
        <v>0.6657734107488462</v>
      </c>
      <c r="F23" s="13">
        <v>638.8571428571429</v>
      </c>
      <c r="G23" s="185">
        <v>959.5714285714286</v>
      </c>
      <c r="H23" s="25">
        <v>0.9470030085628326</v>
      </c>
      <c r="I23" s="51">
        <v>584.5714285714286</v>
      </c>
      <c r="J23" s="185">
        <v>617.2857142857143</v>
      </c>
      <c r="K23" s="63">
        <v>1405.5714285714284</v>
      </c>
      <c r="L23" s="7">
        <v>0.40682241058507335</v>
      </c>
      <c r="M23" s="26">
        <v>3455</v>
      </c>
      <c r="N23" s="45">
        <v>0.13205626677067425</v>
      </c>
      <c r="O23" s="3">
        <v>1373.1833000000001</v>
      </c>
      <c r="P23" s="174">
        <v>10398.471300000001</v>
      </c>
      <c r="Q23" s="39">
        <v>0.6334039744410774</v>
      </c>
      <c r="R23" s="3">
        <v>2835.697633333333</v>
      </c>
      <c r="S23" s="3">
        <v>4476.917966666666</v>
      </c>
      <c r="T23" s="39">
        <v>0.9787509772537063</v>
      </c>
      <c r="U23" s="3">
        <v>6356.807833333333</v>
      </c>
      <c r="V23" s="3">
        <v>6494.816333333333</v>
      </c>
      <c r="W23" s="63">
        <v>10565.688766666666</v>
      </c>
      <c r="X23" s="7">
        <v>0.4944121252004551</v>
      </c>
      <c r="Y23" s="24">
        <v>21370.2056</v>
      </c>
      <c r="Z23" s="25">
        <v>0.02432212713025685</v>
      </c>
      <c r="AA23" s="3">
        <v>18.8812</v>
      </c>
      <c r="AB23" s="3">
        <v>776.2972333333333</v>
      </c>
      <c r="AC23" s="39">
        <v>0.5243338502428464</v>
      </c>
      <c r="AD23" s="3">
        <v>115.24289999999999</v>
      </c>
      <c r="AE23" s="3">
        <v>219.78916666666663</v>
      </c>
      <c r="AF23" s="39">
        <v>0.9372669068886176</v>
      </c>
      <c r="AG23" s="3">
        <v>419.0047333333333</v>
      </c>
      <c r="AH23" s="3">
        <v>447.0495333333334</v>
      </c>
      <c r="AI23" s="63">
        <v>553.1288333333333</v>
      </c>
      <c r="AJ23" s="7">
        <v>0.38328255887560414</v>
      </c>
      <c r="AK23" s="26">
        <v>1443.1359333333335</v>
      </c>
      <c r="AL23" s="93">
        <f>+AI23+W23+K23</f>
        <v>12524.38902857143</v>
      </c>
      <c r="AM23" s="7">
        <f>AL23/AN23</f>
        <v>0.47678643939810766</v>
      </c>
      <c r="AN23" s="3">
        <f>+AK23+Y23+M23</f>
        <v>26268.341533333336</v>
      </c>
      <c r="AO23" s="7">
        <f>(+AA23+O23+C23)/(D23+P23+AB23)</f>
        <v>0.12060201054390424</v>
      </c>
      <c r="AP23" s="7">
        <f>(+AD23+R23+F23)/(G23+S23+AE23)</f>
        <v>0.6346571578648712</v>
      </c>
      <c r="AQ23" s="94">
        <f>(AG23+U23+I23)/(AH23+V23+J23)</f>
        <v>0.9737050403625794</v>
      </c>
    </row>
    <row r="24" spans="1:43" ht="39.75" customHeight="1">
      <c r="A24" s="177">
        <v>44135</v>
      </c>
      <c r="B24" s="25">
        <v>0.09676721027565306</v>
      </c>
      <c r="C24" s="13">
        <v>191.57142857142858</v>
      </c>
      <c r="D24" s="185">
        <v>1979.7142857142858</v>
      </c>
      <c r="E24" s="25">
        <v>0.6636264633814322</v>
      </c>
      <c r="F24" s="13">
        <v>696.4285714285714</v>
      </c>
      <c r="G24" s="185">
        <v>1049.4285714285713</v>
      </c>
      <c r="H24" s="25">
        <v>0.7889494901588807</v>
      </c>
      <c r="I24" s="51">
        <v>475.2857142857143</v>
      </c>
      <c r="J24" s="185">
        <v>602.4285714285714</v>
      </c>
      <c r="K24" s="63">
        <v>1363.2857142857142</v>
      </c>
      <c r="L24" s="7">
        <v>0.3753982927500885</v>
      </c>
      <c r="M24" s="26">
        <v>3631.5714285714284</v>
      </c>
      <c r="N24" s="45">
        <v>0.14012967275188076</v>
      </c>
      <c r="O24" s="3">
        <v>1503.2327741935485</v>
      </c>
      <c r="P24" s="174">
        <v>10727.440838709677</v>
      </c>
      <c r="Q24" s="39">
        <v>0.6168811384290144</v>
      </c>
      <c r="R24" s="3">
        <v>3243.7866451612904</v>
      </c>
      <c r="S24" s="3">
        <v>5258.365741935484</v>
      </c>
      <c r="T24" s="39">
        <v>0.9770480114742442</v>
      </c>
      <c r="U24" s="3">
        <v>6825.758548387097</v>
      </c>
      <c r="V24" s="3">
        <v>6986.103516129033</v>
      </c>
      <c r="W24" s="63">
        <v>11572.777967741935</v>
      </c>
      <c r="X24" s="7">
        <v>0.5037795254721561</v>
      </c>
      <c r="Y24" s="24">
        <v>22971.910096774194</v>
      </c>
      <c r="Z24" s="25">
        <v>0.024594927780627548</v>
      </c>
      <c r="AA24" s="3">
        <v>16.744387096774194</v>
      </c>
      <c r="AB24" s="3">
        <v>680.8065161290323</v>
      </c>
      <c r="AC24" s="39">
        <v>0.5523207601629182</v>
      </c>
      <c r="AD24" s="3">
        <v>101.11022580645161</v>
      </c>
      <c r="AE24" s="3">
        <v>183.06432258064518</v>
      </c>
      <c r="AF24" s="39">
        <v>0.9458431272785077</v>
      </c>
      <c r="AG24" s="3">
        <v>428.40554838709676</v>
      </c>
      <c r="AH24" s="3">
        <v>452.93509677419354</v>
      </c>
      <c r="AI24" s="63">
        <v>546.2601612903226</v>
      </c>
      <c r="AJ24" s="7">
        <v>0.4148372562503638</v>
      </c>
      <c r="AK24" s="26">
        <v>1316.805935483871</v>
      </c>
      <c r="AL24" s="93">
        <f>+AI24+W24+K24</f>
        <v>13482.32384331797</v>
      </c>
      <c r="AM24" s="7">
        <f>AL24/AN24</f>
        <v>0.48288628339636086</v>
      </c>
      <c r="AN24" s="3">
        <f>+AK24+Y24+M24</f>
        <v>27920.28746082949</v>
      </c>
      <c r="AO24" s="7">
        <f>(+AA24+O24+C24)/(D24+P24+AB24)</f>
        <v>0.12784235836748747</v>
      </c>
      <c r="AP24" s="7">
        <f>(+AD24+R24+F24)/(G24+S24+AE24)</f>
        <v>0.6226180031123303</v>
      </c>
      <c r="AQ24" s="94">
        <f>(AG24+U24+I24)/(AH24+V24+J24)</f>
        <v>0.9611989496295114</v>
      </c>
    </row>
    <row r="25" spans="1:43" ht="39.75" customHeight="1">
      <c r="A25" s="177">
        <v>44075</v>
      </c>
      <c r="B25" s="25">
        <v>0.096</v>
      </c>
      <c r="C25" s="13">
        <v>214</v>
      </c>
      <c r="D25" s="174">
        <v>2241</v>
      </c>
      <c r="E25" s="25">
        <v>0.662</v>
      </c>
      <c r="F25" s="13">
        <v>785</v>
      </c>
      <c r="G25" s="174">
        <v>1186</v>
      </c>
      <c r="H25" s="25">
        <v>0.813</v>
      </c>
      <c r="I25" s="13">
        <v>650</v>
      </c>
      <c r="J25" s="185">
        <v>800</v>
      </c>
      <c r="K25" s="63">
        <v>1650</v>
      </c>
      <c r="L25" s="7">
        <v>0.39</v>
      </c>
      <c r="M25" s="26">
        <v>4227</v>
      </c>
      <c r="N25" s="45">
        <v>0.13802790476110036</v>
      </c>
      <c r="O25" s="3">
        <v>1678.8696333333332</v>
      </c>
      <c r="P25" s="174">
        <v>12163.262466666667</v>
      </c>
      <c r="Q25" s="39">
        <v>0.6154802870442153</v>
      </c>
      <c r="R25" s="3">
        <v>3407.1514</v>
      </c>
      <c r="S25" s="3">
        <v>5535.7604</v>
      </c>
      <c r="T25" s="39">
        <v>0.9759013481044283</v>
      </c>
      <c r="U25" s="3">
        <v>7502.024833333333</v>
      </c>
      <c r="V25" s="3">
        <v>7687.277866666666</v>
      </c>
      <c r="W25" s="63">
        <v>12588.045866666667</v>
      </c>
      <c r="X25" s="7">
        <v>0.4958597945756629</v>
      </c>
      <c r="Y25" s="24">
        <v>25386.300733333333</v>
      </c>
      <c r="Z25" s="25">
        <v>0.021</v>
      </c>
      <c r="AA25" s="3">
        <v>14</v>
      </c>
      <c r="AB25" s="3">
        <v>651</v>
      </c>
      <c r="AC25" s="39">
        <v>0.574</v>
      </c>
      <c r="AD25" s="3">
        <v>102</v>
      </c>
      <c r="AE25" s="3">
        <v>177</v>
      </c>
      <c r="AF25" s="39">
        <v>0.884</v>
      </c>
      <c r="AG25" s="3">
        <v>357</v>
      </c>
      <c r="AH25" s="3">
        <v>404</v>
      </c>
      <c r="AI25" s="63">
        <v>473</v>
      </c>
      <c r="AJ25" s="7">
        <v>0.384</v>
      </c>
      <c r="AK25" s="26">
        <v>1232</v>
      </c>
      <c r="AL25" s="93">
        <f>+AI25+W25+K25</f>
        <v>14711.045866666667</v>
      </c>
      <c r="AM25" s="7">
        <f>AL25/AN25</f>
        <v>0.47692988938081593</v>
      </c>
      <c r="AN25" s="3">
        <f>+AK25+Y25+M25</f>
        <v>30845.300733333333</v>
      </c>
      <c r="AO25" s="7">
        <f>(+AA25+O25+C25)/(D25+P25+AB25)</f>
        <v>0.12665801327311743</v>
      </c>
      <c r="AP25" s="7">
        <f>(+AD25+R25+F25)/(G25+S25+AE25)</f>
        <v>0.6224526075728041</v>
      </c>
      <c r="AQ25" s="94">
        <f>(AG25+U25+I25)/(AH25+V25+J25)</f>
        <v>0.9570080882562002</v>
      </c>
    </row>
    <row r="26" spans="1:43" ht="35.25" customHeight="1">
      <c r="A26" s="177">
        <v>44044</v>
      </c>
      <c r="B26" s="25">
        <v>0.09179733208518605</v>
      </c>
      <c r="C26" s="13">
        <v>224.14285714285714</v>
      </c>
      <c r="D26" s="185">
        <v>2441.714285714286</v>
      </c>
      <c r="E26" s="25">
        <v>0.6583734303485507</v>
      </c>
      <c r="F26" s="13">
        <v>801.4285714285714</v>
      </c>
      <c r="G26" s="185">
        <v>1217.2857142857142</v>
      </c>
      <c r="H26" s="25">
        <v>0.7131938857602573</v>
      </c>
      <c r="I26" s="51">
        <v>506.57142857142856</v>
      </c>
      <c r="J26" s="185">
        <v>710.2857142857143</v>
      </c>
      <c r="K26" s="63">
        <v>1532.1428571428573</v>
      </c>
      <c r="L26" s="7">
        <v>0.350662089259441</v>
      </c>
      <c r="M26" s="26">
        <v>4369.285714285714</v>
      </c>
      <c r="N26" s="45">
        <v>0.13599177609615323</v>
      </c>
      <c r="O26" s="3">
        <v>2013.8736451612904</v>
      </c>
      <c r="P26" s="174">
        <v>14808.789935483874</v>
      </c>
      <c r="Q26" s="39">
        <v>0.6162842307204737</v>
      </c>
      <c r="R26" s="3">
        <v>3769.075193548387</v>
      </c>
      <c r="S26" s="3">
        <v>6115.80664516129</v>
      </c>
      <c r="T26" s="39">
        <v>0.9742348139797962</v>
      </c>
      <c r="U26" s="3">
        <v>7126.651580645162</v>
      </c>
      <c r="V26" s="3">
        <v>7315.127193548387</v>
      </c>
      <c r="W26" s="63">
        <v>12909.60041935484</v>
      </c>
      <c r="X26" s="7">
        <v>0.4571432965343692</v>
      </c>
      <c r="Y26" s="24">
        <v>28239.723774193553</v>
      </c>
      <c r="Z26" s="25">
        <v>0.023095412358928816</v>
      </c>
      <c r="AA26" s="3">
        <v>17.273870967741935</v>
      </c>
      <c r="AB26" s="3">
        <v>747.9351612903226</v>
      </c>
      <c r="AC26" s="39">
        <v>0.49307886223754643</v>
      </c>
      <c r="AD26" s="3">
        <v>107.09809677419355</v>
      </c>
      <c r="AE26" s="3">
        <v>217.20277419354838</v>
      </c>
      <c r="AF26" s="39">
        <v>0.9976390143176016</v>
      </c>
      <c r="AG26" s="3">
        <v>397.79854838709673</v>
      </c>
      <c r="AH26" s="3">
        <v>398.73996774193546</v>
      </c>
      <c r="AI26" s="63">
        <v>522.1705161290322</v>
      </c>
      <c r="AJ26" s="7">
        <v>0.3828572300306419</v>
      </c>
      <c r="AK26" s="26">
        <v>1363.8779032258064</v>
      </c>
      <c r="AL26" s="93">
        <f>+AI26+W26+K26</f>
        <v>14963.913792626729</v>
      </c>
      <c r="AM26" s="7">
        <f>AL26/AN26</f>
        <v>0.44046635247966487</v>
      </c>
      <c r="AN26" s="3">
        <f>+AK26+Y26+M26</f>
        <v>33972.88739170507</v>
      </c>
      <c r="AO26" s="7">
        <f>(+AA26+O26+C26)/(D26+P26+AB26)</f>
        <v>0.12530477367199772</v>
      </c>
      <c r="AP26" s="7">
        <f>(+AD26+R26+F26)/(G26+S26+AE26)</f>
        <v>0.6195256978644404</v>
      </c>
      <c r="AQ26" s="94">
        <f>(AG26+U26+I26)/(AH26+V26+J26)</f>
        <v>0.953332836692441</v>
      </c>
    </row>
    <row r="27" spans="1:43" ht="35.25" customHeight="1">
      <c r="A27" s="177">
        <v>44013</v>
      </c>
      <c r="B27" s="25">
        <v>0.09382079033475962</v>
      </c>
      <c r="C27" s="13">
        <v>213</v>
      </c>
      <c r="D27" s="185">
        <v>2270.285714285714</v>
      </c>
      <c r="E27" s="25">
        <v>0.6634698143366532</v>
      </c>
      <c r="F27" s="13">
        <v>770.8571428571429</v>
      </c>
      <c r="G27" s="185">
        <v>1161.857142857143</v>
      </c>
      <c r="H27" s="25">
        <v>0.6637343303276887</v>
      </c>
      <c r="I27" s="51">
        <v>431.14285714285717</v>
      </c>
      <c r="J27" s="185">
        <v>649.5714285714286</v>
      </c>
      <c r="K27" s="63">
        <v>1415</v>
      </c>
      <c r="L27" s="7">
        <v>0.3466680666386672</v>
      </c>
      <c r="M27" s="26">
        <v>4081.714285714286</v>
      </c>
      <c r="N27" s="45">
        <v>0.138982986169288</v>
      </c>
      <c r="O27" s="3">
        <v>1886.373</v>
      </c>
      <c r="P27" s="174">
        <v>13572.690096774195</v>
      </c>
      <c r="Q27" s="39">
        <v>0.6240158391028968</v>
      </c>
      <c r="R27" s="3">
        <v>3647.435806451613</v>
      </c>
      <c r="S27" s="3">
        <v>5845.1013225806455</v>
      </c>
      <c r="T27" s="39">
        <v>0.9645727812352392</v>
      </c>
      <c r="U27" s="3">
        <v>5330.689290322581</v>
      </c>
      <c r="V27" s="3">
        <v>5526.477</v>
      </c>
      <c r="W27" s="63">
        <v>10864.498096774194</v>
      </c>
      <c r="X27" s="7">
        <v>0.4355508814339159</v>
      </c>
      <c r="Y27" s="24">
        <v>24944.26841935484</v>
      </c>
      <c r="Z27" s="25">
        <v>0.023931739227426634</v>
      </c>
      <c r="AA27" s="3">
        <v>18.427612903225807</v>
      </c>
      <c r="AB27" s="3">
        <v>770.0072580645162</v>
      </c>
      <c r="AC27" s="39">
        <v>0.5170652210713252</v>
      </c>
      <c r="AD27" s="3">
        <v>112.81867741935484</v>
      </c>
      <c r="AE27" s="3">
        <v>218.19041935483872</v>
      </c>
      <c r="AF27" s="39">
        <v>0.9977230690778824</v>
      </c>
      <c r="AG27" s="3">
        <v>401.6626129032258</v>
      </c>
      <c r="AH27" s="3">
        <v>402.57925806451607</v>
      </c>
      <c r="AI27" s="63">
        <v>532.9089032258065</v>
      </c>
      <c r="AJ27" s="7">
        <v>0.38317352670246857</v>
      </c>
      <c r="AK27" s="26">
        <v>1390.776935483871</v>
      </c>
      <c r="AL27" s="93">
        <f aca="true" t="shared" si="6" ref="AL27:AL33">+AI27+W27+K27</f>
        <v>12812.407000000001</v>
      </c>
      <c r="AM27" s="7">
        <f aca="true" t="shared" si="7" ref="AM27:AM33">AL27/AN27</f>
        <v>0.42122853161905915</v>
      </c>
      <c r="AN27" s="3">
        <f aca="true" t="shared" si="8" ref="AN27:AN33">+AK27+Y27+M27</f>
        <v>30416.759640553</v>
      </c>
      <c r="AO27" s="7">
        <f aca="true" t="shared" si="9" ref="AO27:AO33">(+AA27+O27+C27)/(D27+P27+AB27)</f>
        <v>0.12747864751871096</v>
      </c>
      <c r="AP27" s="7">
        <f aca="true" t="shared" si="10" ref="AP27:AP33">(+AD27+R27+F27)/(G27+S27+AE27)</f>
        <v>0.6271305545364081</v>
      </c>
      <c r="AQ27" s="94">
        <f aca="true" t="shared" si="11" ref="AQ27:AQ33">(AG27+U27+I27)/(AH27+V27+J27)</f>
        <v>0.9368967289164887</v>
      </c>
    </row>
    <row r="28" spans="1:43" ht="35.25" customHeight="1">
      <c r="A28" s="177">
        <v>43983</v>
      </c>
      <c r="B28" s="25">
        <v>0.097</v>
      </c>
      <c r="C28" s="13">
        <v>200</v>
      </c>
      <c r="D28" s="174">
        <v>2067</v>
      </c>
      <c r="E28" s="25">
        <v>0.671</v>
      </c>
      <c r="F28" s="13">
        <v>713</v>
      </c>
      <c r="G28" s="174">
        <v>1063</v>
      </c>
      <c r="H28" s="25">
        <v>0.895</v>
      </c>
      <c r="I28" s="13">
        <v>537</v>
      </c>
      <c r="J28" s="185">
        <v>600</v>
      </c>
      <c r="K28" s="63">
        <v>1451</v>
      </c>
      <c r="L28" s="7">
        <v>0.389</v>
      </c>
      <c r="M28" s="26">
        <v>3731</v>
      </c>
      <c r="N28" s="45">
        <v>0.14017310221180884</v>
      </c>
      <c r="O28" s="3">
        <v>1595.3411666666668</v>
      </c>
      <c r="P28" s="174">
        <v>11381.2218</v>
      </c>
      <c r="Q28" s="39">
        <v>0.6368519022193477</v>
      </c>
      <c r="R28" s="3">
        <v>3209.027</v>
      </c>
      <c r="S28" s="3">
        <v>5038.8904999999995</v>
      </c>
      <c r="T28" s="39">
        <v>0.9755550699570338</v>
      </c>
      <c r="U28" s="3">
        <v>8254.355566666667</v>
      </c>
      <c r="V28" s="3">
        <v>8461.188733333334</v>
      </c>
      <c r="W28" s="63">
        <v>13058.723733333334</v>
      </c>
      <c r="X28" s="7">
        <v>0.5248408721006446</v>
      </c>
      <c r="Y28" s="24">
        <v>24881.301033333333</v>
      </c>
      <c r="Z28" s="25">
        <v>0.026</v>
      </c>
      <c r="AA28" s="3">
        <v>17</v>
      </c>
      <c r="AB28" s="3">
        <v>655</v>
      </c>
      <c r="AC28" s="39">
        <v>0.489</v>
      </c>
      <c r="AD28" s="3">
        <v>106</v>
      </c>
      <c r="AE28" s="3">
        <v>216</v>
      </c>
      <c r="AF28" s="39">
        <v>0.989</v>
      </c>
      <c r="AG28" s="3">
        <v>409</v>
      </c>
      <c r="AH28" s="3">
        <v>413</v>
      </c>
      <c r="AI28" s="63">
        <v>531</v>
      </c>
      <c r="AJ28" s="7">
        <v>0.414</v>
      </c>
      <c r="AK28" s="26">
        <v>1285</v>
      </c>
      <c r="AL28" s="93">
        <f t="shared" si="6"/>
        <v>15040.723733333334</v>
      </c>
      <c r="AM28" s="7">
        <f t="shared" si="7"/>
        <v>0.5030796497839056</v>
      </c>
      <c r="AN28" s="3">
        <f t="shared" si="8"/>
        <v>29897.301033333333</v>
      </c>
      <c r="AO28" s="7">
        <f t="shared" si="9"/>
        <v>0.12850547147082853</v>
      </c>
      <c r="AP28" s="7">
        <f t="shared" si="10"/>
        <v>0.6375588497458131</v>
      </c>
      <c r="AQ28" s="94">
        <f t="shared" si="11"/>
        <v>0.9710969272014572</v>
      </c>
    </row>
    <row r="29" spans="1:43" ht="35.25" customHeight="1">
      <c r="A29" s="177">
        <v>43952</v>
      </c>
      <c r="B29" s="25">
        <v>0.095</v>
      </c>
      <c r="C29" s="13">
        <v>202</v>
      </c>
      <c r="D29" s="174">
        <v>2123</v>
      </c>
      <c r="E29" s="25">
        <v>0.677</v>
      </c>
      <c r="F29" s="13">
        <v>638</v>
      </c>
      <c r="G29" s="185">
        <v>943</v>
      </c>
      <c r="H29" s="25">
        <v>0.886</v>
      </c>
      <c r="I29" s="13">
        <v>525</v>
      </c>
      <c r="J29" s="185">
        <v>592</v>
      </c>
      <c r="K29" s="63">
        <v>1366</v>
      </c>
      <c r="L29" s="7">
        <v>0.373</v>
      </c>
      <c r="M29" s="26">
        <v>3658</v>
      </c>
      <c r="N29" s="45">
        <v>0.13779067242808654</v>
      </c>
      <c r="O29" s="3">
        <v>1444.8150967741935</v>
      </c>
      <c r="P29" s="174">
        <v>10485.579838709677</v>
      </c>
      <c r="Q29" s="39">
        <v>0.6467951602487908</v>
      </c>
      <c r="R29" s="3">
        <v>2629.7670322580643</v>
      </c>
      <c r="S29" s="3">
        <v>4065.8421612903226</v>
      </c>
      <c r="T29" s="39">
        <v>0.9882564070500188</v>
      </c>
      <c r="U29" s="3">
        <v>5646.26570967742</v>
      </c>
      <c r="V29" s="3">
        <v>5713.361096774194</v>
      </c>
      <c r="W29" s="63">
        <v>9720.847838709678</v>
      </c>
      <c r="X29" s="7">
        <v>0.47969167951553704</v>
      </c>
      <c r="Y29" s="24">
        <v>20264.783096774194</v>
      </c>
      <c r="Z29" s="25">
        <v>0.025</v>
      </c>
      <c r="AA29" s="3">
        <v>18</v>
      </c>
      <c r="AB29" s="3">
        <v>721</v>
      </c>
      <c r="AC29" s="39">
        <v>0.507</v>
      </c>
      <c r="AD29" s="3">
        <v>95</v>
      </c>
      <c r="AE29" s="3">
        <v>186</v>
      </c>
      <c r="AF29" s="39">
        <v>0.999</v>
      </c>
      <c r="AG29" s="3">
        <v>339</v>
      </c>
      <c r="AH29" s="3">
        <v>339</v>
      </c>
      <c r="AI29" s="63">
        <v>451</v>
      </c>
      <c r="AJ29" s="7">
        <v>0.362</v>
      </c>
      <c r="AK29" s="26">
        <v>1247</v>
      </c>
      <c r="AL29" s="93">
        <f t="shared" si="6"/>
        <v>11537.847838709678</v>
      </c>
      <c r="AM29" s="7">
        <f t="shared" si="7"/>
        <v>0.4584007654872636</v>
      </c>
      <c r="AN29" s="3">
        <f t="shared" si="8"/>
        <v>25169.783096774194</v>
      </c>
      <c r="AO29" s="7">
        <f t="shared" si="9"/>
        <v>0.12489629207512591</v>
      </c>
      <c r="AP29" s="7">
        <f t="shared" si="10"/>
        <v>0.6473280472919706</v>
      </c>
      <c r="AQ29" s="94">
        <f t="shared" si="11"/>
        <v>0.9798181668419742</v>
      </c>
    </row>
    <row r="30" spans="1:43" ht="35.25" customHeight="1">
      <c r="A30" s="177">
        <v>43922</v>
      </c>
      <c r="B30" s="25">
        <v>0.0973868280259054</v>
      </c>
      <c r="C30" s="51">
        <v>201.19960879557144</v>
      </c>
      <c r="D30" s="173">
        <v>2065.9837975424284</v>
      </c>
      <c r="E30" s="25">
        <v>0.6659627563601723</v>
      </c>
      <c r="F30" s="51">
        <v>666.5849855121427</v>
      </c>
      <c r="G30" s="173">
        <v>1000.9343302549998</v>
      </c>
      <c r="H30" s="25">
        <v>0.6840419788065444</v>
      </c>
      <c r="I30" s="51">
        <v>410.0799724031427</v>
      </c>
      <c r="J30" s="173">
        <v>599.4953308547141</v>
      </c>
      <c r="K30" s="63">
        <v>1277.8645667108567</v>
      </c>
      <c r="L30" s="7">
        <v>0.34853258671503706</v>
      </c>
      <c r="M30" s="26">
        <v>3666.4134586521423</v>
      </c>
      <c r="N30" s="45">
        <v>0.13682462625961211</v>
      </c>
      <c r="O30" s="3">
        <v>1707.3318333333332</v>
      </c>
      <c r="P30" s="174">
        <v>12478.249566666665</v>
      </c>
      <c r="Q30" s="39">
        <v>0.645523760116668</v>
      </c>
      <c r="R30" s="3">
        <v>3087.6636333333336</v>
      </c>
      <c r="S30" s="3">
        <v>4783.1913</v>
      </c>
      <c r="T30" s="39">
        <v>0.9668677821822989</v>
      </c>
      <c r="U30" s="3">
        <v>5268.988166666667</v>
      </c>
      <c r="V30" s="3">
        <v>5449.543633333334</v>
      </c>
      <c r="W30" s="63">
        <v>10063.983633333333</v>
      </c>
      <c r="X30" s="7">
        <v>0.4431328652147745</v>
      </c>
      <c r="Y30" s="24">
        <v>22710.9845</v>
      </c>
      <c r="Z30" s="25">
        <v>0.026425720199937937</v>
      </c>
      <c r="AA30" s="3">
        <v>20.6493</v>
      </c>
      <c r="AB30" s="3">
        <v>781.4091666666666</v>
      </c>
      <c r="AC30" s="39">
        <v>0.5125836217111016</v>
      </c>
      <c r="AD30" s="3">
        <v>108.94426666666666</v>
      </c>
      <c r="AE30" s="3">
        <v>212.53949999999998</v>
      </c>
      <c r="AF30" s="39">
        <v>0.9969710379988396</v>
      </c>
      <c r="AG30" s="3">
        <v>366.53709999999995</v>
      </c>
      <c r="AH30" s="3">
        <v>367.6507</v>
      </c>
      <c r="AI30" s="63">
        <v>496.1306666666666</v>
      </c>
      <c r="AJ30" s="7">
        <v>0.3643734558141319</v>
      </c>
      <c r="AK30" s="26">
        <v>1361.5993666666666</v>
      </c>
      <c r="AL30" s="93">
        <f t="shared" si="6"/>
        <v>11837.978866710855</v>
      </c>
      <c r="AM30" s="7">
        <f t="shared" si="7"/>
        <v>0.42676304149990757</v>
      </c>
      <c r="AN30" s="3">
        <f t="shared" si="8"/>
        <v>27738.997325318807</v>
      </c>
      <c r="AO30" s="7">
        <f t="shared" si="9"/>
        <v>0.1258792731360063</v>
      </c>
      <c r="AP30" s="7">
        <f t="shared" si="10"/>
        <v>0.6442235478551503</v>
      </c>
      <c r="AQ30" s="94">
        <f t="shared" si="11"/>
        <v>0.9421688682890053</v>
      </c>
    </row>
    <row r="31" spans="1:43" ht="35.25" customHeight="1">
      <c r="A31" s="177">
        <v>43891</v>
      </c>
      <c r="B31" s="25">
        <v>0.099</v>
      </c>
      <c r="C31" s="13">
        <v>220</v>
      </c>
      <c r="D31" s="174">
        <v>2218</v>
      </c>
      <c r="E31" s="25">
        <v>0.654</v>
      </c>
      <c r="F31" s="13">
        <v>728</v>
      </c>
      <c r="G31" s="174">
        <v>1113</v>
      </c>
      <c r="H31" s="25">
        <v>0.714</v>
      </c>
      <c r="I31" s="13">
        <v>418</v>
      </c>
      <c r="J31" s="185">
        <v>585</v>
      </c>
      <c r="K31" s="63">
        <v>1365</v>
      </c>
      <c r="L31" s="7">
        <v>0.349</v>
      </c>
      <c r="M31" s="26">
        <v>3916</v>
      </c>
      <c r="N31" s="45">
        <v>0.13757717547050324</v>
      </c>
      <c r="O31" s="3">
        <v>1753.5573870967744</v>
      </c>
      <c r="P31" s="174">
        <v>12745.990612903228</v>
      </c>
      <c r="Q31" s="39">
        <v>0.6391782741705404</v>
      </c>
      <c r="R31" s="3">
        <v>3404.39635483871</v>
      </c>
      <c r="S31" s="3">
        <v>5326.207870967743</v>
      </c>
      <c r="T31" s="39">
        <v>0.97811907015638</v>
      </c>
      <c r="U31" s="3">
        <v>7755.757483870967</v>
      </c>
      <c r="V31" s="3">
        <v>7929.257</v>
      </c>
      <c r="W31" s="63">
        <v>12913.711225806452</v>
      </c>
      <c r="X31" s="7">
        <v>0.49665339826137767</v>
      </c>
      <c r="Y31" s="24">
        <v>26001.45548387097</v>
      </c>
      <c r="Z31" s="25">
        <v>0.028</v>
      </c>
      <c r="AA31" s="3">
        <v>23</v>
      </c>
      <c r="AB31" s="3">
        <v>846</v>
      </c>
      <c r="AC31" s="39">
        <v>0.527</v>
      </c>
      <c r="AD31" s="3">
        <v>119</v>
      </c>
      <c r="AE31" s="3">
        <v>227</v>
      </c>
      <c r="AF31" s="39">
        <v>0.993</v>
      </c>
      <c r="AG31" s="3">
        <v>425</v>
      </c>
      <c r="AH31" s="3">
        <v>428</v>
      </c>
      <c r="AI31" s="63">
        <v>568</v>
      </c>
      <c r="AJ31" s="7">
        <v>0.379</v>
      </c>
      <c r="AK31" s="26">
        <v>1500</v>
      </c>
      <c r="AL31" s="93">
        <f t="shared" si="6"/>
        <v>14846.711225806452</v>
      </c>
      <c r="AM31" s="7">
        <f t="shared" si="7"/>
        <v>0.47256249741257456</v>
      </c>
      <c r="AN31" s="3">
        <f t="shared" si="8"/>
        <v>31417.45548387097</v>
      </c>
      <c r="AO31" s="7">
        <f t="shared" si="9"/>
        <v>0.12628453969272418</v>
      </c>
      <c r="AP31" s="7">
        <f t="shared" si="10"/>
        <v>0.6377533429994179</v>
      </c>
      <c r="AQ31" s="94">
        <f t="shared" si="11"/>
        <v>0.9615869331278408</v>
      </c>
    </row>
    <row r="32" spans="1:43" ht="35.25" customHeight="1">
      <c r="A32" s="177">
        <v>43862</v>
      </c>
      <c r="B32" s="25">
        <v>0.09840953615852499</v>
      </c>
      <c r="C32" s="51">
        <v>235.63797925914307</v>
      </c>
      <c r="D32" s="173">
        <v>2394.4628585542855</v>
      </c>
      <c r="E32" s="25">
        <v>0.662987898492817</v>
      </c>
      <c r="F32" s="51">
        <v>795.979700736286</v>
      </c>
      <c r="G32" s="173">
        <v>1200.5946149934286</v>
      </c>
      <c r="H32" s="25">
        <v>0.6772399124569821</v>
      </c>
      <c r="I32" s="51">
        <v>485.9235747935715</v>
      </c>
      <c r="J32" s="173">
        <v>717.5058141961429</v>
      </c>
      <c r="K32" s="63">
        <v>1517.5412547890005</v>
      </c>
      <c r="L32" s="7">
        <v>0.3518884601883515</v>
      </c>
      <c r="M32" s="26">
        <v>4312.563287743857</v>
      </c>
      <c r="N32" s="45">
        <v>0.13912026549256198</v>
      </c>
      <c r="O32" s="3">
        <v>1760.173</v>
      </c>
      <c r="P32" s="174">
        <v>12652.168206896551</v>
      </c>
      <c r="Q32" s="39">
        <v>0.6421630549792741</v>
      </c>
      <c r="R32" s="3">
        <v>3243.765724137931</v>
      </c>
      <c r="S32" s="3">
        <v>5051.311655172414</v>
      </c>
      <c r="T32" s="39">
        <v>0.9690377207827476</v>
      </c>
      <c r="U32" s="3">
        <v>4333.631586206896</v>
      </c>
      <c r="V32" s="3">
        <v>4472.097931034482</v>
      </c>
      <c r="W32" s="63">
        <v>9337.570310344827</v>
      </c>
      <c r="X32" s="7">
        <v>0.4210744990486241</v>
      </c>
      <c r="Y32" s="24">
        <v>22175.577793103446</v>
      </c>
      <c r="Z32" s="25">
        <v>0.029687512152787515</v>
      </c>
      <c r="AA32" s="3">
        <v>28.298172413793104</v>
      </c>
      <c r="AB32" s="3">
        <v>953.2012068965516</v>
      </c>
      <c r="AC32" s="39">
        <v>0.5377415759542029</v>
      </c>
      <c r="AD32" s="3">
        <v>132.0491379310345</v>
      </c>
      <c r="AE32" s="3">
        <v>245.56244827586207</v>
      </c>
      <c r="AF32" s="39">
        <v>0.9893796977950139</v>
      </c>
      <c r="AG32" s="3">
        <v>355.26451724137934</v>
      </c>
      <c r="AH32" s="3">
        <v>359.07803448275865</v>
      </c>
      <c r="AI32" s="63">
        <v>515.6118275862069</v>
      </c>
      <c r="AJ32" s="7">
        <v>0.33097832148806944</v>
      </c>
      <c r="AK32" s="26">
        <v>1557.8416896551723</v>
      </c>
      <c r="AL32" s="93">
        <f t="shared" si="6"/>
        <v>11370.723392720034</v>
      </c>
      <c r="AM32" s="7">
        <f t="shared" si="7"/>
        <v>0.405431447554024</v>
      </c>
      <c r="AN32" s="3">
        <f t="shared" si="8"/>
        <v>28045.982770502473</v>
      </c>
      <c r="AO32" s="7">
        <f t="shared" si="9"/>
        <v>0.12650814816172898</v>
      </c>
      <c r="AP32" s="7">
        <f t="shared" si="10"/>
        <v>0.6420645860078535</v>
      </c>
      <c r="AQ32" s="94">
        <f t="shared" si="11"/>
        <v>0.9326214556332246</v>
      </c>
    </row>
    <row r="33" spans="1:43" ht="35.25" customHeight="1" thickBot="1">
      <c r="A33" s="177">
        <v>43831</v>
      </c>
      <c r="B33" s="199">
        <v>0.10030031030020703</v>
      </c>
      <c r="C33" s="51">
        <v>252.19785015542843</v>
      </c>
      <c r="D33" s="200">
        <v>2514.4274170297144</v>
      </c>
      <c r="E33" s="199">
        <v>0.6588311985967189</v>
      </c>
      <c r="F33" s="51">
        <v>825.3204661232857</v>
      </c>
      <c r="G33" s="200">
        <v>1252.7039822661427</v>
      </c>
      <c r="H33" s="199">
        <v>0.7092416085083785</v>
      </c>
      <c r="I33" s="51">
        <v>459.25472184614284</v>
      </c>
      <c r="J33" s="200">
        <v>647.5292993765714</v>
      </c>
      <c r="K33" s="201">
        <v>1536.773038124857</v>
      </c>
      <c r="L33" s="202">
        <v>0.34810671601262433</v>
      </c>
      <c r="M33" s="203">
        <v>4414.660698672429</v>
      </c>
      <c r="N33" s="45">
        <v>0.1399942548274551</v>
      </c>
      <c r="O33" s="3">
        <v>2104.1857741935487</v>
      </c>
      <c r="P33" s="174">
        <v>15030.515193548388</v>
      </c>
      <c r="Q33" s="39">
        <v>0.631196705794402</v>
      </c>
      <c r="R33" s="3">
        <v>3709.87535483871</v>
      </c>
      <c r="S33" s="3">
        <v>5877.526483870968</v>
      </c>
      <c r="T33" s="39">
        <v>0.975289778762621</v>
      </c>
      <c r="U33" s="3">
        <v>8703.363193548386</v>
      </c>
      <c r="V33" s="3">
        <v>8923.874096774192</v>
      </c>
      <c r="W33" s="63">
        <v>14517.424322580646</v>
      </c>
      <c r="X33" s="7">
        <v>0.4866406982530809</v>
      </c>
      <c r="Y33" s="24">
        <v>29831.91577419355</v>
      </c>
      <c r="Z33" s="199">
        <v>0.034030280736783734</v>
      </c>
      <c r="AA33" s="204">
        <v>32.324354838709674</v>
      </c>
      <c r="AB33" s="204">
        <v>949.8703548387097</v>
      </c>
      <c r="AC33" s="205">
        <v>0.5553187784560177</v>
      </c>
      <c r="AD33" s="204">
        <v>124.78967741935485</v>
      </c>
      <c r="AE33" s="204">
        <v>224.71719354838712</v>
      </c>
      <c r="AF33" s="205">
        <v>0.9936558542271607</v>
      </c>
      <c r="AG33" s="204">
        <v>446.23148387096774</v>
      </c>
      <c r="AH33" s="204">
        <v>449.0805161290322</v>
      </c>
      <c r="AI33" s="201">
        <v>603.3455161290323</v>
      </c>
      <c r="AJ33" s="202">
        <v>0.37159412648104023</v>
      </c>
      <c r="AK33" s="203">
        <v>1623.668064516129</v>
      </c>
      <c r="AL33" s="93">
        <f t="shared" si="6"/>
        <v>16657.542876834537</v>
      </c>
      <c r="AM33" s="7">
        <f t="shared" si="7"/>
        <v>0.4643833096670113</v>
      </c>
      <c r="AN33" s="3">
        <f t="shared" si="8"/>
        <v>35870.24453738211</v>
      </c>
      <c r="AO33" s="7">
        <f t="shared" si="9"/>
        <v>0.12915556289508295</v>
      </c>
      <c r="AP33" s="7">
        <f t="shared" si="10"/>
        <v>0.633585133980493</v>
      </c>
      <c r="AQ33" s="94">
        <f t="shared" si="11"/>
        <v>0.9589206951862023</v>
      </c>
    </row>
    <row r="34" spans="1:43" ht="30" customHeight="1" thickBot="1">
      <c r="A34" s="177">
        <v>43800</v>
      </c>
      <c r="B34" s="199">
        <v>0.10037598913207252</v>
      </c>
      <c r="C34" s="51">
        <v>260.37818008242874</v>
      </c>
      <c r="D34" s="200">
        <v>2594.0285354481425</v>
      </c>
      <c r="E34" s="199">
        <v>0.6565694032818856</v>
      </c>
      <c r="F34" s="51">
        <v>784.9754424237142</v>
      </c>
      <c r="G34" s="200">
        <v>1195.5711589665714</v>
      </c>
      <c r="H34" s="199">
        <v>0.6021574863746033</v>
      </c>
      <c r="I34" s="51">
        <v>412.1384573605716</v>
      </c>
      <c r="J34" s="200">
        <v>684.4363255232859</v>
      </c>
      <c r="K34" s="201">
        <v>1457.4920798667144</v>
      </c>
      <c r="L34" s="202">
        <v>0.3257667290499177</v>
      </c>
      <c r="M34" s="203">
        <v>4474.036019937999</v>
      </c>
      <c r="N34" s="45">
        <v>0.14502896617332053</v>
      </c>
      <c r="O34" s="3">
        <v>2047.6639032258065</v>
      </c>
      <c r="P34" s="174">
        <v>14118.999516129034</v>
      </c>
      <c r="Q34" s="39">
        <v>0.6204339880562303</v>
      </c>
      <c r="R34" s="3">
        <v>3559.1321612903225</v>
      </c>
      <c r="S34" s="3">
        <v>5736.52029032258</v>
      </c>
      <c r="T34" s="39">
        <v>0.9789727242852138</v>
      </c>
      <c r="U34" s="3">
        <v>7365.872032258065</v>
      </c>
      <c r="V34" s="3">
        <v>7524.0830000000005</v>
      </c>
      <c r="W34" s="63">
        <v>12972.668096774194</v>
      </c>
      <c r="X34" s="7">
        <v>0.4738077534754218</v>
      </c>
      <c r="Y34" s="24">
        <v>27379.602806451614</v>
      </c>
      <c r="Z34" s="199">
        <v>0.03408747332309103</v>
      </c>
      <c r="AA34" s="204">
        <v>30.65509677419355</v>
      </c>
      <c r="AB34" s="204">
        <v>899.3068064516129</v>
      </c>
      <c r="AC34" s="205">
        <v>0.541601035798185</v>
      </c>
      <c r="AD34" s="204">
        <v>118.1377741935484</v>
      </c>
      <c r="AE34" s="204">
        <v>218.126935483871</v>
      </c>
      <c r="AF34" s="205">
        <v>0.990493153118779</v>
      </c>
      <c r="AG34" s="204">
        <v>416.856935483871</v>
      </c>
      <c r="AH34" s="204">
        <v>420.85796774193545</v>
      </c>
      <c r="AI34" s="201">
        <v>565.6498064516129</v>
      </c>
      <c r="AJ34" s="202">
        <v>0.3677129655533474</v>
      </c>
      <c r="AK34" s="203">
        <v>1538.2917096774195</v>
      </c>
      <c r="AL34" s="93">
        <f aca="true" t="shared" si="12" ref="AL34:AL41">+AI34+W34+K34</f>
        <v>14995.80998309252</v>
      </c>
      <c r="AM34" s="7">
        <f aca="true" t="shared" si="13" ref="AM34:AM41">AL34/AN34</f>
        <v>0.44908484601977</v>
      </c>
      <c r="AN34" s="3">
        <f aca="true" t="shared" si="14" ref="AN34:AN41">+AK34+Y34+M34</f>
        <v>33391.93053606703</v>
      </c>
      <c r="AO34" s="7">
        <f aca="true" t="shared" si="15" ref="AO34:AO41">(+AA34+O34+C34)/(D34+P34+AB34)</f>
        <v>0.1327874582748071</v>
      </c>
      <c r="AP34" s="7">
        <f aca="true" t="shared" si="16" ref="AP34:AP41">(+AD34+R34+F34)/(G34+S34+AE34)</f>
        <v>0.6240712014349523</v>
      </c>
      <c r="AQ34" s="94">
        <f aca="true" t="shared" si="17" ref="AQ34:AQ41">(AG34+U34+I34)/(AH34+V34+J34)</f>
        <v>0.9496475987320862</v>
      </c>
    </row>
    <row r="35" spans="1:43" ht="30" customHeight="1">
      <c r="A35" s="177">
        <v>43770</v>
      </c>
      <c r="B35" s="25">
        <v>0.101</v>
      </c>
      <c r="C35" s="13">
        <v>239</v>
      </c>
      <c r="D35" s="174">
        <v>2372</v>
      </c>
      <c r="E35" s="25">
        <v>0.635</v>
      </c>
      <c r="F35" s="13">
        <v>794</v>
      </c>
      <c r="G35" s="174">
        <v>1251</v>
      </c>
      <c r="H35" s="25">
        <v>0.659</v>
      </c>
      <c r="I35" s="13">
        <v>435</v>
      </c>
      <c r="J35" s="185">
        <v>660</v>
      </c>
      <c r="K35" s="63">
        <v>1468</v>
      </c>
      <c r="L35" s="7">
        <v>0.343</v>
      </c>
      <c r="M35" s="26">
        <v>4283</v>
      </c>
      <c r="N35" s="45">
        <v>0.15168782013103874</v>
      </c>
      <c r="O35" s="3">
        <v>1507.4559</v>
      </c>
      <c r="P35" s="174">
        <v>9937.883600000001</v>
      </c>
      <c r="Q35" s="39">
        <v>0.6307463705442361</v>
      </c>
      <c r="R35" s="3">
        <v>2843.2476666666666</v>
      </c>
      <c r="S35" s="3">
        <v>4507.751133333333</v>
      </c>
      <c r="T35" s="39">
        <v>0.9720021868370238</v>
      </c>
      <c r="U35" s="3">
        <v>4328.747133333334</v>
      </c>
      <c r="V35" s="3">
        <v>4453.433533333334</v>
      </c>
      <c r="W35" s="63">
        <v>8679.450700000001</v>
      </c>
      <c r="X35" s="7">
        <v>0.4592528360410459</v>
      </c>
      <c r="Y35" s="24">
        <v>18899.06826666667</v>
      </c>
      <c r="Z35" s="25">
        <v>0.03</v>
      </c>
      <c r="AA35" s="3">
        <v>23</v>
      </c>
      <c r="AB35" s="3">
        <v>791</v>
      </c>
      <c r="AC35" s="39">
        <v>0.531</v>
      </c>
      <c r="AD35" s="3">
        <v>107</v>
      </c>
      <c r="AE35" s="3">
        <v>201</v>
      </c>
      <c r="AF35" s="39">
        <v>0.995</v>
      </c>
      <c r="AG35" s="3">
        <v>377</v>
      </c>
      <c r="AH35" s="3">
        <v>379</v>
      </c>
      <c r="AI35" s="63">
        <v>507</v>
      </c>
      <c r="AJ35" s="7">
        <v>0.37</v>
      </c>
      <c r="AK35" s="26">
        <v>1371</v>
      </c>
      <c r="AL35" s="93">
        <f t="shared" si="12"/>
        <v>10654.450700000001</v>
      </c>
      <c r="AM35" s="7">
        <f t="shared" si="13"/>
        <v>0.433935611805573</v>
      </c>
      <c r="AN35" s="3">
        <f t="shared" si="14"/>
        <v>24553.06826666667</v>
      </c>
      <c r="AO35" s="7">
        <f t="shared" si="15"/>
        <v>0.13506385935678414</v>
      </c>
      <c r="AP35" s="7">
        <f t="shared" si="16"/>
        <v>0.6282557078138397</v>
      </c>
      <c r="AQ35" s="94">
        <f t="shared" si="17"/>
        <v>0.9359689292795934</v>
      </c>
    </row>
    <row r="36" spans="1:43" ht="30" customHeight="1">
      <c r="A36" s="177">
        <v>43739</v>
      </c>
      <c r="B36" s="25">
        <v>0.1</v>
      </c>
      <c r="C36" s="13">
        <v>215</v>
      </c>
      <c r="D36" s="174">
        <v>2142</v>
      </c>
      <c r="E36" s="25">
        <v>0.63</v>
      </c>
      <c r="F36" s="13">
        <v>710</v>
      </c>
      <c r="G36" s="174">
        <v>1128</v>
      </c>
      <c r="H36" s="25">
        <v>0.683</v>
      </c>
      <c r="I36" s="13">
        <v>516</v>
      </c>
      <c r="J36" s="185">
        <v>756</v>
      </c>
      <c r="K36" s="63">
        <v>1442</v>
      </c>
      <c r="L36" s="7">
        <v>0.358</v>
      </c>
      <c r="M36" s="26">
        <v>4025</v>
      </c>
      <c r="N36" s="45">
        <v>0.15899718884691896</v>
      </c>
      <c r="O36" s="3">
        <v>1695.2336129032258</v>
      </c>
      <c r="P36" s="174">
        <v>10662.035129032258</v>
      </c>
      <c r="Q36" s="39">
        <v>0.6107032473845437</v>
      </c>
      <c r="R36" s="3">
        <v>3382.5223870967743</v>
      </c>
      <c r="S36" s="3">
        <v>5538.733258064516</v>
      </c>
      <c r="T36" s="39">
        <v>0.9817656267914067</v>
      </c>
      <c r="U36" s="3">
        <v>9370.850677419356</v>
      </c>
      <c r="V36" s="3">
        <v>9544.895870967743</v>
      </c>
      <c r="W36" s="63">
        <v>14448.606677419357</v>
      </c>
      <c r="X36" s="7">
        <v>0.5612054337612791</v>
      </c>
      <c r="Y36" s="24">
        <v>25745.664258064517</v>
      </c>
      <c r="Z36" s="25">
        <v>0.031</v>
      </c>
      <c r="AA36" s="3">
        <v>21</v>
      </c>
      <c r="AB36" s="3">
        <v>667</v>
      </c>
      <c r="AC36" s="39">
        <v>0.551</v>
      </c>
      <c r="AD36" s="3">
        <v>109</v>
      </c>
      <c r="AE36" s="3">
        <v>198</v>
      </c>
      <c r="AF36" s="39">
        <v>0.997</v>
      </c>
      <c r="AG36" s="3">
        <v>403</v>
      </c>
      <c r="AH36" s="3">
        <v>404</v>
      </c>
      <c r="AI36" s="63">
        <v>533</v>
      </c>
      <c r="AJ36" s="7">
        <v>0.42</v>
      </c>
      <c r="AK36" s="26">
        <v>1269</v>
      </c>
      <c r="AL36" s="93">
        <f t="shared" si="12"/>
        <v>16423.606677419357</v>
      </c>
      <c r="AM36" s="7">
        <f t="shared" si="13"/>
        <v>0.5291167630188618</v>
      </c>
      <c r="AN36" s="3">
        <f t="shared" si="14"/>
        <v>31039.664258064517</v>
      </c>
      <c r="AO36" s="7">
        <f t="shared" si="15"/>
        <v>0.14336193131447672</v>
      </c>
      <c r="AP36" s="7">
        <f t="shared" si="16"/>
        <v>0.6120445222195534</v>
      </c>
      <c r="AQ36" s="94">
        <f t="shared" si="17"/>
        <v>0.9612284698000648</v>
      </c>
    </row>
    <row r="37" spans="1:43" ht="30" customHeight="1">
      <c r="A37" s="177">
        <v>43709</v>
      </c>
      <c r="B37" s="25">
        <v>0.103</v>
      </c>
      <c r="C37" s="13">
        <v>208</v>
      </c>
      <c r="D37" s="174">
        <v>2013</v>
      </c>
      <c r="E37" s="25">
        <v>0.624</v>
      </c>
      <c r="F37" s="13">
        <v>743</v>
      </c>
      <c r="G37" s="174">
        <v>1191</v>
      </c>
      <c r="H37" s="25">
        <v>0.716</v>
      </c>
      <c r="I37" s="13">
        <v>546</v>
      </c>
      <c r="J37" s="185">
        <v>763</v>
      </c>
      <c r="K37" s="63">
        <v>1498</v>
      </c>
      <c r="L37" s="7">
        <v>0.378</v>
      </c>
      <c r="M37" s="26">
        <v>3966</v>
      </c>
      <c r="N37" s="45">
        <v>0.15026373636726517</v>
      </c>
      <c r="O37" s="3">
        <v>1723.6250666666667</v>
      </c>
      <c r="P37" s="174">
        <v>11470.665566666668</v>
      </c>
      <c r="Q37" s="39">
        <v>0.6017564830271851</v>
      </c>
      <c r="R37" s="3">
        <v>3516.3382333333334</v>
      </c>
      <c r="S37" s="3">
        <v>5843.457166666667</v>
      </c>
      <c r="T37" s="39">
        <v>0.9754120350918551</v>
      </c>
      <c r="U37" s="3">
        <v>5311.271833333333</v>
      </c>
      <c r="V37" s="3">
        <v>5445.157166666667</v>
      </c>
      <c r="W37" s="63">
        <v>10551.235133333334</v>
      </c>
      <c r="X37" s="7">
        <v>0.46360144871425973</v>
      </c>
      <c r="Y37" s="24">
        <v>22759.2799</v>
      </c>
      <c r="Z37" s="25">
        <v>0.031</v>
      </c>
      <c r="AA37" s="3">
        <v>21</v>
      </c>
      <c r="AB37" s="3">
        <v>683</v>
      </c>
      <c r="AC37" s="39">
        <v>0.555</v>
      </c>
      <c r="AD37" s="3">
        <v>116</v>
      </c>
      <c r="AE37" s="3">
        <v>209</v>
      </c>
      <c r="AF37" s="39">
        <v>0.988</v>
      </c>
      <c r="AG37" s="3">
        <v>392</v>
      </c>
      <c r="AH37" s="3">
        <v>397</v>
      </c>
      <c r="AI37" s="63">
        <v>530</v>
      </c>
      <c r="AJ37" s="7">
        <v>0.411</v>
      </c>
      <c r="AK37" s="26">
        <v>1289</v>
      </c>
      <c r="AL37" s="93">
        <f t="shared" si="12"/>
        <v>12579.235133333334</v>
      </c>
      <c r="AM37" s="7">
        <f t="shared" si="13"/>
        <v>0.4490293942316659</v>
      </c>
      <c r="AN37" s="3">
        <f t="shared" si="14"/>
        <v>28014.2799</v>
      </c>
      <c r="AO37" s="7">
        <f t="shared" si="15"/>
        <v>0.13783236834933682</v>
      </c>
      <c r="AP37" s="7">
        <f t="shared" si="16"/>
        <v>0.6040400505808196</v>
      </c>
      <c r="AQ37" s="94">
        <f t="shared" si="17"/>
        <v>0.9461200809680456</v>
      </c>
    </row>
    <row r="38" spans="1:43" ht="24.75" customHeight="1">
      <c r="A38" s="177">
        <v>43678</v>
      </c>
      <c r="B38" s="25">
        <v>0.104</v>
      </c>
      <c r="C38" s="13">
        <v>223</v>
      </c>
      <c r="D38" s="174">
        <v>2139</v>
      </c>
      <c r="E38" s="25">
        <v>0.63</v>
      </c>
      <c r="F38" s="13">
        <v>798</v>
      </c>
      <c r="G38" s="174">
        <v>1267</v>
      </c>
      <c r="H38" s="25">
        <v>0.769</v>
      </c>
      <c r="I38" s="13">
        <v>712</v>
      </c>
      <c r="J38" s="185">
        <v>925</v>
      </c>
      <c r="K38" s="63">
        <v>1732</v>
      </c>
      <c r="L38" s="7">
        <v>0.4</v>
      </c>
      <c r="M38" s="26">
        <v>4331</v>
      </c>
      <c r="N38" s="45">
        <v>0.15749180717833478</v>
      </c>
      <c r="O38" s="3">
        <v>2130.4082580645163</v>
      </c>
      <c r="P38" s="174">
        <v>13527.105290322583</v>
      </c>
      <c r="Q38" s="39">
        <v>0.5891531828802268</v>
      </c>
      <c r="R38" s="3">
        <v>3686.090064516129</v>
      </c>
      <c r="S38" s="3">
        <v>6256.590258064516</v>
      </c>
      <c r="T38" s="39">
        <v>0.9782879260894085</v>
      </c>
      <c r="U38" s="3">
        <v>7787.260032258065</v>
      </c>
      <c r="V38" s="3">
        <v>7960.090096774194</v>
      </c>
      <c r="W38" s="63">
        <v>13603.75835483871</v>
      </c>
      <c r="X38" s="7">
        <v>0.4903353323453643</v>
      </c>
      <c r="Y38" s="24">
        <v>27743.785645161293</v>
      </c>
      <c r="Z38" s="25">
        <v>0.029</v>
      </c>
      <c r="AA38" s="3">
        <v>20</v>
      </c>
      <c r="AB38" s="3">
        <v>686</v>
      </c>
      <c r="AC38" s="39">
        <v>0.572</v>
      </c>
      <c r="AD38" s="3">
        <v>116</v>
      </c>
      <c r="AE38" s="3">
        <v>204</v>
      </c>
      <c r="AF38" s="39">
        <v>0.989</v>
      </c>
      <c r="AG38" s="3">
        <v>401</v>
      </c>
      <c r="AH38" s="3">
        <v>406</v>
      </c>
      <c r="AI38" s="63">
        <v>538</v>
      </c>
      <c r="AJ38" s="7">
        <v>0.415</v>
      </c>
      <c r="AK38" s="26">
        <v>1295</v>
      </c>
      <c r="AL38" s="93">
        <f t="shared" si="12"/>
        <v>15873.75835483871</v>
      </c>
      <c r="AM38" s="7">
        <f t="shared" si="13"/>
        <v>0.47569254785250464</v>
      </c>
      <c r="AN38" s="3">
        <f t="shared" si="14"/>
        <v>33369.78564516129</v>
      </c>
      <c r="AO38" s="7">
        <f t="shared" si="15"/>
        <v>0.1451438952921331</v>
      </c>
      <c r="AP38" s="7">
        <f t="shared" si="16"/>
        <v>0.5952813116243415</v>
      </c>
      <c r="AQ38" s="94">
        <f t="shared" si="17"/>
        <v>0.9579349612967565</v>
      </c>
    </row>
    <row r="39" spans="1:43" ht="24.75" customHeight="1">
      <c r="A39" s="177">
        <v>43647</v>
      </c>
      <c r="B39" s="25">
        <v>0.10566638400490223</v>
      </c>
      <c r="C39" s="13">
        <v>266.8175588705716</v>
      </c>
      <c r="D39" s="185">
        <v>2525.0940626320003</v>
      </c>
      <c r="E39" s="25">
        <v>0.6425201488217028</v>
      </c>
      <c r="F39" s="13">
        <v>972.557318212857</v>
      </c>
      <c r="G39" s="185">
        <v>1513.6604198271427</v>
      </c>
      <c r="H39" s="25">
        <v>0.7744311610222187</v>
      </c>
      <c r="I39" s="51">
        <v>601.4192374437145</v>
      </c>
      <c r="J39" s="185">
        <v>776.5948320698573</v>
      </c>
      <c r="K39" s="63">
        <v>1840.794114527143</v>
      </c>
      <c r="L39" s="7">
        <v>0.38227634057056875</v>
      </c>
      <c r="M39" s="26">
        <v>4815.349314529</v>
      </c>
      <c r="N39" s="45">
        <v>0.15829816905875121</v>
      </c>
      <c r="O39" s="3">
        <v>1894.5750967741935</v>
      </c>
      <c r="P39" s="174">
        <v>11968.395516129032</v>
      </c>
      <c r="Q39" s="39">
        <v>0.5927099735004527</v>
      </c>
      <c r="R39" s="3">
        <v>3544.466193548387</v>
      </c>
      <c r="S39" s="3">
        <v>5980.102161290322</v>
      </c>
      <c r="T39" s="39">
        <v>0.9825070038797145</v>
      </c>
      <c r="U39" s="3">
        <v>9639.627451612903</v>
      </c>
      <c r="V39" s="3">
        <v>9811.25570967742</v>
      </c>
      <c r="W39" s="63">
        <v>15078.668741935484</v>
      </c>
      <c r="X39" s="7">
        <v>0.5431845352395788</v>
      </c>
      <c r="Y39" s="24">
        <v>27759.753387096775</v>
      </c>
      <c r="Z39" s="25">
        <v>0.03094780006010485</v>
      </c>
      <c r="AA39" s="3">
        <v>20.94467741935484</v>
      </c>
      <c r="AB39" s="3">
        <v>676.7743548387097</v>
      </c>
      <c r="AC39" s="39">
        <v>0.5500734032081354</v>
      </c>
      <c r="AD39" s="3">
        <v>110.05096774193548</v>
      </c>
      <c r="AE39" s="3">
        <v>200.06596774193548</v>
      </c>
      <c r="AF39" s="39">
        <v>0.9892004990212674</v>
      </c>
      <c r="AG39" s="3">
        <v>413.6189677419355</v>
      </c>
      <c r="AH39" s="3">
        <v>418.13461290322584</v>
      </c>
      <c r="AI39" s="63">
        <v>544.6146129032259</v>
      </c>
      <c r="AJ39" s="7">
        <v>0.42055996450597644</v>
      </c>
      <c r="AK39" s="26">
        <v>1294.974935483871</v>
      </c>
      <c r="AL39" s="93">
        <f t="shared" si="12"/>
        <v>17464.077469365853</v>
      </c>
      <c r="AM39" s="7">
        <f t="shared" si="13"/>
        <v>0.5156196468304339</v>
      </c>
      <c r="AN39" s="3">
        <f t="shared" si="14"/>
        <v>33870.07763710964</v>
      </c>
      <c r="AO39" s="7">
        <f t="shared" si="15"/>
        <v>0.143856253432123</v>
      </c>
      <c r="AP39" s="7">
        <f t="shared" si="16"/>
        <v>0.6014007785745547</v>
      </c>
      <c r="AQ39" s="94">
        <f t="shared" si="17"/>
        <v>0.9680792320800559</v>
      </c>
    </row>
    <row r="40" spans="1:43" ht="24.75" customHeight="1">
      <c r="A40" s="177">
        <v>43617</v>
      </c>
      <c r="B40" s="25">
        <v>0.107</v>
      </c>
      <c r="C40" s="51">
        <v>223</v>
      </c>
      <c r="D40" s="173">
        <v>2079</v>
      </c>
      <c r="E40" s="25">
        <v>0.65</v>
      </c>
      <c r="F40" s="51">
        <v>814</v>
      </c>
      <c r="G40" s="173">
        <v>1251</v>
      </c>
      <c r="H40" s="25">
        <v>0.782</v>
      </c>
      <c r="I40" s="51">
        <v>525</v>
      </c>
      <c r="J40" s="173">
        <v>671</v>
      </c>
      <c r="K40" s="63">
        <v>1562</v>
      </c>
      <c r="L40" s="7">
        <v>0.39</v>
      </c>
      <c r="M40" s="26">
        <v>4002</v>
      </c>
      <c r="N40" s="45">
        <v>0.15975084866710482</v>
      </c>
      <c r="O40" s="3">
        <v>1663.0456333333334</v>
      </c>
      <c r="P40" s="174">
        <v>10410.246000000001</v>
      </c>
      <c r="Q40" s="39">
        <v>0.6072667399109216</v>
      </c>
      <c r="R40" s="3">
        <v>3219.516966666667</v>
      </c>
      <c r="S40" s="3">
        <v>5301.652066666667</v>
      </c>
      <c r="T40" s="39">
        <v>0.972593817348268</v>
      </c>
      <c r="U40" s="3">
        <v>4497.970966666667</v>
      </c>
      <c r="V40" s="3">
        <v>4624.7168</v>
      </c>
      <c r="W40" s="63">
        <v>9380.533566666667</v>
      </c>
      <c r="X40" s="7">
        <v>0.46126327455028454</v>
      </c>
      <c r="Y40" s="24">
        <v>20336.61486666667</v>
      </c>
      <c r="Z40" s="25">
        <v>0.038</v>
      </c>
      <c r="AA40" s="3">
        <v>24</v>
      </c>
      <c r="AB40" s="3">
        <v>649</v>
      </c>
      <c r="AC40" s="39">
        <v>0.543</v>
      </c>
      <c r="AD40" s="3">
        <v>106</v>
      </c>
      <c r="AE40" s="3">
        <v>195</v>
      </c>
      <c r="AF40" s="39">
        <v>0.988</v>
      </c>
      <c r="AG40" s="3">
        <v>364</v>
      </c>
      <c r="AH40" s="3">
        <v>369</v>
      </c>
      <c r="AI40" s="63">
        <v>495</v>
      </c>
      <c r="AJ40" s="7">
        <v>0.408</v>
      </c>
      <c r="AK40" s="26">
        <v>1212</v>
      </c>
      <c r="AL40" s="93">
        <f t="shared" si="12"/>
        <v>11437.533566666667</v>
      </c>
      <c r="AM40" s="7">
        <f t="shared" si="13"/>
        <v>0.44764220455563564</v>
      </c>
      <c r="AN40" s="3">
        <f t="shared" si="14"/>
        <v>25550.61486666667</v>
      </c>
      <c r="AO40" s="7">
        <f t="shared" si="15"/>
        <v>0.14538056551333667</v>
      </c>
      <c r="AP40" s="7">
        <f t="shared" si="16"/>
        <v>0.6134751652527904</v>
      </c>
      <c r="AQ40" s="94">
        <f t="shared" si="17"/>
        <v>0.9509691581875137</v>
      </c>
    </row>
    <row r="41" spans="1:43" ht="16.5" customHeight="1">
      <c r="A41" s="177">
        <v>43586</v>
      </c>
      <c r="B41" s="25">
        <v>0.1072925341871724</v>
      </c>
      <c r="C41" s="51">
        <v>214.4423426180001</v>
      </c>
      <c r="D41" s="173">
        <v>1998.6697512792857</v>
      </c>
      <c r="E41" s="25">
        <v>0.6255446022054998</v>
      </c>
      <c r="F41" s="51">
        <v>722.3485492651427</v>
      </c>
      <c r="G41" s="173">
        <v>1154.7514705079998</v>
      </c>
      <c r="H41" s="25">
        <v>0.8080377151077921</v>
      </c>
      <c r="I41" s="51">
        <v>455.6221784862857</v>
      </c>
      <c r="J41" s="173">
        <v>563.8625152855715</v>
      </c>
      <c r="K41" s="63">
        <v>1392.4130703694284</v>
      </c>
      <c r="L41" s="7">
        <v>0.37457809757236127</v>
      </c>
      <c r="M41" s="26">
        <v>3717.283737072857</v>
      </c>
      <c r="N41" s="45">
        <v>0.16053418198470373</v>
      </c>
      <c r="O41" s="3">
        <v>1756.3552580645162</v>
      </c>
      <c r="P41" s="174">
        <v>10940.69335483871</v>
      </c>
      <c r="Q41" s="39">
        <v>0.6174770239749161</v>
      </c>
      <c r="R41" s="3">
        <v>3133.2965483870967</v>
      </c>
      <c r="S41" s="3">
        <v>5074.353258064516</v>
      </c>
      <c r="T41" s="39">
        <v>0.9766233241517911</v>
      </c>
      <c r="U41" s="3">
        <v>7761.543967741935</v>
      </c>
      <c r="V41" s="3">
        <v>7947.3260322580645</v>
      </c>
      <c r="W41" s="63">
        <v>12651.195774193548</v>
      </c>
      <c r="X41" s="7">
        <v>0.5279608977597716</v>
      </c>
      <c r="Y41" s="24">
        <v>23962.37264516129</v>
      </c>
      <c r="Z41" s="25">
        <v>0.02947785619727252</v>
      </c>
      <c r="AA41" s="3">
        <v>24.161451612903225</v>
      </c>
      <c r="AB41" s="3">
        <v>819.6475161290323</v>
      </c>
      <c r="AC41" s="39">
        <v>0.5330058714749175</v>
      </c>
      <c r="AD41" s="3">
        <v>104.6446129032258</v>
      </c>
      <c r="AE41" s="3">
        <v>196.32919354838708</v>
      </c>
      <c r="AF41" s="39">
        <v>0.98705733778162</v>
      </c>
      <c r="AG41" s="3">
        <v>394.8032258064516</v>
      </c>
      <c r="AH41" s="3">
        <v>399.9800322580645</v>
      </c>
      <c r="AI41" s="63">
        <v>523.6092903225806</v>
      </c>
      <c r="AJ41" s="7">
        <v>0.3697918692112404</v>
      </c>
      <c r="AK41" s="26">
        <v>1415.956741935484</v>
      </c>
      <c r="AL41" s="93">
        <f t="shared" si="12"/>
        <v>14567.218134885556</v>
      </c>
      <c r="AM41" s="7">
        <f t="shared" si="13"/>
        <v>0.5006671649336929</v>
      </c>
      <c r="AN41" s="3">
        <f t="shared" si="14"/>
        <v>29095.613124169628</v>
      </c>
      <c r="AO41" s="7">
        <f t="shared" si="15"/>
        <v>0.14499291461188046</v>
      </c>
      <c r="AP41" s="7">
        <f t="shared" si="16"/>
        <v>0.6163458777346286</v>
      </c>
      <c r="AQ41" s="94">
        <f t="shared" si="17"/>
        <v>0.9664242455871388</v>
      </c>
    </row>
    <row r="42" spans="1:43" ht="16.5" customHeight="1">
      <c r="A42" s="177">
        <v>43556</v>
      </c>
      <c r="B42" s="25">
        <v>0.1084008946096204</v>
      </c>
      <c r="C42" s="51">
        <v>231.3141533277142</v>
      </c>
      <c r="D42" s="173">
        <v>2133.876792813714</v>
      </c>
      <c r="E42" s="25">
        <v>0.6426010638432587</v>
      </c>
      <c r="F42" s="51">
        <v>753.065205596143</v>
      </c>
      <c r="G42" s="173">
        <v>1171.9015855532857</v>
      </c>
      <c r="H42" s="25">
        <v>0.8785497008598193</v>
      </c>
      <c r="I42" s="51">
        <v>478.5674029151429</v>
      </c>
      <c r="J42" s="173">
        <v>544.7243365364286</v>
      </c>
      <c r="K42" s="63">
        <v>1462.946761839</v>
      </c>
      <c r="L42" s="7">
        <v>0.37993656157588007</v>
      </c>
      <c r="M42" s="26">
        <v>3850.5027149034286</v>
      </c>
      <c r="N42" s="45">
        <v>0.15502809369580595</v>
      </c>
      <c r="O42" s="3">
        <v>1764.8740333333335</v>
      </c>
      <c r="P42" s="174">
        <v>11384.2207</v>
      </c>
      <c r="Q42" s="39">
        <v>0.613433342552447</v>
      </c>
      <c r="R42" s="3">
        <v>3170.9672</v>
      </c>
      <c r="S42" s="3">
        <v>5169.212333333333</v>
      </c>
      <c r="T42" s="39">
        <v>0.9736979558027449</v>
      </c>
      <c r="U42" s="3">
        <v>5618.2571333333335</v>
      </c>
      <c r="V42" s="3">
        <v>5770.020466666667</v>
      </c>
      <c r="W42" s="63">
        <v>10554.098366666667</v>
      </c>
      <c r="X42" s="7">
        <v>0.47278071767285773</v>
      </c>
      <c r="Y42" s="24">
        <v>22323.4535</v>
      </c>
      <c r="Z42" s="25">
        <v>0.0357129363948641</v>
      </c>
      <c r="AA42" s="3">
        <v>29.208633333333335</v>
      </c>
      <c r="AB42" s="3">
        <v>817.8726333333332</v>
      </c>
      <c r="AC42" s="39">
        <v>0.5310579597882117</v>
      </c>
      <c r="AD42" s="3">
        <v>114.88003333333333</v>
      </c>
      <c r="AE42" s="3">
        <v>216.32296666666667</v>
      </c>
      <c r="AF42" s="39">
        <v>0.9854929720725865</v>
      </c>
      <c r="AG42" s="3">
        <v>424.04353333333336</v>
      </c>
      <c r="AH42" s="3">
        <v>430.2857</v>
      </c>
      <c r="AI42" s="63">
        <v>568.1322</v>
      </c>
      <c r="AJ42" s="7">
        <v>0.3879409044007595</v>
      </c>
      <c r="AK42" s="26">
        <v>1464.4813</v>
      </c>
      <c r="AL42" s="93">
        <f aca="true" t="shared" si="18" ref="AL42:AL47">+AI42+W42+K42</f>
        <v>12585.177328505666</v>
      </c>
      <c r="AM42" s="7">
        <f aca="true" t="shared" si="19" ref="AM42:AM47">AL42/AN42</f>
        <v>0.4553505357066362</v>
      </c>
      <c r="AN42" s="3">
        <f aca="true" t="shared" si="20" ref="AN42:AN47">+AK42+Y42+M42</f>
        <v>27638.437514903428</v>
      </c>
      <c r="AO42" s="7">
        <f aca="true" t="shared" si="21" ref="AO42:AO47">(+AA42+O42+C42)/(D42+P42+AB42)</f>
        <v>0.14128076455044408</v>
      </c>
      <c r="AP42" s="7">
        <f aca="true" t="shared" si="22" ref="AP42:AP47">(+AD42+R42+F42)/(G42+S42+AE42)</f>
        <v>0.6159285265600681</v>
      </c>
      <c r="AQ42" s="94">
        <f aca="true" t="shared" si="23" ref="AQ42:AQ47">(AG42+U42+I42)/(AH42+V42+J42)</f>
        <v>0.9667662831895519</v>
      </c>
    </row>
    <row r="43" spans="1:43" ht="16.5" customHeight="1">
      <c r="A43" s="177">
        <v>43525</v>
      </c>
      <c r="B43" s="25">
        <v>0.108</v>
      </c>
      <c r="C43" s="51">
        <v>240</v>
      </c>
      <c r="D43" s="173">
        <v>2234</v>
      </c>
      <c r="E43" s="25">
        <v>0.642</v>
      </c>
      <c r="F43" s="51">
        <v>724</v>
      </c>
      <c r="G43" s="173">
        <v>1128</v>
      </c>
      <c r="H43" s="25">
        <v>0.78</v>
      </c>
      <c r="I43" s="51">
        <v>462</v>
      </c>
      <c r="J43" s="173">
        <v>593</v>
      </c>
      <c r="K43" s="63">
        <v>1427</v>
      </c>
      <c r="L43" s="7">
        <v>0.361</v>
      </c>
      <c r="M43" s="26">
        <v>3954</v>
      </c>
      <c r="N43" s="45">
        <v>0.15206976037587552</v>
      </c>
      <c r="O43" s="3">
        <v>2013.5650322580645</v>
      </c>
      <c r="P43" s="174">
        <v>13241.061387096775</v>
      </c>
      <c r="Q43" s="39">
        <v>0.6067156901312175</v>
      </c>
      <c r="R43" s="3">
        <v>3408.7276129032257</v>
      </c>
      <c r="S43" s="3">
        <v>5618.327774193548</v>
      </c>
      <c r="T43" s="39">
        <v>0.9740873416422654</v>
      </c>
      <c r="U43" s="3">
        <v>8062.985032258065</v>
      </c>
      <c r="V43" s="3">
        <v>8277.476451612903</v>
      </c>
      <c r="W43" s="63">
        <v>13485.277677419355</v>
      </c>
      <c r="X43" s="7">
        <v>0.4969357135706668</v>
      </c>
      <c r="Y43" s="24">
        <v>27136.865612903228</v>
      </c>
      <c r="Z43" s="25">
        <v>0.034</v>
      </c>
      <c r="AA43" s="3">
        <v>28</v>
      </c>
      <c r="AB43" s="3">
        <v>827</v>
      </c>
      <c r="AC43" s="39">
        <v>0.535</v>
      </c>
      <c r="AD43" s="3">
        <v>108</v>
      </c>
      <c r="AE43" s="3">
        <v>201</v>
      </c>
      <c r="AF43" s="39">
        <v>0.984</v>
      </c>
      <c r="AG43" s="3">
        <v>417</v>
      </c>
      <c r="AH43" s="3">
        <v>423</v>
      </c>
      <c r="AI43" s="63">
        <v>552</v>
      </c>
      <c r="AJ43" s="7">
        <v>0.381</v>
      </c>
      <c r="AK43" s="26">
        <v>1451</v>
      </c>
      <c r="AL43" s="93">
        <f t="shared" si="18"/>
        <v>15464.277677419355</v>
      </c>
      <c r="AM43" s="7">
        <f t="shared" si="19"/>
        <v>0.47521177370014056</v>
      </c>
      <c r="AN43" s="3">
        <f t="shared" si="20"/>
        <v>32541.865612903228</v>
      </c>
      <c r="AO43" s="7">
        <f t="shared" si="21"/>
        <v>0.13995561531034004</v>
      </c>
      <c r="AP43" s="7">
        <f t="shared" si="22"/>
        <v>0.6104113337873269</v>
      </c>
      <c r="AQ43" s="94">
        <f t="shared" si="23"/>
        <v>0.9621786937122074</v>
      </c>
    </row>
    <row r="44" spans="1:43" ht="16.5" customHeight="1">
      <c r="A44" s="177">
        <v>43497</v>
      </c>
      <c r="B44" s="25">
        <v>0.10627618248758666</v>
      </c>
      <c r="C44" s="51">
        <v>279.76759769871416</v>
      </c>
      <c r="D44" s="173">
        <v>2632.458102561143</v>
      </c>
      <c r="E44" s="25">
        <v>0.6343665682546799</v>
      </c>
      <c r="F44" s="51">
        <v>859.9246648298571</v>
      </c>
      <c r="G44" s="173">
        <v>1355.5642870584286</v>
      </c>
      <c r="H44" s="25">
        <v>0.7845859374718643</v>
      </c>
      <c r="I44" s="51">
        <v>478.53931631157144</v>
      </c>
      <c r="J44" s="173">
        <v>609.9259411321428</v>
      </c>
      <c r="K44" s="63">
        <v>1618.2315788401427</v>
      </c>
      <c r="L44" s="7">
        <v>0.35194644707448886</v>
      </c>
      <c r="M44" s="26">
        <v>4597.948330751715</v>
      </c>
      <c r="N44" s="45">
        <v>0.1514136340949789</v>
      </c>
      <c r="O44" s="3">
        <v>2330.145642857143</v>
      </c>
      <c r="P44" s="174">
        <v>15389.272285714287</v>
      </c>
      <c r="Q44" s="39">
        <v>0.5784047423962576</v>
      </c>
      <c r="R44" s="3">
        <v>3255.6758214285715</v>
      </c>
      <c r="S44" s="3">
        <v>5628.715642857143</v>
      </c>
      <c r="T44" s="39">
        <v>0.9549398637089684</v>
      </c>
      <c r="U44" s="3">
        <v>4510.5135</v>
      </c>
      <c r="V44" s="3">
        <v>4723.348214285715</v>
      </c>
      <c r="W44" s="63">
        <v>10096.334964285714</v>
      </c>
      <c r="X44" s="7">
        <v>0.3922226456409996</v>
      </c>
      <c r="Y44" s="24">
        <v>25741.336142857144</v>
      </c>
      <c r="Z44" s="25">
        <v>0.03166798977121302</v>
      </c>
      <c r="AA44" s="3">
        <v>34.327642857142855</v>
      </c>
      <c r="AB44" s="3">
        <v>1083.9855357142856</v>
      </c>
      <c r="AC44" s="39">
        <v>0.5148638473331185</v>
      </c>
      <c r="AD44" s="3">
        <v>122.10253571428572</v>
      </c>
      <c r="AE44" s="3">
        <v>237.155</v>
      </c>
      <c r="AF44" s="39">
        <v>0.9822951953282926</v>
      </c>
      <c r="AG44" s="3">
        <v>447.05882142857143</v>
      </c>
      <c r="AH44" s="3">
        <v>455.1165714285715</v>
      </c>
      <c r="AI44" s="63">
        <v>603.489</v>
      </c>
      <c r="AJ44" s="7">
        <v>0.3397531796344075</v>
      </c>
      <c r="AK44" s="26">
        <v>1776.257107142857</v>
      </c>
      <c r="AL44" s="93">
        <f t="shared" si="18"/>
        <v>12318.055543125856</v>
      </c>
      <c r="AM44" s="7">
        <f t="shared" si="19"/>
        <v>0.3835543458656359</v>
      </c>
      <c r="AN44" s="3">
        <f t="shared" si="20"/>
        <v>32115.541580751717</v>
      </c>
      <c r="AO44" s="7">
        <f t="shared" si="21"/>
        <v>0.1384005129110504</v>
      </c>
      <c r="AP44" s="7">
        <f t="shared" si="22"/>
        <v>0.5868228493505595</v>
      </c>
      <c r="AQ44" s="94">
        <f t="shared" si="23"/>
        <v>0.9391404095317161</v>
      </c>
    </row>
    <row r="45" spans="1:43" ht="16.5" customHeight="1">
      <c r="A45" s="177">
        <v>43466</v>
      </c>
      <c r="B45" s="25">
        <v>0.10743702734558154</v>
      </c>
      <c r="C45" s="51">
        <v>282.35460882171435</v>
      </c>
      <c r="D45" s="173">
        <v>2628.094017470286</v>
      </c>
      <c r="E45" s="25">
        <v>0.6445998150196136</v>
      </c>
      <c r="F45" s="51">
        <v>853.8143504240003</v>
      </c>
      <c r="G45" s="173">
        <v>1324.564994481143</v>
      </c>
      <c r="H45" s="25">
        <v>0.8234874336221693</v>
      </c>
      <c r="I45" s="51">
        <v>459.00565804742854</v>
      </c>
      <c r="J45" s="173">
        <v>557.3924255631429</v>
      </c>
      <c r="K45" s="63">
        <v>1595.1746172931432</v>
      </c>
      <c r="L45" s="7">
        <v>0.3536932204418986</v>
      </c>
      <c r="M45" s="26">
        <v>4510.051437514572</v>
      </c>
      <c r="N45" s="45">
        <v>0.15659275408497858</v>
      </c>
      <c r="O45" s="3">
        <v>2227.354870967742</v>
      </c>
      <c r="P45" s="174">
        <v>14223.869322580646</v>
      </c>
      <c r="Q45" s="39">
        <v>0.6150267860336254</v>
      </c>
      <c r="R45" s="3">
        <v>3596.701483870968</v>
      </c>
      <c r="S45" s="3">
        <v>5848.040387096775</v>
      </c>
      <c r="T45" s="39">
        <v>0.9781958011248642</v>
      </c>
      <c r="U45" s="3">
        <v>8730.520935483872</v>
      </c>
      <c r="V45" s="3">
        <v>8925.126161290324</v>
      </c>
      <c r="W45" s="63">
        <v>14554.57729032258</v>
      </c>
      <c r="X45" s="7">
        <v>0.5019332788043634</v>
      </c>
      <c r="Y45" s="24">
        <v>28997.035870967746</v>
      </c>
      <c r="Z45" s="25">
        <v>0.02887930489067942</v>
      </c>
      <c r="AA45" s="3">
        <v>27.682032258064517</v>
      </c>
      <c r="AB45" s="3">
        <v>958.5421935483871</v>
      </c>
      <c r="AC45" s="39">
        <v>0.5198350538783757</v>
      </c>
      <c r="AD45" s="3">
        <v>114.46003225806452</v>
      </c>
      <c r="AE45" s="3">
        <v>220.18529032258067</v>
      </c>
      <c r="AF45" s="39">
        <v>0.9813327957813258</v>
      </c>
      <c r="AG45" s="3">
        <v>418.66148387096774</v>
      </c>
      <c r="AH45" s="3">
        <v>426.62538709677415</v>
      </c>
      <c r="AI45" s="63">
        <v>560.8035483870967</v>
      </c>
      <c r="AJ45" s="7">
        <v>0.34933350699963683</v>
      </c>
      <c r="AK45" s="26">
        <v>1605.3528709677419</v>
      </c>
      <c r="AL45" s="93">
        <f t="shared" si="18"/>
        <v>16710.55545600282</v>
      </c>
      <c r="AM45" s="7">
        <f t="shared" si="19"/>
        <v>0.4759155265370265</v>
      </c>
      <c r="AN45" s="3">
        <f t="shared" si="20"/>
        <v>35112.44017945006</v>
      </c>
      <c r="AO45" s="7">
        <f t="shared" si="21"/>
        <v>0.14246600172357607</v>
      </c>
      <c r="AP45" s="7">
        <f t="shared" si="22"/>
        <v>0.6174902102806995</v>
      </c>
      <c r="AQ45" s="94">
        <f t="shared" si="23"/>
        <v>0.9696284666627972</v>
      </c>
    </row>
    <row r="46" spans="1:43" ht="16.5" customHeight="1">
      <c r="A46" s="177">
        <v>43435</v>
      </c>
      <c r="B46" s="25">
        <v>0.10699825456817628</v>
      </c>
      <c r="C46" s="51">
        <v>280.05711416085694</v>
      </c>
      <c r="D46" s="173">
        <v>2617.398903291571</v>
      </c>
      <c r="E46" s="25">
        <v>0.6160130483876717</v>
      </c>
      <c r="F46" s="51">
        <v>817.5313234217143</v>
      </c>
      <c r="G46" s="173">
        <v>1327.133127393143</v>
      </c>
      <c r="H46" s="25">
        <v>0.7971709301228567</v>
      </c>
      <c r="I46" s="51">
        <v>417.8419070468571</v>
      </c>
      <c r="J46" s="173">
        <v>524.1559761624286</v>
      </c>
      <c r="K46" s="63">
        <v>1515.4303446294284</v>
      </c>
      <c r="L46" s="7">
        <v>0.3391219844185613</v>
      </c>
      <c r="M46" s="26">
        <v>4468.688006847143</v>
      </c>
      <c r="N46" s="45">
        <v>0.15770952336952074</v>
      </c>
      <c r="O46" s="3">
        <v>2118.4153870967743</v>
      </c>
      <c r="P46" s="174">
        <v>13432.387225806451</v>
      </c>
      <c r="Q46" s="39">
        <v>0.5938528874508695</v>
      </c>
      <c r="R46" s="3">
        <v>3079.6004838709678</v>
      </c>
      <c r="S46" s="3">
        <v>5185.7969354838715</v>
      </c>
      <c r="T46" s="39">
        <v>0.9662138668371376</v>
      </c>
      <c r="U46" s="3">
        <v>4924.763903225807</v>
      </c>
      <c r="V46" s="3">
        <v>5096.970838709678</v>
      </c>
      <c r="W46" s="63">
        <v>10122.779774193548</v>
      </c>
      <c r="X46" s="7">
        <v>0.42684856051725356</v>
      </c>
      <c r="Y46" s="24">
        <v>23715.155</v>
      </c>
      <c r="Z46" s="25">
        <v>0.029545330315179495</v>
      </c>
      <c r="AA46" s="3">
        <v>26.345806451612905</v>
      </c>
      <c r="AB46" s="3">
        <v>891.7079677419355</v>
      </c>
      <c r="AC46" s="39">
        <v>0.5117911804618052</v>
      </c>
      <c r="AD46" s="3">
        <v>108.36232258064516</v>
      </c>
      <c r="AE46" s="3">
        <v>211.73151612903226</v>
      </c>
      <c r="AF46" s="39">
        <v>0.9845770900031693</v>
      </c>
      <c r="AG46" s="3">
        <v>401.7487096774193</v>
      </c>
      <c r="AH46" s="3">
        <v>408.04190322580644</v>
      </c>
      <c r="AI46" s="63">
        <v>536.4568387096774</v>
      </c>
      <c r="AJ46" s="7">
        <v>0.35492123375736295</v>
      </c>
      <c r="AK46" s="26">
        <v>1511.4813870967741</v>
      </c>
      <c r="AL46" s="93">
        <f t="shared" si="18"/>
        <v>12174.666957532654</v>
      </c>
      <c r="AM46" s="7">
        <f t="shared" si="19"/>
        <v>0.4099859895794088</v>
      </c>
      <c r="AN46" s="3">
        <f t="shared" si="20"/>
        <v>29695.324393943916</v>
      </c>
      <c r="AO46" s="7">
        <f t="shared" si="21"/>
        <v>0.14312895272687537</v>
      </c>
      <c r="AP46" s="7">
        <f t="shared" si="22"/>
        <v>0.5956424844304756</v>
      </c>
      <c r="AQ46" s="94">
        <f t="shared" si="23"/>
        <v>0.9527606190065812</v>
      </c>
    </row>
    <row r="47" spans="1:43" ht="16.5" customHeight="1">
      <c r="A47" s="177">
        <v>43405</v>
      </c>
      <c r="B47" s="25">
        <v>0.10740958685305609</v>
      </c>
      <c r="C47" s="51">
        <v>253.1827746630001</v>
      </c>
      <c r="D47" s="173">
        <v>2357.171106238143</v>
      </c>
      <c r="E47" s="25">
        <v>0.6199177500371084</v>
      </c>
      <c r="F47" s="51">
        <v>834.7576322660003</v>
      </c>
      <c r="G47" s="173">
        <v>1346.5619144088575</v>
      </c>
      <c r="H47" s="25">
        <v>0.80899214984291</v>
      </c>
      <c r="I47" s="51">
        <v>448.5467559694286</v>
      </c>
      <c r="J47" s="173">
        <v>554.4513084045715</v>
      </c>
      <c r="K47" s="63">
        <v>1536.487162898429</v>
      </c>
      <c r="L47" s="7">
        <v>0.36083152916037614</v>
      </c>
      <c r="M47" s="26">
        <v>4258.184329051572</v>
      </c>
      <c r="N47" s="45">
        <v>0.1664754799908357</v>
      </c>
      <c r="O47" s="3">
        <v>1928.3205666666668</v>
      </c>
      <c r="P47" s="174">
        <v>11583.210733333333</v>
      </c>
      <c r="Q47" s="39">
        <v>0.630071667382699</v>
      </c>
      <c r="R47" s="3">
        <v>3525.1718</v>
      </c>
      <c r="S47" s="3">
        <v>5594.874333333333</v>
      </c>
      <c r="T47" s="39">
        <v>0.981227707804003</v>
      </c>
      <c r="U47" s="3">
        <v>7246.6622333333335</v>
      </c>
      <c r="V47" s="3">
        <v>7385.301266666666</v>
      </c>
      <c r="W47" s="63">
        <v>12700.154600000002</v>
      </c>
      <c r="X47" s="7">
        <v>0.5170359830543996</v>
      </c>
      <c r="Y47" s="24">
        <v>24563.386333333332</v>
      </c>
      <c r="Z47" s="25">
        <v>0.02993044670899839</v>
      </c>
      <c r="AA47" s="3">
        <v>25.602266666666665</v>
      </c>
      <c r="AB47" s="3">
        <v>855.3920666666667</v>
      </c>
      <c r="AC47" s="39">
        <v>0.5137429959433254</v>
      </c>
      <c r="AD47" s="3">
        <v>108.64566666666666</v>
      </c>
      <c r="AE47" s="3">
        <v>211.47863333333333</v>
      </c>
      <c r="AF47" s="39">
        <v>0.9865273417187841</v>
      </c>
      <c r="AG47" s="3">
        <v>419.47086666666667</v>
      </c>
      <c r="AH47" s="3">
        <v>425.19943333333333</v>
      </c>
      <c r="AI47" s="63">
        <v>553.7188</v>
      </c>
      <c r="AJ47" s="7">
        <v>0.3711077566863256</v>
      </c>
      <c r="AK47" s="26">
        <v>1492.0701333333332</v>
      </c>
      <c r="AL47" s="93">
        <f t="shared" si="18"/>
        <v>14790.360562898431</v>
      </c>
      <c r="AM47" s="7">
        <f t="shared" si="19"/>
        <v>0.48791105834398985</v>
      </c>
      <c r="AN47" s="3">
        <f t="shared" si="20"/>
        <v>30313.64079571824</v>
      </c>
      <c r="AO47" s="7">
        <f t="shared" si="21"/>
        <v>0.14917135271077514</v>
      </c>
      <c r="AP47" s="7">
        <f t="shared" si="22"/>
        <v>0.6247208548161508</v>
      </c>
      <c r="AQ47" s="94">
        <f t="shared" si="23"/>
        <v>0.9700808621276387</v>
      </c>
    </row>
    <row r="48" spans="1:43" ht="15" customHeight="1">
      <c r="A48" s="177">
        <v>43404</v>
      </c>
      <c r="B48" s="25">
        <v>0.10476866813943123</v>
      </c>
      <c r="C48" s="51">
        <v>240.57255571614274</v>
      </c>
      <c r="D48" s="173">
        <v>2296.226152230714</v>
      </c>
      <c r="E48" s="25">
        <v>0.632621865387127</v>
      </c>
      <c r="F48" s="51">
        <v>793.3265648315713</v>
      </c>
      <c r="G48" s="173">
        <v>1254.029631660143</v>
      </c>
      <c r="H48" s="25">
        <v>0.8733438235237774</v>
      </c>
      <c r="I48" s="51">
        <v>471.2288821974284</v>
      </c>
      <c r="J48" s="173">
        <v>539.5685748324283</v>
      </c>
      <c r="K48" s="63">
        <v>1505.1280027451426</v>
      </c>
      <c r="L48" s="7">
        <v>0.3680177608446237</v>
      </c>
      <c r="M48" s="26">
        <v>4089.8243587232855</v>
      </c>
      <c r="N48" s="45">
        <v>0.17009863678128598</v>
      </c>
      <c r="O48" s="4">
        <v>1817.3523870967742</v>
      </c>
      <c r="P48" s="181">
        <v>10684.10906451613</v>
      </c>
      <c r="Q48" s="192">
        <v>0.5867061792707112</v>
      </c>
      <c r="R48" s="4">
        <v>3434.620935483871</v>
      </c>
      <c r="S48" s="4">
        <v>5854.073225806452</v>
      </c>
      <c r="T48" s="192">
        <v>0.9771925024699104</v>
      </c>
      <c r="U48" s="4">
        <v>7975.0579032258065</v>
      </c>
      <c r="V48" s="4">
        <v>8161.194322580645</v>
      </c>
      <c r="W48" s="66">
        <v>13227.031225806451</v>
      </c>
      <c r="X48" s="67">
        <v>0.5355208527366843</v>
      </c>
      <c r="Y48" s="198">
        <v>24699.376612903226</v>
      </c>
      <c r="Z48" s="25">
        <v>0.03242294083716366</v>
      </c>
      <c r="AA48" s="3">
        <v>21.796645161290325</v>
      </c>
      <c r="AB48" s="3">
        <v>672.2599677419355</v>
      </c>
      <c r="AC48" s="39">
        <v>0.5302394016928044</v>
      </c>
      <c r="AD48" s="3">
        <v>108.07693548387097</v>
      </c>
      <c r="AE48" s="3">
        <v>203.82667741935487</v>
      </c>
      <c r="AF48" s="39">
        <v>0.9741823701233023</v>
      </c>
      <c r="AG48" s="3">
        <v>455.01032258064515</v>
      </c>
      <c r="AH48" s="3">
        <v>467.0689354838709</v>
      </c>
      <c r="AI48" s="63">
        <v>584.8839032258065</v>
      </c>
      <c r="AJ48" s="7">
        <v>0.43545506689915087</v>
      </c>
      <c r="AK48" s="26">
        <v>1343.1555806451613</v>
      </c>
      <c r="AL48" s="93">
        <f>+AI48+W48+K48</f>
        <v>15317.043131777402</v>
      </c>
      <c r="AM48" s="7">
        <f>AL48/AN48</f>
        <v>0.5083254310098972</v>
      </c>
      <c r="AN48" s="3">
        <f>+AK48+Y48+M48</f>
        <v>30132.356552271674</v>
      </c>
      <c r="AO48" s="7">
        <f>(+AA48+O48+C48)/(D48+P48+AB48)</f>
        <v>0.1523315940940706</v>
      </c>
      <c r="AP48" s="7">
        <f>(+AD48+R48+F48)/(G48+S48+AE48)</f>
        <v>0.5930068684485683</v>
      </c>
      <c r="AQ48" s="94">
        <f>(AG48+U48+I48)/(AH48+V48+J48)</f>
        <v>0.9709271799754596</v>
      </c>
    </row>
    <row r="49" spans="1:43" ht="15" customHeight="1">
      <c r="A49" s="177">
        <v>43361</v>
      </c>
      <c r="B49" s="25">
        <v>0.10367836591937836</v>
      </c>
      <c r="C49" s="51">
        <v>212.53095050514275</v>
      </c>
      <c r="D49" s="173">
        <v>2049.906444999428</v>
      </c>
      <c r="E49" s="25">
        <v>0.6244119819767223</v>
      </c>
      <c r="F49" s="51">
        <v>746.6995535047141</v>
      </c>
      <c r="G49" s="173">
        <v>1195.8443704761428</v>
      </c>
      <c r="H49" s="25">
        <v>0.8683523028276485</v>
      </c>
      <c r="I49" s="51">
        <v>501.7538462842857</v>
      </c>
      <c r="J49" s="173">
        <v>577.8229005098572</v>
      </c>
      <c r="K49" s="63">
        <v>1460.9843502941426</v>
      </c>
      <c r="L49" s="7">
        <v>0.38209917182611747</v>
      </c>
      <c r="M49" s="26">
        <v>3823.573715985428</v>
      </c>
      <c r="N49" s="45">
        <v>0.17907177560407667</v>
      </c>
      <c r="O49" s="3">
        <v>2272.7100333333333</v>
      </c>
      <c r="P49" s="174">
        <v>12691.615</v>
      </c>
      <c r="Q49" s="39">
        <v>0.5743247079003027</v>
      </c>
      <c r="R49" s="3">
        <v>3439.0472000000004</v>
      </c>
      <c r="S49" s="3">
        <v>5987.984066666668</v>
      </c>
      <c r="T49" s="39">
        <v>0.9772327515087835</v>
      </c>
      <c r="U49" s="3">
        <v>8897.246466666667</v>
      </c>
      <c r="V49" s="3">
        <v>9104.5316</v>
      </c>
      <c r="W49" s="63">
        <v>14609.003700000001</v>
      </c>
      <c r="X49" s="7">
        <v>0.5258038797494858</v>
      </c>
      <c r="Y49" s="24">
        <v>27784.130666666668</v>
      </c>
      <c r="Z49" s="25">
        <v>0.03117306763258665</v>
      </c>
      <c r="AA49" s="3">
        <v>21.900266666666667</v>
      </c>
      <c r="AB49" s="3">
        <v>702.5380666666666</v>
      </c>
      <c r="AC49" s="39">
        <v>0.5330866675206967</v>
      </c>
      <c r="AD49" s="3">
        <v>112.21753333333332</v>
      </c>
      <c r="AE49" s="3">
        <v>210.5052333333333</v>
      </c>
      <c r="AF49" s="39">
        <v>0.9889486022639195</v>
      </c>
      <c r="AG49" s="3">
        <v>380.90436666666665</v>
      </c>
      <c r="AH49" s="3">
        <v>385.16093333333333</v>
      </c>
      <c r="AI49" s="63">
        <v>515.0221666666666</v>
      </c>
      <c r="AJ49" s="7">
        <v>0.3967189086606737</v>
      </c>
      <c r="AK49" s="26">
        <v>1298.2042333333334</v>
      </c>
      <c r="AL49" s="93">
        <f>+AI49+W49+K49</f>
        <v>16585.01021696081</v>
      </c>
      <c r="AM49" s="7">
        <f>AL49/AN49</f>
        <v>0.5040131366834206</v>
      </c>
      <c r="AN49" s="3">
        <f>+AK49+Y49+M49</f>
        <v>32905.90861598543</v>
      </c>
      <c r="AO49" s="7">
        <f>(+AA49+O49+C49)/(D49+P49+AB49)</f>
        <v>0.16233693276118916</v>
      </c>
      <c r="AP49" s="7">
        <f>(+AD49+R49+F49)/(G49+S49+AE49)</f>
        <v>0.5812510603895007</v>
      </c>
      <c r="AQ49" s="94">
        <f>(AG49+U49+I49)/(AH49+V49+J49)</f>
        <v>0.9714318039922013</v>
      </c>
    </row>
    <row r="50" spans="1:43" s="184" customFormat="1" ht="15" customHeight="1">
      <c r="A50" s="189">
        <v>43330</v>
      </c>
      <c r="B50" s="45">
        <v>0.10395431691808285</v>
      </c>
      <c r="C50" s="51">
        <v>257.98601842599993</v>
      </c>
      <c r="D50" s="197">
        <v>2481.7249160445713</v>
      </c>
      <c r="E50" s="45">
        <v>0.6267204188014045</v>
      </c>
      <c r="F50" s="84">
        <v>884.5780441059999</v>
      </c>
      <c r="G50" s="197">
        <v>1411.4396428917141</v>
      </c>
      <c r="H50" s="45">
        <v>0.8347803441782443</v>
      </c>
      <c r="I50" s="84">
        <v>633.6515929028573</v>
      </c>
      <c r="J50" s="197">
        <v>759.063863113143</v>
      </c>
      <c r="K50" s="66">
        <v>1776.2156554348571</v>
      </c>
      <c r="L50" s="67">
        <v>0.3817988916916482</v>
      </c>
      <c r="M50" s="85">
        <v>4652.228422049428</v>
      </c>
      <c r="N50" s="45">
        <v>0.17221467594563714</v>
      </c>
      <c r="O50" s="4">
        <v>2368.266419354839</v>
      </c>
      <c r="P50" s="181">
        <v>13751.82693548387</v>
      </c>
      <c r="Q50" s="192">
        <v>0.5952406967833298</v>
      </c>
      <c r="R50" s="4">
        <v>3990.341</v>
      </c>
      <c r="S50" s="4">
        <v>6703.743580645161</v>
      </c>
      <c r="T50" s="192">
        <v>0.9833254722101439</v>
      </c>
      <c r="U50" s="4">
        <v>10227.555548387098</v>
      </c>
      <c r="V50" s="4">
        <v>10400.987096774194</v>
      </c>
      <c r="W50" s="66">
        <v>16586.162967741937</v>
      </c>
      <c r="X50" s="67">
        <v>0.5375247354489774</v>
      </c>
      <c r="Y50" s="198">
        <v>30856.557612903227</v>
      </c>
      <c r="Z50" s="45">
        <v>0.029790417530241597</v>
      </c>
      <c r="AA50" s="4">
        <v>23.014903225806453</v>
      </c>
      <c r="AB50" s="4">
        <v>772.5606129032259</v>
      </c>
      <c r="AC50" s="192">
        <v>0.5348027794850643</v>
      </c>
      <c r="AD50" s="4">
        <v>118.28170967741936</v>
      </c>
      <c r="AE50" s="4">
        <v>221.16883870967743</v>
      </c>
      <c r="AF50" s="192">
        <v>0.9878484208966242</v>
      </c>
      <c r="AG50" s="4">
        <v>435.18161290322575</v>
      </c>
      <c r="AH50" s="4">
        <v>440.5348064516129</v>
      </c>
      <c r="AI50" s="66">
        <v>576.4782258064516</v>
      </c>
      <c r="AJ50" s="67">
        <v>0.40193306258944683</v>
      </c>
      <c r="AK50" s="85">
        <v>1434.264258064516</v>
      </c>
      <c r="AL50" s="193">
        <f>+AI50+W50+K50</f>
        <v>18938.856848983247</v>
      </c>
      <c r="AM50" s="67">
        <f>AL50/AN50</f>
        <v>0.5126500572846037</v>
      </c>
      <c r="AN50" s="4">
        <f>+AK50+Y50+M50</f>
        <v>36943.05029301717</v>
      </c>
      <c r="AO50" s="67">
        <f>(+AA50+O50+C50)/(D50+P50+AB50)</f>
        <v>0.15578324243989303</v>
      </c>
      <c r="AP50" s="67">
        <f>(+AD50+R50+F50)/(G50+S50+AE50)</f>
        <v>0.5989671161318261</v>
      </c>
      <c r="AQ50" s="194">
        <f>(AG50+U50+I50)/(AH50+V50+J50)</f>
        <v>0.9737774438056009</v>
      </c>
    </row>
    <row r="51" spans="1:43" ht="15" customHeight="1">
      <c r="A51" s="177">
        <v>43282</v>
      </c>
      <c r="B51" s="25">
        <v>0.1076925365383438</v>
      </c>
      <c r="C51" s="51">
        <v>276.6454361850002</v>
      </c>
      <c r="D51" s="173">
        <v>2568.845020067857</v>
      </c>
      <c r="E51" s="25">
        <v>0.6386989411183757</v>
      </c>
      <c r="F51" s="51">
        <v>979.4836606422858</v>
      </c>
      <c r="G51" s="173">
        <v>1533.5608024137143</v>
      </c>
      <c r="H51" s="25">
        <v>0.8711777786474073</v>
      </c>
      <c r="I51" s="51">
        <v>595.527096218</v>
      </c>
      <c r="J51" s="173">
        <v>683.5884831022857</v>
      </c>
      <c r="K51" s="63">
        <v>1851.656193045286</v>
      </c>
      <c r="L51" s="7">
        <v>0.3868905967742051</v>
      </c>
      <c r="M51" s="26">
        <v>4785.994305583858</v>
      </c>
      <c r="N51" s="45">
        <v>0.1758578288153703</v>
      </c>
      <c r="O51" s="3">
        <v>2094.0522258064516</v>
      </c>
      <c r="P51" s="174">
        <v>11907.642894903225</v>
      </c>
      <c r="Q51" s="39">
        <v>0.5899899967114677</v>
      </c>
      <c r="R51" s="3">
        <v>3466.918612903226</v>
      </c>
      <c r="S51" s="3">
        <v>5876.232872129032</v>
      </c>
      <c r="T51" s="39">
        <v>0.9802006591269992</v>
      </c>
      <c r="U51" s="3">
        <v>6460.061741935484</v>
      </c>
      <c r="V51" s="3">
        <v>6590.550293741936</v>
      </c>
      <c r="W51" s="63">
        <v>12021.032580645162</v>
      </c>
      <c r="X51" s="7">
        <v>0.49318217998948616</v>
      </c>
      <c r="Y51" s="24">
        <v>24374.426060774196</v>
      </c>
      <c r="Z51" s="25">
        <v>0.033737275811924386</v>
      </c>
      <c r="AA51" s="3">
        <v>22.451612903225808</v>
      </c>
      <c r="AB51" s="3">
        <v>665.483870967742</v>
      </c>
      <c r="AC51" s="39">
        <v>0.5415430267062314</v>
      </c>
      <c r="AD51" s="3">
        <v>117.74193548387096</v>
      </c>
      <c r="AE51" s="3">
        <v>217.41935483870967</v>
      </c>
      <c r="AF51" s="39">
        <v>0.9892161829630166</v>
      </c>
      <c r="AG51" s="3">
        <v>440.9032258064516</v>
      </c>
      <c r="AH51" s="3">
        <v>445.7096774193548</v>
      </c>
      <c r="AI51" s="63">
        <v>581.0967741935484</v>
      </c>
      <c r="AJ51" s="7">
        <v>0.4373710151261321</v>
      </c>
      <c r="AK51" s="26">
        <v>1328.6129032258063</v>
      </c>
      <c r="AL51" s="93">
        <f>+AI51+W51+K51</f>
        <v>14453.785547883997</v>
      </c>
      <c r="AM51" s="7">
        <f aca="true" t="shared" si="24" ref="AM51:AM59">AL51/AN51</f>
        <v>0.4740650653001592</v>
      </c>
      <c r="AN51" s="3">
        <f>+AK51+Y51+M51</f>
        <v>30489.03326958386</v>
      </c>
      <c r="AO51" s="7">
        <f>(+AA51+O51+C51)/(D51+P51+AB51)</f>
        <v>0.15804740021487887</v>
      </c>
      <c r="AP51" s="7">
        <f>(+AD51+R51+F51)/(G51+S51+AE51)</f>
        <v>0.5984026133067796</v>
      </c>
      <c r="AQ51" s="94">
        <f>(AG51+U51+I51)/(AH51+V51+J51)</f>
        <v>0.9710672571324527</v>
      </c>
    </row>
    <row r="52" spans="1:43" ht="15" customHeight="1">
      <c r="A52" s="177">
        <v>43252</v>
      </c>
      <c r="B52" s="25">
        <v>0.10672126069837237</v>
      </c>
      <c r="C52" s="51">
        <v>224.83931277100004</v>
      </c>
      <c r="D52" s="173">
        <v>2106.790261843572</v>
      </c>
      <c r="E52" s="25">
        <v>0.6510830434058568</v>
      </c>
      <c r="F52" s="51">
        <v>862.2191553691428</v>
      </c>
      <c r="G52" s="173">
        <v>1324.2844581834286</v>
      </c>
      <c r="H52" s="25">
        <v>0.8710267617139348</v>
      </c>
      <c r="I52" s="51">
        <v>503.6433678404286</v>
      </c>
      <c r="J52" s="173">
        <v>578.2180180657143</v>
      </c>
      <c r="K52" s="63">
        <v>1590.7018359805716</v>
      </c>
      <c r="L52" s="7">
        <v>0.39675372687734795</v>
      </c>
      <c r="M52" s="26">
        <v>4009.292738092715</v>
      </c>
      <c r="N52" s="45">
        <v>0.17857712401870865</v>
      </c>
      <c r="O52" s="3">
        <v>1927.0253666666667</v>
      </c>
      <c r="P52" s="174">
        <v>10790.997879800001</v>
      </c>
      <c r="Q52" s="39">
        <v>0.5775730018237715</v>
      </c>
      <c r="R52" s="3">
        <v>3005.3162666666667</v>
      </c>
      <c r="S52" s="3">
        <v>5203.353095066666</v>
      </c>
      <c r="T52" s="39">
        <v>0.9732311000709228</v>
      </c>
      <c r="U52" s="3">
        <v>7972.375733333333</v>
      </c>
      <c r="V52" s="3">
        <v>8191.657390266667</v>
      </c>
      <c r="W52" s="63">
        <v>12904.717366666668</v>
      </c>
      <c r="X52" s="7">
        <v>0.5335612711219504</v>
      </c>
      <c r="Y52" s="24">
        <v>24186.008365133333</v>
      </c>
      <c r="Z52" s="25">
        <v>0.03389914878789387</v>
      </c>
      <c r="AA52" s="3">
        <v>22.7</v>
      </c>
      <c r="AB52" s="3">
        <v>669.6333333333333</v>
      </c>
      <c r="AC52" s="39">
        <v>0.5317128139085641</v>
      </c>
      <c r="AD52" s="3">
        <v>110.1</v>
      </c>
      <c r="AE52" s="3">
        <v>207.06666666666666</v>
      </c>
      <c r="AF52" s="39">
        <v>0.9884612406102377</v>
      </c>
      <c r="AG52" s="3">
        <v>425.46666666666664</v>
      </c>
      <c r="AH52" s="3">
        <v>430.43333333333334</v>
      </c>
      <c r="AI52" s="63">
        <v>558.2666666666667</v>
      </c>
      <c r="AJ52" s="7">
        <v>0.4270923649716938</v>
      </c>
      <c r="AK52" s="26">
        <v>1307.1333333333332</v>
      </c>
      <c r="AL52" s="93">
        <f>+AI52+W52+K52</f>
        <v>15053.685869313906</v>
      </c>
      <c r="AM52" s="7">
        <f t="shared" si="24"/>
        <v>0.5102523285556191</v>
      </c>
      <c r="AN52" s="3">
        <f>+AK52+Y52+M52</f>
        <v>29502.43443655938</v>
      </c>
      <c r="AO52" s="7">
        <f>(+AA52+O52+C52)/(D52+P52+AB52)</f>
        <v>0.16027840540284888</v>
      </c>
      <c r="AP52" s="7">
        <f>(+AD52+R52+F52)/(G52+S52+AE52)</f>
        <v>0.5906176859664627</v>
      </c>
      <c r="AQ52" s="94">
        <f>(AG52+U52+I52)/(AH52+V52+J52)</f>
        <v>0.9675203319566877</v>
      </c>
    </row>
    <row r="53" spans="1:43" ht="15" customHeight="1">
      <c r="A53" s="177">
        <v>43221</v>
      </c>
      <c r="B53" s="25">
        <v>0.09357240710017996</v>
      </c>
      <c r="C53" s="51">
        <v>191.07172952885725</v>
      </c>
      <c r="D53" s="173">
        <v>2041.9665951768573</v>
      </c>
      <c r="E53" s="25">
        <v>0.6538582729065779</v>
      </c>
      <c r="F53" s="51">
        <v>747.5606354357143</v>
      </c>
      <c r="G53" s="173">
        <v>1143.3068394357142</v>
      </c>
      <c r="H53" s="25">
        <v>0.9010476545816846</v>
      </c>
      <c r="I53" s="51">
        <v>449.4103101331426</v>
      </c>
      <c r="J53" s="173">
        <v>498.7641972629998</v>
      </c>
      <c r="K53" s="63">
        <v>1388.042675097714</v>
      </c>
      <c r="L53" s="7">
        <v>0.37677212173075736</v>
      </c>
      <c r="M53" s="26">
        <v>3684.0376318755716</v>
      </c>
      <c r="N53" s="45">
        <v>0.1753327997455582</v>
      </c>
      <c r="O53" s="3">
        <v>1701.2113225806452</v>
      </c>
      <c r="P53" s="174">
        <v>9702.755702580645</v>
      </c>
      <c r="Q53" s="39">
        <v>0.6360011252833715</v>
      </c>
      <c r="R53" s="3">
        <v>3200.6237096774194</v>
      </c>
      <c r="S53" s="3">
        <v>5032.418312548387</v>
      </c>
      <c r="T53" s="39">
        <v>0.9766409255589676</v>
      </c>
      <c r="U53" s="3">
        <v>7045.097548387097</v>
      </c>
      <c r="V53" s="3">
        <v>7213.600581354839</v>
      </c>
      <c r="W53" s="63">
        <v>11946.932580645162</v>
      </c>
      <c r="X53" s="7">
        <v>0.5443097758432047</v>
      </c>
      <c r="Y53" s="24">
        <v>21948.774596483872</v>
      </c>
      <c r="Z53" s="25">
        <v>0.03487289319303473</v>
      </c>
      <c r="AA53" s="3">
        <v>24.161290322580644</v>
      </c>
      <c r="AB53" s="3">
        <v>692.8387096774194</v>
      </c>
      <c r="AC53" s="39">
        <v>0.4794108330693696</v>
      </c>
      <c r="AD53" s="3">
        <v>97.64516129032258</v>
      </c>
      <c r="AE53" s="3">
        <v>203.67741935483872</v>
      </c>
      <c r="AF53" s="39">
        <v>0.9887623270392173</v>
      </c>
      <c r="AG53" s="3">
        <v>417.2258064516129</v>
      </c>
      <c r="AH53" s="3">
        <v>421.96774193548384</v>
      </c>
      <c r="AI53" s="63">
        <v>539.0322580645161</v>
      </c>
      <c r="AJ53" s="7">
        <v>0.40882734323391967</v>
      </c>
      <c r="AK53" s="26">
        <v>1318.483870967742</v>
      </c>
      <c r="AL53" s="93">
        <f aca="true" t="shared" si="25" ref="AL53:AL59">+AI53+W53+K53</f>
        <v>13874.007513807392</v>
      </c>
      <c r="AM53" s="7">
        <f t="shared" si="24"/>
        <v>0.5147807163958154</v>
      </c>
      <c r="AN53" s="3">
        <f aca="true" t="shared" si="26" ref="AN53:AN59">+AK53+Y53+M53</f>
        <v>26951.296099327184</v>
      </c>
      <c r="AO53" s="7">
        <f aca="true" t="shared" si="27" ref="AO53:AO59">(+AA53+O53+C53)/(D53+P53+AB53)</f>
        <v>0.154085221474409</v>
      </c>
      <c r="AP53" s="7">
        <f aca="true" t="shared" si="28" ref="AP53:AP59">(+AD53+R53+F53)/(G53+S53+AE53)</f>
        <v>0.6342019430754152</v>
      </c>
      <c r="AQ53" s="94">
        <f aca="true" t="shared" si="29" ref="AQ53:AQ59">(AG53+U53+I53)/(AH53+V53+J53)</f>
        <v>0.9726346501057067</v>
      </c>
    </row>
    <row r="54" spans="1:43" ht="15" customHeight="1">
      <c r="A54" s="177">
        <v>43191</v>
      </c>
      <c r="B54" s="25">
        <v>0.09337041268694815</v>
      </c>
      <c r="C54" s="51">
        <v>191.30324352214276</v>
      </c>
      <c r="D54" s="173">
        <v>2048.863639101</v>
      </c>
      <c r="E54" s="25">
        <v>0.6442244633272709</v>
      </c>
      <c r="F54" s="51">
        <v>705.2541240205711</v>
      </c>
      <c r="G54" s="173">
        <v>1094.7335349205712</v>
      </c>
      <c r="H54" s="25">
        <v>0.9134178354479108</v>
      </c>
      <c r="I54" s="51">
        <v>451.4317245544286</v>
      </c>
      <c r="J54" s="173">
        <v>494.2225858038572</v>
      </c>
      <c r="K54" s="63">
        <v>1347.9890920971425</v>
      </c>
      <c r="L54" s="7">
        <v>0.37054862007837075</v>
      </c>
      <c r="M54" s="26">
        <v>3637.8197598254283</v>
      </c>
      <c r="N54" s="45">
        <v>0.16962817521805093</v>
      </c>
      <c r="O54" s="3">
        <v>2008.1630666666667</v>
      </c>
      <c r="P54" s="174">
        <v>11838.617400000001</v>
      </c>
      <c r="Q54" s="39">
        <v>0.6288107041437613</v>
      </c>
      <c r="R54" s="3">
        <v>3306.2153333333335</v>
      </c>
      <c r="S54" s="3">
        <v>5257.886533333333</v>
      </c>
      <c r="T54" s="39">
        <v>0.9778319838130215</v>
      </c>
      <c r="U54" s="3">
        <v>7097.4253</v>
      </c>
      <c r="V54" s="3">
        <v>7258.328033333333</v>
      </c>
      <c r="W54" s="63">
        <v>12411.8037</v>
      </c>
      <c r="X54" s="7">
        <v>0.5096238691766571</v>
      </c>
      <c r="Y54" s="24">
        <v>24354.831966666665</v>
      </c>
      <c r="Z54" s="25">
        <v>0.03397227451651549</v>
      </c>
      <c r="AA54" s="3">
        <v>26.466666666666665</v>
      </c>
      <c r="AB54" s="3">
        <v>779.0666666666667</v>
      </c>
      <c r="AC54" s="39">
        <v>0.47291079115333234</v>
      </c>
      <c r="AD54" s="3">
        <v>106.2</v>
      </c>
      <c r="AE54" s="3">
        <v>224.56666666666666</v>
      </c>
      <c r="AF54" s="39">
        <v>0.9906440887651743</v>
      </c>
      <c r="AG54" s="3">
        <v>427.06666666666666</v>
      </c>
      <c r="AH54" s="3">
        <v>431.1</v>
      </c>
      <c r="AI54" s="63">
        <v>559.7333333333333</v>
      </c>
      <c r="AJ54" s="7">
        <v>0.39013057014079267</v>
      </c>
      <c r="AK54" s="26">
        <v>1434.7333333333336</v>
      </c>
      <c r="AL54" s="93">
        <f t="shared" si="25"/>
        <v>14319.526125430477</v>
      </c>
      <c r="AM54" s="7">
        <f t="shared" si="24"/>
        <v>0.4866054559832312</v>
      </c>
      <c r="AN54" s="3">
        <f t="shared" si="26"/>
        <v>29427.38505982543</v>
      </c>
      <c r="AO54" s="7">
        <f t="shared" si="27"/>
        <v>0.1517693885098891</v>
      </c>
      <c r="AP54" s="7">
        <f t="shared" si="28"/>
        <v>0.6260532995804674</v>
      </c>
      <c r="AQ54" s="94">
        <f t="shared" si="29"/>
        <v>0.9746168381833978</v>
      </c>
    </row>
    <row r="55" spans="1:43" ht="15" customHeight="1">
      <c r="A55" s="177">
        <v>43160</v>
      </c>
      <c r="B55" s="25">
        <v>0.09848542336429712</v>
      </c>
      <c r="C55" s="51">
        <v>221.99287648485708</v>
      </c>
      <c r="D55" s="173">
        <v>2254.0683575447147</v>
      </c>
      <c r="E55" s="25">
        <v>0.6505723505330029</v>
      </c>
      <c r="F55" s="51">
        <v>743.2467816968573</v>
      </c>
      <c r="G55" s="173">
        <v>1142.4506145825715</v>
      </c>
      <c r="H55" s="25">
        <v>0.8980080850889864</v>
      </c>
      <c r="I55" s="51">
        <v>449.750736004</v>
      </c>
      <c r="J55" s="173">
        <v>500.8314997068571</v>
      </c>
      <c r="K55" s="63">
        <v>1414.9903941857144</v>
      </c>
      <c r="L55" s="7">
        <v>0.363064703677984</v>
      </c>
      <c r="M55" s="26">
        <v>3897.3504718341433</v>
      </c>
      <c r="N55" s="45">
        <v>0.16697718233005987</v>
      </c>
      <c r="O55" s="3">
        <v>2080.371322580645</v>
      </c>
      <c r="P55" s="174">
        <v>12459.01561848387</v>
      </c>
      <c r="Q55" s="39">
        <v>0.6245737838262341</v>
      </c>
      <c r="R55" s="3">
        <v>3334.0649677419356</v>
      </c>
      <c r="S55" s="3">
        <v>5338.144273870968</v>
      </c>
      <c r="T55" s="39">
        <v>0.9540828837846469</v>
      </c>
      <c r="U55" s="3">
        <v>5535.379580645162</v>
      </c>
      <c r="V55" s="3">
        <v>5801.780615419355</v>
      </c>
      <c r="W55" s="63">
        <v>10949.815870967743</v>
      </c>
      <c r="X55" s="7">
        <v>0.4639960792884133</v>
      </c>
      <c r="Y55" s="24">
        <v>23598.940507774194</v>
      </c>
      <c r="Z55" s="25">
        <v>0.03206726005638366</v>
      </c>
      <c r="AA55" s="3">
        <v>25.42567741935484</v>
      </c>
      <c r="AB55" s="3">
        <v>792.8858709677419</v>
      </c>
      <c r="AC55" s="39">
        <v>0.49205032235164725</v>
      </c>
      <c r="AD55" s="3">
        <v>99.90054838709678</v>
      </c>
      <c r="AE55" s="3">
        <v>203.02912903225808</v>
      </c>
      <c r="AF55" s="39">
        <v>0.9910056065969445</v>
      </c>
      <c r="AG55" s="3">
        <v>437.98119354838707</v>
      </c>
      <c r="AH55" s="3">
        <v>441.9563225806451</v>
      </c>
      <c r="AI55" s="63">
        <v>563.3074193548388</v>
      </c>
      <c r="AJ55" s="7">
        <v>0.3917648335484102</v>
      </c>
      <c r="AK55" s="26">
        <v>1437.871322580645</v>
      </c>
      <c r="AL55" s="93">
        <f t="shared" si="25"/>
        <v>12928.113684508295</v>
      </c>
      <c r="AM55" s="7">
        <f t="shared" si="24"/>
        <v>0.4468114040934315</v>
      </c>
      <c r="AN55" s="3">
        <f t="shared" si="26"/>
        <v>28934.162302188983</v>
      </c>
      <c r="AO55" s="7">
        <f t="shared" si="27"/>
        <v>0.1501221722635927</v>
      </c>
      <c r="AP55" s="7">
        <f t="shared" si="28"/>
        <v>0.6249921130957402</v>
      </c>
      <c r="AQ55" s="94">
        <f t="shared" si="29"/>
        <v>0.95233839933892</v>
      </c>
    </row>
    <row r="56" spans="1:43" ht="15" customHeight="1">
      <c r="A56" s="177">
        <v>43149</v>
      </c>
      <c r="B56" s="25">
        <v>0.10135800571855343</v>
      </c>
      <c r="C56" s="51">
        <v>231.14851629628564</v>
      </c>
      <c r="D56" s="173">
        <v>2280.515630291</v>
      </c>
      <c r="E56" s="25">
        <v>0.646145703138836</v>
      </c>
      <c r="F56" s="51">
        <v>810.3308445352858</v>
      </c>
      <c r="G56" s="173">
        <v>1254.0992543924287</v>
      </c>
      <c r="H56" s="25">
        <v>0.894016144070245</v>
      </c>
      <c r="I56" s="51">
        <v>444.6744373452857</v>
      </c>
      <c r="J56" s="173">
        <v>497.38971750642855</v>
      </c>
      <c r="K56" s="63">
        <v>1486.1537981768572</v>
      </c>
      <c r="L56" s="7">
        <v>0.368589310976902</v>
      </c>
      <c r="M56" s="26">
        <v>4032.004602189857</v>
      </c>
      <c r="N56" s="45">
        <v>0.17096408797052318</v>
      </c>
      <c r="O56" s="3">
        <v>2554.132035714286</v>
      </c>
      <c r="P56" s="174">
        <v>14939.582142857143</v>
      </c>
      <c r="Q56" s="39">
        <v>0.6501872168864307</v>
      </c>
      <c r="R56" s="3">
        <v>4171.193214285714</v>
      </c>
      <c r="S56" s="3">
        <v>6415.372535714285</v>
      </c>
      <c r="T56" s="39">
        <v>0.9579701106251901</v>
      </c>
      <c r="U56" s="3">
        <v>4774.731321428572</v>
      </c>
      <c r="V56" s="3">
        <v>4984.217428571429</v>
      </c>
      <c r="W56" s="63">
        <v>11500.056571428573</v>
      </c>
      <c r="X56" s="7">
        <v>0.43661420050138555</v>
      </c>
      <c r="Y56" s="24">
        <v>26339.17210714286</v>
      </c>
      <c r="Z56" s="25">
        <v>0.03043878976503566</v>
      </c>
      <c r="AA56" s="3">
        <v>30.916392857142856</v>
      </c>
      <c r="AB56" s="3">
        <v>1015.6906071428572</v>
      </c>
      <c r="AC56" s="39">
        <v>0.45607703424562435</v>
      </c>
      <c r="AD56" s="3">
        <v>115.90878571428571</v>
      </c>
      <c r="AE56" s="3">
        <v>254.143</v>
      </c>
      <c r="AF56" s="39">
        <v>0.9917582664214523</v>
      </c>
      <c r="AG56" s="3">
        <v>449.78157142857145</v>
      </c>
      <c r="AH56" s="3">
        <v>453.51935714285713</v>
      </c>
      <c r="AI56" s="63">
        <v>596.60675</v>
      </c>
      <c r="AJ56" s="7">
        <v>0.3461895284157754</v>
      </c>
      <c r="AK56" s="26">
        <v>1723.3529642857143</v>
      </c>
      <c r="AL56" s="93">
        <f t="shared" si="25"/>
        <v>13582.817119605432</v>
      </c>
      <c r="AM56" s="7">
        <f t="shared" si="24"/>
        <v>0.4232128421177785</v>
      </c>
      <c r="AN56" s="3">
        <f t="shared" si="26"/>
        <v>32094.52967361843</v>
      </c>
      <c r="AO56" s="7">
        <f t="shared" si="27"/>
        <v>0.1544324208056408</v>
      </c>
      <c r="AP56" s="7">
        <f t="shared" si="28"/>
        <v>0.6433216378590049</v>
      </c>
      <c r="AQ56" s="94">
        <f t="shared" si="29"/>
        <v>0.9551923328215545</v>
      </c>
    </row>
    <row r="57" spans="1:43" ht="15" customHeight="1">
      <c r="A57" s="177">
        <v>43101</v>
      </c>
      <c r="B57" s="25">
        <v>0.10159321353367762</v>
      </c>
      <c r="C57" s="13">
        <v>257</v>
      </c>
      <c r="D57" s="173">
        <v>2529.259933797143</v>
      </c>
      <c r="E57" s="25">
        <v>0.6519991319757809</v>
      </c>
      <c r="F57" s="51">
        <v>931</v>
      </c>
      <c r="G57" s="173">
        <v>1428.2707813434283</v>
      </c>
      <c r="H57" s="25">
        <v>0.8842165191507905</v>
      </c>
      <c r="I57" s="51">
        <v>467</v>
      </c>
      <c r="J57" s="173">
        <v>527.6562999492859</v>
      </c>
      <c r="K57" s="63">
        <v>1654.749371047857</v>
      </c>
      <c r="L57" s="7">
        <v>0.36893653831616324</v>
      </c>
      <c r="M57" s="26">
        <v>4485.187015089858</v>
      </c>
      <c r="N57" s="45">
        <v>0.172764146570523</v>
      </c>
      <c r="O57" s="3">
        <v>2679.8214516129033</v>
      </c>
      <c r="P57" s="174">
        <v>15511.444387096773</v>
      </c>
      <c r="Q57" s="39">
        <v>0.6340042176791633</v>
      </c>
      <c r="R57" s="3">
        <v>3653.1890967741933</v>
      </c>
      <c r="S57" s="3">
        <v>5762.089580645161</v>
      </c>
      <c r="T57" s="39">
        <v>0.9781864410420027</v>
      </c>
      <c r="U57" s="3">
        <v>8742.843387096775</v>
      </c>
      <c r="V57" s="3">
        <v>8937.808806451614</v>
      </c>
      <c r="W57" s="63">
        <v>15075.853935483872</v>
      </c>
      <c r="X57" s="7">
        <v>0.49901303785681544</v>
      </c>
      <c r="Y57" s="24">
        <v>30211.34277419355</v>
      </c>
      <c r="Z57" s="25">
        <v>0.029368505116450724</v>
      </c>
      <c r="AA57" s="3">
        <v>28.806451612903224</v>
      </c>
      <c r="AB57" s="3">
        <v>980.8620322580646</v>
      </c>
      <c r="AC57" s="39">
        <v>0.38461972488768065</v>
      </c>
      <c r="AD57" s="3">
        <v>95.21325806451613</v>
      </c>
      <c r="AE57" s="3">
        <v>247.55167741935483</v>
      </c>
      <c r="AF57" s="39">
        <v>0.9917293977124777</v>
      </c>
      <c r="AG57" s="3">
        <v>437.40138709677416</v>
      </c>
      <c r="AH57" s="3">
        <v>441.04912903225807</v>
      </c>
      <c r="AI57" s="63">
        <v>561.4210967741934</v>
      </c>
      <c r="AJ57" s="7">
        <v>0.3362884658206073</v>
      </c>
      <c r="AK57" s="26">
        <v>1669.4628387096775</v>
      </c>
      <c r="AL57" s="93">
        <f t="shared" si="25"/>
        <v>17292.02440330592</v>
      </c>
      <c r="AM57" s="7">
        <f t="shared" si="24"/>
        <v>0.47549985999819006</v>
      </c>
      <c r="AN57" s="3">
        <f t="shared" si="26"/>
        <v>36365.99262799308</v>
      </c>
      <c r="AO57" s="7">
        <f t="shared" si="27"/>
        <v>0.15590871162586384</v>
      </c>
      <c r="AP57" s="7">
        <f t="shared" si="28"/>
        <v>0.6291284879474306</v>
      </c>
      <c r="AQ57" s="94">
        <f t="shared" si="29"/>
        <v>0.9738283865466758</v>
      </c>
    </row>
    <row r="58" spans="1:43" ht="15" customHeight="1">
      <c r="A58" s="177">
        <v>43070</v>
      </c>
      <c r="B58" s="25">
        <v>0.10216256524981357</v>
      </c>
      <c r="C58" s="13">
        <v>294</v>
      </c>
      <c r="D58" s="173">
        <v>2873.5714285714284</v>
      </c>
      <c r="E58" s="25">
        <v>0.6535746606334841</v>
      </c>
      <c r="F58" s="51">
        <v>1031</v>
      </c>
      <c r="G58" s="173">
        <v>1578.5714285714287</v>
      </c>
      <c r="H58" s="25">
        <v>0.8769325912183056</v>
      </c>
      <c r="I58" s="13">
        <v>405</v>
      </c>
      <c r="J58" s="173">
        <v>462</v>
      </c>
      <c r="K58" s="63">
        <v>1730.4285714285713</v>
      </c>
      <c r="L58" s="7">
        <v>0.35213232942818107</v>
      </c>
      <c r="M58" s="26">
        <v>4914.142857142857</v>
      </c>
      <c r="N58" s="45">
        <v>0.17535086176902026</v>
      </c>
      <c r="O58" s="3">
        <v>2123.19235483871</v>
      </c>
      <c r="P58" s="174">
        <v>12108.251612903225</v>
      </c>
      <c r="Q58" s="39">
        <v>0.5805751836310836</v>
      </c>
      <c r="R58" s="3">
        <v>2784.7843225806455</v>
      </c>
      <c r="S58" s="3">
        <v>4796.595516129033</v>
      </c>
      <c r="T58" s="39">
        <v>0.985666829728879</v>
      </c>
      <c r="U58" s="3">
        <v>7054.913322580645</v>
      </c>
      <c r="V58" s="3">
        <v>7157.503032258065</v>
      </c>
      <c r="W58" s="63">
        <v>11962.890000000001</v>
      </c>
      <c r="X58" s="7">
        <v>0.49716216079529046</v>
      </c>
      <c r="Y58" s="24">
        <v>24062.35016129032</v>
      </c>
      <c r="Z58" s="25">
        <v>0.030743735922530154</v>
      </c>
      <c r="AA58" s="3">
        <v>26.489870967741936</v>
      </c>
      <c r="AB58" s="3">
        <v>861.6347419354839</v>
      </c>
      <c r="AC58" s="39">
        <v>0.5097292925729101</v>
      </c>
      <c r="AD58" s="3">
        <v>111.47748387096775</v>
      </c>
      <c r="AE58" s="3">
        <v>218.69938709677422</v>
      </c>
      <c r="AF58" s="39">
        <v>0.9999172729972271</v>
      </c>
      <c r="AG58" s="3">
        <v>394.1905806451613</v>
      </c>
      <c r="AH58" s="3">
        <v>394.2231935483871</v>
      </c>
      <c r="AI58" s="63">
        <v>532.1579354838709</v>
      </c>
      <c r="AJ58" s="7">
        <v>0.3608933524215479</v>
      </c>
      <c r="AK58" s="26">
        <v>1474.5573225806452</v>
      </c>
      <c r="AL58" s="93">
        <f t="shared" si="25"/>
        <v>14225.476506912442</v>
      </c>
      <c r="AM58" s="7">
        <f t="shared" si="24"/>
        <v>0.46715881217904903</v>
      </c>
      <c r="AN58" s="3">
        <f t="shared" si="26"/>
        <v>30451.05034101382</v>
      </c>
      <c r="AO58" s="7">
        <f t="shared" si="27"/>
        <v>0.15423919823646443</v>
      </c>
      <c r="AP58" s="7">
        <f t="shared" si="28"/>
        <v>0.5955931783926823</v>
      </c>
      <c r="AQ58" s="94">
        <f t="shared" si="29"/>
        <v>0.9800813856022912</v>
      </c>
    </row>
    <row r="59" spans="1:43" ht="15" customHeight="1">
      <c r="A59" s="177">
        <v>43040</v>
      </c>
      <c r="B59" s="25">
        <v>0.10447380177420383</v>
      </c>
      <c r="C59" s="13">
        <v>234</v>
      </c>
      <c r="D59" s="173">
        <v>2238.4285714285716</v>
      </c>
      <c r="E59" s="25">
        <v>0.6519249125039771</v>
      </c>
      <c r="F59" s="13">
        <v>878</v>
      </c>
      <c r="G59" s="185">
        <v>1347</v>
      </c>
      <c r="H59" s="25">
        <v>0.8608671011618022</v>
      </c>
      <c r="I59" s="13">
        <v>434</v>
      </c>
      <c r="J59" s="173">
        <v>504.14285714285717</v>
      </c>
      <c r="K59" s="63">
        <v>1546</v>
      </c>
      <c r="L59" s="7">
        <v>0.37803472246480596</v>
      </c>
      <c r="M59" s="26">
        <v>4089.5714285714284</v>
      </c>
      <c r="N59" s="45">
        <v>0.18964737199405957</v>
      </c>
      <c r="O59" s="3">
        <v>2288.417033333333</v>
      </c>
      <c r="P59" s="174">
        <v>12066.6952</v>
      </c>
      <c r="Q59" s="39">
        <v>0.6292380607013418</v>
      </c>
      <c r="R59" s="3">
        <v>3414.0216666666665</v>
      </c>
      <c r="S59" s="3">
        <v>5425.643933333333</v>
      </c>
      <c r="T59" s="39">
        <v>0.9689283293945687</v>
      </c>
      <c r="U59" s="3">
        <v>3855.486066666667</v>
      </c>
      <c r="V59" s="3">
        <v>3979.1241</v>
      </c>
      <c r="W59" s="63">
        <v>9557.924766666667</v>
      </c>
      <c r="X59" s="7">
        <v>0.4451454781073552</v>
      </c>
      <c r="Y59" s="24">
        <v>21471.463233333336</v>
      </c>
      <c r="Z59" s="25">
        <v>0.03228741607493883</v>
      </c>
      <c r="AA59" s="3">
        <v>24.105900000000002</v>
      </c>
      <c r="AB59" s="3">
        <v>746.6035666666667</v>
      </c>
      <c r="AC59" s="39">
        <v>0.5162317628966953</v>
      </c>
      <c r="AD59" s="3">
        <v>112.05433333333333</v>
      </c>
      <c r="AE59" s="3">
        <v>217.06206666666668</v>
      </c>
      <c r="AF59" s="39">
        <v>1</v>
      </c>
      <c r="AG59" s="3">
        <v>429.49736666666666</v>
      </c>
      <c r="AH59" s="3">
        <v>429.49736666666666</v>
      </c>
      <c r="AI59" s="63">
        <v>565.6576</v>
      </c>
      <c r="AJ59" s="7">
        <v>0.40602399001409023</v>
      </c>
      <c r="AK59" s="26">
        <v>1393.163</v>
      </c>
      <c r="AL59" s="93">
        <f t="shared" si="25"/>
        <v>11669.582366666667</v>
      </c>
      <c r="AM59" s="7">
        <f t="shared" si="24"/>
        <v>0.4329411883463207</v>
      </c>
      <c r="AN59" s="3">
        <f t="shared" si="26"/>
        <v>26954.197661904764</v>
      </c>
      <c r="AO59" s="7">
        <f t="shared" si="27"/>
        <v>0.16918476372397467</v>
      </c>
      <c r="AP59" s="7">
        <f t="shared" si="28"/>
        <v>0.6300802923613669</v>
      </c>
      <c r="AQ59" s="94">
        <f t="shared" si="29"/>
        <v>0.9605556306584792</v>
      </c>
    </row>
    <row r="60" spans="1:43" ht="12.75">
      <c r="A60" s="177">
        <v>43009</v>
      </c>
      <c r="B60" s="25">
        <v>0.10484631132719964</v>
      </c>
      <c r="C60" s="51">
        <v>194.4517311434286</v>
      </c>
      <c r="D60" s="173">
        <v>1854.6358825785715</v>
      </c>
      <c r="E60" s="25">
        <v>0.649891591817173</v>
      </c>
      <c r="F60" s="51">
        <v>653.3380073141428</v>
      </c>
      <c r="G60" s="173">
        <v>1005.303062142</v>
      </c>
      <c r="H60" s="25">
        <v>0.9327446838921954</v>
      </c>
      <c r="I60" s="51">
        <v>504.4262048362857</v>
      </c>
      <c r="J60" s="173">
        <v>540.7977269099999</v>
      </c>
      <c r="K60" s="63">
        <v>1352.215943293857</v>
      </c>
      <c r="L60" s="7">
        <v>0.3976244190190421</v>
      </c>
      <c r="M60" s="26">
        <v>3400.7366716305714</v>
      </c>
      <c r="N60" s="45">
        <v>0.18731849925346777</v>
      </c>
      <c r="O60" s="3">
        <v>1860.2529666666667</v>
      </c>
      <c r="P60" s="174">
        <v>9930.962366666667</v>
      </c>
      <c r="Q60" s="39">
        <v>0.6315982863875949</v>
      </c>
      <c r="R60" s="3">
        <v>3424.5825</v>
      </c>
      <c r="S60" s="3">
        <v>5422.0896</v>
      </c>
      <c r="T60" s="39">
        <v>0.9853786410590653</v>
      </c>
      <c r="U60" s="3">
        <v>9290.104533333333</v>
      </c>
      <c r="V60" s="3">
        <v>9427.954033333333</v>
      </c>
      <c r="W60" s="63">
        <v>14574.939999999999</v>
      </c>
      <c r="X60" s="7">
        <v>0.5881496497761228</v>
      </c>
      <c r="Y60" s="24">
        <v>24781.006</v>
      </c>
      <c r="Z60" s="25">
        <v>0.03307166493910526</v>
      </c>
      <c r="AA60" s="3">
        <v>22.241516129032256</v>
      </c>
      <c r="AB60" s="3">
        <v>672.5248387096774</v>
      </c>
      <c r="AC60" s="39">
        <v>0.5316062543118216</v>
      </c>
      <c r="AD60" s="3">
        <v>110.41451612903225</v>
      </c>
      <c r="AE60" s="3">
        <v>207.6998064516129</v>
      </c>
      <c r="AF60" s="39">
        <v>0.9998570996808321</v>
      </c>
      <c r="AG60" s="3">
        <v>451.411935483871</v>
      </c>
      <c r="AH60" s="3">
        <v>451.47645161290325</v>
      </c>
      <c r="AI60" s="63">
        <v>584.0679677419355</v>
      </c>
      <c r="AJ60" s="7">
        <v>0.43858788519190617</v>
      </c>
      <c r="AK60" s="26">
        <v>1331.7010967741935</v>
      </c>
      <c r="AL60" s="93">
        <f aca="true" t="shared" si="30" ref="AL60:AL65">+AI60+W60+K60</f>
        <v>16511.22391103579</v>
      </c>
      <c r="AM60" s="7">
        <f aca="true" t="shared" si="31" ref="AM60:AM65">AL60/AN60</f>
        <v>0.5594475534810908</v>
      </c>
      <c r="AN60" s="3">
        <f aca="true" t="shared" si="32" ref="AN60:AN65">+AK60+Y60+M60</f>
        <v>29513.443768404766</v>
      </c>
      <c r="AO60" s="7">
        <f aca="true" t="shared" si="33" ref="AO60:AO65">(+AA60+O60+C60)/(D60+P60+AB60)</f>
        <v>0.16671421523738308</v>
      </c>
      <c r="AP60" s="7">
        <f aca="true" t="shared" si="34" ref="AP60:AP65">(+AD60+R60+F60)/(G60+S60+AE60)</f>
        <v>0.6312398875024182</v>
      </c>
      <c r="AQ60" s="94">
        <f aca="true" t="shared" si="35" ref="AQ60:AQ65">(AG60+U60+I60)/(AH60+V60+J60)</f>
        <v>0.9832743069864398</v>
      </c>
    </row>
    <row r="61" spans="1:43" ht="12.75">
      <c r="A61" s="177">
        <v>42979</v>
      </c>
      <c r="B61" s="25">
        <v>0.11062667627696071</v>
      </c>
      <c r="C61" s="51">
        <v>247.34776828799997</v>
      </c>
      <c r="D61" s="173">
        <v>2235.878149938714</v>
      </c>
      <c r="E61" s="25">
        <v>0.6577904519474964</v>
      </c>
      <c r="F61" s="51">
        <v>888.8379244844285</v>
      </c>
      <c r="G61" s="173">
        <v>1351.2478356182858</v>
      </c>
      <c r="H61" s="25">
        <v>0.9362601154925636</v>
      </c>
      <c r="I61" s="51">
        <v>593.4301320972857</v>
      </c>
      <c r="J61" s="173">
        <v>633.8304091754286</v>
      </c>
      <c r="K61" s="63">
        <v>1729.615824869714</v>
      </c>
      <c r="L61" s="7">
        <v>0.4097687024268244</v>
      </c>
      <c r="M61" s="26">
        <v>4220.956394732429</v>
      </c>
      <c r="N61" s="45">
        <v>0.18858270432317203</v>
      </c>
      <c r="O61" s="3">
        <v>2227.8982666666666</v>
      </c>
      <c r="P61" s="174">
        <v>11813.905600000002</v>
      </c>
      <c r="Q61" s="39">
        <v>0.6217788537223167</v>
      </c>
      <c r="R61" s="3">
        <v>3872.6842</v>
      </c>
      <c r="S61" s="3">
        <v>6228.394833333334</v>
      </c>
      <c r="T61" s="39">
        <v>0.9824160756792722</v>
      </c>
      <c r="U61" s="3">
        <v>8157.4965999999995</v>
      </c>
      <c r="V61" s="3">
        <v>8303.504799999999</v>
      </c>
      <c r="W61" s="63">
        <v>14258.079066666665</v>
      </c>
      <c r="X61" s="7">
        <v>0.5411897241473193</v>
      </c>
      <c r="Y61" s="24">
        <v>26345.805233333333</v>
      </c>
      <c r="Z61" s="25">
        <v>0.034049427359617544</v>
      </c>
      <c r="AA61" s="3">
        <v>23.585166666666666</v>
      </c>
      <c r="AB61" s="3">
        <v>692.6744</v>
      </c>
      <c r="AC61" s="39">
        <v>0.5373732142176391</v>
      </c>
      <c r="AD61" s="3">
        <v>120.28676666666667</v>
      </c>
      <c r="AE61" s="3">
        <v>223.84213333333335</v>
      </c>
      <c r="AF61" s="39">
        <v>0.9989981782706704</v>
      </c>
      <c r="AG61" s="3">
        <v>398.87263333333334</v>
      </c>
      <c r="AH61" s="3">
        <v>399.2726333333333</v>
      </c>
      <c r="AI61" s="63">
        <v>542.7445666666666</v>
      </c>
      <c r="AJ61" s="7">
        <v>0.41248596691339223</v>
      </c>
      <c r="AK61" s="26">
        <v>1315.7891666666667</v>
      </c>
      <c r="AL61" s="93">
        <f t="shared" si="30"/>
        <v>16530.439458203047</v>
      </c>
      <c r="AM61" s="7">
        <f t="shared" si="31"/>
        <v>0.5184792008842083</v>
      </c>
      <c r="AN61" s="3">
        <f t="shared" si="32"/>
        <v>31882.550794732426</v>
      </c>
      <c r="AO61" s="7">
        <f t="shared" si="33"/>
        <v>0.16949895168138704</v>
      </c>
      <c r="AP61" s="7">
        <f t="shared" si="34"/>
        <v>0.6255934386803244</v>
      </c>
      <c r="AQ61" s="94">
        <f t="shared" si="35"/>
        <v>0.9799918257005912</v>
      </c>
    </row>
    <row r="62" spans="1:43" ht="12.75">
      <c r="A62" s="177">
        <v>42948</v>
      </c>
      <c r="B62" s="25">
        <v>0.11100663435310752</v>
      </c>
      <c r="C62" s="51">
        <v>232.02257821828582</v>
      </c>
      <c r="D62" s="173">
        <v>2090.1685702877144</v>
      </c>
      <c r="E62" s="25">
        <v>0.658598988928651</v>
      </c>
      <c r="F62" s="51">
        <v>843.1668826165715</v>
      </c>
      <c r="G62" s="173">
        <v>1280.243208372</v>
      </c>
      <c r="H62" s="25">
        <v>0.9244800387709281</v>
      </c>
      <c r="I62" s="51">
        <v>658.183522401</v>
      </c>
      <c r="J62" s="173">
        <v>711.9499554322857</v>
      </c>
      <c r="K62" s="63">
        <v>1733.3729832358572</v>
      </c>
      <c r="L62" s="7">
        <v>0.42460053668453135</v>
      </c>
      <c r="M62" s="26">
        <v>4082.361734092</v>
      </c>
      <c r="N62" s="45">
        <v>0.18858270432317203</v>
      </c>
      <c r="O62" s="3">
        <v>2227.8982666666666</v>
      </c>
      <c r="P62" s="174">
        <v>11813.905600000002</v>
      </c>
      <c r="Q62" s="39">
        <v>0.6217788537223167</v>
      </c>
      <c r="R62" s="3">
        <v>3872.6842</v>
      </c>
      <c r="S62" s="3">
        <v>6228.394833333334</v>
      </c>
      <c r="T62" s="39">
        <v>0.9824160756792722</v>
      </c>
      <c r="U62" s="3">
        <v>8157.4965999999995</v>
      </c>
      <c r="V62" s="3">
        <v>8303.504799999999</v>
      </c>
      <c r="W62" s="63">
        <v>14258.079066666665</v>
      </c>
      <c r="X62" s="7">
        <v>0.5411897241473193</v>
      </c>
      <c r="Y62" s="24">
        <v>26345.805233333333</v>
      </c>
      <c r="Z62" s="25">
        <v>0.034431360342421294</v>
      </c>
      <c r="AA62" s="3">
        <v>23.736129032258066</v>
      </c>
      <c r="AB62" s="3">
        <v>689.3752903225806</v>
      </c>
      <c r="AC62" s="39">
        <v>0.5403675723617078</v>
      </c>
      <c r="AD62" s="3">
        <v>115.56396774193549</v>
      </c>
      <c r="AE62" s="3">
        <v>213.8617741935484</v>
      </c>
      <c r="AF62" s="39">
        <v>0.9973226421476217</v>
      </c>
      <c r="AG62" s="3">
        <v>432.5836129032258</v>
      </c>
      <c r="AH62" s="3">
        <v>433.74490322580647</v>
      </c>
      <c r="AI62" s="63">
        <v>571.8837096774193</v>
      </c>
      <c r="AJ62" s="7">
        <v>0.42774227586875313</v>
      </c>
      <c r="AK62" s="26">
        <v>1336.9819677419355</v>
      </c>
      <c r="AL62" s="93">
        <f t="shared" si="30"/>
        <v>16563.335759579943</v>
      </c>
      <c r="AM62" s="7">
        <f t="shared" si="31"/>
        <v>0.5214310750875352</v>
      </c>
      <c r="AN62" s="3">
        <f t="shared" si="32"/>
        <v>31765.148935167268</v>
      </c>
      <c r="AO62" s="7">
        <f t="shared" si="33"/>
        <v>0.17018984994746703</v>
      </c>
      <c r="AP62" s="7">
        <f t="shared" si="34"/>
        <v>0.625628380127859</v>
      </c>
      <c r="AQ62" s="94">
        <f t="shared" si="35"/>
        <v>0.9787351383596012</v>
      </c>
    </row>
    <row r="63" spans="1:43" ht="12.75">
      <c r="A63" s="177">
        <v>42917</v>
      </c>
      <c r="B63" s="25">
        <v>0.10997180141163641</v>
      </c>
      <c r="C63" s="51">
        <v>244.08203124999997</v>
      </c>
      <c r="D63" s="173">
        <v>2219.4965265356923</v>
      </c>
      <c r="E63" s="25">
        <v>0.6636644171604644</v>
      </c>
      <c r="F63" s="51">
        <v>913.2707865357144</v>
      </c>
      <c r="G63" s="173">
        <v>1376.1032879285717</v>
      </c>
      <c r="H63" s="25">
        <v>0.9570005976587165</v>
      </c>
      <c r="I63" s="51">
        <v>546.4263214285714</v>
      </c>
      <c r="J63" s="173">
        <v>570.9780357142857</v>
      </c>
      <c r="K63" s="63">
        <v>1703.7791392142858</v>
      </c>
      <c r="L63" s="7">
        <v>0.4089157098411767</v>
      </c>
      <c r="M63" s="26">
        <v>4166.57785017855</v>
      </c>
      <c r="N63" s="45">
        <v>0.1956933459466662</v>
      </c>
      <c r="O63" s="3">
        <v>2203.622193548387</v>
      </c>
      <c r="P63" s="174">
        <v>11260.588258064516</v>
      </c>
      <c r="Q63" s="39">
        <v>0.6197256491695139</v>
      </c>
      <c r="R63" s="3">
        <v>3582.0490967741935</v>
      </c>
      <c r="S63" s="3">
        <v>5780.056225806451</v>
      </c>
      <c r="T63" s="39">
        <v>0.9817904587513016</v>
      </c>
      <c r="U63" s="3">
        <v>6967.459838709678</v>
      </c>
      <c r="V63" s="3">
        <v>7096.687258064516</v>
      </c>
      <c r="W63" s="63">
        <v>12753.131129032257</v>
      </c>
      <c r="X63" s="7">
        <v>0.528357121880019</v>
      </c>
      <c r="Y63" s="24">
        <v>24137.331741935483</v>
      </c>
      <c r="Z63" s="25">
        <v>0.03445755379690383</v>
      </c>
      <c r="AA63" s="3">
        <v>22.88032258064516</v>
      </c>
      <c r="AB63" s="3">
        <v>664.0147096774194</v>
      </c>
      <c r="AC63" s="39">
        <v>0.5349561710827074</v>
      </c>
      <c r="AD63" s="3">
        <v>113.65929032258065</v>
      </c>
      <c r="AE63" s="3">
        <v>212.46467741935487</v>
      </c>
      <c r="AF63" s="39">
        <v>1</v>
      </c>
      <c r="AG63" s="3">
        <v>414.32193548387096</v>
      </c>
      <c r="AH63" s="3">
        <v>414.32193548387096</v>
      </c>
      <c r="AI63" s="63">
        <v>550.8615483870967</v>
      </c>
      <c r="AJ63" s="7">
        <v>0.4267593616078593</v>
      </c>
      <c r="AK63" s="26">
        <v>1290.8013225806453</v>
      </c>
      <c r="AL63" s="93">
        <f t="shared" si="30"/>
        <v>15007.77181663364</v>
      </c>
      <c r="AM63" s="7">
        <f t="shared" si="31"/>
        <v>0.5071099312269958</v>
      </c>
      <c r="AN63" s="3">
        <f t="shared" si="32"/>
        <v>29594.71091469468</v>
      </c>
      <c r="AO63" s="7">
        <f t="shared" si="33"/>
        <v>0.17467245252188537</v>
      </c>
      <c r="AP63" s="7">
        <f t="shared" si="34"/>
        <v>0.6254870724938464</v>
      </c>
      <c r="AQ63" s="94">
        <f t="shared" si="35"/>
        <v>0.9809726086817163</v>
      </c>
    </row>
    <row r="64" spans="1:43" ht="12.75">
      <c r="A64" s="177">
        <v>42887</v>
      </c>
      <c r="B64" s="25">
        <v>0.10740529515852681</v>
      </c>
      <c r="C64" s="51">
        <v>237.32060832142858</v>
      </c>
      <c r="D64" s="173">
        <v>2209.58015125</v>
      </c>
      <c r="E64" s="25">
        <v>0.6751397634900731</v>
      </c>
      <c r="F64" s="51">
        <v>911.4024642857142</v>
      </c>
      <c r="G64" s="173">
        <v>1349.946357142857</v>
      </c>
      <c r="H64" s="25">
        <v>0.9539632633283119</v>
      </c>
      <c r="I64" s="51">
        <v>511.65264285714284</v>
      </c>
      <c r="J64" s="173">
        <v>536.3441785714285</v>
      </c>
      <c r="K64" s="63">
        <v>1660.3757154642856</v>
      </c>
      <c r="L64" s="7">
        <v>0.4053779629197467</v>
      </c>
      <c r="M64" s="26">
        <v>4095.8706869642856</v>
      </c>
      <c r="N64" s="45">
        <v>0.1982059134736947</v>
      </c>
      <c r="O64" s="3">
        <v>2234.8889</v>
      </c>
      <c r="P64" s="174">
        <v>11275.591433333333</v>
      </c>
      <c r="Q64" s="39">
        <v>0.63904190500251</v>
      </c>
      <c r="R64" s="3">
        <v>3757.6571666666664</v>
      </c>
      <c r="S64" s="3">
        <v>5880.1420333333335</v>
      </c>
      <c r="T64" s="39">
        <v>0.9762267534043705</v>
      </c>
      <c r="U64" s="3">
        <v>7436.5672</v>
      </c>
      <c r="V64" s="3">
        <v>7617.6638</v>
      </c>
      <c r="W64" s="63">
        <v>13429.113266666667</v>
      </c>
      <c r="X64" s="7">
        <v>0.542077984787978</v>
      </c>
      <c r="Y64" s="24">
        <v>24773.397266666667</v>
      </c>
      <c r="Z64" s="25">
        <v>0.03455712036634666</v>
      </c>
      <c r="AA64" s="3">
        <v>24.002333333333336</v>
      </c>
      <c r="AB64" s="3">
        <v>694.5698333333333</v>
      </c>
      <c r="AC64" s="39">
        <v>0.5257436946696664</v>
      </c>
      <c r="AD64" s="3">
        <v>113.7794</v>
      </c>
      <c r="AE64" s="3">
        <v>216.4161</v>
      </c>
      <c r="AF64" s="39">
        <v>0.9972749793371524</v>
      </c>
      <c r="AG64" s="3">
        <v>439.16363333333334</v>
      </c>
      <c r="AH64" s="3">
        <v>440.3636333333333</v>
      </c>
      <c r="AI64" s="63">
        <v>576.9453666666667</v>
      </c>
      <c r="AJ64" s="7">
        <v>0.42694013517893853</v>
      </c>
      <c r="AK64" s="26">
        <v>1351.3495666666668</v>
      </c>
      <c r="AL64" s="93">
        <f t="shared" si="30"/>
        <v>15666.43434879762</v>
      </c>
      <c r="AM64" s="7">
        <f t="shared" si="31"/>
        <v>0.5184021914269386</v>
      </c>
      <c r="AN64" s="3">
        <f t="shared" si="32"/>
        <v>30220.61752029762</v>
      </c>
      <c r="AO64" s="7">
        <f t="shared" si="33"/>
        <v>0.17604071668759058</v>
      </c>
      <c r="AP64" s="7">
        <f t="shared" si="34"/>
        <v>0.6422931775666634</v>
      </c>
      <c r="AQ64" s="94">
        <f t="shared" si="35"/>
        <v>0.9759158499235047</v>
      </c>
    </row>
    <row r="65" spans="1:43" ht="12.75">
      <c r="A65" s="177">
        <v>42856</v>
      </c>
      <c r="B65" s="25">
        <v>0.09403144989242412</v>
      </c>
      <c r="C65" s="51">
        <v>173.319608</v>
      </c>
      <c r="D65" s="173">
        <v>1843.2089284838721</v>
      </c>
      <c r="E65" s="25">
        <v>0.6928115228196412</v>
      </c>
      <c r="F65" s="51">
        <v>767.439258064516</v>
      </c>
      <c r="G65" s="173">
        <v>1107.7172258064516</v>
      </c>
      <c r="H65" s="25">
        <v>0.95563500493918</v>
      </c>
      <c r="I65" s="51">
        <v>447.50167741935485</v>
      </c>
      <c r="J65" s="173">
        <v>468.27677419354836</v>
      </c>
      <c r="K65" s="63">
        <v>1388.2605434838708</v>
      </c>
      <c r="L65" s="7">
        <v>0.40601876300434947</v>
      </c>
      <c r="M65" s="26">
        <v>3419.202928483872</v>
      </c>
      <c r="N65" s="45">
        <v>0.19694220969135198</v>
      </c>
      <c r="O65" s="3">
        <v>1995.0638709677419</v>
      </c>
      <c r="P65" s="174">
        <v>10130.199483870969</v>
      </c>
      <c r="Q65" s="39">
        <v>0.6525342877642096</v>
      </c>
      <c r="R65" s="3">
        <v>3357.306129032258</v>
      </c>
      <c r="S65" s="3">
        <v>5145.026387096774</v>
      </c>
      <c r="T65" s="39">
        <v>0.9801520117787955</v>
      </c>
      <c r="U65" s="3">
        <v>6738.126935483871</v>
      </c>
      <c r="V65" s="3">
        <v>6874.573387096774</v>
      </c>
      <c r="W65" s="63">
        <v>12090.496935483872</v>
      </c>
      <c r="X65" s="7">
        <v>0.5458513097396062</v>
      </c>
      <c r="Y65" s="24">
        <v>22149.799258064515</v>
      </c>
      <c r="Z65" s="25">
        <v>0.037462322376919766</v>
      </c>
      <c r="AA65" s="3">
        <v>25.258064516129032</v>
      </c>
      <c r="AB65" s="3">
        <v>674.2258064516129</v>
      </c>
      <c r="AC65" s="39">
        <v>0.5125934971760037</v>
      </c>
      <c r="AD65" s="3">
        <v>108.3225806451613</v>
      </c>
      <c r="AE65" s="3">
        <v>211.32258064516128</v>
      </c>
      <c r="AF65" s="39">
        <v>1</v>
      </c>
      <c r="AG65" s="3">
        <v>416.64516129032256</v>
      </c>
      <c r="AH65" s="3">
        <v>416.64516129032256</v>
      </c>
      <c r="AI65" s="63">
        <v>550.2258064516129</v>
      </c>
      <c r="AJ65" s="7">
        <v>0.42253765358699963</v>
      </c>
      <c r="AK65" s="26">
        <v>1302.1935483870968</v>
      </c>
      <c r="AL65" s="93">
        <f t="shared" si="30"/>
        <v>14028.983285419357</v>
      </c>
      <c r="AM65" s="7">
        <f t="shared" si="31"/>
        <v>0.5220825832912285</v>
      </c>
      <c r="AN65" s="3">
        <f t="shared" si="32"/>
        <v>26871.195734935485</v>
      </c>
      <c r="AO65" s="7">
        <f t="shared" si="33"/>
        <v>0.17344283567451896</v>
      </c>
      <c r="AP65" s="7">
        <f t="shared" si="34"/>
        <v>0.6548614820756089</v>
      </c>
      <c r="AQ65" s="94">
        <f t="shared" si="35"/>
        <v>0.979738173444145</v>
      </c>
    </row>
    <row r="66" spans="1:43" ht="12.75">
      <c r="A66" s="177">
        <v>42826</v>
      </c>
      <c r="B66" s="25">
        <v>0.10051017741599441</v>
      </c>
      <c r="C66" s="51">
        <v>206.11522126666668</v>
      </c>
      <c r="D66" s="173">
        <v>2050.6900551333333</v>
      </c>
      <c r="E66" s="25">
        <v>0.6804108334611467</v>
      </c>
      <c r="F66" s="51">
        <v>752.0875333333333</v>
      </c>
      <c r="G66" s="173">
        <v>1105.3432666666668</v>
      </c>
      <c r="H66" s="25">
        <v>0.9522102340881158</v>
      </c>
      <c r="I66" s="51">
        <v>477.0147</v>
      </c>
      <c r="J66" s="173">
        <v>500.95523333333335</v>
      </c>
      <c r="K66" s="63">
        <v>1435.2174546</v>
      </c>
      <c r="L66" s="7">
        <v>0.3924588313478252</v>
      </c>
      <c r="M66" s="26">
        <v>3656.9885551333336</v>
      </c>
      <c r="N66" s="45">
        <f aca="true" t="shared" si="36" ref="N66:N74">O66/P66</f>
        <v>0.19184937251291823</v>
      </c>
      <c r="O66" s="3">
        <f>SUM('[5]2000-Present'!$E$5,'[5]2000-Present'!$E$6,'[5]2000-Present'!$E$9)/30*0.001</f>
        <v>2167.6582000000003</v>
      </c>
      <c r="P66" s="174">
        <f>SUM('[5]2000-Present'!$E$5,'[5]2000-Present'!$E$6,'[5]2000-Present'!$E$9,'[5]2000-Present'!$I$5,'[5]2000-Present'!$I$6,'[5]2000-Present'!$I$9)/30*0.001</f>
        <v>11298.750533333334</v>
      </c>
      <c r="Q66" s="39">
        <f aca="true" t="shared" si="37" ref="Q66:Q71">R66/S66</f>
        <v>0.6588404567031483</v>
      </c>
      <c r="R66" s="3">
        <f>'[5]2000-Present'!$E$7/30*0.001</f>
        <v>3301.544533333333</v>
      </c>
      <c r="S66" s="3">
        <f>SUM('[5]2000-Present'!$E$7,'[5]2000-Present'!$I$7)/30*0.001</f>
        <v>5011.144200000001</v>
      </c>
      <c r="T66" s="39">
        <f>U66/V66</f>
        <v>0.9794516197354438</v>
      </c>
      <c r="U66" s="3">
        <f>'[5]2000-Present'!$E$8/30*0.001</f>
        <v>6218.336566666667</v>
      </c>
      <c r="V66" s="3">
        <f>SUM('[5]2000-Present'!$E$8,'[5]2000-Present'!$I$8)/30*0.001</f>
        <v>6348.794</v>
      </c>
      <c r="W66" s="63">
        <f>+O66+V66+R66</f>
        <v>11817.996733333333</v>
      </c>
      <c r="X66" s="7">
        <f aca="true" t="shared" si="38" ref="X66:X71">W66/Y66</f>
        <v>0.5215657831049952</v>
      </c>
      <c r="Y66" s="24">
        <f aca="true" t="shared" si="39" ref="Y66:Y71">+V66+S66+P66</f>
        <v>22658.688733333336</v>
      </c>
      <c r="Z66" s="25">
        <v>0.03344021988089785</v>
      </c>
      <c r="AA66" s="3">
        <v>26.766666666666666</v>
      </c>
      <c r="AB66" s="3">
        <v>800.4333333333333</v>
      </c>
      <c r="AC66" s="39">
        <v>0.5104540023894863</v>
      </c>
      <c r="AD66" s="3">
        <v>113.93333333333334</v>
      </c>
      <c r="AE66" s="3">
        <v>223.2</v>
      </c>
      <c r="AF66" s="39">
        <v>0.9982760036121828</v>
      </c>
      <c r="AG66" s="3">
        <v>405.3333333333333</v>
      </c>
      <c r="AH66" s="3">
        <v>406.03333333333336</v>
      </c>
      <c r="AI66" s="63">
        <v>546.0333333333333</v>
      </c>
      <c r="AJ66" s="7">
        <v>0.3819305199347167</v>
      </c>
      <c r="AK66" s="26">
        <v>1429.6666666666665</v>
      </c>
      <c r="AL66" s="93">
        <f aca="true" t="shared" si="40" ref="AL66:AL71">+AI66+W66+K66</f>
        <v>13799.247521266667</v>
      </c>
      <c r="AM66" s="7">
        <f aca="true" t="shared" si="41" ref="AM66:AM71">AL66/AN66</f>
        <v>0.4973536296245332</v>
      </c>
      <c r="AN66" s="3">
        <f aca="true" t="shared" si="42" ref="AN66:AN71">+AK66+Y66+M66</f>
        <v>27745.343955133336</v>
      </c>
      <c r="AO66" s="7">
        <f aca="true" t="shared" si="43" ref="AO66:AO71">(+AA66+O66+C66)/(D66+P66+AB66)</f>
        <v>0.16965098778971752</v>
      </c>
      <c r="AP66" s="7">
        <f aca="true" t="shared" si="44" ref="AP66:AP71">(+AD66+R66+F66)/(G66+S66+AE66)</f>
        <v>0.6573771060344172</v>
      </c>
      <c r="AQ66" s="94">
        <f aca="true" t="shared" si="45" ref="AQ66:AQ71">(AG66+U66+I66)/(AH66+V66+J66)</f>
        <v>0.9786242262303734</v>
      </c>
    </row>
    <row r="67" spans="1:43" ht="12.75">
      <c r="A67" s="177">
        <v>42795</v>
      </c>
      <c r="B67" s="25">
        <f aca="true" t="shared" si="46" ref="B67:B77">C67/D67</f>
        <v>0.10112359550561799</v>
      </c>
      <c r="C67" s="51">
        <f>'[9]BHD'!$E$25/7</f>
        <v>267.42857142857144</v>
      </c>
      <c r="D67" s="173">
        <f>'[9]BHD'!$G$25/7</f>
        <v>2644.5714285714284</v>
      </c>
      <c r="E67" s="25">
        <f aca="true" t="shared" si="47" ref="E67:E77">F67/G67</f>
        <v>0.6708612686952037</v>
      </c>
      <c r="F67" s="51">
        <f>'[9]BHD'!$E$26/7</f>
        <v>929.1428571428571</v>
      </c>
      <c r="G67" s="173">
        <f>'[9]BHD'!$G$26/7</f>
        <v>1385</v>
      </c>
      <c r="H67" s="25">
        <f aca="true" t="shared" si="48" ref="H67:H77">I67/J67</f>
        <v>0.9362256993835941</v>
      </c>
      <c r="I67" s="51">
        <f>'[9]BHD'!$E$27/7</f>
        <v>564.1428571428571</v>
      </c>
      <c r="J67" s="173">
        <f>'[9]BHD'!$G$27/7</f>
        <v>602.5714285714286</v>
      </c>
      <c r="K67" s="63">
        <f aca="true" t="shared" si="49" ref="K67:K72">SUM(C67+F67+I67)</f>
        <v>1760.7142857142856</v>
      </c>
      <c r="L67" s="7">
        <f aca="true" t="shared" si="50" ref="L67:L72">K67/M67</f>
        <v>0.3801079414032382</v>
      </c>
      <c r="M67" s="26">
        <f aca="true" t="shared" si="51" ref="M67:M72">SUM(J67+G67+D67)</f>
        <v>4632.142857142857</v>
      </c>
      <c r="N67" s="45">
        <f t="shared" si="36"/>
        <v>0.19008642502374334</v>
      </c>
      <c r="O67" s="3">
        <f>SUM('[5]2000-Present'!$E$16,'[5]2000-Present'!$E$17,'[5]2000-Present'!$E$20)/31*0.001</f>
        <v>2503.8125161290322</v>
      </c>
      <c r="P67" s="174">
        <f>SUM('[5]2000-Present'!$E$16,'[5]2000-Present'!$E$17,'[5]2000-Present'!$E$20,'[5]2000-Present'!$I$16,'[5]2000-Present'!$I$17,'[5]2000-Present'!$I$20)/31*0.001</f>
        <v>13171.969096774195</v>
      </c>
      <c r="Q67" s="39">
        <f t="shared" si="37"/>
        <v>0.6795132724522056</v>
      </c>
      <c r="R67" s="3">
        <f>'[5]2000-Present'!$E$18/30*0.001</f>
        <v>3889.7437000000004</v>
      </c>
      <c r="S67" s="3">
        <f>SUM('[5]2000-Present'!$E$18,'[5]2000-Present'!$I$18)/31*0.001</f>
        <v>5724.308645161291</v>
      </c>
      <c r="T67" s="39">
        <f aca="true" t="shared" si="52" ref="T67:T78">U67/V67</f>
        <v>0.9785872542809145</v>
      </c>
      <c r="U67" s="3">
        <f>'[5]2000-Present'!$E$19/31*0.001</f>
        <v>7088.688774193549</v>
      </c>
      <c r="V67" s="3">
        <f>SUM('[5]2000-Present'!$E$19,'[5]2000-Present'!$I$19)/31*0.001</f>
        <v>7243.798387096774</v>
      </c>
      <c r="W67" s="63">
        <f>+U67+O67+R67</f>
        <v>13482.244990322582</v>
      </c>
      <c r="X67" s="7">
        <f t="shared" si="38"/>
        <v>0.5157691555208839</v>
      </c>
      <c r="Y67" s="24">
        <f t="shared" si="39"/>
        <v>26140.07612903226</v>
      </c>
      <c r="Z67" s="25">
        <f>AA67/AB67</f>
        <v>0.03233149427061229</v>
      </c>
      <c r="AA67" s="3">
        <f>'[9]MPD'!$C$27/31</f>
        <v>27.032258064516128</v>
      </c>
      <c r="AB67" s="3">
        <f>'[9]MPD'!$D$27/31</f>
        <v>836.0967741935484</v>
      </c>
      <c r="AC67" s="39">
        <f aca="true" t="shared" si="53" ref="AC67:AC77">AD67/AE67</f>
        <v>0.5062215477996964</v>
      </c>
      <c r="AD67" s="3">
        <f>'[9]MPD'!$C$28/31</f>
        <v>107.61290322580645</v>
      </c>
      <c r="AE67" s="3">
        <f>'[9]MPD'!$D$28/31</f>
        <v>212.58064516129033</v>
      </c>
      <c r="AF67" s="39">
        <f aca="true" t="shared" si="54" ref="AF67:AF77">AG67/AH67</f>
        <v>0.9999251665045275</v>
      </c>
      <c r="AG67" s="3">
        <f>'[9]MPD'!$C$29/31</f>
        <v>431.03225806451616</v>
      </c>
      <c r="AH67" s="3">
        <f>'[9]MPD'!$D$29/31</f>
        <v>431.06451612903226</v>
      </c>
      <c r="AI67" s="63">
        <f>AG67+AD67+AA67</f>
        <v>565.6774193548387</v>
      </c>
      <c r="AJ67" s="7">
        <f>AI67/AK67</f>
        <v>0.382281130101151</v>
      </c>
      <c r="AK67" s="26">
        <f>+AH67+AE67+AB67</f>
        <v>1479.741935483871</v>
      </c>
      <c r="AL67" s="93">
        <f t="shared" si="40"/>
        <v>15808.636695391708</v>
      </c>
      <c r="AM67" s="7">
        <f t="shared" si="41"/>
        <v>0.49016048152208097</v>
      </c>
      <c r="AN67" s="3">
        <f t="shared" si="42"/>
        <v>32251.96092165899</v>
      </c>
      <c r="AO67" s="7">
        <f t="shared" si="43"/>
        <v>0.16803784861750135</v>
      </c>
      <c r="AP67" s="7">
        <f t="shared" si="44"/>
        <v>0.6728453907217732</v>
      </c>
      <c r="AQ67" s="94">
        <f t="shared" si="45"/>
        <v>0.9766146809944811</v>
      </c>
    </row>
    <row r="68" spans="1:43" ht="12.75">
      <c r="A68" s="177">
        <v>42767</v>
      </c>
      <c r="B68" s="25">
        <f t="shared" si="46"/>
        <v>0.0991172270543944</v>
      </c>
      <c r="C68" s="51">
        <f>'[8]BHD'!$E$25/7</f>
        <v>218.14285714285714</v>
      </c>
      <c r="D68" s="173">
        <f>'[8]BHD'!$G$25/7</f>
        <v>2200.8571428571427</v>
      </c>
      <c r="E68" s="25">
        <f t="shared" si="47"/>
        <v>0.6685149469623916</v>
      </c>
      <c r="F68" s="51">
        <f>'[8]BHD'!$E$26/7</f>
        <v>792.2857142857143</v>
      </c>
      <c r="G68" s="173">
        <f>'[8]BHD'!$G$26/7</f>
        <v>1185.142857142857</v>
      </c>
      <c r="H68" s="25">
        <f t="shared" si="48"/>
        <v>0.960188001105889</v>
      </c>
      <c r="I68" s="51">
        <f>'[8]BHD'!$E$27/7</f>
        <v>496.14285714285717</v>
      </c>
      <c r="J68" s="173">
        <f>'[8]BHD'!$G$27/7</f>
        <v>516.7142857142857</v>
      </c>
      <c r="K68" s="63">
        <f t="shared" si="49"/>
        <v>1506.5714285714287</v>
      </c>
      <c r="L68" s="7">
        <f t="shared" si="50"/>
        <v>0.38603169954976396</v>
      </c>
      <c r="M68" s="26">
        <f t="shared" si="51"/>
        <v>3902.7142857142853</v>
      </c>
      <c r="N68" s="45">
        <f t="shared" si="36"/>
        <v>0.15470141114723368</v>
      </c>
      <c r="O68" s="3">
        <f>SUM('[5]2000-Present'!$E$27,E87,E90)/28*0.001</f>
        <v>1952.8461521948007</v>
      </c>
      <c r="P68" s="174">
        <f>SUM('[5]2000-Present'!$E$27,'[5]2000-Present'!$E$28,'[5]2000-Present'!$E$31,'[5]2000-Present'!$I$27,'[5]2000-Present'!$I$28,'[5]2000-Present'!$I$31)/28*0.001</f>
        <v>12623.32475</v>
      </c>
      <c r="Q68" s="39">
        <f t="shared" si="37"/>
        <v>0.6140789155733679</v>
      </c>
      <c r="R68" s="3">
        <f>'[5]2000-Present'!$E$29/30*0.001</f>
        <v>3181.0364</v>
      </c>
      <c r="S68" s="3">
        <f>SUM('[5]2000-Present'!$E$29,'[5]2000-Present'!$I$29)/28*0.001</f>
        <v>5180.17525</v>
      </c>
      <c r="T68" s="39">
        <f t="shared" si="52"/>
        <v>0.9734950766906463</v>
      </c>
      <c r="U68" s="3">
        <f>'[5]2000-Present'!$E$30/28*0.001</f>
        <v>6024.7023928571425</v>
      </c>
      <c r="V68" s="3">
        <f>SUM('[5]2000-Present'!$E$30,'[5]2000-Present'!$I$30)/28*0.001</f>
        <v>6188.734321428572</v>
      </c>
      <c r="W68" s="63">
        <f>+U68+O68+R68</f>
        <v>11158.584945051942</v>
      </c>
      <c r="X68" s="7">
        <f t="shared" si="38"/>
        <v>0.46509152901552375</v>
      </c>
      <c r="Y68" s="24">
        <f t="shared" si="39"/>
        <v>23992.234321428572</v>
      </c>
      <c r="Z68" s="25">
        <f>AA68/AB68</f>
        <v>0.032593109328372664</v>
      </c>
      <c r="AA68" s="3">
        <f>'[8]MPD'!$B$27/28</f>
        <v>30.035714285714285</v>
      </c>
      <c r="AB68" s="3">
        <f>'[8]MPD'!$D$27/28</f>
        <v>921.5357142857143</v>
      </c>
      <c r="AC68" s="39">
        <f t="shared" si="53"/>
        <v>0.5105735805330243</v>
      </c>
      <c r="AD68" s="3">
        <f>'[8]MPD'!$B$28/28</f>
        <v>125.89285714285714</v>
      </c>
      <c r="AE68" s="3">
        <f>'[8]MPD'!$D$28/28</f>
        <v>246.57142857142858</v>
      </c>
      <c r="AF68" s="39">
        <f t="shared" si="54"/>
        <v>0.9999179924553059</v>
      </c>
      <c r="AG68" s="3">
        <f>'[8]MPD'!$B$29/28</f>
        <v>435.4642857142857</v>
      </c>
      <c r="AH68" s="3">
        <f>'[8]MPD'!$D$29/28</f>
        <v>435.5</v>
      </c>
      <c r="AI68" s="63">
        <f>AG68+AD68+AA68</f>
        <v>591.3928571428572</v>
      </c>
      <c r="AJ68" s="7">
        <f>AI68/AK68</f>
        <v>0.36878911382819984</v>
      </c>
      <c r="AK68" s="26">
        <f>+AH68+AE68+AB68</f>
        <v>1603.607142857143</v>
      </c>
      <c r="AL68" s="93">
        <f t="shared" si="40"/>
        <v>13256.549230766228</v>
      </c>
      <c r="AM68" s="7">
        <f t="shared" si="41"/>
        <v>0.4493965515842662</v>
      </c>
      <c r="AN68" s="3">
        <f t="shared" si="42"/>
        <v>29498.55575</v>
      </c>
      <c r="AO68" s="7">
        <f t="shared" si="43"/>
        <v>0.1397856089216857</v>
      </c>
      <c r="AP68" s="7">
        <f t="shared" si="44"/>
        <v>0.6199763243603149</v>
      </c>
      <c r="AQ68" s="94">
        <f t="shared" si="45"/>
        <v>0.9741436213048944</v>
      </c>
    </row>
    <row r="69" spans="1:43" ht="12.75">
      <c r="A69" s="177">
        <v>42736</v>
      </c>
      <c r="B69" s="25">
        <f t="shared" si="46"/>
        <v>0.10304789550072568</v>
      </c>
      <c r="C69" s="51">
        <f>'[6]BHD'!$E$25/7</f>
        <v>243.42857142857142</v>
      </c>
      <c r="D69" s="173">
        <f>'[6]BHD'!$G$25/7</f>
        <v>2362.285714285714</v>
      </c>
      <c r="E69" s="25">
        <f t="shared" si="47"/>
        <v>0.33701291533281824</v>
      </c>
      <c r="F69" s="51">
        <f>'[6]BHD'!$F$26/7</f>
        <v>436.14285714285717</v>
      </c>
      <c r="G69" s="173">
        <f>'[6]BHD'!$G$26/7</f>
        <v>1294.142857142857</v>
      </c>
      <c r="H69" s="25">
        <f t="shared" si="48"/>
        <v>0.9608108108108108</v>
      </c>
      <c r="I69" s="51">
        <f>'[6]BHD'!$E$27/7</f>
        <v>507.85714285714283</v>
      </c>
      <c r="J69" s="173">
        <f>'[6]BHD'!$G$27/7</f>
        <v>528.5714285714286</v>
      </c>
      <c r="K69" s="63">
        <f t="shared" si="49"/>
        <v>1187.4285714285713</v>
      </c>
      <c r="L69" s="7">
        <f t="shared" si="50"/>
        <v>0.28373442566990953</v>
      </c>
      <c r="M69" s="26">
        <f t="shared" si="51"/>
        <v>4185</v>
      </c>
      <c r="N69" s="45">
        <f t="shared" si="36"/>
        <v>0.1993904565026348</v>
      </c>
      <c r="O69" s="3">
        <f>SUM('[5]2000-Present'!$E$38,'[5]2000-Present'!$E$39,'[5]2000-Present'!$E$42)/31*0.001</f>
        <v>2830.698193548387</v>
      </c>
      <c r="P69" s="174">
        <f>SUM('[5]2000-Present'!$E$38,'[5]2000-Present'!$E$39,'[5]2000-Present'!$E$42,'[5]2000-Present'!$I$38,'[5]2000-Present'!$I$39,'[5]2000-Present'!$I$42)/31*0.001</f>
        <v>14196.758677419355</v>
      </c>
      <c r="Q69" s="39">
        <f t="shared" si="37"/>
        <v>0.6533650357592824</v>
      </c>
      <c r="R69" s="3">
        <f>'[5]2000-Present'!$E$40/31*0.001</f>
        <v>3733.3250322580648</v>
      </c>
      <c r="S69" s="3">
        <f>SUM('[5]2000-Present'!$E$40,'[5]2000-Present'!$I$40)/31*0.001</f>
        <v>5713.995741935484</v>
      </c>
      <c r="T69" s="39">
        <f t="shared" si="52"/>
        <v>0.9719849486369416</v>
      </c>
      <c r="U69" s="3">
        <f>'[5]2000-Present'!$E$41/31*0.001</f>
        <v>7200.099064516129</v>
      </c>
      <c r="V69" s="3">
        <f>SUM('[5]2000-Present'!$E$41,'[5]2000-Present'!$I$41)/31*0.001</f>
        <v>7407.624032258064</v>
      </c>
      <c r="W69" s="63">
        <f>+U69+O69+R69</f>
        <v>13764.12229032258</v>
      </c>
      <c r="X69" s="7">
        <f t="shared" si="38"/>
        <v>0.5038411161446493</v>
      </c>
      <c r="Y69" s="24">
        <f t="shared" si="39"/>
        <v>27318.3784516129</v>
      </c>
      <c r="Z69" s="25">
        <f>AA69/AB69</f>
        <v>0.03068114119282452</v>
      </c>
      <c r="AA69" s="3">
        <f>'[6]MPD'!$C$27/31</f>
        <v>29.903225806451612</v>
      </c>
      <c r="AB69" s="3">
        <f>'[6]MPD'!$D$27/31</f>
        <v>974.6451612903226</v>
      </c>
      <c r="AC69" s="39">
        <f t="shared" si="53"/>
        <v>0.5013174317015671</v>
      </c>
      <c r="AD69" s="3">
        <f>'[6]MPD'!$C$28/31</f>
        <v>116.61290322580645</v>
      </c>
      <c r="AE69" s="3">
        <f>'[6]MPD'!$D$28/31</f>
        <v>232.61290322580646</v>
      </c>
      <c r="AF69" s="39">
        <f t="shared" si="54"/>
        <v>1</v>
      </c>
      <c r="AG69" s="3">
        <f>'[6]MPD'!$C$29/31</f>
        <v>429.19354838709677</v>
      </c>
      <c r="AH69" s="3">
        <f>'[6]MPD'!$D$29/31</f>
        <v>429.19354838709677</v>
      </c>
      <c r="AI69" s="63">
        <f>AG69+AD69+AA69</f>
        <v>575.7096774193548</v>
      </c>
      <c r="AJ69" s="7">
        <f>AI69/AK69</f>
        <v>0.3518036664695446</v>
      </c>
      <c r="AK69" s="26">
        <f>+AH69+AE69+AB69</f>
        <v>1636.4516129032259</v>
      </c>
      <c r="AL69" s="93">
        <f t="shared" si="40"/>
        <v>15527.260539170506</v>
      </c>
      <c r="AM69" s="7">
        <f t="shared" si="41"/>
        <v>0.46853772360758233</v>
      </c>
      <c r="AN69" s="3">
        <f t="shared" si="42"/>
        <v>33139.83006451613</v>
      </c>
      <c r="AO69" s="7">
        <f t="shared" si="43"/>
        <v>0.17703233431854215</v>
      </c>
      <c r="AP69" s="7">
        <f t="shared" si="44"/>
        <v>0.5919386670379192</v>
      </c>
      <c r="AQ69" s="94">
        <f t="shared" si="45"/>
        <v>0.9727162415035622</v>
      </c>
    </row>
    <row r="70" spans="1:43" ht="12.75">
      <c r="A70" s="177">
        <v>42705</v>
      </c>
      <c r="B70" s="25">
        <f t="shared" si="46"/>
        <v>0.11391482879660905</v>
      </c>
      <c r="C70" s="51">
        <f>'[7]BHD'!$E$25/7</f>
        <v>245.71428571428572</v>
      </c>
      <c r="D70" s="173">
        <f>'[7]BHD'!$F$25/7</f>
        <v>2157</v>
      </c>
      <c r="E70" s="25">
        <f t="shared" si="47"/>
        <v>0.6613149847094801</v>
      </c>
      <c r="F70" s="13">
        <f>'[7]BHD'!$E$26/7</f>
        <v>865</v>
      </c>
      <c r="G70" s="185">
        <f>'[7]BHD'!$G$26/7</f>
        <v>1308</v>
      </c>
      <c r="H70" s="25">
        <f t="shared" si="48"/>
        <v>0.9591836734693877</v>
      </c>
      <c r="I70" s="51">
        <f>'[7]BHD'!$E$27/7</f>
        <v>449.85714285714283</v>
      </c>
      <c r="J70" s="185">
        <f>'[7]BHD'!$G$27/7</f>
        <v>469</v>
      </c>
      <c r="K70" s="63">
        <f t="shared" si="49"/>
        <v>1560.5714285714287</v>
      </c>
      <c r="L70" s="7">
        <f t="shared" si="50"/>
        <v>0.3966882126516087</v>
      </c>
      <c r="M70" s="26">
        <f t="shared" si="51"/>
        <v>3934</v>
      </c>
      <c r="N70" s="45">
        <f t="shared" si="36"/>
        <v>0.2093431299944336</v>
      </c>
      <c r="O70" s="3">
        <f>SUM('[5]2000-Present'!$E$49,'[5]2000-Present'!$E$50,'[5]2000-Present'!$E$53)/31*0.001</f>
        <v>2699.2584193548387</v>
      </c>
      <c r="P70" s="174">
        <f>SUM('[5]2000-Present'!$E$49,'[5]2000-Present'!$E$50,'[5]2000-Present'!$E$53,'[5]2000-Present'!$I$49,'[5]2000-Present'!$I$50,'[5]2000-Present'!$I$53)/31*0.001</f>
        <v>12893.943161290324</v>
      </c>
      <c r="Q70" s="39">
        <f t="shared" si="37"/>
        <v>0.6728942494168909</v>
      </c>
      <c r="R70" s="3">
        <f>'[5]2000-Present'!$E$51/31*0.001</f>
        <v>3739.898419354839</v>
      </c>
      <c r="S70" s="3">
        <f>SUM('[5]2000-Present'!$E$51,'[5]2000-Present'!$I$51)/31*0.001</f>
        <v>5557.928935483871</v>
      </c>
      <c r="T70" s="39">
        <f t="shared" si="52"/>
        <v>0.9763220989574501</v>
      </c>
      <c r="U70" s="3">
        <f>'[5]2000-Present'!$E$52/31*0.001</f>
        <v>7089.284354838709</v>
      </c>
      <c r="V70" s="3">
        <f>SUM('[3]2000-Present'!$E$8,'[3]2000-Present'!$I$8)/31*0.001</f>
        <v>7261.214677419355</v>
      </c>
      <c r="W70" s="63">
        <f>+U70+O70+R70</f>
        <v>13528.441193548386</v>
      </c>
      <c r="X70" s="7">
        <f t="shared" si="38"/>
        <v>0.5261305774896675</v>
      </c>
      <c r="Y70" s="24">
        <f t="shared" si="39"/>
        <v>25713.08677419355</v>
      </c>
      <c r="Z70" s="25">
        <f>AA70/AB70</f>
        <v>0.02850609278576575</v>
      </c>
      <c r="AA70" s="3">
        <f>910/31</f>
        <v>29.35483870967742</v>
      </c>
      <c r="AB70" s="3">
        <f>31923/31</f>
        <v>1029.774193548387</v>
      </c>
      <c r="AC70" s="39">
        <f t="shared" si="53"/>
        <v>0.49151529636711283</v>
      </c>
      <c r="AD70" s="3">
        <f>4113/31</f>
        <v>132.67741935483872</v>
      </c>
      <c r="AE70" s="3">
        <f>8368/31</f>
        <v>269.93548387096774</v>
      </c>
      <c r="AF70" s="39">
        <f t="shared" si="54"/>
        <v>1</v>
      </c>
      <c r="AG70" s="3">
        <f>11534/31</f>
        <v>372.06451612903226</v>
      </c>
      <c r="AH70" s="3">
        <f>11534/31</f>
        <v>372.06451612903226</v>
      </c>
      <c r="AI70" s="63">
        <f>AG70+AD70+AA70</f>
        <v>534.0967741935484</v>
      </c>
      <c r="AJ70" s="7">
        <f>AI70/AK70</f>
        <v>0.31947901591895805</v>
      </c>
      <c r="AK70" s="26">
        <f>+AH70+AE70+AB70</f>
        <v>1671.774193548387</v>
      </c>
      <c r="AL70" s="93">
        <f t="shared" si="40"/>
        <v>15623.109396313364</v>
      </c>
      <c r="AM70" s="7">
        <f t="shared" si="41"/>
        <v>0.49884028069874525</v>
      </c>
      <c r="AN70" s="3">
        <f t="shared" si="42"/>
        <v>31318.860967741937</v>
      </c>
      <c r="AO70" s="7">
        <f t="shared" si="43"/>
        <v>0.18496236692350188</v>
      </c>
      <c r="AP70" s="7">
        <f t="shared" si="44"/>
        <v>0.6639105734492089</v>
      </c>
      <c r="AQ70" s="94">
        <f t="shared" si="45"/>
        <v>0.976417354282774</v>
      </c>
    </row>
    <row r="71" spans="1:43" ht="12.75">
      <c r="A71" s="177">
        <v>42675</v>
      </c>
      <c r="B71" s="25">
        <f t="shared" si="46"/>
        <v>0.10358565737051793</v>
      </c>
      <c r="C71" s="13">
        <v>234</v>
      </c>
      <c r="D71" s="185">
        <v>2259</v>
      </c>
      <c r="E71" s="25">
        <f t="shared" si="47"/>
        <v>0.657347670250896</v>
      </c>
      <c r="F71" s="13">
        <v>917</v>
      </c>
      <c r="G71" s="185">
        <v>1395</v>
      </c>
      <c r="H71" s="25">
        <f t="shared" si="48"/>
        <v>0.9718804920913884</v>
      </c>
      <c r="I71" s="13">
        <v>553</v>
      </c>
      <c r="J71" s="185">
        <v>569</v>
      </c>
      <c r="K71" s="63">
        <f t="shared" si="49"/>
        <v>1704</v>
      </c>
      <c r="L71" s="7">
        <f t="shared" si="50"/>
        <v>0.40350461757044753</v>
      </c>
      <c r="M71" s="26">
        <f t="shared" si="51"/>
        <v>4223</v>
      </c>
      <c r="N71" s="45">
        <f t="shared" si="36"/>
        <v>0.21483176847240212</v>
      </c>
      <c r="O71" s="3">
        <f>('[2]2000-Present'!$E$5+'[2]2000-Present'!$E$6+'[2]2000-Present'!$E$9)/30*0.001</f>
        <v>2162.0121</v>
      </c>
      <c r="P71" s="174">
        <f>SUM('[2]2000-Present'!$E$5,'[2]2000-Present'!$E$6,'[2]2000-Present'!$E$9,'[2]2000-Present'!$I$5,'[2]2000-Present'!$I$6,'[2]2000-Present'!$I$9)/30*0.001</f>
        <v>10063.744833333334</v>
      </c>
      <c r="Q71" s="39">
        <f t="shared" si="37"/>
        <v>0.6779630043985155</v>
      </c>
      <c r="R71" s="3">
        <f>'[2]2000-Present'!$E$7/30*0.001</f>
        <v>3300.1482</v>
      </c>
      <c r="S71" s="3">
        <f>SUM('[2]2000-Present'!$E$7,'[2]2000-Present'!$I$7)/30*0.001</f>
        <v>4867.740833333333</v>
      </c>
      <c r="T71" s="39">
        <f t="shared" si="52"/>
        <v>0.9810987179254042</v>
      </c>
      <c r="U71" s="3">
        <f>'[2]2000-Present'!$E$8/30*0.001</f>
        <v>7405.8032</v>
      </c>
      <c r="V71" s="3">
        <f>SUM('[2]2000-Present'!$E$8,'[2]2000-Present'!$I$8)/30*0.001</f>
        <v>7548.479133333334</v>
      </c>
      <c r="W71" s="63">
        <f>+U71+O71+R71</f>
        <v>12867.9635</v>
      </c>
      <c r="X71" s="7">
        <f t="shared" si="38"/>
        <v>0.5724192014749062</v>
      </c>
      <c r="Y71" s="24">
        <f t="shared" si="39"/>
        <v>22479.9648</v>
      </c>
      <c r="Z71" s="25">
        <f aca="true" t="shared" si="55" ref="Z71:Z77">AA71/AB71</f>
        <v>0.033868426974720575</v>
      </c>
      <c r="AA71" s="3">
        <f>903/30</f>
        <v>30.1</v>
      </c>
      <c r="AB71" s="3">
        <f>26662/30</f>
        <v>888.7333333333333</v>
      </c>
      <c r="AC71" s="39">
        <f t="shared" si="53"/>
        <v>0.5212578616352201</v>
      </c>
      <c r="AD71" s="3">
        <f>4144/30</f>
        <v>138.13333333333333</v>
      </c>
      <c r="AE71" s="3">
        <v>265</v>
      </c>
      <c r="AF71" s="39">
        <f t="shared" si="54"/>
        <v>0.9949043521844457</v>
      </c>
      <c r="AG71" s="3">
        <f>11910/30</f>
        <v>397</v>
      </c>
      <c r="AH71" s="3">
        <f>11971/30</f>
        <v>399.03333333333336</v>
      </c>
      <c r="AI71" s="63">
        <f>AG71+AD71+AA71</f>
        <v>565.2333333333333</v>
      </c>
      <c r="AJ71" s="7">
        <f>AI71/AK71</f>
        <v>0.36401691604233305</v>
      </c>
      <c r="AK71" s="26">
        <f>+AH71+AE71+AB71</f>
        <v>1552.7666666666667</v>
      </c>
      <c r="AL71" s="93">
        <f t="shared" si="40"/>
        <v>15137.196833333333</v>
      </c>
      <c r="AM71" s="7">
        <f t="shared" si="41"/>
        <v>0.5357212872436415</v>
      </c>
      <c r="AN71" s="3">
        <f t="shared" si="42"/>
        <v>28255.731466666668</v>
      </c>
      <c r="AO71" s="7">
        <f t="shared" si="43"/>
        <v>0.18363668844575035</v>
      </c>
      <c r="AP71" s="7">
        <f t="shared" si="44"/>
        <v>0.6671958407253964</v>
      </c>
      <c r="AQ71" s="94">
        <f t="shared" si="45"/>
        <v>0.9811296857374803</v>
      </c>
    </row>
    <row r="72" spans="1:43" ht="12.75">
      <c r="A72" s="177">
        <v>42644</v>
      </c>
      <c r="B72" s="25">
        <f t="shared" si="46"/>
        <v>0.10320781032078104</v>
      </c>
      <c r="C72" s="13">
        <v>222</v>
      </c>
      <c r="D72" s="185">
        <v>2151</v>
      </c>
      <c r="E72" s="25">
        <f t="shared" si="47"/>
        <v>0.65600624024961</v>
      </c>
      <c r="F72" s="13">
        <v>841</v>
      </c>
      <c r="G72" s="185">
        <v>1282</v>
      </c>
      <c r="H72" s="25">
        <f t="shared" si="48"/>
        <v>0.9774011299435028</v>
      </c>
      <c r="I72" s="13">
        <v>519</v>
      </c>
      <c r="J72" s="185">
        <v>531</v>
      </c>
      <c r="K72" s="63">
        <f t="shared" si="49"/>
        <v>1582</v>
      </c>
      <c r="L72" s="7">
        <f t="shared" si="50"/>
        <v>0.3990918264379415</v>
      </c>
      <c r="M72" s="26">
        <f t="shared" si="51"/>
        <v>3964</v>
      </c>
      <c r="N72" s="45">
        <f t="shared" si="36"/>
        <v>0.269803299870359</v>
      </c>
      <c r="O72" s="3">
        <f>SUM('[1]2000-Present'!$E$5,'[1]2000-Present'!$E$6,'[1]2000-Present'!$E$9)/31*0.001</f>
        <v>2614.276193548387</v>
      </c>
      <c r="P72" s="174">
        <f>SUM('[1]2000-Present'!$E$5,'[1]2000-Present'!$E$6,'[1]2000-Present'!$E$9,'[1]2000-Present'!$I$5,'[1]2000-Present'!$I$6,'[1]2000-Present'!$I$9)/31*0.001</f>
        <v>9689.563451612903</v>
      </c>
      <c r="Q72" s="39">
        <f aca="true" t="shared" si="56" ref="Q72:Q78">R72/S72</f>
        <v>0.6677064143877752</v>
      </c>
      <c r="R72" s="3">
        <f>'[1]2000-Present'!$E$7/31*0.001</f>
        <v>3411.0799677419354</v>
      </c>
      <c r="S72" s="3">
        <f>SUM('[1]2000-Present'!$E$7,'[1]2000-Present'!$I$7)/31*0.001</f>
        <v>5108.652387096774</v>
      </c>
      <c r="T72" s="39">
        <f t="shared" si="52"/>
        <v>0.9793883952705439</v>
      </c>
      <c r="U72" s="3">
        <f>'[1]2000-Present'!$E$8/31*0.001</f>
        <v>7383.111677419355</v>
      </c>
      <c r="V72" s="3">
        <f>SUM('[1]2000-Present'!$E$8,'[1]2000-Present'!$I$8)/31*0.001</f>
        <v>7538.492096774194</v>
      </c>
      <c r="W72" s="63">
        <f aca="true" t="shared" si="57" ref="W72:W78">+U72+O72+R72</f>
        <v>13408.467838709676</v>
      </c>
      <c r="X72" s="7">
        <f aca="true" t="shared" si="58" ref="X72:X78">W72/Y72</f>
        <v>0.6002884524182329</v>
      </c>
      <c r="Y72" s="24">
        <f aca="true" t="shared" si="59" ref="Y72:Y78">+V72+S72+P72</f>
        <v>22336.70793548387</v>
      </c>
      <c r="Z72" s="25">
        <f t="shared" si="55"/>
        <v>0.04518508145451151</v>
      </c>
      <c r="AA72" s="3">
        <f>968/31</f>
        <v>31.225806451612904</v>
      </c>
      <c r="AB72" s="3">
        <f>21423/31</f>
        <v>691.0645161290323</v>
      </c>
      <c r="AC72" s="39">
        <f t="shared" si="53"/>
        <v>0.53528340541771</v>
      </c>
      <c r="AD72" s="3">
        <f>4703/31</f>
        <v>151.70967741935485</v>
      </c>
      <c r="AE72" s="3">
        <f>8786/31</f>
        <v>283.4193548387097</v>
      </c>
      <c r="AF72" s="39">
        <f t="shared" si="54"/>
        <v>0.9909374535730203</v>
      </c>
      <c r="AG72" s="3">
        <f>26680/31</f>
        <v>860.6451612903226</v>
      </c>
      <c r="AH72" s="3">
        <f>26924/31</f>
        <v>868.516129032258</v>
      </c>
      <c r="AI72" s="63">
        <f aca="true" t="shared" si="60" ref="AI72:AI77">AG72+AD72+AA72</f>
        <v>1043.5806451612902</v>
      </c>
      <c r="AJ72" s="7">
        <f aca="true" t="shared" si="61" ref="AJ72:AJ77">AI72/AK72</f>
        <v>0.5662401764304342</v>
      </c>
      <c r="AK72" s="26">
        <f aca="true" t="shared" si="62" ref="AK72:AK77">+AH72+AE72+AB72</f>
        <v>1843</v>
      </c>
      <c r="AL72" s="93">
        <f aca="true" t="shared" si="63" ref="AL72:AL78">+AI72+W72+K72</f>
        <v>16034.048483870965</v>
      </c>
      <c r="AM72" s="7">
        <f aca="true" t="shared" si="64" ref="AM72:AM78">AL72/AN72</f>
        <v>0.5697205400449411</v>
      </c>
      <c r="AN72" s="3">
        <f aca="true" t="shared" si="65" ref="AN72:AN78">+AK72+Y72+M72</f>
        <v>28143.70793548387</v>
      </c>
      <c r="AO72" s="7">
        <f aca="true" t="shared" si="66" ref="AO72:AO78">(+AA72+O72+C72)/(D72+P72+AB72)</f>
        <v>0.22882118806761007</v>
      </c>
      <c r="AP72" s="7">
        <f aca="true" t="shared" si="67" ref="AP72:AP78">(+AD72+R72+F72)/(G72+S72+AE72)</f>
        <v>0.6598355270128082</v>
      </c>
      <c r="AQ72" s="94">
        <f aca="true" t="shared" si="68" ref="AQ72:AQ78">(AG72+U72+I72)/(AH72+V72+J72)</f>
        <v>0.9803925681573243</v>
      </c>
    </row>
    <row r="73" spans="1:43" ht="12.75">
      <c r="A73" s="177">
        <v>42614</v>
      </c>
      <c r="B73" s="25">
        <f t="shared" si="46"/>
        <v>0.10607569721115538</v>
      </c>
      <c r="C73" s="190">
        <v>213</v>
      </c>
      <c r="D73" s="191">
        <v>2008</v>
      </c>
      <c r="E73" s="45">
        <f t="shared" si="47"/>
        <v>0.6435257410296412</v>
      </c>
      <c r="F73" s="190">
        <v>825</v>
      </c>
      <c r="G73" s="191">
        <v>1282</v>
      </c>
      <c r="H73" s="45">
        <f t="shared" si="48"/>
        <v>0.4719424460431655</v>
      </c>
      <c r="I73" s="190">
        <v>328</v>
      </c>
      <c r="J73" s="191">
        <v>695</v>
      </c>
      <c r="K73" s="63">
        <f aca="true" t="shared" si="69" ref="K73:K78">SUM(C73+F73+I73)</f>
        <v>1366</v>
      </c>
      <c r="L73" s="7">
        <f aca="true" t="shared" si="70" ref="L73:L78">K73/M73</f>
        <v>0.34278544542032624</v>
      </c>
      <c r="M73" s="26">
        <f aca="true" t="shared" si="71" ref="M73:M78">SUM(J73+G73+D73)</f>
        <v>3985</v>
      </c>
      <c r="N73" s="45">
        <f t="shared" si="36"/>
        <v>0.20836761809520685</v>
      </c>
      <c r="O73" s="3">
        <f>SUM('[1]2000-Present'!$E$16,'[1]2000-Present'!$E$17,'[1]2000-Present'!$E$20)/30*0.001</f>
        <v>2605.8710333333333</v>
      </c>
      <c r="P73" s="174">
        <f>SUM('[1]2000-Present'!$E$16,'[1]2000-Present'!$E$17,'[1]2000-Present'!$E$20,'[1]2000-Present'!$I$16,'[1]2000-Present'!$I$17,'[1]2000-Present'!$I$20)/30*0.001</f>
        <v>12506.122866666667</v>
      </c>
      <c r="Q73" s="39">
        <f t="shared" si="56"/>
        <v>0.65102713374117</v>
      </c>
      <c r="R73" s="3">
        <f>'[4]2000-Present'!$E$40/30*0.001</f>
        <v>4175.052633333334</v>
      </c>
      <c r="S73" s="3">
        <f>SUM('[4]2000-Present'!$E$40,'[4]2000-Present'!$I$40)/30*0.001</f>
        <v>6413.024</v>
      </c>
      <c r="T73" s="39">
        <f t="shared" si="52"/>
        <v>0.9773969751495961</v>
      </c>
      <c r="U73" s="3">
        <f>'[1]2000-Present'!$E$19/30*0.001</f>
        <v>8240.8172</v>
      </c>
      <c r="V73" s="3">
        <f>SUM('[1]2000-Present'!$E$19,'[1]2000-Present'!$I$19)/30*0.001</f>
        <v>8431.392166666667</v>
      </c>
      <c r="W73" s="63">
        <f t="shared" si="57"/>
        <v>15021.740866666667</v>
      </c>
      <c r="X73" s="7">
        <f t="shared" si="58"/>
        <v>0.5492301577076413</v>
      </c>
      <c r="Y73" s="24">
        <f t="shared" si="59"/>
        <v>27350.539033333334</v>
      </c>
      <c r="Z73" s="25">
        <f t="shared" si="55"/>
        <v>0.03235675876135731</v>
      </c>
      <c r="AA73" s="3">
        <f>698/30</f>
        <v>23.266666666666666</v>
      </c>
      <c r="AB73" s="3">
        <f>21572/30</f>
        <v>719.0666666666667</v>
      </c>
      <c r="AC73" s="39">
        <f t="shared" si="53"/>
        <v>0.5300276283263051</v>
      </c>
      <c r="AD73" s="3">
        <f>3645/30</f>
        <v>121.5</v>
      </c>
      <c r="AE73" s="3">
        <f>6877/30</f>
        <v>229.23333333333332</v>
      </c>
      <c r="AF73" s="39">
        <f t="shared" si="54"/>
        <v>0.9889164598842018</v>
      </c>
      <c r="AG73" s="3">
        <f>11956/30</f>
        <v>398.53333333333336</v>
      </c>
      <c r="AH73" s="185">
        <f>12090/30</f>
        <v>403</v>
      </c>
      <c r="AI73" s="63">
        <f t="shared" si="60"/>
        <v>543.3</v>
      </c>
      <c r="AJ73" s="7">
        <f t="shared" si="61"/>
        <v>0.4020572781765706</v>
      </c>
      <c r="AK73" s="26">
        <f t="shared" si="62"/>
        <v>1351.3000000000002</v>
      </c>
      <c r="AL73" s="93">
        <f t="shared" si="63"/>
        <v>16931.040866666666</v>
      </c>
      <c r="AM73" s="7">
        <f t="shared" si="64"/>
        <v>0.517977307300983</v>
      </c>
      <c r="AN73" s="3">
        <f t="shared" si="65"/>
        <v>32686.839033333334</v>
      </c>
      <c r="AO73" s="7">
        <f t="shared" si="66"/>
        <v>0.18657535204829045</v>
      </c>
      <c r="AP73" s="7">
        <f t="shared" si="67"/>
        <v>0.6463132654450225</v>
      </c>
      <c r="AQ73" s="94">
        <f t="shared" si="68"/>
        <v>0.9410202011310514</v>
      </c>
    </row>
    <row r="74" spans="1:43" ht="12.75">
      <c r="A74" s="177">
        <v>42583</v>
      </c>
      <c r="B74" s="25">
        <f t="shared" si="46"/>
        <v>0.1068904593639576</v>
      </c>
      <c r="C74" s="190">
        <v>242</v>
      </c>
      <c r="D74" s="191">
        <v>2264</v>
      </c>
      <c r="E74" s="45">
        <f t="shared" si="47"/>
        <v>0.6534320323014805</v>
      </c>
      <c r="F74" s="190">
        <v>971</v>
      </c>
      <c r="G74" s="191">
        <v>1486</v>
      </c>
      <c r="H74" s="45">
        <f t="shared" si="48"/>
        <v>0.9721166032953105</v>
      </c>
      <c r="I74" s="190">
        <v>767</v>
      </c>
      <c r="J74" s="191">
        <v>789</v>
      </c>
      <c r="K74" s="63">
        <f t="shared" si="69"/>
        <v>1980</v>
      </c>
      <c r="L74" s="7">
        <f t="shared" si="70"/>
        <v>0.43621943159286186</v>
      </c>
      <c r="M74" s="26">
        <f t="shared" si="71"/>
        <v>4539</v>
      </c>
      <c r="N74" s="45">
        <f t="shared" si="36"/>
        <v>0.28376113863141667</v>
      </c>
      <c r="O74" s="3">
        <f>SUM('[1]2000-Present'!$E$27,'[1]2000-Present'!$E$28,'[1]2000-Present'!$E$31)/31*0.001</f>
        <v>3691.851419354839</v>
      </c>
      <c r="P74" s="174">
        <f>SUM('[1]2000-Present'!$E$27,'[1]2000-Present'!$E$28,'[1]2000-Present'!$E$31,'[1]2000-Present'!$I$27,'[1]2000-Present'!$I$28,'[1]2000-Present'!$I$31)/31*0.001</f>
        <v>13010.419387096774</v>
      </c>
      <c r="Q74" s="39">
        <f t="shared" si="56"/>
        <v>0.6402028809185956</v>
      </c>
      <c r="R74" s="3">
        <f>'[1]2000-Present'!$E$29/31*0.001</f>
        <v>4151.332387096774</v>
      </c>
      <c r="S74" s="3">
        <f>SUM('[1]2000-Present'!$E$29,'[1]2000-Present'!$I$29)/31*0.001</f>
        <v>6484.40129032258</v>
      </c>
      <c r="T74" s="39">
        <f t="shared" si="52"/>
        <v>0.9772113365543175</v>
      </c>
      <c r="U74" s="3">
        <f>'[1]2000-Present'!$E$30/31*0.001</f>
        <v>8194.042612903226</v>
      </c>
      <c r="V74" s="3">
        <f>SUM('[1]2000-Present'!$E$30,'[1]2000-Present'!$I$30)/31*0.001</f>
        <v>8385.128483870967</v>
      </c>
      <c r="W74" s="63">
        <f t="shared" si="57"/>
        <v>16037.226419354838</v>
      </c>
      <c r="X74" s="7">
        <f t="shared" si="58"/>
        <v>0.5752243781571018</v>
      </c>
      <c r="Y74" s="24">
        <f t="shared" si="59"/>
        <v>27879.949161290322</v>
      </c>
      <c r="Z74" s="25">
        <f t="shared" si="55"/>
        <v>0.03543141220087631</v>
      </c>
      <c r="AA74" s="3">
        <v>27.129032258064516</v>
      </c>
      <c r="AB74" s="3">
        <f>23736/31</f>
        <v>765.6774193548387</v>
      </c>
      <c r="AC74" s="39">
        <f t="shared" si="53"/>
        <v>0.5069065583284968</v>
      </c>
      <c r="AD74" s="3">
        <f>4367/31</f>
        <v>140.8709677419355</v>
      </c>
      <c r="AE74" s="3">
        <f>8615/31</f>
        <v>277.9032258064516</v>
      </c>
      <c r="AF74" s="39">
        <f t="shared" si="54"/>
        <v>0.9994926862264311</v>
      </c>
      <c r="AG74" s="3">
        <f>11821/31</f>
        <v>381.3225806451613</v>
      </c>
      <c r="AH74" s="3">
        <f>11827/31</f>
        <v>381.51612903225805</v>
      </c>
      <c r="AI74" s="63">
        <f t="shared" si="60"/>
        <v>549.3225806451613</v>
      </c>
      <c r="AJ74" s="7">
        <f t="shared" si="61"/>
        <v>0.3854633528000363</v>
      </c>
      <c r="AK74" s="26">
        <f t="shared" si="62"/>
        <v>1425.0967741935483</v>
      </c>
      <c r="AL74" s="93">
        <f t="shared" si="63"/>
        <v>18566.549</v>
      </c>
      <c r="AM74" s="7">
        <f t="shared" si="64"/>
        <v>0.5485912953608735</v>
      </c>
      <c r="AN74" s="3">
        <f t="shared" si="65"/>
        <v>33844.04593548387</v>
      </c>
      <c r="AO74" s="7">
        <f t="shared" si="66"/>
        <v>0.24694242805440716</v>
      </c>
      <c r="AP74" s="7">
        <f t="shared" si="67"/>
        <v>0.6380951799908517</v>
      </c>
      <c r="AQ74" s="94">
        <f t="shared" si="68"/>
        <v>0.9776802687840817</v>
      </c>
    </row>
    <row r="75" spans="1:43" ht="12.75">
      <c r="A75" s="177">
        <v>42552</v>
      </c>
      <c r="B75" s="25">
        <f t="shared" si="46"/>
        <v>0.10337552742616034</v>
      </c>
      <c r="C75" s="13">
        <v>245</v>
      </c>
      <c r="D75" s="185">
        <v>2370</v>
      </c>
      <c r="E75" s="25">
        <f t="shared" si="47"/>
        <v>0.6647681041497152</v>
      </c>
      <c r="F75" s="13">
        <v>817</v>
      </c>
      <c r="G75" s="185">
        <v>1229</v>
      </c>
      <c r="H75" s="25">
        <f t="shared" si="48"/>
        <v>0.9531722054380665</v>
      </c>
      <c r="I75" s="13">
        <v>631</v>
      </c>
      <c r="J75" s="185">
        <v>662</v>
      </c>
      <c r="K75" s="63">
        <f t="shared" si="69"/>
        <v>1693</v>
      </c>
      <c r="L75" s="7">
        <f t="shared" si="70"/>
        <v>0.3973245716967848</v>
      </c>
      <c r="M75" s="26">
        <f t="shared" si="71"/>
        <v>4261</v>
      </c>
      <c r="N75" s="45">
        <f>O76/P75</f>
        <v>0.21604522888871475</v>
      </c>
      <c r="O75" s="3">
        <f>SUM('[1]2000-Present'!$E$38,'[1]2000-Present'!$E$39,'[1]2000-Present'!$E$42)/31*0.001</f>
        <v>2494.06664516129</v>
      </c>
      <c r="P75" s="174">
        <f>SUM('[1]2000-Present'!$E$38,'[1]2000-Present'!$E$39,'[1]2000-Present'!$E$42,'[1]2000-Present'!$I$38,'[1]2000-Present'!$I$39,'[1]2000-Present'!$I$42)/31*0.001</f>
        <v>11152.147225806453</v>
      </c>
      <c r="Q75" s="39">
        <f t="shared" si="56"/>
        <v>0.6497999037044637</v>
      </c>
      <c r="R75" s="3">
        <f>'[1]2000-Present'!$E$40/31*0.001</f>
        <v>3714.1291612903224</v>
      </c>
      <c r="S75" s="3">
        <f>SUM('[1]2000-Present'!$E$40,'[1]2000-Present'!$I$40)/31*0.001</f>
        <v>5715.8044193548385</v>
      </c>
      <c r="T75" s="39">
        <f t="shared" si="52"/>
        <v>0.9784716812118134</v>
      </c>
      <c r="U75" s="3">
        <f>'[1]2000-Present'!$E$41/31*0.001</f>
        <v>6863.363290322581</v>
      </c>
      <c r="V75" s="3">
        <f>SUM('[1]2000-Present'!$E$41,'[1]2000-Present'!$I$41)/31*0.001</f>
        <v>7014.370903225807</v>
      </c>
      <c r="W75" s="63">
        <f t="shared" si="57"/>
        <v>13071.559096774194</v>
      </c>
      <c r="X75" s="7">
        <f t="shared" si="58"/>
        <v>0.5473319887666028</v>
      </c>
      <c r="Y75" s="24">
        <f t="shared" si="59"/>
        <v>23882.3225483871</v>
      </c>
      <c r="Z75" s="25">
        <f t="shared" si="55"/>
        <v>0.02004230755440823</v>
      </c>
      <c r="AA75" s="3">
        <f>559/31</f>
        <v>18.032258064516128</v>
      </c>
      <c r="AB75" s="3">
        <f>27891/31</f>
        <v>899.7096774193549</v>
      </c>
      <c r="AC75" s="39">
        <f t="shared" si="53"/>
        <v>0.4359124087591241</v>
      </c>
      <c r="AD75" s="3">
        <f>2986/31</f>
        <v>96.3225806451613</v>
      </c>
      <c r="AE75" s="3">
        <f>6850/31</f>
        <v>220.96774193548387</v>
      </c>
      <c r="AF75" s="39">
        <f t="shared" si="54"/>
        <v>0.9662845583277142</v>
      </c>
      <c r="AG75" s="3">
        <f>11464/31</f>
        <v>369.80645161290323</v>
      </c>
      <c r="AH75" s="3">
        <f>11864/31</f>
        <v>382.7096774193548</v>
      </c>
      <c r="AI75" s="63">
        <f t="shared" si="60"/>
        <v>484.1612903225806</v>
      </c>
      <c r="AJ75" s="7">
        <f t="shared" si="61"/>
        <v>0.3220469906662375</v>
      </c>
      <c r="AK75" s="26">
        <f t="shared" si="62"/>
        <v>1503.3870967741937</v>
      </c>
      <c r="AL75" s="93">
        <f t="shared" si="63"/>
        <v>15248.720387096775</v>
      </c>
      <c r="AM75" s="7">
        <f t="shared" si="64"/>
        <v>0.5143478169957911</v>
      </c>
      <c r="AN75" s="3">
        <f t="shared" si="65"/>
        <v>29646.709645161292</v>
      </c>
      <c r="AO75" s="7">
        <f>(+AA75+O76+C75)/(D75+P75+AB75)</f>
        <v>0.1853021061016607</v>
      </c>
      <c r="AP75" s="7">
        <f t="shared" si="67"/>
        <v>0.6457715425189056</v>
      </c>
      <c r="AQ75" s="94">
        <f t="shared" si="68"/>
        <v>0.9758147549513553</v>
      </c>
    </row>
    <row r="76" spans="1:43" ht="12.75">
      <c r="A76" s="177">
        <v>42522</v>
      </c>
      <c r="B76" s="25">
        <f t="shared" si="46"/>
        <v>0.10346339324857519</v>
      </c>
      <c r="C76" s="13">
        <f>236</f>
        <v>236</v>
      </c>
      <c r="D76" s="185">
        <v>2281</v>
      </c>
      <c r="E76" s="25">
        <f t="shared" si="47"/>
        <v>0.6671418389166073</v>
      </c>
      <c r="F76" s="13">
        <v>936</v>
      </c>
      <c r="G76" s="185">
        <v>1403</v>
      </c>
      <c r="H76" s="25">
        <f t="shared" si="48"/>
        <v>0.9704510108864697</v>
      </c>
      <c r="I76" s="13">
        <v>624</v>
      </c>
      <c r="J76" s="185">
        <v>643</v>
      </c>
      <c r="K76" s="63">
        <f t="shared" si="69"/>
        <v>1796</v>
      </c>
      <c r="L76" s="7">
        <f t="shared" si="70"/>
        <v>0.41506817656574996</v>
      </c>
      <c r="M76" s="26">
        <f t="shared" si="71"/>
        <v>4327</v>
      </c>
      <c r="N76" s="45">
        <f>O76/P76</f>
        <v>0.23397559373361057</v>
      </c>
      <c r="O76" s="3">
        <f>SUM('[1]2000-Present'!$E$49,'[1]2000-Present'!$E$50,'[1]2000-Present'!$E$53)/30*0.001</f>
        <v>2409.3682000000003</v>
      </c>
      <c r="P76" s="174">
        <f>SUM('[1]2000-Present'!$E$49,'[1]2000-Present'!$E$50,'[1]2000-Present'!$E$53,'[1]2000-Present'!$I$49,'[1]2000-Present'!$I$50,'[1]2000-Present'!$I$53)/30*0.001</f>
        <v>10297.519333333334</v>
      </c>
      <c r="Q76" s="39">
        <f t="shared" si="56"/>
        <v>0.6656315392526964</v>
      </c>
      <c r="R76" s="3">
        <f>'[1]2000-Present'!$E$51/30*0.001</f>
        <v>3692.3106000000002</v>
      </c>
      <c r="S76" s="3">
        <f>SUM('[1]2000-Present'!$E$51,'[1]2000-Present'!$I$51)/30*0.001</f>
        <v>5547.0788</v>
      </c>
      <c r="T76" s="39">
        <f t="shared" si="52"/>
        <v>0.9812010718136547</v>
      </c>
      <c r="U76" s="3">
        <f>'[1]2000-Present'!$E$52/30*0.001</f>
        <v>7893.475</v>
      </c>
      <c r="V76" s="3">
        <f>SUM('[1]2000-Present'!$E$52,'[1]2000-Present'!$I$52)/30*0.001</f>
        <v>8044.706866666666</v>
      </c>
      <c r="W76" s="63">
        <f t="shared" si="57"/>
        <v>13995.153800000002</v>
      </c>
      <c r="X76" s="7">
        <f t="shared" si="58"/>
        <v>0.5858334430407248</v>
      </c>
      <c r="Y76" s="24">
        <f t="shared" si="59"/>
        <v>23889.305</v>
      </c>
      <c r="Z76" s="25">
        <f t="shared" si="55"/>
        <v>0.023679952934255042</v>
      </c>
      <c r="AA76" s="4">
        <f>483/30</f>
        <v>16.1</v>
      </c>
      <c r="AB76" s="4">
        <f>20397/30</f>
        <v>679.9</v>
      </c>
      <c r="AC76" s="39">
        <f t="shared" si="53"/>
        <v>0.5024220405691796</v>
      </c>
      <c r="AD76" s="3">
        <f>3319/30</f>
        <v>110.63333333333334</v>
      </c>
      <c r="AE76" s="3">
        <f>6606/30</f>
        <v>220.2</v>
      </c>
      <c r="AF76" s="39">
        <f t="shared" si="54"/>
        <v>0.971743295019157</v>
      </c>
      <c r="AG76" s="4">
        <f>12174/30</f>
        <v>405.8</v>
      </c>
      <c r="AH76" s="3">
        <f>12528/30</f>
        <v>417.6</v>
      </c>
      <c r="AI76" s="63">
        <f t="shared" si="60"/>
        <v>532.5333333333334</v>
      </c>
      <c r="AJ76" s="7">
        <f t="shared" si="61"/>
        <v>0.40413852419620055</v>
      </c>
      <c r="AK76" s="26">
        <f t="shared" si="62"/>
        <v>1317.6999999999998</v>
      </c>
      <c r="AL76" s="93">
        <f t="shared" si="63"/>
        <v>16323.687133333335</v>
      </c>
      <c r="AM76" s="7">
        <f t="shared" si="64"/>
        <v>0.552708213238717</v>
      </c>
      <c r="AN76" s="3">
        <f t="shared" si="65"/>
        <v>29534.005</v>
      </c>
      <c r="AO76" s="7">
        <f>(+AA76+O77+C76)/(D76+P76+AB76)</f>
        <v>0.18382930413675758</v>
      </c>
      <c r="AP76" s="7">
        <f t="shared" si="67"/>
        <v>0.6609148773034228</v>
      </c>
      <c r="AQ76" s="94">
        <f t="shared" si="68"/>
        <v>0.980008156854871</v>
      </c>
    </row>
    <row r="77" spans="1:43" s="184" customFormat="1" ht="12.75">
      <c r="A77" s="189">
        <v>42491</v>
      </c>
      <c r="B77" s="45">
        <f t="shared" si="46"/>
        <v>0.10132966529115085</v>
      </c>
      <c r="C77" s="190">
        <v>221</v>
      </c>
      <c r="D77" s="191">
        <v>2181</v>
      </c>
      <c r="E77" s="45">
        <f t="shared" si="47"/>
        <v>0.6605922551252847</v>
      </c>
      <c r="F77" s="190">
        <v>870</v>
      </c>
      <c r="G77" s="191">
        <v>1317</v>
      </c>
      <c r="H77" s="45">
        <f t="shared" si="48"/>
        <v>0.9814814814814815</v>
      </c>
      <c r="I77" s="190">
        <v>583</v>
      </c>
      <c r="J77" s="191">
        <v>594</v>
      </c>
      <c r="K77" s="66">
        <f t="shared" si="69"/>
        <v>1674</v>
      </c>
      <c r="L77" s="67">
        <f t="shared" si="70"/>
        <v>0.4090909090909091</v>
      </c>
      <c r="M77" s="85">
        <f t="shared" si="71"/>
        <v>4092</v>
      </c>
      <c r="N77" s="45">
        <f>O77/P77</f>
        <v>0.22051289227848597</v>
      </c>
      <c r="O77" s="3">
        <f>(54491616+13180199+68951)/31*0.001</f>
        <v>2185.186</v>
      </c>
      <c r="P77" s="174">
        <f>(54491616+13180199+68951+208460252+30250329+745050)/31*0.001</f>
        <v>9909.561193548387</v>
      </c>
      <c r="Q77" s="39">
        <f t="shared" si="56"/>
        <v>0.6753232994049851</v>
      </c>
      <c r="R77" s="3">
        <f>'[1]2000-Present'!$E$62/31*0.001</f>
        <v>3347.0890967741934</v>
      </c>
      <c r="S77" s="3">
        <f>('[1]2000-Present'!$E$62+'[1]2000-Present'!$I$62)/31*0.001</f>
        <v>4956.276645161291</v>
      </c>
      <c r="T77" s="39">
        <f t="shared" si="52"/>
        <v>0.9623489215700782</v>
      </c>
      <c r="U77" s="3">
        <f>'[1]2000-Present'!$E$63/31*0.001</f>
        <v>7104.963322580645</v>
      </c>
      <c r="V77" s="3">
        <f>SUM('[1]2000-Present'!$E$63,'[1]2000-Present'!$I$63)/31*0.001</f>
        <v>7382.938935483871</v>
      </c>
      <c r="W77" s="63">
        <f t="shared" si="57"/>
        <v>12637.238419354839</v>
      </c>
      <c r="X77" s="7">
        <f t="shared" si="58"/>
        <v>0.5679969981097039</v>
      </c>
      <c r="Y77" s="24">
        <f t="shared" si="59"/>
        <v>22248.77677419355</v>
      </c>
      <c r="Z77" s="45">
        <f t="shared" si="55"/>
        <v>0.024978089395267307</v>
      </c>
      <c r="AA77" s="4">
        <f>513/31</f>
        <v>16.548387096774192</v>
      </c>
      <c r="AB77" s="4">
        <f>20538/31</f>
        <v>662.516129032258</v>
      </c>
      <c r="AC77" s="39">
        <f t="shared" si="53"/>
        <v>0.4621897810218978</v>
      </c>
      <c r="AD77" s="3">
        <f>3166/31</f>
        <v>102.12903225806451</v>
      </c>
      <c r="AE77" s="3">
        <f>6850/31</f>
        <v>220.96774193548387</v>
      </c>
      <c r="AF77" s="192">
        <f t="shared" si="54"/>
        <v>0.9624918988982502</v>
      </c>
      <c r="AG77" s="4">
        <f>11881/31</f>
        <v>383.258064516129</v>
      </c>
      <c r="AH77" s="3">
        <f>12344/31</f>
        <v>398.19354838709677</v>
      </c>
      <c r="AI77" s="66">
        <f t="shared" si="60"/>
        <v>501.93548387096774</v>
      </c>
      <c r="AJ77" s="67">
        <f t="shared" si="61"/>
        <v>0.3916238799959731</v>
      </c>
      <c r="AK77" s="85">
        <f t="shared" si="62"/>
        <v>1281.6774193548385</v>
      </c>
      <c r="AL77" s="193">
        <f t="shared" si="63"/>
        <v>14813.173903225806</v>
      </c>
      <c r="AM77" s="67">
        <f t="shared" si="64"/>
        <v>0.5362729104166867</v>
      </c>
      <c r="AN77" s="4">
        <f t="shared" si="65"/>
        <v>27622.454193548387</v>
      </c>
      <c r="AO77" s="67">
        <f t="shared" si="66"/>
        <v>0.18997253179097975</v>
      </c>
      <c r="AP77" s="67">
        <f t="shared" si="67"/>
        <v>0.6650840146413317</v>
      </c>
      <c r="AQ77" s="194">
        <f t="shared" si="68"/>
        <v>0.9637126818758421</v>
      </c>
    </row>
    <row r="78" spans="1:43" ht="12.75">
      <c r="A78" s="177">
        <v>42461</v>
      </c>
      <c r="B78" s="25">
        <v>0.10298955800314691</v>
      </c>
      <c r="C78" s="51">
        <v>205.71428571428572</v>
      </c>
      <c r="D78" s="3">
        <v>1997.4285714285713</v>
      </c>
      <c r="E78" s="39">
        <v>0.6519287164448454</v>
      </c>
      <c r="F78" s="51">
        <v>825.7142857142857</v>
      </c>
      <c r="G78" s="3">
        <v>1266.5714285714287</v>
      </c>
      <c r="H78" s="39">
        <v>0.9829268292682927</v>
      </c>
      <c r="I78" s="51">
        <v>518.1428571428571</v>
      </c>
      <c r="J78" s="3">
        <v>527.1428571428571</v>
      </c>
      <c r="K78" s="63">
        <f t="shared" si="69"/>
        <v>1549.5714285714284</v>
      </c>
      <c r="L78" s="7">
        <f t="shared" si="70"/>
        <v>0.40873464466048687</v>
      </c>
      <c r="M78" s="26">
        <f t="shared" si="71"/>
        <v>3791.142857142857</v>
      </c>
      <c r="N78" s="45">
        <f>O78/P78</f>
        <v>0.2176246668994487</v>
      </c>
      <c r="O78" s="3">
        <v>2407.1653666666666</v>
      </c>
      <c r="P78" s="174">
        <v>11061.086966666666</v>
      </c>
      <c r="Q78" s="39">
        <f t="shared" si="56"/>
        <v>0.6736566123001276</v>
      </c>
      <c r="R78" s="3">
        <v>3409.0876999999996</v>
      </c>
      <c r="S78" s="3">
        <v>5060.571866666666</v>
      </c>
      <c r="T78" s="39">
        <f t="shared" si="52"/>
        <v>0.9576679921004979</v>
      </c>
      <c r="U78" s="3">
        <v>6389.155366666667</v>
      </c>
      <c r="V78" s="3">
        <v>6671.5766</v>
      </c>
      <c r="W78" s="63">
        <f t="shared" si="57"/>
        <v>12205.408433333334</v>
      </c>
      <c r="X78" s="7">
        <f t="shared" si="58"/>
        <v>0.5354838047907791</v>
      </c>
      <c r="Y78" s="24">
        <f t="shared" si="59"/>
        <v>22793.23543333333</v>
      </c>
      <c r="Z78" s="25">
        <v>0.0220524824442528</v>
      </c>
      <c r="AA78" s="3">
        <v>17.9</v>
      </c>
      <c r="AB78" s="3">
        <v>811.7</v>
      </c>
      <c r="AC78" s="39">
        <v>0.4749458483754513</v>
      </c>
      <c r="AD78" s="3">
        <v>109.63333333333334</v>
      </c>
      <c r="AE78" s="3">
        <v>230.83333333333334</v>
      </c>
      <c r="AF78" s="39">
        <v>0.9664575491426182</v>
      </c>
      <c r="AG78" s="3">
        <v>385.1333333333333</v>
      </c>
      <c r="AH78" s="3">
        <v>398.5</v>
      </c>
      <c r="AI78" s="63">
        <v>512.6666666666666</v>
      </c>
      <c r="AJ78" s="7">
        <v>0.35576322546320926</v>
      </c>
      <c r="AK78" s="26">
        <v>1441.0333333333333</v>
      </c>
      <c r="AL78" s="93">
        <f t="shared" si="63"/>
        <v>14267.64652857143</v>
      </c>
      <c r="AM78" s="7">
        <f t="shared" si="64"/>
        <v>0.50909676974914</v>
      </c>
      <c r="AN78" s="3">
        <f t="shared" si="65"/>
        <v>28025.411623809523</v>
      </c>
      <c r="AO78" s="7">
        <f t="shared" si="66"/>
        <v>0.18967114426992035</v>
      </c>
      <c r="AP78" s="7">
        <f t="shared" si="67"/>
        <v>0.6624658130253201</v>
      </c>
      <c r="AQ78" s="94">
        <f t="shared" si="68"/>
        <v>0.9598816512120838</v>
      </c>
    </row>
    <row r="79" spans="1:43" ht="12.75">
      <c r="A79" s="177">
        <v>42430</v>
      </c>
      <c r="B79" s="25">
        <f aca="true" t="shared" si="72" ref="B79:B129">C79/D79</f>
        <v>0.10172047432997462</v>
      </c>
      <c r="C79" s="51">
        <v>212</v>
      </c>
      <c r="D79" s="3">
        <v>2084.1428571428573</v>
      </c>
      <c r="E79" s="39">
        <f aca="true" t="shared" si="73" ref="E79:E129">F79/G79</f>
        <v>0.6453931605314746</v>
      </c>
      <c r="F79" s="51">
        <v>846.5714285714286</v>
      </c>
      <c r="G79" s="3">
        <v>1311.7142857142858</v>
      </c>
      <c r="H79" s="39">
        <f aca="true" t="shared" si="74" ref="H79:H129">I79/J79</f>
        <v>0.9720893141945766</v>
      </c>
      <c r="I79" s="51">
        <v>522.428571428571</v>
      </c>
      <c r="J79" s="3">
        <v>537.4285714285714</v>
      </c>
      <c r="K79" s="63">
        <f aca="true" t="shared" si="75" ref="K79:K84">SUM(C79+F79+I79)</f>
        <v>1580.9999999999995</v>
      </c>
      <c r="L79" s="7">
        <f aca="true" t="shared" si="76" ref="L79:L85">K79/M79</f>
        <v>0.40195401881378695</v>
      </c>
      <c r="M79" s="26">
        <f aca="true" t="shared" si="77" ref="M79:M84">SUM(J79+G79+D79)</f>
        <v>3933.2857142857147</v>
      </c>
      <c r="N79" s="45">
        <f aca="true" t="shared" si="78" ref="N79:N114">O79/P79</f>
        <v>0.21649455664130793</v>
      </c>
      <c r="O79" s="3">
        <v>2700.3854838709676</v>
      </c>
      <c r="P79" s="174">
        <v>12473.22577419355</v>
      </c>
      <c r="Q79" s="39">
        <f aca="true" t="shared" si="79" ref="Q79:Q129">R79/S79</f>
        <v>0.6736483157513529</v>
      </c>
      <c r="R79" s="3">
        <v>3700.862258064516</v>
      </c>
      <c r="S79" s="3">
        <v>5493.760129032258</v>
      </c>
      <c r="T79" s="39">
        <f aca="true" t="shared" si="80" ref="T79:T129">U79/V79</f>
        <v>0.9638602188181433</v>
      </c>
      <c r="U79" s="3">
        <v>7197.040903225807</v>
      </c>
      <c r="V79" s="3">
        <v>7466.892774193549</v>
      </c>
      <c r="W79" s="63">
        <f aca="true" t="shared" si="81" ref="W79:W84">+U79+O79+R79</f>
        <v>13598.28864516129</v>
      </c>
      <c r="X79" s="7">
        <f aca="true" t="shared" si="82" ref="X79:X85">W79/Y79</f>
        <v>0.534652571777583</v>
      </c>
      <c r="Y79" s="24">
        <f aca="true" t="shared" si="83" ref="Y79:Y84">+V79+S79+P79</f>
        <v>25433.878677419358</v>
      </c>
      <c r="Z79" s="25">
        <f aca="true" t="shared" si="84" ref="Z79:Z114">AA79/AB79</f>
        <v>0.021260834135861915</v>
      </c>
      <c r="AA79" s="3">
        <v>18.516129032258064</v>
      </c>
      <c r="AB79" s="3">
        <v>870.9032258064516</v>
      </c>
      <c r="AC79" s="39">
        <f aca="true" t="shared" si="85" ref="AC79:AC129">AD79/AE79</f>
        <v>0.468028543444802</v>
      </c>
      <c r="AD79" s="3">
        <v>107.90322580645162</v>
      </c>
      <c r="AE79" s="3">
        <v>230.5483870967742</v>
      </c>
      <c r="AF79" s="39">
        <f aca="true" t="shared" si="86" ref="AF79:AF129">AG79/AH79</f>
        <v>0.9646484223583223</v>
      </c>
      <c r="AG79" s="3">
        <v>401.38709677419354</v>
      </c>
      <c r="AH79" s="3">
        <v>416.0967741935484</v>
      </c>
      <c r="AI79" s="63">
        <f aca="true" t="shared" si="87" ref="AI79:AI84">AG79+AD79+AA79</f>
        <v>527.8064516129032</v>
      </c>
      <c r="AJ79" s="7">
        <f aca="true" t="shared" si="88" ref="AJ79:AJ85">AI79/AK79</f>
        <v>0.34780205764815914</v>
      </c>
      <c r="AK79" s="26">
        <f aca="true" t="shared" si="89" ref="AK79:AK84">+AH79+AE79+AB79</f>
        <v>1517.5483870967741</v>
      </c>
      <c r="AL79" s="93">
        <f aca="true" t="shared" si="90" ref="AL79:AL84">+AI79+W79+K79</f>
        <v>15707.095096774194</v>
      </c>
      <c r="AM79" s="7">
        <f>AL79/AN79</f>
        <v>0.5085718364703388</v>
      </c>
      <c r="AN79" s="3">
        <f aca="true" t="shared" si="91" ref="AN79:AN84">+AK79+Y79+M79</f>
        <v>30884.712778801844</v>
      </c>
      <c r="AO79" s="7">
        <f aca="true" t="shared" si="92" ref="AO79:AO84">(+AA79+O79+C79)/(D79+P79+AB79)</f>
        <v>0.18996953385588033</v>
      </c>
      <c r="AP79" s="7">
        <f aca="true" t="shared" si="93" ref="AP79:AP84">(+AD79+R79+F79)/(G79+S79+AE79)</f>
        <v>0.6616432384532319</v>
      </c>
      <c r="AQ79" s="94">
        <f aca="true" t="shared" si="94" ref="AQ79:AQ84">(AG79+U79+I79)/(AH79+V79+J79)</f>
        <v>0.9644243855679634</v>
      </c>
    </row>
    <row r="80" spans="1:43" ht="12.75">
      <c r="A80" s="177">
        <v>42401</v>
      </c>
      <c r="B80" s="25">
        <f t="shared" si="72"/>
        <v>0.10053363199156728</v>
      </c>
      <c r="C80" s="51">
        <v>218</v>
      </c>
      <c r="D80" s="3">
        <v>2168.4285714285716</v>
      </c>
      <c r="E80" s="39">
        <f t="shared" si="73"/>
        <v>0.6406995230524642</v>
      </c>
      <c r="F80" s="51">
        <v>863.5714285714286</v>
      </c>
      <c r="G80" s="3">
        <v>1347.857142857143</v>
      </c>
      <c r="H80" s="39">
        <f t="shared" si="74"/>
        <v>0.9790824815783219</v>
      </c>
      <c r="I80" s="51">
        <v>588.4285714285714</v>
      </c>
      <c r="J80" s="3">
        <v>601</v>
      </c>
      <c r="K80" s="63">
        <f t="shared" si="75"/>
        <v>1670</v>
      </c>
      <c r="L80" s="7">
        <f t="shared" si="76"/>
        <v>0.40560702265709025</v>
      </c>
      <c r="M80" s="26">
        <f t="shared" si="77"/>
        <v>4117.285714285715</v>
      </c>
      <c r="N80" s="45">
        <f t="shared" si="78"/>
        <v>0.2166462624895372</v>
      </c>
      <c r="O80" s="3">
        <v>2740.853827586207</v>
      </c>
      <c r="P80" s="174">
        <v>12651.286</v>
      </c>
      <c r="Q80" s="39">
        <f t="shared" si="79"/>
        <v>0.6704027552904244</v>
      </c>
      <c r="R80" s="3">
        <v>3565.698551724138</v>
      </c>
      <c r="S80" s="3">
        <v>5318.740896551724</v>
      </c>
      <c r="T80" s="39">
        <f t="shared" si="80"/>
        <v>0.9569377596262565</v>
      </c>
      <c r="U80" s="3">
        <v>6693.209689655173</v>
      </c>
      <c r="V80" s="3">
        <v>6994.404413793104</v>
      </c>
      <c r="W80" s="63">
        <f t="shared" si="81"/>
        <v>12999.762068965518</v>
      </c>
      <c r="X80" s="7">
        <f t="shared" si="82"/>
        <v>0.5207313520327875</v>
      </c>
      <c r="Y80" s="24">
        <f t="shared" si="83"/>
        <v>24964.43131034483</v>
      </c>
      <c r="Z80" s="25">
        <f t="shared" si="84"/>
        <v>0.02184231852738008</v>
      </c>
      <c r="AA80" s="3">
        <v>19.517241379310345</v>
      </c>
      <c r="AB80" s="3">
        <v>893.551724137931</v>
      </c>
      <c r="AC80" s="39">
        <f t="shared" si="85"/>
        <v>0.47762832830085095</v>
      </c>
      <c r="AD80" s="3">
        <v>120</v>
      </c>
      <c r="AE80" s="3">
        <v>251.24137931034483</v>
      </c>
      <c r="AF80" s="39">
        <f t="shared" si="86"/>
        <v>0.965048993133246</v>
      </c>
      <c r="AG80" s="3">
        <v>431.3103448275862</v>
      </c>
      <c r="AH80" s="3">
        <v>446.9310344827586</v>
      </c>
      <c r="AI80" s="63">
        <f t="shared" si="87"/>
        <v>570.8275862068966</v>
      </c>
      <c r="AJ80" s="7">
        <f t="shared" si="88"/>
        <v>0.35862218370883886</v>
      </c>
      <c r="AK80" s="26">
        <f t="shared" si="89"/>
        <v>1591.7241379310344</v>
      </c>
      <c r="AL80" s="93">
        <f t="shared" si="90"/>
        <v>15240.589655172414</v>
      </c>
      <c r="AM80" s="7">
        <f>AL80/AN80</f>
        <v>0.49686598821440003</v>
      </c>
      <c r="AN80" s="3">
        <f t="shared" si="91"/>
        <v>30673.44116256158</v>
      </c>
      <c r="AO80" s="7">
        <f t="shared" si="92"/>
        <v>0.18954500057100568</v>
      </c>
      <c r="AP80" s="7">
        <f t="shared" si="93"/>
        <v>0.6576142788145017</v>
      </c>
      <c r="AQ80" s="94">
        <f t="shared" si="94"/>
        <v>0.9590433842901758</v>
      </c>
    </row>
    <row r="81" spans="1:43" ht="12.75">
      <c r="A81" s="177">
        <v>42370</v>
      </c>
      <c r="B81" s="25">
        <f t="shared" si="72"/>
        <v>0.10413244028813345</v>
      </c>
      <c r="C81" s="51">
        <v>235.42857142857142</v>
      </c>
      <c r="D81" s="3">
        <v>2260.8571428571427</v>
      </c>
      <c r="E81" s="39">
        <f t="shared" si="73"/>
        <v>0.6227842852700322</v>
      </c>
      <c r="F81" s="51">
        <v>858.2857142857143</v>
      </c>
      <c r="G81" s="3">
        <v>1378.142857142857</v>
      </c>
      <c r="H81" s="39">
        <f t="shared" si="74"/>
        <v>0.9511568123393317</v>
      </c>
      <c r="I81" s="51">
        <v>528.5714285714286</v>
      </c>
      <c r="J81" s="3">
        <v>555.7142857142857</v>
      </c>
      <c r="K81" s="63">
        <f t="shared" si="75"/>
        <v>1622.2857142857142</v>
      </c>
      <c r="L81" s="7">
        <f t="shared" si="76"/>
        <v>0.3867452235806968</v>
      </c>
      <c r="M81" s="26">
        <f t="shared" si="77"/>
        <v>4194.714285714285</v>
      </c>
      <c r="N81" s="45">
        <f t="shared" si="78"/>
        <v>0.22277335483343697</v>
      </c>
      <c r="O81" s="3">
        <v>2816.6705483870965</v>
      </c>
      <c r="P81" s="174">
        <v>12643.659967741936</v>
      </c>
      <c r="Q81" s="39">
        <f t="shared" si="79"/>
        <v>0.6684538697756393</v>
      </c>
      <c r="R81" s="3">
        <v>3476.674290322581</v>
      </c>
      <c r="S81" s="3">
        <v>5201.068387096774</v>
      </c>
      <c r="T81" s="39">
        <f t="shared" si="80"/>
        <v>0.9661763805578175</v>
      </c>
      <c r="U81" s="3">
        <v>6900.2372903225805</v>
      </c>
      <c r="V81" s="3">
        <v>7141.7987741935485</v>
      </c>
      <c r="W81" s="63">
        <f t="shared" si="81"/>
        <v>13193.582129032258</v>
      </c>
      <c r="X81" s="7">
        <f t="shared" si="82"/>
        <v>0.5280278472034001</v>
      </c>
      <c r="Y81" s="24">
        <f t="shared" si="83"/>
        <v>24986.52712903226</v>
      </c>
      <c r="Z81" s="25">
        <f t="shared" si="84"/>
        <v>0.02005502171673048</v>
      </c>
      <c r="AA81" s="3">
        <v>18.0438064516129</v>
      </c>
      <c r="AB81" s="3">
        <v>899.7151290322581</v>
      </c>
      <c r="AC81" s="39">
        <f t="shared" si="85"/>
        <v>0.43584070861054186</v>
      </c>
      <c r="AD81" s="3">
        <v>96.30867741935484</v>
      </c>
      <c r="AE81" s="3">
        <v>220.97219354838708</v>
      </c>
      <c r="AF81" s="39">
        <f t="shared" si="86"/>
        <v>0.9662430656050216</v>
      </c>
      <c r="AG81" s="3">
        <v>369.79770967741933</v>
      </c>
      <c r="AH81" s="3">
        <v>382.717064516129</v>
      </c>
      <c r="AI81" s="63">
        <f t="shared" si="87"/>
        <v>484.15019354838705</v>
      </c>
      <c r="AJ81" s="7">
        <f t="shared" si="88"/>
        <v>0.3220359057773737</v>
      </c>
      <c r="AK81" s="26">
        <f t="shared" si="89"/>
        <v>1503.4043870967744</v>
      </c>
      <c r="AL81" s="93">
        <f t="shared" si="90"/>
        <v>15300.018036866359</v>
      </c>
      <c r="AM81" s="7">
        <f>AL81/AN81</f>
        <v>0.4986213018612468</v>
      </c>
      <c r="AN81" s="3">
        <f t="shared" si="91"/>
        <v>30684.645801843322</v>
      </c>
      <c r="AO81" s="7">
        <f t="shared" si="92"/>
        <v>0.19426080809977375</v>
      </c>
      <c r="AP81" s="7">
        <f t="shared" si="93"/>
        <v>0.6516395803977114</v>
      </c>
      <c r="AQ81" s="94">
        <f t="shared" si="94"/>
        <v>0.9651465748480015</v>
      </c>
    </row>
    <row r="82" spans="1:43" ht="12.75">
      <c r="A82" s="177">
        <v>42339</v>
      </c>
      <c r="B82" s="25">
        <f t="shared" si="72"/>
        <v>0.10344412331406551</v>
      </c>
      <c r="C82" s="51">
        <v>245.42857142857142</v>
      </c>
      <c r="D82" s="3">
        <v>2372.5714285714284</v>
      </c>
      <c r="E82" s="39">
        <f t="shared" si="73"/>
        <v>0.6185532484929671</v>
      </c>
      <c r="F82" s="51">
        <v>791.5714285714286</v>
      </c>
      <c r="G82" s="3">
        <v>1279.7142857142858</v>
      </c>
      <c r="H82" s="39">
        <f t="shared" si="74"/>
        <v>0.9394542353610007</v>
      </c>
      <c r="I82" s="51">
        <v>472.14285714285717</v>
      </c>
      <c r="J82" s="3">
        <v>502.57142857142856</v>
      </c>
      <c r="K82" s="63">
        <f t="shared" si="75"/>
        <v>1509.142857142857</v>
      </c>
      <c r="L82" s="7">
        <f t="shared" si="76"/>
        <v>0.3632237656443405</v>
      </c>
      <c r="M82" s="26">
        <f t="shared" si="77"/>
        <v>4154.857142857143</v>
      </c>
      <c r="N82" s="45">
        <f t="shared" si="78"/>
        <v>0.19709436528076457</v>
      </c>
      <c r="O82" s="3">
        <v>2509.882516129032</v>
      </c>
      <c r="P82" s="174">
        <v>12734.420451612901</v>
      </c>
      <c r="Q82" s="39">
        <f t="shared" si="79"/>
        <v>0.6688509558965862</v>
      </c>
      <c r="R82" s="3">
        <v>3826.0332580645163</v>
      </c>
      <c r="S82" s="3">
        <v>5720.307677419355</v>
      </c>
      <c r="T82" s="39">
        <f t="shared" si="80"/>
        <v>0.9629123562894669</v>
      </c>
      <c r="U82" s="3">
        <v>7991.862903225807</v>
      </c>
      <c r="V82" s="3">
        <v>8299.67841935484</v>
      </c>
      <c r="W82" s="63">
        <f t="shared" si="81"/>
        <v>14327.778677419356</v>
      </c>
      <c r="X82" s="7">
        <f t="shared" si="82"/>
        <v>0.5355296762612406</v>
      </c>
      <c r="Y82" s="24">
        <f t="shared" si="83"/>
        <v>26754.406548387095</v>
      </c>
      <c r="Z82" s="25">
        <f t="shared" si="84"/>
        <v>0.02153796419768053</v>
      </c>
      <c r="AA82" s="3">
        <v>17.193548387096776</v>
      </c>
      <c r="AB82" s="3">
        <v>798.2903225806451</v>
      </c>
      <c r="AC82" s="39">
        <f t="shared" si="85"/>
        <v>0.4623829039812647</v>
      </c>
      <c r="AD82" s="3">
        <v>101.90322580645162</v>
      </c>
      <c r="AE82" s="3">
        <v>220.38709677419354</v>
      </c>
      <c r="AF82" s="39">
        <f t="shared" si="86"/>
        <v>0.9100705481045042</v>
      </c>
      <c r="AG82" s="3">
        <v>378.6774193548387</v>
      </c>
      <c r="AH82" s="3">
        <v>416.0967741935484</v>
      </c>
      <c r="AI82" s="63">
        <f t="shared" si="87"/>
        <v>497.77419354838713</v>
      </c>
      <c r="AJ82" s="7">
        <f t="shared" si="88"/>
        <v>0.3469355636494447</v>
      </c>
      <c r="AK82" s="26">
        <f t="shared" si="89"/>
        <v>1434.774193548387</v>
      </c>
      <c r="AL82" s="93">
        <f t="shared" si="90"/>
        <v>16334.695728110599</v>
      </c>
      <c r="AM82" s="7">
        <f>AL82/AN82</f>
        <v>0.5050295756607054</v>
      </c>
      <c r="AN82" s="3">
        <f t="shared" si="91"/>
        <v>32344.037884792626</v>
      </c>
      <c r="AO82" s="7">
        <f t="shared" si="92"/>
        <v>0.17431345138049342</v>
      </c>
      <c r="AP82" s="7">
        <f t="shared" si="93"/>
        <v>0.6536344233802509</v>
      </c>
      <c r="AQ82" s="94">
        <f t="shared" si="94"/>
        <v>0.9592482841234354</v>
      </c>
    </row>
    <row r="83" spans="1:43" ht="12.75">
      <c r="A83" s="177">
        <v>42309</v>
      </c>
      <c r="B83" s="25">
        <f t="shared" si="72"/>
        <v>0.10689397710303633</v>
      </c>
      <c r="C83" s="51">
        <v>245.42857142857142</v>
      </c>
      <c r="D83" s="3">
        <v>2296</v>
      </c>
      <c r="E83" s="39">
        <f t="shared" si="73"/>
        <v>0.6180735079240193</v>
      </c>
      <c r="F83" s="51">
        <v>785.5714285714286</v>
      </c>
      <c r="G83" s="3">
        <v>1271</v>
      </c>
      <c r="H83" s="39">
        <f t="shared" si="74"/>
        <v>0.9020495075858399</v>
      </c>
      <c r="I83" s="51">
        <v>484.14285714285717</v>
      </c>
      <c r="J83" s="3">
        <v>536.7142857142857</v>
      </c>
      <c r="K83" s="63">
        <f t="shared" si="75"/>
        <v>1515.142857142857</v>
      </c>
      <c r="L83" s="7">
        <f t="shared" si="76"/>
        <v>0.36921256005012876</v>
      </c>
      <c r="M83" s="26">
        <f t="shared" si="77"/>
        <v>4103.714285714286</v>
      </c>
      <c r="N83" s="45">
        <f t="shared" si="78"/>
        <v>0.23357357274665932</v>
      </c>
      <c r="O83" s="3">
        <v>2209.9491333333335</v>
      </c>
      <c r="P83" s="174">
        <v>9461.469066666667</v>
      </c>
      <c r="Q83" s="39">
        <f t="shared" si="79"/>
        <v>0.6619728575198921</v>
      </c>
      <c r="R83" s="3">
        <v>2987.2555666666667</v>
      </c>
      <c r="S83" s="3">
        <v>4512.655666666667</v>
      </c>
      <c r="T83" s="39">
        <f t="shared" si="80"/>
        <v>0.9592763851911973</v>
      </c>
      <c r="U83" s="3">
        <v>6601.1358666666665</v>
      </c>
      <c r="V83" s="3">
        <v>6881.370133333333</v>
      </c>
      <c r="W83" s="63">
        <f t="shared" si="81"/>
        <v>11798.340566666666</v>
      </c>
      <c r="X83" s="7">
        <f t="shared" si="82"/>
        <v>0.5657185620430398</v>
      </c>
      <c r="Y83" s="24">
        <f t="shared" si="83"/>
        <v>20855.494866666668</v>
      </c>
      <c r="Z83" s="25">
        <f t="shared" si="84"/>
        <v>0.019984291823021208</v>
      </c>
      <c r="AA83" s="3">
        <v>15.266666666666667</v>
      </c>
      <c r="AB83" s="3">
        <v>763.9333333333333</v>
      </c>
      <c r="AC83" s="39">
        <f t="shared" si="85"/>
        <v>0.3797148797148797</v>
      </c>
      <c r="AD83" s="3">
        <v>85.23333333333333</v>
      </c>
      <c r="AE83" s="3">
        <v>224.46666666666667</v>
      </c>
      <c r="AF83" s="39">
        <f t="shared" si="86"/>
        <v>0.9676037483266399</v>
      </c>
      <c r="AG83" s="3">
        <v>361.4</v>
      </c>
      <c r="AH83" s="3">
        <v>373.5</v>
      </c>
      <c r="AI83" s="63">
        <f t="shared" si="87"/>
        <v>461.9</v>
      </c>
      <c r="AJ83" s="7">
        <f t="shared" si="88"/>
        <v>0.3391585285263235</v>
      </c>
      <c r="AK83" s="26">
        <f t="shared" si="89"/>
        <v>1361.9</v>
      </c>
      <c r="AL83" s="93">
        <f t="shared" si="90"/>
        <v>13775.383423809522</v>
      </c>
      <c r="AM83" s="7">
        <f aca="true" t="shared" si="95" ref="AM83:AM89">AL83/AN83</f>
        <v>0.5233587742849137</v>
      </c>
      <c r="AN83" s="3">
        <f t="shared" si="91"/>
        <v>26321.109152380955</v>
      </c>
      <c r="AO83" s="7">
        <f t="shared" si="92"/>
        <v>0.19731371075723692</v>
      </c>
      <c r="AP83" s="7">
        <f t="shared" si="93"/>
        <v>0.6421407745256345</v>
      </c>
      <c r="AQ83" s="94">
        <f t="shared" si="94"/>
        <v>0.9557335611490103</v>
      </c>
    </row>
    <row r="84" spans="1:43" ht="12.75">
      <c r="A84" s="177">
        <v>42278</v>
      </c>
      <c r="B84" s="25">
        <f t="shared" si="72"/>
        <v>0.10795838400216187</v>
      </c>
      <c r="C84" s="51">
        <v>228.28571428571428</v>
      </c>
      <c r="D84" s="3">
        <v>2114.5714285714284</v>
      </c>
      <c r="E84" s="39">
        <f t="shared" si="73"/>
        <v>0.6185567010309279</v>
      </c>
      <c r="F84" s="51">
        <v>720</v>
      </c>
      <c r="G84" s="3">
        <v>1164</v>
      </c>
      <c r="H84" s="39">
        <f t="shared" si="74"/>
        <v>0.9228925289652418</v>
      </c>
      <c r="I84" s="51">
        <v>660</v>
      </c>
      <c r="J84" s="3">
        <v>715.1428571428571</v>
      </c>
      <c r="K84" s="63">
        <f t="shared" si="75"/>
        <v>1608.2857142857142</v>
      </c>
      <c r="L84" s="7">
        <f t="shared" si="76"/>
        <v>0.40270424953498357</v>
      </c>
      <c r="M84" s="26">
        <f t="shared" si="77"/>
        <v>3993.7142857142853</v>
      </c>
      <c r="N84" s="45">
        <f t="shared" si="78"/>
        <v>0.23953530872712564</v>
      </c>
      <c r="O84" s="3">
        <v>2449.0783225806454</v>
      </c>
      <c r="P84" s="174">
        <v>10224.289419354838</v>
      </c>
      <c r="Q84" s="39">
        <f t="shared" si="79"/>
        <v>0.6534441364592543</v>
      </c>
      <c r="R84" s="3">
        <v>3484.5337741935487</v>
      </c>
      <c r="S84" s="3">
        <v>5332.565677419355</v>
      </c>
      <c r="T84" s="39">
        <f t="shared" si="80"/>
        <v>0.9571234958428719</v>
      </c>
      <c r="U84" s="3">
        <v>8104.859580645161</v>
      </c>
      <c r="V84" s="3">
        <v>8467.935032258065</v>
      </c>
      <c r="W84" s="63">
        <f t="shared" si="81"/>
        <v>14038.471677419357</v>
      </c>
      <c r="X84" s="7">
        <f t="shared" si="82"/>
        <v>0.5843327497148396</v>
      </c>
      <c r="Y84" s="24">
        <f t="shared" si="83"/>
        <v>24024.79012903226</v>
      </c>
      <c r="Z84" s="25">
        <f t="shared" si="84"/>
        <v>0.016843681280119777</v>
      </c>
      <c r="AA84" s="3">
        <v>11.612903225806452</v>
      </c>
      <c r="AB84" s="3">
        <v>689.4516129032259</v>
      </c>
      <c r="AC84" s="39">
        <f t="shared" si="85"/>
        <v>0.22841357537490137</v>
      </c>
      <c r="AD84" s="3">
        <v>46.67741935483871</v>
      </c>
      <c r="AE84" s="3">
        <v>204.3548387096774</v>
      </c>
      <c r="AF84" s="39">
        <f t="shared" si="86"/>
        <v>0.9427477669076989</v>
      </c>
      <c r="AG84" s="3">
        <v>357.48387096774195</v>
      </c>
      <c r="AH84" s="3">
        <v>379.19354838709677</v>
      </c>
      <c r="AI84" s="63">
        <f t="shared" si="87"/>
        <v>415.77419354838713</v>
      </c>
      <c r="AJ84" s="7">
        <f t="shared" si="88"/>
        <v>0.32660973570179663</v>
      </c>
      <c r="AK84" s="26">
        <f t="shared" si="89"/>
        <v>1273</v>
      </c>
      <c r="AL84" s="93">
        <f t="shared" si="90"/>
        <v>16062.531585253457</v>
      </c>
      <c r="AM84" s="7">
        <f t="shared" si="95"/>
        <v>0.5483682694415286</v>
      </c>
      <c r="AN84" s="3">
        <f t="shared" si="91"/>
        <v>29291.504414746545</v>
      </c>
      <c r="AO84" s="7">
        <f t="shared" si="92"/>
        <v>0.20639487640296916</v>
      </c>
      <c r="AP84" s="7">
        <f t="shared" si="93"/>
        <v>0.6344219698347078</v>
      </c>
      <c r="AQ84" s="94">
        <f t="shared" si="94"/>
        <v>0.9539933593145438</v>
      </c>
    </row>
    <row r="85" spans="1:43" ht="12.75">
      <c r="A85" s="177">
        <v>42248</v>
      </c>
      <c r="B85" s="25">
        <f t="shared" si="72"/>
        <v>0.11109767891682784</v>
      </c>
      <c r="C85" s="51">
        <v>262.57142857142856</v>
      </c>
      <c r="D85" s="3">
        <v>2363.4285714285716</v>
      </c>
      <c r="E85" s="39">
        <f t="shared" si="73"/>
        <v>0.6193993106843919</v>
      </c>
      <c r="F85" s="51">
        <v>898.5714285714286</v>
      </c>
      <c r="G85" s="3">
        <v>1450.7142857142858</v>
      </c>
      <c r="H85" s="39">
        <f t="shared" si="74"/>
        <v>0.9693563009972801</v>
      </c>
      <c r="I85" s="51">
        <v>763.7142857142857</v>
      </c>
      <c r="J85" s="3">
        <v>787.8571428571429</v>
      </c>
      <c r="K85" s="63">
        <f aca="true" t="shared" si="96" ref="K85:K90">SUM(C85+F85+I85)</f>
        <v>1924.8571428571427</v>
      </c>
      <c r="L85" s="7">
        <f t="shared" si="76"/>
        <v>0.41826535046874025</v>
      </c>
      <c r="M85" s="26">
        <f aca="true" t="shared" si="97" ref="M85:M90">SUM(J85+G85+D85)</f>
        <v>4602</v>
      </c>
      <c r="N85" s="45">
        <f t="shared" si="78"/>
        <v>0.24320584774428433</v>
      </c>
      <c r="O85" s="3">
        <v>2960.3449666666666</v>
      </c>
      <c r="P85" s="174">
        <v>12172.1784</v>
      </c>
      <c r="Q85" s="39">
        <f t="shared" si="79"/>
        <v>0.6375938598089549</v>
      </c>
      <c r="R85" s="3">
        <v>3945.872933333333</v>
      </c>
      <c r="S85" s="3">
        <v>6188.693433333334</v>
      </c>
      <c r="T85" s="39">
        <f t="shared" si="80"/>
        <v>0.9602475061412571</v>
      </c>
      <c r="U85" s="3">
        <v>8822.930900000001</v>
      </c>
      <c r="V85" s="3">
        <v>9188.184133333334</v>
      </c>
      <c r="W85" s="63">
        <f aca="true" t="shared" si="98" ref="W85:W90">+U85+O85+R85</f>
        <v>15729.148799999999</v>
      </c>
      <c r="X85" s="7">
        <f t="shared" si="82"/>
        <v>0.5709505552216266</v>
      </c>
      <c r="Y85" s="24">
        <f aca="true" t="shared" si="99" ref="Y85:Y90">+V85+S85+P85</f>
        <v>27549.055966666667</v>
      </c>
      <c r="Z85" s="25">
        <f t="shared" si="84"/>
        <v>0.010740505755460891</v>
      </c>
      <c r="AA85" s="3">
        <v>7.9</v>
      </c>
      <c r="AB85" s="3">
        <v>735.5333333333333</v>
      </c>
      <c r="AC85" s="39">
        <f t="shared" si="85"/>
        <v>0.1775389738156501</v>
      </c>
      <c r="AD85" s="3">
        <v>39.1</v>
      </c>
      <c r="AE85" s="3">
        <v>220.23333333333332</v>
      </c>
      <c r="AF85" s="39">
        <f t="shared" si="86"/>
        <v>0.9644421540839989</v>
      </c>
      <c r="AG85" s="3">
        <v>374.3</v>
      </c>
      <c r="AH85" s="3">
        <v>388.1</v>
      </c>
      <c r="AI85" s="63">
        <f aca="true" t="shared" si="100" ref="AI85:AI90">AG85+AD85+AA85</f>
        <v>421.3</v>
      </c>
      <c r="AJ85" s="7">
        <f t="shared" si="88"/>
        <v>0.3134983629328306</v>
      </c>
      <c r="AK85" s="26">
        <f aca="true" t="shared" si="101" ref="AK85:AK90">+AH85+AE85+AB85</f>
        <v>1343.8666666666668</v>
      </c>
      <c r="AL85" s="93">
        <f aca="true" t="shared" si="102" ref="AL85:AL90">+AI85+W85+K85</f>
        <v>18075.30594285714</v>
      </c>
      <c r="AM85" s="7">
        <f t="shared" si="95"/>
        <v>0.5396431614643896</v>
      </c>
      <c r="AN85" s="3">
        <f aca="true" t="shared" si="103" ref="AN85:AN90">+AK85+Y85+M85</f>
        <v>33494.922633333335</v>
      </c>
      <c r="AO85" s="7">
        <f aca="true" t="shared" si="104" ref="AO85:AO90">(+AA85+O85+C85)/(D85+P85+AB85)</f>
        <v>0.2115635329622798</v>
      </c>
      <c r="AP85" s="7">
        <f aca="true" t="shared" si="105" ref="AP85:AP90">(+AD85+R85+F85)/(G85+S85+AE85)</f>
        <v>0.6213444519104813</v>
      </c>
      <c r="AQ85" s="94">
        <f aca="true" t="shared" si="106" ref="AQ85:AQ90">(AG85+U85+I85)/(AH85+V85+J85)</f>
        <v>0.9610970094162599</v>
      </c>
    </row>
    <row r="86" spans="1:43" ht="12.75">
      <c r="A86" s="177">
        <v>42217</v>
      </c>
      <c r="B86" s="25">
        <f t="shared" si="72"/>
        <v>0.11148628278564969</v>
      </c>
      <c r="C86" s="51">
        <v>264.14285714285717</v>
      </c>
      <c r="D86" s="3">
        <v>2369.285714285714</v>
      </c>
      <c r="E86" s="39">
        <f t="shared" si="73"/>
        <v>0.6211854460093896</v>
      </c>
      <c r="F86" s="51">
        <v>907.2857142857143</v>
      </c>
      <c r="G86" s="3">
        <v>1460.5714285714287</v>
      </c>
      <c r="H86" s="39">
        <f t="shared" si="74"/>
        <v>0.9465284408675488</v>
      </c>
      <c r="I86" s="51">
        <v>991.2857142857143</v>
      </c>
      <c r="J86" s="3">
        <v>1047.2857142857142</v>
      </c>
      <c r="K86" s="63">
        <f t="shared" si="96"/>
        <v>2162.714285714286</v>
      </c>
      <c r="L86" s="7">
        <f aca="true" t="shared" si="107" ref="L86:L91">K86/M86</f>
        <v>0.44343878148799065</v>
      </c>
      <c r="M86" s="26">
        <f t="shared" si="97"/>
        <v>4877.142857142857</v>
      </c>
      <c r="N86" s="45">
        <f t="shared" si="78"/>
        <v>0.24454440100421063</v>
      </c>
      <c r="O86" s="3">
        <v>2941.788483870968</v>
      </c>
      <c r="P86" s="174">
        <v>12029.670161290323</v>
      </c>
      <c r="Q86" s="39">
        <f t="shared" si="79"/>
        <v>0.6327192773742355</v>
      </c>
      <c r="R86" s="3">
        <v>3877.4073548387096</v>
      </c>
      <c r="S86" s="3">
        <v>6128.163774193548</v>
      </c>
      <c r="T86" s="39">
        <f t="shared" si="80"/>
        <v>0.9514679457040189</v>
      </c>
      <c r="U86" s="3">
        <v>8318.07</v>
      </c>
      <c r="V86" s="3">
        <v>8742.354419354839</v>
      </c>
      <c r="W86" s="63">
        <f t="shared" si="98"/>
        <v>15137.265838709678</v>
      </c>
      <c r="X86" s="7">
        <f aca="true" t="shared" si="108" ref="X86:X91">W86/Y86</f>
        <v>0.5627196969417071</v>
      </c>
      <c r="Y86" s="24">
        <f t="shared" si="99"/>
        <v>26900.188354838712</v>
      </c>
      <c r="Z86" s="25">
        <f t="shared" si="84"/>
        <v>0.007876482434549118</v>
      </c>
      <c r="AA86" s="3">
        <v>5.67741935483871</v>
      </c>
      <c r="AB86" s="3">
        <v>720.8064516129032</v>
      </c>
      <c r="AC86" s="39">
        <f t="shared" si="85"/>
        <v>0.16930260581412865</v>
      </c>
      <c r="AD86" s="3">
        <v>36.25806451612903</v>
      </c>
      <c r="AE86" s="3">
        <v>214.16129032258064</v>
      </c>
      <c r="AF86" s="39">
        <f t="shared" si="86"/>
        <v>0.9356609574000879</v>
      </c>
      <c r="AG86" s="3">
        <v>412.35483870967744</v>
      </c>
      <c r="AH86" s="3">
        <v>440.7096774193548</v>
      </c>
      <c r="AI86" s="63">
        <f t="shared" si="100"/>
        <v>454.2903225806452</v>
      </c>
      <c r="AJ86" s="7">
        <f aca="true" t="shared" si="109" ref="AJ86:AJ91">AI86/AK86</f>
        <v>0.3302302677859589</v>
      </c>
      <c r="AK86" s="26">
        <f t="shared" si="101"/>
        <v>1375.6774193548385</v>
      </c>
      <c r="AL86" s="93">
        <f t="shared" si="102"/>
        <v>17754.27044700461</v>
      </c>
      <c r="AM86" s="7">
        <f t="shared" si="95"/>
        <v>0.5355251658886601</v>
      </c>
      <c r="AN86" s="3">
        <f t="shared" si="103"/>
        <v>33153.00863133641</v>
      </c>
      <c r="AO86" s="7">
        <f t="shared" si="104"/>
        <v>0.21241132571200705</v>
      </c>
      <c r="AP86" s="7">
        <f t="shared" si="105"/>
        <v>0.6178412257437151</v>
      </c>
      <c r="AQ86" s="94">
        <f t="shared" si="106"/>
        <v>0.950281342529008</v>
      </c>
    </row>
    <row r="87" spans="1:43" ht="12.75">
      <c r="A87" s="177">
        <v>42186</v>
      </c>
      <c r="B87" s="25">
        <f t="shared" si="72"/>
        <v>0.1119298691398806</v>
      </c>
      <c r="C87" s="51">
        <v>251.71428571428572</v>
      </c>
      <c r="D87" s="3">
        <v>2248.8571428571427</v>
      </c>
      <c r="E87" s="39">
        <f t="shared" si="73"/>
        <v>0.6271370688803241</v>
      </c>
      <c r="F87" s="51">
        <v>906.5714285714286</v>
      </c>
      <c r="G87" s="3">
        <v>1445.5714285714287</v>
      </c>
      <c r="H87" s="39">
        <f t="shared" si="74"/>
        <v>0.9658859470468433</v>
      </c>
      <c r="I87" s="51">
        <v>813</v>
      </c>
      <c r="J87" s="3">
        <v>841.7142857142857</v>
      </c>
      <c r="K87" s="63">
        <f t="shared" si="96"/>
        <v>1971.2857142857142</v>
      </c>
      <c r="L87" s="7">
        <f t="shared" si="107"/>
        <v>0.43457311120209113</v>
      </c>
      <c r="M87" s="26">
        <f t="shared" si="97"/>
        <v>4536.142857142857</v>
      </c>
      <c r="N87" s="45">
        <f t="shared" si="78"/>
        <v>0.24880677533158108</v>
      </c>
      <c r="O87" s="3">
        <v>2802.835548387097</v>
      </c>
      <c r="P87" s="174">
        <v>11265.109419354838</v>
      </c>
      <c r="Q87" s="39">
        <f t="shared" si="79"/>
        <v>0.6380730906684782</v>
      </c>
      <c r="R87" s="3">
        <v>3754.5475806451614</v>
      </c>
      <c r="S87" s="3">
        <v>5884.19670967742</v>
      </c>
      <c r="T87" s="39">
        <f t="shared" si="80"/>
        <v>0.9537192672846534</v>
      </c>
      <c r="U87" s="3">
        <v>8263.995387096775</v>
      </c>
      <c r="V87" s="3">
        <v>8665.018806451613</v>
      </c>
      <c r="W87" s="63">
        <f t="shared" si="98"/>
        <v>14821.378516129033</v>
      </c>
      <c r="X87" s="7">
        <f t="shared" si="108"/>
        <v>0.5741532483677639</v>
      </c>
      <c r="Y87" s="24">
        <f t="shared" si="99"/>
        <v>25814.32493548387</v>
      </c>
      <c r="Z87" s="25">
        <f t="shared" si="84"/>
        <v>0.008170808812800934</v>
      </c>
      <c r="AA87" s="3">
        <v>5.419354838709677</v>
      </c>
      <c r="AB87" s="3">
        <v>663.258064516129</v>
      </c>
      <c r="AC87" s="39">
        <f t="shared" si="85"/>
        <v>0.15796000620058903</v>
      </c>
      <c r="AD87" s="3">
        <v>32.87096774193548</v>
      </c>
      <c r="AE87" s="3">
        <v>208.09677419354838</v>
      </c>
      <c r="AF87" s="39">
        <f t="shared" si="86"/>
        <v>0.9406114266622119</v>
      </c>
      <c r="AG87" s="3">
        <v>363.258064516129</v>
      </c>
      <c r="AH87" s="3">
        <v>386.19354838709677</v>
      </c>
      <c r="AI87" s="63">
        <f t="shared" si="100"/>
        <v>401.5483870967742</v>
      </c>
      <c r="AJ87" s="7">
        <f t="shared" si="109"/>
        <v>0.3193104863533758</v>
      </c>
      <c r="AK87" s="26">
        <f t="shared" si="101"/>
        <v>1257.5483870967741</v>
      </c>
      <c r="AL87" s="93">
        <f t="shared" si="102"/>
        <v>17194.212617511523</v>
      </c>
      <c r="AM87" s="7">
        <f t="shared" si="95"/>
        <v>0.5439826567964613</v>
      </c>
      <c r="AN87" s="3">
        <f t="shared" si="103"/>
        <v>31608.016179723498</v>
      </c>
      <c r="AO87" s="7">
        <f t="shared" si="104"/>
        <v>0.21583696876546474</v>
      </c>
      <c r="AP87" s="7">
        <f t="shared" si="105"/>
        <v>0.6227214246318449</v>
      </c>
      <c r="AQ87" s="94">
        <f t="shared" si="106"/>
        <v>0.9542427427810393</v>
      </c>
    </row>
    <row r="88" spans="1:43" ht="12.75">
      <c r="A88" s="177">
        <v>42156</v>
      </c>
      <c r="B88" s="25">
        <f t="shared" si="72"/>
        <v>0.11152998079522015</v>
      </c>
      <c r="C88" s="51">
        <v>224</v>
      </c>
      <c r="D88" s="3">
        <v>2008.4285714285713</v>
      </c>
      <c r="E88" s="39">
        <f t="shared" si="73"/>
        <v>0.6395059052985156</v>
      </c>
      <c r="F88" s="51">
        <v>843.1428571428571</v>
      </c>
      <c r="G88" s="3">
        <v>1318.4285714285713</v>
      </c>
      <c r="H88" s="39">
        <f t="shared" si="74"/>
        <v>0.8528986670949092</v>
      </c>
      <c r="I88" s="51">
        <v>758.7142857142857</v>
      </c>
      <c r="J88" s="3">
        <v>889.5714285714286</v>
      </c>
      <c r="K88" s="63">
        <f t="shared" si="96"/>
        <v>1825.8571428571427</v>
      </c>
      <c r="L88" s="7">
        <f t="shared" si="107"/>
        <v>0.4330340504828053</v>
      </c>
      <c r="M88" s="26">
        <f t="shared" si="97"/>
        <v>4216.428571428572</v>
      </c>
      <c r="N88" s="45">
        <f t="shared" si="78"/>
        <v>0.2529612439987247</v>
      </c>
      <c r="O88" s="3">
        <v>2589.1773000000003</v>
      </c>
      <c r="P88" s="174">
        <v>10235.4703</v>
      </c>
      <c r="Q88" s="39">
        <f t="shared" si="79"/>
        <v>0.6553581245117583</v>
      </c>
      <c r="R88" s="3">
        <v>3618.5416</v>
      </c>
      <c r="S88" s="3">
        <v>5521.4721</v>
      </c>
      <c r="T88" s="39">
        <f t="shared" si="80"/>
        <v>0.9503867094601927</v>
      </c>
      <c r="U88" s="3">
        <v>8717.440466666667</v>
      </c>
      <c r="V88" s="3">
        <v>9172.519333333334</v>
      </c>
      <c r="W88" s="63">
        <f t="shared" si="98"/>
        <v>14925.159366666667</v>
      </c>
      <c r="X88" s="7">
        <f t="shared" si="108"/>
        <v>0.5986956126978925</v>
      </c>
      <c r="Y88" s="24">
        <f t="shared" si="99"/>
        <v>24929.461733333334</v>
      </c>
      <c r="Z88" s="25">
        <f t="shared" si="84"/>
        <v>0.009073873163033831</v>
      </c>
      <c r="AA88" s="3">
        <v>6.133333333333334</v>
      </c>
      <c r="AB88" s="3">
        <v>675.9333333333333</v>
      </c>
      <c r="AC88" s="39">
        <f t="shared" si="85"/>
        <v>0.1641410352588147</v>
      </c>
      <c r="AD88" s="3">
        <v>36.46666666666667</v>
      </c>
      <c r="AE88" s="3">
        <v>222.16666666666666</v>
      </c>
      <c r="AF88" s="39">
        <f t="shared" si="86"/>
        <v>0.9314716981132074</v>
      </c>
      <c r="AG88" s="3">
        <v>411.4</v>
      </c>
      <c r="AH88" s="3">
        <v>441.6666666666667</v>
      </c>
      <c r="AI88" s="63">
        <f t="shared" si="100"/>
        <v>454</v>
      </c>
      <c r="AJ88" s="7">
        <f t="shared" si="109"/>
        <v>0.33886497648844327</v>
      </c>
      <c r="AK88" s="26">
        <f t="shared" si="101"/>
        <v>1339.7666666666667</v>
      </c>
      <c r="AL88" s="93">
        <f t="shared" si="102"/>
        <v>17205.016509523808</v>
      </c>
      <c r="AM88" s="7">
        <f t="shared" si="95"/>
        <v>0.5643643017320736</v>
      </c>
      <c r="AN88" s="3">
        <f t="shared" si="103"/>
        <v>30485.656971428572</v>
      </c>
      <c r="AO88" s="7">
        <f t="shared" si="104"/>
        <v>0.21821573133853944</v>
      </c>
      <c r="AP88" s="7">
        <f t="shared" si="105"/>
        <v>0.6369453742737538</v>
      </c>
      <c r="AQ88" s="94">
        <f t="shared" si="106"/>
        <v>0.9413350241205748</v>
      </c>
    </row>
    <row r="89" spans="1:43" ht="12.75">
      <c r="A89" s="177">
        <v>42125</v>
      </c>
      <c r="B89" s="25">
        <f t="shared" si="72"/>
        <v>0.10776699029126213</v>
      </c>
      <c r="C89" s="51">
        <v>222</v>
      </c>
      <c r="D89" s="3">
        <v>2060</v>
      </c>
      <c r="E89" s="39">
        <f t="shared" si="73"/>
        <v>0.6382782828864082</v>
      </c>
      <c r="F89" s="51">
        <v>792.2857142857143</v>
      </c>
      <c r="G89" s="3">
        <v>1241.2857142857142</v>
      </c>
      <c r="H89" s="39">
        <f t="shared" si="74"/>
        <v>0.9190992493744786</v>
      </c>
      <c r="I89" s="51">
        <v>787.1428571428571</v>
      </c>
      <c r="J89" s="3">
        <v>856.4285714285714</v>
      </c>
      <c r="K89" s="63">
        <f t="shared" si="96"/>
        <v>1801.4285714285716</v>
      </c>
      <c r="L89" s="7">
        <f t="shared" si="107"/>
        <v>0.43327377680043977</v>
      </c>
      <c r="M89" s="26">
        <f t="shared" si="97"/>
        <v>4157.714285714286</v>
      </c>
      <c r="N89" s="45">
        <f t="shared" si="78"/>
        <v>0.24985903166794493</v>
      </c>
      <c r="O89" s="3">
        <v>2324.5369032258063</v>
      </c>
      <c r="P89" s="174">
        <v>9303.393548387097</v>
      </c>
      <c r="Q89" s="39">
        <f t="shared" si="79"/>
        <v>0.6557879872128076</v>
      </c>
      <c r="R89" s="3">
        <v>3053.547064516129</v>
      </c>
      <c r="S89" s="3">
        <v>4656.302225806452</v>
      </c>
      <c r="T89" s="39">
        <f t="shared" si="80"/>
        <v>0.9591680115858069</v>
      </c>
      <c r="U89" s="3">
        <v>6993.946516129033</v>
      </c>
      <c r="V89" s="3">
        <v>7291.680322580645</v>
      </c>
      <c r="W89" s="63">
        <f t="shared" si="98"/>
        <v>12372.030483870969</v>
      </c>
      <c r="X89" s="7">
        <f t="shared" si="108"/>
        <v>0.5821754990138711</v>
      </c>
      <c r="Y89" s="24">
        <f t="shared" si="99"/>
        <v>21251.376096774195</v>
      </c>
      <c r="Z89" s="25">
        <f t="shared" si="84"/>
        <v>0.007001281924859482</v>
      </c>
      <c r="AA89" s="3">
        <v>4.580645161290323</v>
      </c>
      <c r="AB89" s="3">
        <v>654.258064516129</v>
      </c>
      <c r="AC89" s="39">
        <f t="shared" si="85"/>
        <v>0.15875587234731897</v>
      </c>
      <c r="AD89" s="3">
        <v>31.612903225806452</v>
      </c>
      <c r="AE89" s="3">
        <v>199.1290322580645</v>
      </c>
      <c r="AF89" s="39">
        <f t="shared" si="86"/>
        <v>0.9180078683834049</v>
      </c>
      <c r="AG89" s="3">
        <v>331.19354838709677</v>
      </c>
      <c r="AH89" s="3">
        <v>360.7741935483871</v>
      </c>
      <c r="AI89" s="63">
        <f t="shared" si="100"/>
        <v>367.38709677419354</v>
      </c>
      <c r="AJ89" s="7">
        <f t="shared" si="109"/>
        <v>0.3025850846196764</v>
      </c>
      <c r="AK89" s="26">
        <f t="shared" si="101"/>
        <v>1214.1612903225805</v>
      </c>
      <c r="AL89" s="93">
        <f t="shared" si="102"/>
        <v>14540.846152073733</v>
      </c>
      <c r="AM89" s="7">
        <f t="shared" si="95"/>
        <v>0.5461709309882512</v>
      </c>
      <c r="AN89" s="3">
        <f t="shared" si="103"/>
        <v>26623.25167281106</v>
      </c>
      <c r="AO89" s="7">
        <f t="shared" si="104"/>
        <v>0.21228087071920013</v>
      </c>
      <c r="AP89" s="7">
        <f t="shared" si="105"/>
        <v>0.6359891232629958</v>
      </c>
      <c r="AQ89" s="94">
        <f t="shared" si="106"/>
        <v>0.9533898677631898</v>
      </c>
    </row>
    <row r="90" spans="1:43" ht="12.75">
      <c r="A90" s="177">
        <v>42095</v>
      </c>
      <c r="B90" s="25">
        <f t="shared" si="72"/>
        <v>0.10447348406278088</v>
      </c>
      <c r="C90" s="51">
        <v>215.85714285714286</v>
      </c>
      <c r="D90" s="3">
        <v>2066.1428571428573</v>
      </c>
      <c r="E90" s="39">
        <f t="shared" si="73"/>
        <v>0.6343173431734317</v>
      </c>
      <c r="F90" s="51">
        <v>736.7142857142857</v>
      </c>
      <c r="G90" s="3">
        <v>1161.4285714285713</v>
      </c>
      <c r="H90" s="39">
        <f t="shared" si="74"/>
        <v>0.9610132950053899</v>
      </c>
      <c r="I90" s="51">
        <v>764.1428571428571</v>
      </c>
      <c r="J90" s="3">
        <v>795.1428571428571</v>
      </c>
      <c r="K90" s="63">
        <f t="shared" si="96"/>
        <v>1716.7142857142858</v>
      </c>
      <c r="L90" s="7">
        <f t="shared" si="107"/>
        <v>0.4267552114776803</v>
      </c>
      <c r="M90" s="26">
        <f t="shared" si="97"/>
        <v>4022.714285714286</v>
      </c>
      <c r="N90" s="45">
        <f t="shared" si="78"/>
        <v>0.2476702846542521</v>
      </c>
      <c r="O90" s="3">
        <v>2977.676833333333</v>
      </c>
      <c r="P90" s="174">
        <v>12022.745633333334</v>
      </c>
      <c r="Q90" s="39">
        <f t="shared" si="79"/>
        <v>0.6587482505893687</v>
      </c>
      <c r="R90" s="3">
        <v>3590.540233333333</v>
      </c>
      <c r="S90" s="3">
        <v>5450.549933333333</v>
      </c>
      <c r="T90" s="39">
        <f t="shared" si="80"/>
        <v>0.9672715463016056</v>
      </c>
      <c r="U90" s="3">
        <v>8289.853633333334</v>
      </c>
      <c r="V90" s="3">
        <v>8570.347866666667</v>
      </c>
      <c r="W90" s="63">
        <f t="shared" si="98"/>
        <v>14858.0707</v>
      </c>
      <c r="X90" s="7">
        <f t="shared" si="108"/>
        <v>0.5705066089556086</v>
      </c>
      <c r="Y90" s="24">
        <f t="shared" si="99"/>
        <v>26043.64343333333</v>
      </c>
      <c r="Z90" s="25">
        <f t="shared" si="84"/>
        <v>0.006232447197322357</v>
      </c>
      <c r="AA90" s="3">
        <v>5.4</v>
      </c>
      <c r="AB90" s="3">
        <v>866.4333333333333</v>
      </c>
      <c r="AC90" s="39">
        <f t="shared" si="85"/>
        <v>0.15939222404290182</v>
      </c>
      <c r="AD90" s="3">
        <v>35.666666666666664</v>
      </c>
      <c r="AE90" s="3">
        <v>223.76666666666668</v>
      </c>
      <c r="AF90" s="39">
        <f t="shared" si="86"/>
        <v>0.9250639597260049</v>
      </c>
      <c r="AG90" s="3">
        <v>373.6333333333333</v>
      </c>
      <c r="AH90" s="3">
        <v>403.9</v>
      </c>
      <c r="AI90" s="63">
        <f t="shared" si="100"/>
        <v>414.7</v>
      </c>
      <c r="AJ90" s="7">
        <f t="shared" si="109"/>
        <v>0.27755839635901214</v>
      </c>
      <c r="AK90" s="26">
        <f t="shared" si="101"/>
        <v>1494.1</v>
      </c>
      <c r="AL90" s="93">
        <f t="shared" si="102"/>
        <v>16989.484985714287</v>
      </c>
      <c r="AM90" s="7">
        <f aca="true" t="shared" si="110" ref="AM90:AM96">AL90/AN90</f>
        <v>0.538315544627246</v>
      </c>
      <c r="AN90" s="3">
        <f t="shared" si="103"/>
        <v>31560.457719047616</v>
      </c>
      <c r="AO90" s="7">
        <f t="shared" si="104"/>
        <v>0.21389937400729375</v>
      </c>
      <c r="AP90" s="7">
        <f t="shared" si="105"/>
        <v>0.6382509991668543</v>
      </c>
      <c r="AQ90" s="94">
        <f t="shared" si="106"/>
        <v>0.9650171735718304</v>
      </c>
    </row>
    <row r="91" spans="1:43" ht="12.75">
      <c r="A91" s="177">
        <v>42064</v>
      </c>
      <c r="B91" s="25">
        <f t="shared" si="72"/>
        <v>0.10269805174850961</v>
      </c>
      <c r="C91" s="51">
        <v>238.71428571428572</v>
      </c>
      <c r="D91" s="3">
        <v>2324.4285714285716</v>
      </c>
      <c r="E91" s="39">
        <f t="shared" si="73"/>
        <v>0.617567408454021</v>
      </c>
      <c r="F91" s="51">
        <v>749.2857142857143</v>
      </c>
      <c r="G91" s="3">
        <v>1213.2857142857142</v>
      </c>
      <c r="H91" s="39">
        <f t="shared" si="74"/>
        <v>0.9107537688442212</v>
      </c>
      <c r="I91" s="51">
        <v>647.2857142857143</v>
      </c>
      <c r="J91" s="3">
        <v>710.7142857142857</v>
      </c>
      <c r="K91" s="63">
        <f aca="true" t="shared" si="111" ref="K91:K96">SUM(C91+F91+I91)</f>
        <v>1635.2857142857142</v>
      </c>
      <c r="L91" s="7">
        <f t="shared" si="107"/>
        <v>0.38491543091563263</v>
      </c>
      <c r="M91" s="26">
        <f aca="true" t="shared" si="112" ref="M91:M96">SUM(J91+G91+D91)</f>
        <v>4248.428571428572</v>
      </c>
      <c r="N91" s="45">
        <f t="shared" si="78"/>
        <v>0.27577634648130855</v>
      </c>
      <c r="O91" s="3">
        <v>3428.4764838709675</v>
      </c>
      <c r="P91" s="174">
        <v>12432.090451612903</v>
      </c>
      <c r="Q91" s="39">
        <f t="shared" si="79"/>
        <v>0.6463148913825719</v>
      </c>
      <c r="R91" s="3">
        <v>3334.2585483870967</v>
      </c>
      <c r="S91" s="3">
        <v>5158.876258064516</v>
      </c>
      <c r="T91" s="39">
        <f t="shared" si="80"/>
        <v>0.9636321847069157</v>
      </c>
      <c r="U91" s="3">
        <v>5415.353225806452</v>
      </c>
      <c r="V91" s="3">
        <v>5619.730548387098</v>
      </c>
      <c r="W91" s="63">
        <f aca="true" t="shared" si="113" ref="W91:W96">+U91+O91+R91</f>
        <v>12178.088258064518</v>
      </c>
      <c r="X91" s="7">
        <f t="shared" si="108"/>
        <v>0.5246756753002438</v>
      </c>
      <c r="Y91" s="24">
        <f aca="true" t="shared" si="114" ref="Y91:Y96">+V91+S91+P91</f>
        <v>23210.697258064516</v>
      </c>
      <c r="Z91" s="25">
        <f t="shared" si="84"/>
        <v>0.006387964922890838</v>
      </c>
      <c r="AA91" s="3">
        <v>5.451612903225806</v>
      </c>
      <c r="AB91" s="3">
        <v>853.4193548387096</v>
      </c>
      <c r="AC91" s="39">
        <f t="shared" si="85"/>
        <v>0.15823037066560383</v>
      </c>
      <c r="AD91" s="3">
        <v>38.41935483870968</v>
      </c>
      <c r="AE91" s="3">
        <v>242.80645161290323</v>
      </c>
      <c r="AF91" s="39">
        <f t="shared" si="86"/>
        <v>0.9734097603693974</v>
      </c>
      <c r="AG91" s="3">
        <v>394.4193548387097</v>
      </c>
      <c r="AH91" s="3">
        <v>405.19354838709677</v>
      </c>
      <c r="AI91" s="63">
        <f aca="true" t="shared" si="115" ref="AI91:AI96">AG91+AD91+AA91</f>
        <v>438.2903225806452</v>
      </c>
      <c r="AJ91" s="7">
        <f t="shared" si="109"/>
        <v>0.2919173255414232</v>
      </c>
      <c r="AK91" s="26">
        <f aca="true" t="shared" si="116" ref="AK91:AK96">+AH91+AE91+AB91</f>
        <v>1501.4193548387098</v>
      </c>
      <c r="AL91" s="93">
        <f aca="true" t="shared" si="117" ref="AL91:AL96">+AI91+W91+K91</f>
        <v>14251.664294930877</v>
      </c>
      <c r="AM91" s="7">
        <f t="shared" si="110"/>
        <v>0.49210621568827706</v>
      </c>
      <c r="AN91" s="3">
        <f aca="true" t="shared" si="118" ref="AN91:AN96">+AK91+Y91+M91</f>
        <v>28960.545184331797</v>
      </c>
      <c r="AO91" s="7">
        <f aca="true" t="shared" si="119" ref="AO91:AO96">(+AA91+O91+C91)/(D91+P91+AB91)</f>
        <v>0.23527590523308783</v>
      </c>
      <c r="AP91" s="7">
        <f aca="true" t="shared" si="120" ref="AP91:AP96">(+AD91+R91+F91)/(G91+S91+AE91)</f>
        <v>0.6231267261351471</v>
      </c>
      <c r="AQ91" s="94">
        <f aca="true" t="shared" si="121" ref="AQ91:AQ96">(AG91+U91+I91)/(AH91+V91+J91)</f>
        <v>0.9586408783045919</v>
      </c>
    </row>
    <row r="92" spans="1:43" ht="12.75">
      <c r="A92" s="177">
        <v>42036</v>
      </c>
      <c r="B92" s="25">
        <f t="shared" si="72"/>
        <v>0.10442604069544233</v>
      </c>
      <c r="C92" s="51">
        <v>272</v>
      </c>
      <c r="D92" s="3">
        <v>2604.714285714286</v>
      </c>
      <c r="E92" s="39">
        <f t="shared" si="73"/>
        <v>0.6024357518835793</v>
      </c>
      <c r="F92" s="51">
        <v>833.8571428571429</v>
      </c>
      <c r="G92" s="3">
        <v>1384.142857142857</v>
      </c>
      <c r="H92" s="39">
        <f t="shared" si="74"/>
        <v>0.9773609314359638</v>
      </c>
      <c r="I92" s="51">
        <v>647.5714285714286</v>
      </c>
      <c r="J92" s="3">
        <v>662.5714285714286</v>
      </c>
      <c r="K92" s="63">
        <f t="shared" si="111"/>
        <v>1753.4285714285716</v>
      </c>
      <c r="L92" s="7">
        <f aca="true" t="shared" si="122" ref="L92:L98">K92/M92</f>
        <v>0.37696560196560197</v>
      </c>
      <c r="M92" s="26">
        <f t="shared" si="112"/>
        <v>4651.428571428572</v>
      </c>
      <c r="N92" s="45">
        <f t="shared" si="78"/>
        <v>0.26247787137947315</v>
      </c>
      <c r="O92" s="3">
        <v>3816.590714285714</v>
      </c>
      <c r="P92" s="174">
        <v>14540.618964285715</v>
      </c>
      <c r="Q92" s="39">
        <f t="shared" si="79"/>
        <v>0.6448346076550715</v>
      </c>
      <c r="R92" s="3">
        <v>3748.8385714285714</v>
      </c>
      <c r="S92" s="3">
        <v>5813.643571428571</v>
      </c>
      <c r="T92" s="39">
        <f t="shared" si="80"/>
        <v>0.9626812771813984</v>
      </c>
      <c r="U92" s="3">
        <v>7367.746035714285</v>
      </c>
      <c r="V92" s="3">
        <v>7653.359642857143</v>
      </c>
      <c r="W92" s="63">
        <f t="shared" si="113"/>
        <v>14933.17532142857</v>
      </c>
      <c r="X92" s="7">
        <f aca="true" t="shared" si="123" ref="X92:X98">W92/Y92</f>
        <v>0.533182546744504</v>
      </c>
      <c r="Y92" s="24">
        <f t="shared" si="114"/>
        <v>28007.62217857143</v>
      </c>
      <c r="Z92" s="25">
        <f t="shared" si="84"/>
        <v>0.0057319530327242406</v>
      </c>
      <c r="AA92" s="3">
        <v>5.892857142857143</v>
      </c>
      <c r="AB92" s="3">
        <v>1028.0714285714287</v>
      </c>
      <c r="AC92" s="39">
        <f t="shared" si="85"/>
        <v>0.1532960603302561</v>
      </c>
      <c r="AD92" s="3">
        <v>42.107142857142854</v>
      </c>
      <c r="AE92" s="3">
        <v>274.67857142857144</v>
      </c>
      <c r="AF92" s="39">
        <f t="shared" si="86"/>
        <v>0.9600250963520659</v>
      </c>
      <c r="AG92" s="3">
        <v>382.5357142857143</v>
      </c>
      <c r="AH92" s="3">
        <v>398.4642857142857</v>
      </c>
      <c r="AI92" s="63">
        <f t="shared" si="115"/>
        <v>430.5357142857143</v>
      </c>
      <c r="AJ92" s="7">
        <f aca="true" t="shared" si="124" ref="AJ92:AJ98">AI92/AK92</f>
        <v>0.25307553428223534</v>
      </c>
      <c r="AK92" s="26">
        <f t="shared" si="116"/>
        <v>1701.2142857142858</v>
      </c>
      <c r="AL92" s="93">
        <f t="shared" si="117"/>
        <v>17117.139607142857</v>
      </c>
      <c r="AM92" s="7">
        <f t="shared" si="110"/>
        <v>0.4981666931076111</v>
      </c>
      <c r="AN92" s="3">
        <f t="shared" si="118"/>
        <v>34360.265035714285</v>
      </c>
      <c r="AO92" s="7">
        <f t="shared" si="119"/>
        <v>0.22530085274865677</v>
      </c>
      <c r="AP92" s="7">
        <f t="shared" si="120"/>
        <v>0.618912615467969</v>
      </c>
      <c r="AQ92" s="94">
        <f t="shared" si="121"/>
        <v>0.9636759447329906</v>
      </c>
    </row>
    <row r="93" spans="1:43" ht="12.75">
      <c r="A93" s="177">
        <v>42005</v>
      </c>
      <c r="B93" s="25">
        <f t="shared" si="72"/>
        <v>0.11039310716208939</v>
      </c>
      <c r="C93" s="51">
        <v>292.85714285714283</v>
      </c>
      <c r="D93" s="3">
        <v>2652.8571428571427</v>
      </c>
      <c r="E93" s="39">
        <f t="shared" si="73"/>
        <v>0.6265291679304419</v>
      </c>
      <c r="F93" s="51">
        <v>885.2857142857143</v>
      </c>
      <c r="G93" s="3">
        <v>1413</v>
      </c>
      <c r="H93" s="39">
        <f t="shared" si="74"/>
        <v>0.8688286544046467</v>
      </c>
      <c r="I93" s="51">
        <v>769.2857142857143</v>
      </c>
      <c r="J93" s="3">
        <v>885.4285714285714</v>
      </c>
      <c r="K93" s="63">
        <f t="shared" si="111"/>
        <v>1947.4285714285716</v>
      </c>
      <c r="L93" s="7">
        <f t="shared" si="122"/>
        <v>0.39331775296459803</v>
      </c>
      <c r="M93" s="26">
        <f t="shared" si="112"/>
        <v>4951.285714285714</v>
      </c>
      <c r="N93" s="45">
        <f t="shared" si="78"/>
        <v>0.2756036321577869</v>
      </c>
      <c r="O93" s="3">
        <v>3822.4762903225806</v>
      </c>
      <c r="P93" s="174">
        <v>13869.46993548387</v>
      </c>
      <c r="Q93" s="39">
        <f t="shared" si="79"/>
        <v>0.6360964494775274</v>
      </c>
      <c r="R93" s="3">
        <v>3502.0212258064516</v>
      </c>
      <c r="S93" s="3">
        <v>5505.487774193549</v>
      </c>
      <c r="T93" s="39">
        <f t="shared" si="80"/>
        <v>0.970978265218387</v>
      </c>
      <c r="U93" s="3">
        <v>7537.450064516129</v>
      </c>
      <c r="V93" s="3">
        <v>7762.738193548387</v>
      </c>
      <c r="W93" s="63">
        <f t="shared" si="113"/>
        <v>14861.947580645161</v>
      </c>
      <c r="X93" s="7">
        <f t="shared" si="123"/>
        <v>0.5476495732594067</v>
      </c>
      <c r="Y93" s="24">
        <f t="shared" si="114"/>
        <v>27137.695903225806</v>
      </c>
      <c r="Z93" s="25">
        <f t="shared" si="84"/>
        <v>0.005904710194108864</v>
      </c>
      <c r="AA93" s="3">
        <v>5.612903225806452</v>
      </c>
      <c r="AB93" s="3">
        <v>950.5806451612904</v>
      </c>
      <c r="AC93" s="39">
        <f t="shared" si="85"/>
        <v>0.14822629566134773</v>
      </c>
      <c r="AD93" s="3">
        <v>36.25806451612903</v>
      </c>
      <c r="AE93" s="3">
        <v>244.61290322580646</v>
      </c>
      <c r="AF93" s="39">
        <f t="shared" si="86"/>
        <v>0.9566346403531549</v>
      </c>
      <c r="AG93" s="3">
        <v>356.51612903225805</v>
      </c>
      <c r="AH93" s="3">
        <v>372.6774193548387</v>
      </c>
      <c r="AI93" s="63">
        <f t="shared" si="115"/>
        <v>398.38709677419354</v>
      </c>
      <c r="AJ93" s="7">
        <f t="shared" si="124"/>
        <v>0.25409431322524895</v>
      </c>
      <c r="AK93" s="26">
        <f t="shared" si="116"/>
        <v>1567.8709677419356</v>
      </c>
      <c r="AL93" s="93">
        <f t="shared" si="117"/>
        <v>17207.763248847925</v>
      </c>
      <c r="AM93" s="7">
        <f t="shared" si="110"/>
        <v>0.5112707198410883</v>
      </c>
      <c r="AN93" s="3">
        <f t="shared" si="118"/>
        <v>33656.85258525345</v>
      </c>
      <c r="AO93" s="7">
        <f t="shared" si="119"/>
        <v>0.2358477708242323</v>
      </c>
      <c r="AP93" s="7">
        <f t="shared" si="120"/>
        <v>0.6175489084710128</v>
      </c>
      <c r="AQ93" s="94">
        <f t="shared" si="121"/>
        <v>0.9603593334292599</v>
      </c>
    </row>
    <row r="94" spans="1:43" ht="12.75">
      <c r="A94" s="177">
        <v>41974</v>
      </c>
      <c r="B94" s="25">
        <f t="shared" si="72"/>
        <v>0.11407274895646988</v>
      </c>
      <c r="C94" s="51">
        <v>273.2857142857143</v>
      </c>
      <c r="D94" s="3">
        <v>2395.714285714286</v>
      </c>
      <c r="E94" s="39">
        <f t="shared" si="73"/>
        <v>0.6144865380033357</v>
      </c>
      <c r="F94" s="51">
        <v>736.8571428571429</v>
      </c>
      <c r="G94" s="3">
        <v>1199.142857142857</v>
      </c>
      <c r="H94" s="39">
        <f t="shared" si="74"/>
        <v>0.9923963698798136</v>
      </c>
      <c r="I94" s="51">
        <v>578</v>
      </c>
      <c r="J94" s="3">
        <v>582.4285714285714</v>
      </c>
      <c r="K94" s="63">
        <f t="shared" si="111"/>
        <v>1588.142857142857</v>
      </c>
      <c r="L94" s="7">
        <f t="shared" si="122"/>
        <v>0.38018535617796934</v>
      </c>
      <c r="M94" s="26">
        <f t="shared" si="112"/>
        <v>4177.285714285714</v>
      </c>
      <c r="N94" s="45">
        <f t="shared" si="78"/>
        <v>0.2947623154554293</v>
      </c>
      <c r="O94" s="3">
        <v>3643.9810967741937</v>
      </c>
      <c r="P94" s="174">
        <v>12362.438838709679</v>
      </c>
      <c r="Q94" s="39">
        <f t="shared" si="79"/>
        <v>0.6299068368602045</v>
      </c>
      <c r="R94" s="3">
        <v>3362.929064516129</v>
      </c>
      <c r="S94" s="3">
        <v>5338.772129032258</v>
      </c>
      <c r="T94" s="39">
        <f t="shared" si="80"/>
        <v>0.9596433121619706</v>
      </c>
      <c r="U94" s="3">
        <v>7721.5070000000005</v>
      </c>
      <c r="V94" s="3">
        <v>8046.226032258065</v>
      </c>
      <c r="W94" s="63">
        <f t="shared" si="113"/>
        <v>14728.417161290323</v>
      </c>
      <c r="X94" s="7">
        <f t="shared" si="123"/>
        <v>0.5720343023381442</v>
      </c>
      <c r="Y94" s="24">
        <f t="shared" si="114"/>
        <v>25747.437</v>
      </c>
      <c r="Z94" s="25">
        <f t="shared" si="84"/>
        <v>0.0076251110453064855</v>
      </c>
      <c r="AA94" s="3">
        <v>6.645161290322581</v>
      </c>
      <c r="AB94" s="3">
        <v>871.483870967742</v>
      </c>
      <c r="AC94" s="39">
        <f t="shared" si="85"/>
        <v>0.153042233357194</v>
      </c>
      <c r="AD94" s="3">
        <v>34.483870967741936</v>
      </c>
      <c r="AE94" s="3">
        <v>225.32258064516128</v>
      </c>
      <c r="AF94" s="39">
        <f t="shared" si="86"/>
        <v>0.9527688787185353</v>
      </c>
      <c r="AG94" s="3">
        <v>335.7741935483871</v>
      </c>
      <c r="AH94" s="3">
        <v>352.4193548387097</v>
      </c>
      <c r="AI94" s="63">
        <f t="shared" si="115"/>
        <v>376.9032258064516</v>
      </c>
      <c r="AJ94" s="7">
        <f t="shared" si="124"/>
        <v>0.2600721185950229</v>
      </c>
      <c r="AK94" s="26">
        <f t="shared" si="116"/>
        <v>1449.225806451613</v>
      </c>
      <c r="AL94" s="93">
        <f t="shared" si="117"/>
        <v>16693.463244239632</v>
      </c>
      <c r="AM94" s="7">
        <f t="shared" si="110"/>
        <v>0.5320804052829279</v>
      </c>
      <c r="AN94" s="3">
        <f t="shared" si="118"/>
        <v>31373.94852073733</v>
      </c>
      <c r="AO94" s="7">
        <f t="shared" si="119"/>
        <v>0.25105586095871385</v>
      </c>
      <c r="AP94" s="7">
        <f t="shared" si="120"/>
        <v>0.611285650917144</v>
      </c>
      <c r="AQ94" s="94">
        <f t="shared" si="121"/>
        <v>0.9614976152547201</v>
      </c>
    </row>
    <row r="95" spans="1:43" ht="12.75">
      <c r="A95" s="177">
        <v>41944</v>
      </c>
      <c r="B95" s="25">
        <f t="shared" si="72"/>
        <v>0.13327674023769098</v>
      </c>
      <c r="C95" s="51">
        <v>291.57142857142856</v>
      </c>
      <c r="D95" s="3">
        <v>2187.714285714286</v>
      </c>
      <c r="E95" s="39">
        <f t="shared" si="73"/>
        <v>0.5974025974025974</v>
      </c>
      <c r="F95" s="51">
        <v>788.5714285714286</v>
      </c>
      <c r="G95" s="3">
        <v>1320</v>
      </c>
      <c r="H95" s="39">
        <f t="shared" si="74"/>
        <v>0.9505122752754688</v>
      </c>
      <c r="I95" s="51">
        <v>702.4285714285714</v>
      </c>
      <c r="J95" s="3">
        <v>739</v>
      </c>
      <c r="K95" s="63">
        <f t="shared" si="111"/>
        <v>1782.5714285714284</v>
      </c>
      <c r="L95" s="7">
        <f t="shared" si="122"/>
        <v>0.419753086419753</v>
      </c>
      <c r="M95" s="26">
        <f t="shared" si="112"/>
        <v>4246.714285714286</v>
      </c>
      <c r="N95" s="45">
        <f t="shared" si="78"/>
        <v>0.30556968952279856</v>
      </c>
      <c r="O95" s="3">
        <v>3211.320533333333</v>
      </c>
      <c r="P95" s="174">
        <v>10509.290166666666</v>
      </c>
      <c r="Q95" s="39">
        <f t="shared" si="79"/>
        <v>0.6183756718507535</v>
      </c>
      <c r="R95" s="3">
        <v>3162.6464666666666</v>
      </c>
      <c r="S95" s="3">
        <v>5114.4419333333335</v>
      </c>
      <c r="T95" s="39">
        <f t="shared" si="80"/>
        <v>0.958642609111389</v>
      </c>
      <c r="U95" s="3">
        <v>8705.765000000001</v>
      </c>
      <c r="V95" s="3">
        <v>9081.345766666667</v>
      </c>
      <c r="W95" s="63">
        <f t="shared" si="113"/>
        <v>15079.732000000002</v>
      </c>
      <c r="X95" s="7">
        <f t="shared" si="123"/>
        <v>0.6103899806098703</v>
      </c>
      <c r="Y95" s="24">
        <f t="shared" si="114"/>
        <v>24705.077866666667</v>
      </c>
      <c r="Z95" s="25">
        <f t="shared" si="84"/>
        <v>0.009583406266409942</v>
      </c>
      <c r="AA95" s="3">
        <v>7.3</v>
      </c>
      <c r="AB95" s="3">
        <v>761.7333333333333</v>
      </c>
      <c r="AC95" s="39">
        <f t="shared" si="85"/>
        <v>0.2861344537815126</v>
      </c>
      <c r="AD95" s="3">
        <v>68.1</v>
      </c>
      <c r="AE95" s="3">
        <v>238</v>
      </c>
      <c r="AF95" s="39">
        <f t="shared" si="86"/>
        <v>0.9532802291237806</v>
      </c>
      <c r="AG95" s="3">
        <v>355.03333333333336</v>
      </c>
      <c r="AH95" s="3">
        <v>372.43333333333334</v>
      </c>
      <c r="AI95" s="63">
        <f t="shared" si="115"/>
        <v>430.43333333333334</v>
      </c>
      <c r="AJ95" s="7">
        <f t="shared" si="124"/>
        <v>0.3136888133122798</v>
      </c>
      <c r="AK95" s="26">
        <f t="shared" si="116"/>
        <v>1372.1666666666667</v>
      </c>
      <c r="AL95" s="93">
        <f t="shared" si="117"/>
        <v>17292.73676190476</v>
      </c>
      <c r="AM95" s="7">
        <f t="shared" si="110"/>
        <v>0.5702664637257897</v>
      </c>
      <c r="AN95" s="3">
        <f t="shared" si="118"/>
        <v>30323.95881904762</v>
      </c>
      <c r="AO95" s="7">
        <f t="shared" si="119"/>
        <v>0.2608113790307022</v>
      </c>
      <c r="AP95" s="7">
        <f t="shared" si="120"/>
        <v>0.6023758521087909</v>
      </c>
      <c r="AQ95" s="94">
        <f t="shared" si="121"/>
        <v>0.9578572054761694</v>
      </c>
    </row>
    <row r="96" spans="1:43" ht="12.75">
      <c r="A96" s="177">
        <v>41926</v>
      </c>
      <c r="B96" s="25">
        <f t="shared" si="72"/>
        <v>0.13827277017461068</v>
      </c>
      <c r="C96" s="51">
        <v>293</v>
      </c>
      <c r="D96" s="3">
        <v>2119</v>
      </c>
      <c r="E96" s="39">
        <f t="shared" si="73"/>
        <v>0.5843325339728217</v>
      </c>
      <c r="F96" s="51">
        <v>731</v>
      </c>
      <c r="G96" s="3">
        <v>1251</v>
      </c>
      <c r="H96" s="39">
        <f t="shared" si="74"/>
        <v>0.9326683291770573</v>
      </c>
      <c r="I96" s="51">
        <v>748</v>
      </c>
      <c r="J96" s="3">
        <v>802</v>
      </c>
      <c r="K96" s="63">
        <f t="shared" si="111"/>
        <v>1772</v>
      </c>
      <c r="L96" s="7">
        <f t="shared" si="122"/>
        <v>0.4247363374880153</v>
      </c>
      <c r="M96" s="26">
        <f t="shared" si="112"/>
        <v>4172</v>
      </c>
      <c r="N96" s="45">
        <f t="shared" si="78"/>
        <v>0.3136021449932969</v>
      </c>
      <c r="O96" s="3">
        <v>3041</v>
      </c>
      <c r="P96" s="174">
        <v>9697</v>
      </c>
      <c r="Q96" s="39">
        <f t="shared" si="79"/>
        <v>0.612884834663626</v>
      </c>
      <c r="R96" s="3">
        <v>3225</v>
      </c>
      <c r="S96" s="3">
        <v>5262</v>
      </c>
      <c r="T96" s="39">
        <f t="shared" si="80"/>
        <v>0.9615594627061265</v>
      </c>
      <c r="U96" s="3">
        <v>8805</v>
      </c>
      <c r="V96" s="3">
        <v>9157</v>
      </c>
      <c r="W96" s="63">
        <f t="shared" si="113"/>
        <v>15071</v>
      </c>
      <c r="X96" s="7">
        <f t="shared" si="123"/>
        <v>0.6249378006302869</v>
      </c>
      <c r="Y96" s="24">
        <f t="shared" si="114"/>
        <v>24116</v>
      </c>
      <c r="Z96" s="25">
        <f t="shared" si="84"/>
        <v>0.010914051841746248</v>
      </c>
      <c r="AA96" s="3">
        <v>8</v>
      </c>
      <c r="AB96" s="3">
        <v>733</v>
      </c>
      <c r="AC96" s="39">
        <f t="shared" si="85"/>
        <v>0.5080645161290323</v>
      </c>
      <c r="AD96" s="3">
        <v>126</v>
      </c>
      <c r="AE96" s="3">
        <v>248</v>
      </c>
      <c r="AF96" s="39">
        <f t="shared" si="86"/>
        <v>0.9402597402597402</v>
      </c>
      <c r="AG96" s="3">
        <v>362</v>
      </c>
      <c r="AH96" s="3">
        <v>385</v>
      </c>
      <c r="AI96" s="63">
        <f t="shared" si="115"/>
        <v>496</v>
      </c>
      <c r="AJ96" s="7">
        <f t="shared" si="124"/>
        <v>0.363103953147877</v>
      </c>
      <c r="AK96" s="26">
        <f t="shared" si="116"/>
        <v>1366</v>
      </c>
      <c r="AL96" s="93">
        <f t="shared" si="117"/>
        <v>17339</v>
      </c>
      <c r="AM96" s="7">
        <f t="shared" si="110"/>
        <v>0.5847103257570648</v>
      </c>
      <c r="AN96" s="3">
        <f t="shared" si="118"/>
        <v>29654</v>
      </c>
      <c r="AO96" s="7">
        <f t="shared" si="119"/>
        <v>0.26631604111881424</v>
      </c>
      <c r="AP96" s="7">
        <f t="shared" si="120"/>
        <v>0.6037568407040379</v>
      </c>
      <c r="AQ96" s="94">
        <f t="shared" si="121"/>
        <v>0.9585266821345708</v>
      </c>
    </row>
    <row r="97" spans="1:43" ht="12.75">
      <c r="A97" s="177">
        <v>41883</v>
      </c>
      <c r="B97" s="25">
        <f t="shared" si="72"/>
        <v>0.1430189747946757</v>
      </c>
      <c r="C97" s="51">
        <v>288.57142857142856</v>
      </c>
      <c r="D97" s="3">
        <v>2017.7142857142858</v>
      </c>
      <c r="E97" s="39">
        <f t="shared" si="73"/>
        <v>0.5718763994626063</v>
      </c>
      <c r="F97" s="51">
        <v>729.7142857142857</v>
      </c>
      <c r="G97" s="3">
        <v>1276</v>
      </c>
      <c r="H97" s="39">
        <f t="shared" si="74"/>
        <v>0.9552968960863697</v>
      </c>
      <c r="I97" s="51">
        <v>809</v>
      </c>
      <c r="J97" s="3">
        <v>846.8571428571429</v>
      </c>
      <c r="K97" s="63">
        <f aca="true" t="shared" si="125" ref="K97:K102">SUM(C97+F97+I97)</f>
        <v>1827.2857142857142</v>
      </c>
      <c r="L97" s="7">
        <f t="shared" si="122"/>
        <v>0.44131244824730875</v>
      </c>
      <c r="M97" s="26">
        <f aca="true" t="shared" si="126" ref="M97:M102">SUM(J97+G97+D97)</f>
        <v>4140.571428571429</v>
      </c>
      <c r="N97" s="45">
        <f t="shared" si="78"/>
        <v>0.3228441549577219</v>
      </c>
      <c r="O97" s="3">
        <v>3663.497766666667</v>
      </c>
      <c r="P97" s="174">
        <v>11347.573466666667</v>
      </c>
      <c r="Q97" s="39">
        <f t="shared" si="79"/>
        <v>0.6002672875749787</v>
      </c>
      <c r="R97" s="3">
        <v>3652.1663</v>
      </c>
      <c r="S97" s="3">
        <v>6084.233433333333</v>
      </c>
      <c r="T97" s="39">
        <f t="shared" si="80"/>
        <v>0.9560606585439136</v>
      </c>
      <c r="U97" s="3">
        <v>8941.711266666667</v>
      </c>
      <c r="V97" s="3">
        <v>9352.661033333334</v>
      </c>
      <c r="W97" s="63">
        <f aca="true" t="shared" si="127" ref="W97:W102">+U97+O97+R97</f>
        <v>16257.375333333333</v>
      </c>
      <c r="X97" s="7">
        <f t="shared" si="123"/>
        <v>0.6069702550671537</v>
      </c>
      <c r="Y97" s="24">
        <f aca="true" t="shared" si="128" ref="Y97:Y102">+V97+S97+P97</f>
        <v>26784.467933333333</v>
      </c>
      <c r="Z97" s="25">
        <f t="shared" si="84"/>
        <v>0.0115868305779285</v>
      </c>
      <c r="AA97" s="3">
        <v>8.2</v>
      </c>
      <c r="AB97" s="3">
        <v>707.7</v>
      </c>
      <c r="AC97" s="39">
        <f t="shared" si="85"/>
        <v>0.415375</v>
      </c>
      <c r="AD97" s="3">
        <v>110.76666666666667</v>
      </c>
      <c r="AE97" s="3">
        <v>266.6666666666667</v>
      </c>
      <c r="AF97" s="39">
        <f t="shared" si="86"/>
        <v>0.9478353442157558</v>
      </c>
      <c r="AG97" s="3">
        <v>356.1333333333333</v>
      </c>
      <c r="AH97" s="3">
        <v>375.73333333333335</v>
      </c>
      <c r="AI97" s="63">
        <f aca="true" t="shared" si="129" ref="AI97:AI102">AG97+AD97+AA97</f>
        <v>475.09999999999997</v>
      </c>
      <c r="AJ97" s="7">
        <f t="shared" si="124"/>
        <v>0.35189985926968365</v>
      </c>
      <c r="AK97" s="26">
        <f aca="true" t="shared" si="130" ref="AK97:AK102">+AH97+AE97+AB97</f>
        <v>1350.1000000000001</v>
      </c>
      <c r="AL97" s="93">
        <f aca="true" t="shared" si="131" ref="AL97:AL102">+AI97+W97+K97</f>
        <v>18559.761047619046</v>
      </c>
      <c r="AM97" s="7">
        <f aca="true" t="shared" si="132" ref="AM97:AM103">AL97/AN97</f>
        <v>0.5750482078328575</v>
      </c>
      <c r="AN97" s="3">
        <f aca="true" t="shared" si="133" ref="AN97:AN102">+AK97+Y97+M97</f>
        <v>32275.13936190476</v>
      </c>
      <c r="AO97" s="7">
        <f aca="true" t="shared" si="134" ref="AO97:AO102">(+AA97+O97+C97)/(D97+P97+AB97)</f>
        <v>0.2814092689427711</v>
      </c>
      <c r="AP97" s="7">
        <f aca="true" t="shared" si="135" ref="AP97:AP102">(+AD97+R97+F97)/(G97+S97+AE97)</f>
        <v>0.5890528515485541</v>
      </c>
      <c r="AQ97" s="94">
        <f aca="true" t="shared" si="136" ref="AQ97:AQ102">(AG97+U97+I97)/(AH97+V97+J97)</f>
        <v>0.9557072558414356</v>
      </c>
    </row>
    <row r="98" spans="1:43" ht="12.75">
      <c r="A98" s="177">
        <v>41852</v>
      </c>
      <c r="B98" s="25">
        <f t="shared" si="72"/>
        <v>0.14796668299853016</v>
      </c>
      <c r="C98" s="51">
        <v>345.14285714285717</v>
      </c>
      <c r="D98" s="3">
        <v>2332.5714285714284</v>
      </c>
      <c r="E98" s="39">
        <f t="shared" si="73"/>
        <v>0.5745064635735043</v>
      </c>
      <c r="F98" s="51">
        <v>819</v>
      </c>
      <c r="G98" s="3">
        <v>1425.5714285714287</v>
      </c>
      <c r="H98" s="39">
        <f t="shared" si="74"/>
        <v>0.9373483659197945</v>
      </c>
      <c r="I98" s="51">
        <v>938.2857142857143</v>
      </c>
      <c r="J98" s="3">
        <v>1001</v>
      </c>
      <c r="K98" s="63">
        <f t="shared" si="125"/>
        <v>2102.4285714285716</v>
      </c>
      <c r="L98" s="7">
        <f t="shared" si="122"/>
        <v>0.44176622441015795</v>
      </c>
      <c r="M98" s="26">
        <f t="shared" si="126"/>
        <v>4759.142857142857</v>
      </c>
      <c r="N98" s="45">
        <f t="shared" si="78"/>
        <v>0.33212449626882445</v>
      </c>
      <c r="O98" s="3">
        <v>3884.906483870968</v>
      </c>
      <c r="P98" s="174">
        <v>11697.139258064515</v>
      </c>
      <c r="Q98" s="39">
        <f t="shared" si="79"/>
        <v>0.589283436339765</v>
      </c>
      <c r="R98" s="3">
        <v>3606.172225806452</v>
      </c>
      <c r="S98" s="3">
        <v>6119.5886451612905</v>
      </c>
      <c r="T98" s="39">
        <f t="shared" si="80"/>
        <v>0.9618931469629554</v>
      </c>
      <c r="U98" s="3">
        <v>8655.31535483871</v>
      </c>
      <c r="V98" s="3">
        <v>8998.20877419355</v>
      </c>
      <c r="W98" s="63">
        <f t="shared" si="127"/>
        <v>16146.394064516131</v>
      </c>
      <c r="X98" s="7">
        <f t="shared" si="123"/>
        <v>0.6021417935367672</v>
      </c>
      <c r="Y98" s="24">
        <f t="shared" si="128"/>
        <v>26814.936677419355</v>
      </c>
      <c r="Z98" s="25">
        <f t="shared" si="84"/>
        <v>0.012026745397707537</v>
      </c>
      <c r="AA98" s="3">
        <v>8.935483870967742</v>
      </c>
      <c r="AB98" s="3">
        <v>742.9677419354839</v>
      </c>
      <c r="AC98" s="39">
        <f t="shared" si="85"/>
        <v>0.4789160440673673</v>
      </c>
      <c r="AD98" s="3">
        <v>122</v>
      </c>
      <c r="AE98" s="3">
        <v>254.74193548387098</v>
      </c>
      <c r="AF98" s="39">
        <f t="shared" si="86"/>
        <v>0.9544277576385292</v>
      </c>
      <c r="AG98" s="3">
        <v>356.7096774193548</v>
      </c>
      <c r="AH98" s="3">
        <v>373.741935483871</v>
      </c>
      <c r="AI98" s="63">
        <f t="shared" si="129"/>
        <v>487.64516129032256</v>
      </c>
      <c r="AJ98" s="7">
        <f t="shared" si="124"/>
        <v>0.355568622838998</v>
      </c>
      <c r="AK98" s="26">
        <f t="shared" si="130"/>
        <v>1371.4516129032259</v>
      </c>
      <c r="AL98" s="93">
        <f t="shared" si="131"/>
        <v>18736.467797235026</v>
      </c>
      <c r="AM98" s="7">
        <f t="shared" si="132"/>
        <v>0.5687104485694855</v>
      </c>
      <c r="AN98" s="3">
        <f t="shared" si="133"/>
        <v>32945.53114746544</v>
      </c>
      <c r="AO98" s="7">
        <f t="shared" si="134"/>
        <v>0.28694761382514694</v>
      </c>
      <c r="AP98" s="7">
        <f t="shared" si="135"/>
        <v>0.5829781220883777</v>
      </c>
      <c r="AQ98" s="94">
        <f t="shared" si="136"/>
        <v>0.9592555700916093</v>
      </c>
    </row>
    <row r="99" spans="1:43" ht="12.75">
      <c r="A99" s="177">
        <v>41821</v>
      </c>
      <c r="B99" s="25">
        <f t="shared" si="72"/>
        <v>0.15267953864780476</v>
      </c>
      <c r="C99" s="51">
        <v>342.2857142857143</v>
      </c>
      <c r="D99" s="3">
        <v>2241.8571428571427</v>
      </c>
      <c r="E99" s="39">
        <f t="shared" si="73"/>
        <v>0.5845766129032258</v>
      </c>
      <c r="F99" s="51">
        <v>828.4285714285714</v>
      </c>
      <c r="G99" s="3">
        <v>1417.142857142857</v>
      </c>
      <c r="H99" s="39">
        <f t="shared" si="74"/>
        <v>0.8365245664739884</v>
      </c>
      <c r="I99" s="51">
        <v>661.5714285714286</v>
      </c>
      <c r="J99" s="3">
        <v>790.8571428571429</v>
      </c>
      <c r="K99" s="63">
        <f t="shared" si="125"/>
        <v>1832.2857142857142</v>
      </c>
      <c r="L99" s="7">
        <f aca="true" t="shared" si="137" ref="L99:L105">K99/M99</f>
        <v>0.4117628174259205</v>
      </c>
      <c r="M99" s="26">
        <f t="shared" si="126"/>
        <v>4449.857142857143</v>
      </c>
      <c r="N99" s="45">
        <f t="shared" si="78"/>
        <v>0.33870146200890816</v>
      </c>
      <c r="O99" s="3">
        <v>3838.454677419355</v>
      </c>
      <c r="P99" s="174">
        <v>11332.85535483871</v>
      </c>
      <c r="Q99" s="39">
        <f t="shared" si="79"/>
        <v>0.5970281565948851</v>
      </c>
      <c r="R99" s="3">
        <v>3555.54535483871</v>
      </c>
      <c r="S99" s="3">
        <v>5955.406483870968</v>
      </c>
      <c r="T99" s="39">
        <f t="shared" si="80"/>
        <v>0.9616032647226661</v>
      </c>
      <c r="U99" s="3">
        <v>7900.883935483871</v>
      </c>
      <c r="V99" s="3">
        <v>8216.365548387097</v>
      </c>
      <c r="W99" s="63">
        <f t="shared" si="127"/>
        <v>15294.883967741936</v>
      </c>
      <c r="X99" s="7">
        <f aca="true" t="shared" si="138" ref="X99:X105">W99/Y99</f>
        <v>0.5996905477427159</v>
      </c>
      <c r="Y99" s="24">
        <f t="shared" si="128"/>
        <v>25504.627387096774</v>
      </c>
      <c r="Z99" s="25">
        <f t="shared" si="84"/>
        <v>0.012795693847679304</v>
      </c>
      <c r="AA99" s="3">
        <v>8.741935483870968</v>
      </c>
      <c r="AB99" s="3">
        <v>683.1935483870968</v>
      </c>
      <c r="AC99" s="39">
        <f t="shared" si="85"/>
        <v>0.4780494048380904</v>
      </c>
      <c r="AD99" s="3">
        <v>120.48387096774194</v>
      </c>
      <c r="AE99" s="3">
        <v>252.03225806451613</v>
      </c>
      <c r="AF99" s="39">
        <f t="shared" si="86"/>
        <v>0.9676355206847361</v>
      </c>
      <c r="AG99" s="3">
        <v>350.0967741935484</v>
      </c>
      <c r="AH99" s="3">
        <v>361.80645161290323</v>
      </c>
      <c r="AI99" s="63">
        <f t="shared" si="129"/>
        <v>479.32258064516134</v>
      </c>
      <c r="AJ99" s="7">
        <f aca="true" t="shared" si="139" ref="AJ99:AJ105">AI99/AK99</f>
        <v>0.36955332272184643</v>
      </c>
      <c r="AK99" s="26">
        <f t="shared" si="130"/>
        <v>1297.032258064516</v>
      </c>
      <c r="AL99" s="93">
        <f t="shared" si="131"/>
        <v>17606.49226267281</v>
      </c>
      <c r="AM99" s="7">
        <f t="shared" si="132"/>
        <v>0.5633804074886692</v>
      </c>
      <c r="AN99" s="3">
        <f t="shared" si="133"/>
        <v>31251.51678801843</v>
      </c>
      <c r="AO99" s="7">
        <f t="shared" si="134"/>
        <v>0.2938357367237603</v>
      </c>
      <c r="AP99" s="7">
        <f t="shared" si="135"/>
        <v>0.5907809810546879</v>
      </c>
      <c r="AQ99" s="94">
        <f t="shared" si="136"/>
        <v>0.9512780889409115</v>
      </c>
    </row>
    <row r="100" spans="1:43" ht="12.75">
      <c r="A100" s="177">
        <v>41791</v>
      </c>
      <c r="B100" s="25">
        <f t="shared" si="72"/>
        <v>0.1555422726970844</v>
      </c>
      <c r="C100" s="51">
        <v>334.57142857142856</v>
      </c>
      <c r="D100" s="3">
        <v>2151</v>
      </c>
      <c r="E100" s="39">
        <f t="shared" si="73"/>
        <v>0.5883186557343861</v>
      </c>
      <c r="F100" s="51">
        <v>830.2857142857143</v>
      </c>
      <c r="G100" s="3">
        <v>1411.2857142857142</v>
      </c>
      <c r="H100" s="39">
        <f t="shared" si="74"/>
        <v>0.824055330634278</v>
      </c>
      <c r="I100" s="51">
        <v>697.8571428571429</v>
      </c>
      <c r="J100" s="3">
        <v>846.8571428571429</v>
      </c>
      <c r="K100" s="63">
        <f t="shared" si="125"/>
        <v>1862.7142857142858</v>
      </c>
      <c r="L100" s="7">
        <f t="shared" si="137"/>
        <v>0.42246630378434424</v>
      </c>
      <c r="M100" s="26">
        <f t="shared" si="126"/>
        <v>4409.142857142857</v>
      </c>
      <c r="N100" s="45">
        <f t="shared" si="78"/>
        <v>0.34194279877158323</v>
      </c>
      <c r="O100" s="3">
        <v>3419.459366666667</v>
      </c>
      <c r="P100" s="174">
        <v>10000.091766666668</v>
      </c>
      <c r="Q100" s="39">
        <f t="shared" si="79"/>
        <v>0.613759857883768</v>
      </c>
      <c r="R100" s="3">
        <v>3366.066</v>
      </c>
      <c r="S100" s="3">
        <v>5484.337166666666</v>
      </c>
      <c r="T100" s="39">
        <f t="shared" si="80"/>
        <v>0.96993931254469</v>
      </c>
      <c r="U100" s="3">
        <v>8776.989633333334</v>
      </c>
      <c r="V100" s="3">
        <v>9049.009066666667</v>
      </c>
      <c r="W100" s="63">
        <f t="shared" si="127"/>
        <v>15562.515</v>
      </c>
      <c r="X100" s="7">
        <f t="shared" si="138"/>
        <v>0.634338937738771</v>
      </c>
      <c r="Y100" s="24">
        <f t="shared" si="128"/>
        <v>24533.438000000002</v>
      </c>
      <c r="Z100" s="25">
        <f t="shared" si="84"/>
        <v>0.01310148836761235</v>
      </c>
      <c r="AA100" s="3">
        <v>9.066666666666666</v>
      </c>
      <c r="AB100" s="3">
        <v>692.0333333333333</v>
      </c>
      <c r="AC100" s="39">
        <f t="shared" si="85"/>
        <v>0.47901028634973586</v>
      </c>
      <c r="AD100" s="3">
        <v>114.86666666666666</v>
      </c>
      <c r="AE100" s="3">
        <v>239.8</v>
      </c>
      <c r="AF100" s="39">
        <f t="shared" si="86"/>
        <v>0.9583895030106947</v>
      </c>
      <c r="AG100" s="3">
        <v>355.46666666666664</v>
      </c>
      <c r="AH100" s="3">
        <v>370.9</v>
      </c>
      <c r="AI100" s="63">
        <f t="shared" si="129"/>
        <v>479.4</v>
      </c>
      <c r="AJ100" s="7">
        <f t="shared" si="139"/>
        <v>0.36799549664807324</v>
      </c>
      <c r="AK100" s="26">
        <f t="shared" si="130"/>
        <v>1302.7333333333333</v>
      </c>
      <c r="AL100" s="93">
        <f t="shared" si="131"/>
        <v>17904.629285714283</v>
      </c>
      <c r="AM100" s="7">
        <f t="shared" si="132"/>
        <v>0.5919802708266191</v>
      </c>
      <c r="AN100" s="3">
        <f t="shared" si="133"/>
        <v>30245.314190476194</v>
      </c>
      <c r="AO100" s="7">
        <f t="shared" si="134"/>
        <v>0.29300481250507804</v>
      </c>
      <c r="AP100" s="7">
        <f t="shared" si="135"/>
        <v>0.604199422077834</v>
      </c>
      <c r="AQ100" s="94">
        <f t="shared" si="136"/>
        <v>0.9574887790605578</v>
      </c>
    </row>
    <row r="101" spans="1:43" ht="12.75">
      <c r="A101" s="177">
        <v>41760</v>
      </c>
      <c r="B101" s="25">
        <f t="shared" si="72"/>
        <v>0.15212909646690836</v>
      </c>
      <c r="C101" s="51">
        <v>305.7142857142857</v>
      </c>
      <c r="D101" s="3">
        <v>2009.5714285714287</v>
      </c>
      <c r="E101" s="39">
        <f t="shared" si="73"/>
        <v>0.5906121461408178</v>
      </c>
      <c r="F101" s="51">
        <v>697.4285714285714</v>
      </c>
      <c r="G101" s="3">
        <v>1180.857142857143</v>
      </c>
      <c r="H101" s="39">
        <f t="shared" si="74"/>
        <v>0.9306930693069307</v>
      </c>
      <c r="I101" s="51">
        <v>684.8571428571429</v>
      </c>
      <c r="J101" s="3">
        <v>735.8571428571429</v>
      </c>
      <c r="K101" s="63">
        <f t="shared" si="125"/>
        <v>1688</v>
      </c>
      <c r="L101" s="7">
        <f t="shared" si="137"/>
        <v>0.42992286421190506</v>
      </c>
      <c r="M101" s="26">
        <f t="shared" si="126"/>
        <v>3926.2857142857147</v>
      </c>
      <c r="N101" s="45">
        <f t="shared" si="78"/>
        <v>0.33918387781841763</v>
      </c>
      <c r="O101" s="3">
        <v>3363.1422903225803</v>
      </c>
      <c r="P101" s="174">
        <v>9915.395483870967</v>
      </c>
      <c r="Q101" s="39">
        <f t="shared" si="79"/>
        <v>0.6225050602896118</v>
      </c>
      <c r="R101" s="3">
        <v>3088.9738064516127</v>
      </c>
      <c r="S101" s="3">
        <v>4962.166580645161</v>
      </c>
      <c r="T101" s="39">
        <f t="shared" si="80"/>
        <v>0.970243993175704</v>
      </c>
      <c r="U101" s="3">
        <v>7601.847258064517</v>
      </c>
      <c r="V101" s="3">
        <v>7834.985129032259</v>
      </c>
      <c r="W101" s="63">
        <f t="shared" si="127"/>
        <v>14053.96335483871</v>
      </c>
      <c r="X101" s="7">
        <f t="shared" si="138"/>
        <v>0.6187753066653312</v>
      </c>
      <c r="Y101" s="24">
        <f t="shared" si="128"/>
        <v>22712.547193548387</v>
      </c>
      <c r="Z101" s="25">
        <f t="shared" si="84"/>
        <v>0.011858063934352315</v>
      </c>
      <c r="AA101" s="3">
        <v>8.483870967741936</v>
      </c>
      <c r="AB101" s="3">
        <v>715.4516129032259</v>
      </c>
      <c r="AC101" s="39">
        <f t="shared" si="85"/>
        <v>0.4704384724186705</v>
      </c>
      <c r="AD101" s="3">
        <v>107.29032258064517</v>
      </c>
      <c r="AE101" s="3">
        <v>228.06451612903226</v>
      </c>
      <c r="AF101" s="39">
        <f t="shared" si="86"/>
        <v>0.9563343328335833</v>
      </c>
      <c r="AG101" s="3">
        <v>329.2258064516129</v>
      </c>
      <c r="AH101" s="3">
        <v>344.258064516129</v>
      </c>
      <c r="AI101" s="63">
        <f t="shared" si="129"/>
        <v>445.00000000000006</v>
      </c>
      <c r="AJ101" s="7">
        <f t="shared" si="139"/>
        <v>0.3455574760151299</v>
      </c>
      <c r="AK101" s="26">
        <f t="shared" si="130"/>
        <v>1287.774193548387</v>
      </c>
      <c r="AL101" s="93">
        <f t="shared" si="131"/>
        <v>16186.96335483871</v>
      </c>
      <c r="AM101" s="7">
        <f t="shared" si="132"/>
        <v>0.5796251329807045</v>
      </c>
      <c r="AN101" s="3">
        <f t="shared" si="133"/>
        <v>27926.607101382488</v>
      </c>
      <c r="AO101" s="7">
        <f t="shared" si="134"/>
        <v>0.2909192001539411</v>
      </c>
      <c r="AP101" s="7">
        <f t="shared" si="135"/>
        <v>0.6111503331942768</v>
      </c>
      <c r="AQ101" s="94">
        <f t="shared" si="136"/>
        <v>0.9664423149775923</v>
      </c>
    </row>
    <row r="102" spans="1:43" ht="12.75">
      <c r="A102" s="177">
        <v>41730</v>
      </c>
      <c r="B102" s="25">
        <f t="shared" si="72"/>
        <v>0.14846775837466875</v>
      </c>
      <c r="C102" s="51">
        <v>312.14285714285717</v>
      </c>
      <c r="D102" s="3">
        <v>2102.4285714285716</v>
      </c>
      <c r="E102" s="39">
        <f t="shared" si="73"/>
        <v>0.5603964960811434</v>
      </c>
      <c r="F102" s="51">
        <v>694.5714285714286</v>
      </c>
      <c r="G102" s="3">
        <v>1239.4285714285713</v>
      </c>
      <c r="H102" s="39">
        <f t="shared" si="74"/>
        <v>0.9490942028985507</v>
      </c>
      <c r="I102" s="51">
        <v>748.4285714285714</v>
      </c>
      <c r="J102" s="3">
        <v>788.5714285714286</v>
      </c>
      <c r="K102" s="63">
        <f t="shared" si="125"/>
        <v>1755.1428571428573</v>
      </c>
      <c r="L102" s="7">
        <f t="shared" si="137"/>
        <v>0.42492996230069524</v>
      </c>
      <c r="M102" s="26">
        <f t="shared" si="126"/>
        <v>4130.428571428572</v>
      </c>
      <c r="N102" s="45">
        <f t="shared" si="78"/>
        <v>0.3326841938027298</v>
      </c>
      <c r="O102" s="3">
        <v>3839.4755999999998</v>
      </c>
      <c r="P102" s="174">
        <v>11540.901766666666</v>
      </c>
      <c r="Q102" s="39">
        <f t="shared" si="79"/>
        <v>0.623381798126162</v>
      </c>
      <c r="R102" s="3">
        <v>3298.3717333333334</v>
      </c>
      <c r="S102" s="3">
        <v>5291.094066666667</v>
      </c>
      <c r="T102" s="39">
        <f t="shared" si="80"/>
        <v>0.9709050118937381</v>
      </c>
      <c r="U102" s="3">
        <v>8511.347133333333</v>
      </c>
      <c r="V102" s="3">
        <v>8766.4056</v>
      </c>
      <c r="W102" s="63">
        <f t="shared" si="127"/>
        <v>15649.194466666666</v>
      </c>
      <c r="X102" s="7">
        <f t="shared" si="138"/>
        <v>0.6113348330528499</v>
      </c>
      <c r="Y102" s="24">
        <f t="shared" si="128"/>
        <v>25598.401433333333</v>
      </c>
      <c r="Z102" s="25">
        <f t="shared" si="84"/>
        <v>0.009869108852925187</v>
      </c>
      <c r="AA102" s="3">
        <v>7.866666666666666</v>
      </c>
      <c r="AB102" s="3">
        <v>797.1</v>
      </c>
      <c r="AC102" s="39">
        <f t="shared" si="85"/>
        <v>0.3385853167951726</v>
      </c>
      <c r="AD102" s="3">
        <v>67.33333333333333</v>
      </c>
      <c r="AE102" s="3">
        <v>198.86666666666667</v>
      </c>
      <c r="AF102" s="39">
        <f t="shared" si="86"/>
        <v>0.955710102489019</v>
      </c>
      <c r="AG102" s="3">
        <v>348.1333333333333</v>
      </c>
      <c r="AH102" s="3">
        <v>364.26666666666665</v>
      </c>
      <c r="AI102" s="63">
        <f t="shared" si="129"/>
        <v>423.3333333333333</v>
      </c>
      <c r="AJ102" s="7">
        <f t="shared" si="139"/>
        <v>0.3112211140245546</v>
      </c>
      <c r="AK102" s="26">
        <f t="shared" si="130"/>
        <v>1360.2333333333333</v>
      </c>
      <c r="AL102" s="93">
        <f t="shared" si="131"/>
        <v>17827.67065714286</v>
      </c>
      <c r="AM102" s="7">
        <f t="shared" si="132"/>
        <v>0.5734386547213076</v>
      </c>
      <c r="AN102" s="3">
        <f t="shared" si="133"/>
        <v>31089.06333809524</v>
      </c>
      <c r="AO102" s="7">
        <f t="shared" si="134"/>
        <v>0.28804440216967797</v>
      </c>
      <c r="AP102" s="7">
        <f t="shared" si="135"/>
        <v>0.6033647796784367</v>
      </c>
      <c r="AQ102" s="94">
        <f t="shared" si="136"/>
        <v>0.9686130649968484</v>
      </c>
    </row>
    <row r="103" spans="1:43" ht="12.75">
      <c r="A103" s="177">
        <v>41699</v>
      </c>
      <c r="B103" s="25">
        <f t="shared" si="72"/>
        <v>0.14414252294403457</v>
      </c>
      <c r="C103" s="51">
        <v>343.2857142857143</v>
      </c>
      <c r="D103" s="3">
        <v>2381.5714285714284</v>
      </c>
      <c r="E103" s="39">
        <f t="shared" si="73"/>
        <v>0.5613767563446248</v>
      </c>
      <c r="F103" s="51">
        <v>736.2857142857143</v>
      </c>
      <c r="G103" s="3">
        <v>1311.5714285714287</v>
      </c>
      <c r="H103" s="39">
        <f t="shared" si="74"/>
        <v>0.9655293703833978</v>
      </c>
      <c r="I103" s="51">
        <v>784.2857142857143</v>
      </c>
      <c r="J103" s="3">
        <v>812.2857142857143</v>
      </c>
      <c r="K103" s="63">
        <f aca="true" t="shared" si="140" ref="K103:K108">SUM(C103+F103+I103)</f>
        <v>1863.8571428571431</v>
      </c>
      <c r="L103" s="7">
        <f t="shared" si="137"/>
        <v>0.41369141987443725</v>
      </c>
      <c r="M103" s="26">
        <f aca="true" t="shared" si="141" ref="M103:M108">SUM(J103+G103+D103)</f>
        <v>4505.428571428572</v>
      </c>
      <c r="N103" s="45">
        <f t="shared" si="78"/>
        <v>0.3283299467375517</v>
      </c>
      <c r="O103" s="3">
        <v>3948.9393225806452</v>
      </c>
      <c r="P103" s="174">
        <v>12027.35041935484</v>
      </c>
      <c r="Q103" s="39">
        <f t="shared" si="79"/>
        <v>0.6199379780569242</v>
      </c>
      <c r="R103" s="3">
        <v>3161.4227741935483</v>
      </c>
      <c r="S103" s="3">
        <v>5099.579129032258</v>
      </c>
      <c r="T103" s="39">
        <f t="shared" si="80"/>
        <v>0.9683714115555704</v>
      </c>
      <c r="U103" s="3">
        <v>7097.324774193548</v>
      </c>
      <c r="V103" s="3">
        <v>7329.134967741936</v>
      </c>
      <c r="W103" s="63">
        <f aca="true" t="shared" si="142" ref="W103:W108">+U103+O103+R103</f>
        <v>14207.686870967742</v>
      </c>
      <c r="X103" s="7">
        <f t="shared" si="138"/>
        <v>0.5809473908444108</v>
      </c>
      <c r="Y103" s="24">
        <f aca="true" t="shared" si="143" ref="Y103:Y108">+V103+S103+P103</f>
        <v>24456.064516129034</v>
      </c>
      <c r="Z103" s="25">
        <f t="shared" si="84"/>
        <v>0.009242695289206918</v>
      </c>
      <c r="AA103" s="3">
        <v>8</v>
      </c>
      <c r="AB103" s="3">
        <v>865.5483870967741</v>
      </c>
      <c r="AC103" s="39">
        <f t="shared" si="85"/>
        <v>0.45777233782129745</v>
      </c>
      <c r="AD103" s="3">
        <v>108.58064516129032</v>
      </c>
      <c r="AE103" s="3">
        <v>237.19354838709677</v>
      </c>
      <c r="AF103" s="39">
        <f t="shared" si="86"/>
        <v>0.9535622317596567</v>
      </c>
      <c r="AG103" s="3">
        <v>358.35483870967744</v>
      </c>
      <c r="AH103" s="3">
        <v>375.80645161290323</v>
      </c>
      <c r="AI103" s="63">
        <f aca="true" t="shared" si="144" ref="AI103:AI108">AG103+AD103+AA103</f>
        <v>474.93548387096774</v>
      </c>
      <c r="AJ103" s="7">
        <f t="shared" si="139"/>
        <v>0.32121741027599</v>
      </c>
      <c r="AK103" s="26">
        <f aca="true" t="shared" si="145" ref="AK103:AK108">+AH103+AE103+AB103</f>
        <v>1478.5483870967741</v>
      </c>
      <c r="AL103" s="93">
        <f aca="true" t="shared" si="146" ref="AL103:AL108">+AI103+W103+K103</f>
        <v>16546.47949769585</v>
      </c>
      <c r="AM103" s="7">
        <f t="shared" si="132"/>
        <v>0.5435761154094723</v>
      </c>
      <c r="AN103" s="3">
        <f aca="true" t="shared" si="147" ref="AN103:AN108">+AK103+Y103+M103</f>
        <v>30440.04147465438</v>
      </c>
      <c r="AO103" s="7">
        <f aca="true" t="shared" si="148" ref="AO103:AO108">(+AA103+O103+C103)/(D103+P103+AB103)</f>
        <v>0.28153022466247735</v>
      </c>
      <c r="AP103" s="7">
        <f aca="true" t="shared" si="149" ref="AP103:AP108">(+AD103+R103+F103)/(G103+S103+AE103)</f>
        <v>0.6025995450552131</v>
      </c>
      <c r="AQ103" s="94">
        <f aca="true" t="shared" si="150" ref="AQ103:AQ108">(AG103+U103+I103)/(AH103+V103+J103)</f>
        <v>0.967446939937</v>
      </c>
    </row>
    <row r="104" spans="1:43" ht="12.75">
      <c r="A104" s="177">
        <v>41671</v>
      </c>
      <c r="B104" s="25">
        <f t="shared" si="72"/>
        <v>0.14351581650519435</v>
      </c>
      <c r="C104" s="51">
        <v>351.2857142857143</v>
      </c>
      <c r="D104" s="3">
        <v>2447.714285714286</v>
      </c>
      <c r="E104" s="39">
        <f t="shared" si="73"/>
        <v>0.576803551609323</v>
      </c>
      <c r="F104" s="51">
        <v>742.4285714285714</v>
      </c>
      <c r="G104" s="3">
        <v>1287.142857142857</v>
      </c>
      <c r="H104" s="39">
        <f t="shared" si="74"/>
        <v>0.7939972714870396</v>
      </c>
      <c r="I104" s="51">
        <v>665.1428571428571</v>
      </c>
      <c r="J104" s="3">
        <v>837.7142857142857</v>
      </c>
      <c r="K104" s="63">
        <f t="shared" si="140"/>
        <v>1758.857142857143</v>
      </c>
      <c r="L104" s="7">
        <f t="shared" si="137"/>
        <v>0.3846538365408648</v>
      </c>
      <c r="M104" s="26">
        <f t="shared" si="141"/>
        <v>4572.571428571428</v>
      </c>
      <c r="N104" s="45">
        <f t="shared" si="78"/>
        <v>0.3308811018708604</v>
      </c>
      <c r="O104" s="3">
        <v>4833.815428571428</v>
      </c>
      <c r="P104" s="174">
        <v>14608.919642857143</v>
      </c>
      <c r="Q104" s="39">
        <f t="shared" si="79"/>
        <v>0.6118459465814441</v>
      </c>
      <c r="R104" s="3">
        <v>3737.2838571428574</v>
      </c>
      <c r="S104" s="3">
        <v>6108.210535714286</v>
      </c>
      <c r="T104" s="39">
        <f t="shared" si="80"/>
        <v>0.9694243641447023</v>
      </c>
      <c r="U104" s="3">
        <v>7573.045428571429</v>
      </c>
      <c r="V104" s="3">
        <v>7811.899214285714</v>
      </c>
      <c r="W104" s="63">
        <f t="shared" si="142"/>
        <v>16144.144714285714</v>
      </c>
      <c r="X104" s="7">
        <f t="shared" si="138"/>
        <v>0.5658848218063721</v>
      </c>
      <c r="Y104" s="24">
        <f t="shared" si="143"/>
        <v>28529.02939285714</v>
      </c>
      <c r="Z104" s="25">
        <f t="shared" si="84"/>
        <v>0.010163880152292666</v>
      </c>
      <c r="AA104" s="3">
        <v>10.964285714285714</v>
      </c>
      <c r="AB104" s="3">
        <v>1078.75</v>
      </c>
      <c r="AC104" s="39">
        <f t="shared" si="85"/>
        <v>0.5340835317030945</v>
      </c>
      <c r="AD104" s="3">
        <v>176.28571428571428</v>
      </c>
      <c r="AE104" s="3">
        <v>330.07142857142856</v>
      </c>
      <c r="AF104" s="39">
        <f t="shared" si="86"/>
        <v>0.9469589145080178</v>
      </c>
      <c r="AG104" s="3">
        <v>356.42857142857144</v>
      </c>
      <c r="AH104" s="3">
        <v>376.39285714285717</v>
      </c>
      <c r="AI104" s="63">
        <f t="shared" si="144"/>
        <v>543.6785714285714</v>
      </c>
      <c r="AJ104" s="7">
        <f t="shared" si="139"/>
        <v>0.3045452726763494</v>
      </c>
      <c r="AK104" s="26">
        <f t="shared" si="145"/>
        <v>1785.2142857142858</v>
      </c>
      <c r="AL104" s="93">
        <f t="shared" si="146"/>
        <v>18446.680428571428</v>
      </c>
      <c r="AM104" s="7">
        <f aca="true" t="shared" si="151" ref="AM104:AM110">AL104/AN104</f>
        <v>0.5287579382617413</v>
      </c>
      <c r="AN104" s="3">
        <f t="shared" si="147"/>
        <v>34886.81510714286</v>
      </c>
      <c r="AO104" s="7">
        <f t="shared" si="148"/>
        <v>0.28651532545640107</v>
      </c>
      <c r="AP104" s="7">
        <f t="shared" si="149"/>
        <v>0.6026850626961592</v>
      </c>
      <c r="AQ104" s="94">
        <f t="shared" si="150"/>
        <v>0.9522059388249141</v>
      </c>
    </row>
    <row r="105" spans="1:43" ht="12.75">
      <c r="A105" s="177">
        <v>41640</v>
      </c>
      <c r="B105" s="25">
        <f t="shared" si="72"/>
        <v>0.14622057001239158</v>
      </c>
      <c r="C105" s="51">
        <v>387.7142857142857</v>
      </c>
      <c r="D105" s="3">
        <v>2651.5714285714284</v>
      </c>
      <c r="E105" s="39">
        <f t="shared" si="73"/>
        <v>0.5745189807592304</v>
      </c>
      <c r="F105" s="51">
        <v>789.1428571428571</v>
      </c>
      <c r="G105" s="3">
        <v>1373.5714285714287</v>
      </c>
      <c r="H105" s="39">
        <f t="shared" si="74"/>
        <v>0.8037668161434977</v>
      </c>
      <c r="I105" s="51">
        <v>640.1428571428571</v>
      </c>
      <c r="J105" s="3">
        <v>796.4285714285714</v>
      </c>
      <c r="K105" s="63">
        <f t="shared" si="140"/>
        <v>1817</v>
      </c>
      <c r="L105" s="7">
        <f t="shared" si="137"/>
        <v>0.3768480933898255</v>
      </c>
      <c r="M105" s="26">
        <f t="shared" si="141"/>
        <v>4821.571428571428</v>
      </c>
      <c r="N105" s="45">
        <f t="shared" si="78"/>
        <v>0.3476025939471205</v>
      </c>
      <c r="O105" s="3">
        <v>5069.196451612903</v>
      </c>
      <c r="P105" s="174">
        <v>14583.310193548386</v>
      </c>
      <c r="Q105" s="39">
        <f t="shared" si="79"/>
        <v>0.6218328816104188</v>
      </c>
      <c r="R105" s="3">
        <v>3594.1994516129034</v>
      </c>
      <c r="S105" s="3">
        <v>5780.008677419355</v>
      </c>
      <c r="T105" s="39">
        <f t="shared" si="80"/>
        <v>0.9702450133210683</v>
      </c>
      <c r="U105" s="3">
        <v>7487.5236129032255</v>
      </c>
      <c r="V105" s="3">
        <v>7717.147225806451</v>
      </c>
      <c r="W105" s="63">
        <f t="shared" si="142"/>
        <v>16150.919516129032</v>
      </c>
      <c r="X105" s="7">
        <f t="shared" si="138"/>
        <v>0.5751656493331642</v>
      </c>
      <c r="Y105" s="24">
        <f t="shared" si="143"/>
        <v>28080.466096774195</v>
      </c>
      <c r="Z105" s="25">
        <f t="shared" si="84"/>
        <v>0.008377667706231271</v>
      </c>
      <c r="AA105" s="3">
        <v>8.838709677419354</v>
      </c>
      <c r="AB105" s="3">
        <v>1055.032258064516</v>
      </c>
      <c r="AC105" s="39">
        <f t="shared" si="85"/>
        <v>0.44954245043213015</v>
      </c>
      <c r="AD105" s="3">
        <v>114.09677419354838</v>
      </c>
      <c r="AE105" s="3">
        <v>253.80645161290323</v>
      </c>
      <c r="AF105" s="39">
        <f t="shared" si="86"/>
        <v>0.949311197456729</v>
      </c>
      <c r="AG105" s="3">
        <v>346.7741935483871</v>
      </c>
      <c r="AH105" s="3">
        <v>365.2903225806452</v>
      </c>
      <c r="AI105" s="63">
        <f t="shared" si="144"/>
        <v>469.7096774193548</v>
      </c>
      <c r="AJ105" s="7">
        <f t="shared" si="139"/>
        <v>0.2805695787891634</v>
      </c>
      <c r="AK105" s="26">
        <f t="shared" si="145"/>
        <v>1674.1290322580644</v>
      </c>
      <c r="AL105" s="93">
        <f t="shared" si="146"/>
        <v>18437.629193548386</v>
      </c>
      <c r="AM105" s="7">
        <f t="shared" si="151"/>
        <v>0.5332467716694794</v>
      </c>
      <c r="AN105" s="3">
        <f t="shared" si="147"/>
        <v>34576.16655760369</v>
      </c>
      <c r="AO105" s="7">
        <f t="shared" si="148"/>
        <v>0.29883953980375566</v>
      </c>
      <c r="AP105" s="7">
        <f t="shared" si="149"/>
        <v>0.6071559851743776</v>
      </c>
      <c r="AQ105" s="94">
        <f t="shared" si="150"/>
        <v>0.9544507766235365</v>
      </c>
    </row>
    <row r="106" spans="1:43" ht="12.75">
      <c r="A106" s="177">
        <v>41609</v>
      </c>
      <c r="B106" s="25">
        <f t="shared" si="72"/>
        <v>0.1679098382969456</v>
      </c>
      <c r="C106" s="51">
        <v>440.57142857142856</v>
      </c>
      <c r="D106" s="3">
        <v>2623.8571428571427</v>
      </c>
      <c r="E106" s="39">
        <f t="shared" si="73"/>
        <v>0.5849967098047817</v>
      </c>
      <c r="F106" s="51">
        <v>762</v>
      </c>
      <c r="G106" s="3">
        <v>1302.5714285714287</v>
      </c>
      <c r="H106" s="39">
        <f t="shared" si="74"/>
        <v>0.7699257825104872</v>
      </c>
      <c r="I106" s="51">
        <v>681.7142857142857</v>
      </c>
      <c r="J106" s="3">
        <v>885.4285714285714</v>
      </c>
      <c r="K106" s="63">
        <f t="shared" si="140"/>
        <v>1884.2857142857142</v>
      </c>
      <c r="L106" s="7">
        <f aca="true" t="shared" si="152" ref="L106:L111">K106/M106</f>
        <v>0.39159219784461</v>
      </c>
      <c r="M106" s="26">
        <f t="shared" si="141"/>
        <v>4811.857142857143</v>
      </c>
      <c r="N106" s="45">
        <f t="shared" si="78"/>
        <v>0.280142268429019</v>
      </c>
      <c r="O106" s="3">
        <v>3565.4545483870966</v>
      </c>
      <c r="P106" s="174">
        <v>12727.29948387097</v>
      </c>
      <c r="Q106" s="39">
        <f t="shared" si="79"/>
        <v>0.6244180777658913</v>
      </c>
      <c r="R106" s="3">
        <v>3368.5898387096777</v>
      </c>
      <c r="S106" s="3">
        <v>5394.766677419355</v>
      </c>
      <c r="T106" s="39">
        <f t="shared" si="80"/>
        <v>0.9704541821559477</v>
      </c>
      <c r="U106" s="3">
        <v>7579.909419354839</v>
      </c>
      <c r="V106" s="3">
        <v>7810.682419354839</v>
      </c>
      <c r="W106" s="63">
        <f t="shared" si="142"/>
        <v>14513.953806451613</v>
      </c>
      <c r="X106" s="7">
        <f aca="true" t="shared" si="153" ref="X106:X111">W106/Y106</f>
        <v>0.5596766482857147</v>
      </c>
      <c r="Y106" s="24">
        <f t="shared" si="143"/>
        <v>25932.748580645166</v>
      </c>
      <c r="Z106" s="25">
        <f t="shared" si="84"/>
        <v>0.0076989847907310265</v>
      </c>
      <c r="AA106" s="3">
        <v>6.580645161290323</v>
      </c>
      <c r="AB106" s="3">
        <v>854.741935483871</v>
      </c>
      <c r="AC106" s="39">
        <f t="shared" si="85"/>
        <v>0.44496244496244497</v>
      </c>
      <c r="AD106" s="3">
        <v>110.83870967741936</v>
      </c>
      <c r="AE106" s="3">
        <v>249.09677419354838</v>
      </c>
      <c r="AF106" s="39">
        <f t="shared" si="86"/>
        <v>0.9523551215984088</v>
      </c>
      <c r="AG106" s="3">
        <v>339.80645161290323</v>
      </c>
      <c r="AH106" s="3">
        <v>356.80645161290323</v>
      </c>
      <c r="AI106" s="63">
        <f t="shared" si="144"/>
        <v>457.22580645161287</v>
      </c>
      <c r="AJ106" s="7">
        <f aca="true" t="shared" si="154" ref="AJ106:AJ112">AI106/AK106</f>
        <v>0.31303003533568907</v>
      </c>
      <c r="AK106" s="26">
        <f t="shared" si="145"/>
        <v>1460.6451612903224</v>
      </c>
      <c r="AL106" s="93">
        <f t="shared" si="146"/>
        <v>16855.46532718894</v>
      </c>
      <c r="AM106" s="7">
        <f t="shared" si="151"/>
        <v>0.5233763086487278</v>
      </c>
      <c r="AN106" s="3">
        <f t="shared" si="147"/>
        <v>32205.25088479263</v>
      </c>
      <c r="AO106" s="7">
        <f t="shared" si="148"/>
        <v>0.24760161287669596</v>
      </c>
      <c r="AP106" s="7">
        <f t="shared" si="149"/>
        <v>0.6105907017837826</v>
      </c>
      <c r="AQ106" s="94">
        <f t="shared" si="150"/>
        <v>0.9501279793406824</v>
      </c>
    </row>
    <row r="107" spans="1:43" ht="12.75">
      <c r="A107" s="177">
        <v>41579</v>
      </c>
      <c r="B107" s="25">
        <f t="shared" si="72"/>
        <v>0.1803109437629054</v>
      </c>
      <c r="C107" s="51">
        <v>424.14285714285717</v>
      </c>
      <c r="D107" s="3">
        <v>2352.285714285714</v>
      </c>
      <c r="E107" s="39">
        <f t="shared" si="73"/>
        <v>0.6158723665371242</v>
      </c>
      <c r="F107" s="51">
        <v>860.2857142857143</v>
      </c>
      <c r="G107" s="3">
        <v>1396.857142857143</v>
      </c>
      <c r="H107" s="39">
        <f t="shared" si="74"/>
        <v>0.9712622088655146</v>
      </c>
      <c r="I107" s="51">
        <v>738.7142857142857</v>
      </c>
      <c r="J107" s="3">
        <v>760.5714285714286</v>
      </c>
      <c r="K107" s="63">
        <f t="shared" si="140"/>
        <v>2023.1428571428573</v>
      </c>
      <c r="L107" s="7">
        <f t="shared" si="152"/>
        <v>0.44861885453623923</v>
      </c>
      <c r="M107" s="26">
        <f t="shared" si="141"/>
        <v>4509.714285714286</v>
      </c>
      <c r="N107" s="45">
        <f t="shared" si="78"/>
        <v>0.37499302389993255</v>
      </c>
      <c r="O107" s="3">
        <v>3943.5251</v>
      </c>
      <c r="P107" s="174">
        <v>10516.262566666668</v>
      </c>
      <c r="Q107" s="39">
        <f t="shared" si="79"/>
        <v>0.6322254427498348</v>
      </c>
      <c r="R107" s="3">
        <v>3268.6531666666665</v>
      </c>
      <c r="S107" s="3">
        <v>5170.075333333333</v>
      </c>
      <c r="T107" s="39">
        <f t="shared" si="80"/>
        <v>0.9715287831377409</v>
      </c>
      <c r="U107" s="3">
        <v>7760.030033333333</v>
      </c>
      <c r="V107" s="3">
        <v>7987.442233333333</v>
      </c>
      <c r="W107" s="63">
        <f t="shared" si="142"/>
        <v>14972.2083</v>
      </c>
      <c r="X107" s="7">
        <f t="shared" si="153"/>
        <v>0.6324384283234395</v>
      </c>
      <c r="Y107" s="24">
        <f t="shared" si="143"/>
        <v>23673.780133333334</v>
      </c>
      <c r="Z107" s="25">
        <f t="shared" si="84"/>
        <v>0.007788414733084537</v>
      </c>
      <c r="AA107" s="3">
        <v>6.4</v>
      </c>
      <c r="AB107" s="3">
        <v>821.7333333333333</v>
      </c>
      <c r="AC107" s="39">
        <f t="shared" si="85"/>
        <v>0.46357334842269066</v>
      </c>
      <c r="AD107" s="3">
        <v>109.23333333333333</v>
      </c>
      <c r="AE107" s="3">
        <v>235.63333333333333</v>
      </c>
      <c r="AF107" s="39">
        <f t="shared" si="86"/>
        <v>0.9553839983958292</v>
      </c>
      <c r="AG107" s="3">
        <v>317.6333333333333</v>
      </c>
      <c r="AH107" s="3">
        <v>332.46666666666664</v>
      </c>
      <c r="AI107" s="63">
        <f t="shared" si="144"/>
        <v>433.26666666666665</v>
      </c>
      <c r="AJ107" s="7">
        <f t="shared" si="154"/>
        <v>0.31174001678858376</v>
      </c>
      <c r="AK107" s="26">
        <f t="shared" si="145"/>
        <v>1389.8333333333333</v>
      </c>
      <c r="AL107" s="93">
        <f t="shared" si="146"/>
        <v>17428.617823809524</v>
      </c>
      <c r="AM107" s="7">
        <f t="shared" si="151"/>
        <v>0.5893357003899009</v>
      </c>
      <c r="AN107" s="3">
        <f t="shared" si="147"/>
        <v>29573.327752380952</v>
      </c>
      <c r="AO107" s="7">
        <f t="shared" si="148"/>
        <v>0.3195016786636841</v>
      </c>
      <c r="AP107" s="7">
        <f t="shared" si="149"/>
        <v>0.6230255366809003</v>
      </c>
      <c r="AQ107" s="94">
        <f t="shared" si="150"/>
        <v>0.9709153407491575</v>
      </c>
    </row>
    <row r="108" spans="1:43" ht="12.75">
      <c r="A108" s="177">
        <v>41548</v>
      </c>
      <c r="B108" s="25">
        <f t="shared" si="72"/>
        <v>0.17975840679072805</v>
      </c>
      <c r="C108" s="51">
        <v>393.2857142857143</v>
      </c>
      <c r="D108" s="3">
        <v>2187.8571428571427</v>
      </c>
      <c r="E108" s="39">
        <f t="shared" si="73"/>
        <v>0.6061754542414446</v>
      </c>
      <c r="F108" s="51">
        <v>776.8571428571429</v>
      </c>
      <c r="G108" s="3">
        <v>1281.5714285714287</v>
      </c>
      <c r="H108" s="39">
        <f t="shared" si="74"/>
        <v>0.942682460833015</v>
      </c>
      <c r="I108" s="51">
        <v>352.42857142857144</v>
      </c>
      <c r="J108" s="3">
        <v>373.85714285714283</v>
      </c>
      <c r="K108" s="63">
        <f t="shared" si="140"/>
        <v>1522.5714285714284</v>
      </c>
      <c r="L108" s="7">
        <f t="shared" si="152"/>
        <v>0.396163996580307</v>
      </c>
      <c r="M108" s="26">
        <f t="shared" si="141"/>
        <v>3843.285714285714</v>
      </c>
      <c r="N108" s="45">
        <f t="shared" si="78"/>
        <v>0.3780551859077269</v>
      </c>
      <c r="O108" s="3">
        <v>3469.430709677419</v>
      </c>
      <c r="P108" s="174">
        <v>9177.048322580646</v>
      </c>
      <c r="Q108" s="39">
        <f t="shared" si="79"/>
        <v>0.6274223252399106</v>
      </c>
      <c r="R108" s="3">
        <v>3176.0974838709676</v>
      </c>
      <c r="S108" s="3">
        <v>5062.136548387097</v>
      </c>
      <c r="T108" s="39">
        <f t="shared" si="80"/>
        <v>0.9712100074891474</v>
      </c>
      <c r="U108" s="3">
        <v>7474.428677419354</v>
      </c>
      <c r="V108" s="3">
        <v>7695.9963548387095</v>
      </c>
      <c r="W108" s="63">
        <f t="shared" si="142"/>
        <v>14119.956870967742</v>
      </c>
      <c r="X108" s="7">
        <f t="shared" si="153"/>
        <v>0.6437127975198034</v>
      </c>
      <c r="Y108" s="24">
        <f t="shared" si="143"/>
        <v>21935.181225806453</v>
      </c>
      <c r="Z108" s="25">
        <f t="shared" si="84"/>
        <v>0.008765522279035792</v>
      </c>
      <c r="AA108" s="3">
        <v>6.193548387096774</v>
      </c>
      <c r="AB108" s="3">
        <v>706.5806451612904</v>
      </c>
      <c r="AC108" s="39">
        <f t="shared" si="85"/>
        <v>0.4685093509350935</v>
      </c>
      <c r="AD108" s="3">
        <v>109.90322580645162</v>
      </c>
      <c r="AE108" s="3">
        <v>234.58064516129033</v>
      </c>
      <c r="AF108" s="39">
        <f t="shared" si="86"/>
        <v>0.9518479033404407</v>
      </c>
      <c r="AG108" s="3">
        <v>345.61290322580646</v>
      </c>
      <c r="AH108" s="3">
        <v>363.0967741935484</v>
      </c>
      <c r="AI108" s="63">
        <f t="shared" si="144"/>
        <v>461.7096774193548</v>
      </c>
      <c r="AJ108" s="7">
        <f t="shared" si="154"/>
        <v>0.35400178076770866</v>
      </c>
      <c r="AK108" s="26">
        <f t="shared" si="145"/>
        <v>1304.2580645161293</v>
      </c>
      <c r="AL108" s="93">
        <f t="shared" si="146"/>
        <v>16104.237976958524</v>
      </c>
      <c r="AM108" s="7">
        <f t="shared" si="151"/>
        <v>0.5946313738450724</v>
      </c>
      <c r="AN108" s="3">
        <f t="shared" si="147"/>
        <v>27082.725004608295</v>
      </c>
      <c r="AO108" s="7">
        <f t="shared" si="148"/>
        <v>0.32049989014635294</v>
      </c>
      <c r="AP108" s="7">
        <f t="shared" si="149"/>
        <v>0.6176162351516479</v>
      </c>
      <c r="AQ108" s="94">
        <f t="shared" si="150"/>
        <v>0.9691116262497174</v>
      </c>
    </row>
    <row r="109" spans="1:43" ht="12.75">
      <c r="A109" s="177">
        <v>41518</v>
      </c>
      <c r="B109" s="25">
        <f t="shared" si="72"/>
        <v>0.1798678695744832</v>
      </c>
      <c r="C109" s="51">
        <v>361.7142857142857</v>
      </c>
      <c r="D109" s="3">
        <v>2011</v>
      </c>
      <c r="E109" s="39">
        <f t="shared" si="73"/>
        <v>0.5968357271095153</v>
      </c>
      <c r="F109" s="51">
        <v>759.8571428571429</v>
      </c>
      <c r="G109" s="3">
        <v>1273.142857142857</v>
      </c>
      <c r="H109" s="39">
        <f t="shared" si="74"/>
        <v>0.9135055591890124</v>
      </c>
      <c r="I109" s="51">
        <v>798.1428571428571</v>
      </c>
      <c r="J109" s="3">
        <v>873.7142857142857</v>
      </c>
      <c r="K109" s="63">
        <f aca="true" t="shared" si="155" ref="K109:K114">SUM(C109+F109+I109)</f>
        <v>1919.7142857142858</v>
      </c>
      <c r="L109" s="7">
        <f t="shared" si="152"/>
        <v>0.461707610376224</v>
      </c>
      <c r="M109" s="26">
        <f aca="true" t="shared" si="156" ref="M109:M114">SUM(J109+G109+D109)</f>
        <v>4157.857142857143</v>
      </c>
      <c r="N109" s="45">
        <f t="shared" si="78"/>
        <v>0.37734191596967465</v>
      </c>
      <c r="O109" s="3">
        <v>4487.0335000000005</v>
      </c>
      <c r="P109" s="174">
        <v>11891.161066666667</v>
      </c>
      <c r="Q109" s="39">
        <f t="shared" si="79"/>
        <v>0.6095805190879005</v>
      </c>
      <c r="R109" s="3">
        <v>3896.2212</v>
      </c>
      <c r="S109" s="3">
        <v>6391.643233333333</v>
      </c>
      <c r="T109" s="39">
        <f t="shared" si="80"/>
        <v>0.9611050260499938</v>
      </c>
      <c r="U109" s="3">
        <v>8509.784533333333</v>
      </c>
      <c r="V109" s="3">
        <v>8854.167133333334</v>
      </c>
      <c r="W109" s="63">
        <f aca="true" t="shared" si="157" ref="W109:W114">+U109+O109+R109</f>
        <v>16893.039233333333</v>
      </c>
      <c r="X109" s="7">
        <f t="shared" si="153"/>
        <v>0.6225101159439993</v>
      </c>
      <c r="Y109" s="24">
        <f aca="true" t="shared" si="158" ref="Y109:Y114">+V109+S109+P109</f>
        <v>27136.971433333336</v>
      </c>
      <c r="Z109" s="25">
        <f t="shared" si="84"/>
        <v>0.009811429118407197</v>
      </c>
      <c r="AA109" s="3">
        <v>6.833333333333333</v>
      </c>
      <c r="AB109" s="3">
        <v>696.4666666666667</v>
      </c>
      <c r="AC109" s="39">
        <f t="shared" si="85"/>
        <v>0.46601682467619177</v>
      </c>
      <c r="AD109" s="3">
        <v>116.33333333333333</v>
      </c>
      <c r="AE109" s="3">
        <v>249.63333333333333</v>
      </c>
      <c r="AF109" s="39">
        <f t="shared" si="86"/>
        <v>0.9437168524732115</v>
      </c>
      <c r="AG109" s="3">
        <v>290.6333333333333</v>
      </c>
      <c r="AH109" s="3">
        <v>307.96666666666664</v>
      </c>
      <c r="AI109" s="63">
        <f aca="true" t="shared" si="159" ref="AI109:AI114">AG109+AD109+AA109</f>
        <v>413.79999999999995</v>
      </c>
      <c r="AJ109" s="7">
        <f t="shared" si="154"/>
        <v>0.32996650895752483</v>
      </c>
      <c r="AK109" s="26">
        <f aca="true" t="shared" si="160" ref="AK109:AK114">+AH109+AE109+AB109</f>
        <v>1254.0666666666666</v>
      </c>
      <c r="AL109" s="93">
        <f aca="true" t="shared" si="161" ref="AL109:AL114">+AI109+W109+K109</f>
        <v>19226.55351904762</v>
      </c>
      <c r="AM109" s="7">
        <f t="shared" si="151"/>
        <v>0.590697575926694</v>
      </c>
      <c r="AN109" s="3">
        <f aca="true" t="shared" si="162" ref="AN109:AN114">+AK109+Y109+M109</f>
        <v>32548.895242857143</v>
      </c>
      <c r="AO109" s="7">
        <f aca="true" t="shared" si="163" ref="AO109:AO114">(+AA109+O109+C109)/(D109+P109+AB109)</f>
        <v>0.3326053111115899</v>
      </c>
      <c r="AP109" s="7">
        <f aca="true" t="shared" si="164" ref="AP109:AP114">(+AD109+R109+F109)/(G109+S109+AE109)</f>
        <v>0.6030021181128312</v>
      </c>
      <c r="AQ109" s="94">
        <f aca="true" t="shared" si="165" ref="AQ109:AQ114">(AG109+U109+I109)/(AH109+V109+J109)</f>
        <v>0.9564274630135914</v>
      </c>
    </row>
    <row r="110" spans="1:43" ht="12.75">
      <c r="A110" s="177">
        <v>41487</v>
      </c>
      <c r="B110" s="25">
        <f t="shared" si="72"/>
        <v>0.1768258161917343</v>
      </c>
      <c r="C110" s="51">
        <v>401.57142857142856</v>
      </c>
      <c r="D110" s="3">
        <v>2271</v>
      </c>
      <c r="E110" s="39">
        <f t="shared" si="73"/>
        <v>0.6009925034315278</v>
      </c>
      <c r="F110" s="51">
        <v>813.1428571428571</v>
      </c>
      <c r="G110" s="3">
        <v>1353</v>
      </c>
      <c r="H110" s="39">
        <f t="shared" si="74"/>
        <v>0.9692911255411255</v>
      </c>
      <c r="I110" s="51">
        <v>1023.5714285714286</v>
      </c>
      <c r="J110" s="3">
        <v>1056</v>
      </c>
      <c r="K110" s="63">
        <f t="shared" si="155"/>
        <v>2238.285714285714</v>
      </c>
      <c r="L110" s="7">
        <f t="shared" si="152"/>
        <v>0.47826617826617823</v>
      </c>
      <c r="M110" s="26">
        <f t="shared" si="156"/>
        <v>4680</v>
      </c>
      <c r="N110" s="45">
        <f t="shared" si="78"/>
        <v>0.3749613620069089</v>
      </c>
      <c r="O110" s="3">
        <v>4526.627967741935</v>
      </c>
      <c r="P110" s="174">
        <v>12072.251774193548</v>
      </c>
      <c r="Q110" s="39">
        <f t="shared" si="79"/>
        <v>0.6038528958610617</v>
      </c>
      <c r="R110" s="3">
        <v>3708.928806451613</v>
      </c>
      <c r="S110" s="3">
        <v>6142.106516129033</v>
      </c>
      <c r="T110" s="39">
        <f t="shared" si="80"/>
        <v>0.9605954162981095</v>
      </c>
      <c r="U110" s="3">
        <v>8158.9494516129025</v>
      </c>
      <c r="V110" s="3">
        <v>8493.63770967742</v>
      </c>
      <c r="W110" s="63">
        <f t="shared" si="157"/>
        <v>16394.50622580645</v>
      </c>
      <c r="X110" s="7">
        <f t="shared" si="153"/>
        <v>0.6138426194839347</v>
      </c>
      <c r="Y110" s="24">
        <f t="shared" si="158"/>
        <v>26707.996</v>
      </c>
      <c r="Z110" s="25">
        <f t="shared" si="84"/>
        <v>0.008721192950745594</v>
      </c>
      <c r="AA110" s="3">
        <v>6.225806451612903</v>
      </c>
      <c r="AB110" s="3">
        <v>713.8709677419355</v>
      </c>
      <c r="AC110" s="39">
        <f t="shared" si="85"/>
        <v>0.4515948517067711</v>
      </c>
      <c r="AD110" s="3">
        <v>104.12903225806451</v>
      </c>
      <c r="AE110" s="3">
        <v>230.58064516129033</v>
      </c>
      <c r="AF110" s="39">
        <f t="shared" si="86"/>
        <v>0.9465505944023214</v>
      </c>
      <c r="AG110" s="3">
        <v>326.19354838709677</v>
      </c>
      <c r="AH110" s="3">
        <v>344.61290322580646</v>
      </c>
      <c r="AI110" s="63">
        <f t="shared" si="159"/>
        <v>436.5483870967742</v>
      </c>
      <c r="AJ110" s="7">
        <f t="shared" si="154"/>
        <v>0.3386551888090889</v>
      </c>
      <c r="AK110" s="26">
        <f t="shared" si="160"/>
        <v>1289.0645161290322</v>
      </c>
      <c r="AL110" s="93">
        <f t="shared" si="161"/>
        <v>19069.340327188936</v>
      </c>
      <c r="AM110" s="7">
        <f t="shared" si="151"/>
        <v>0.5835696364970321</v>
      </c>
      <c r="AN110" s="3">
        <f t="shared" si="162"/>
        <v>32677.06051612903</v>
      </c>
      <c r="AO110" s="7">
        <f t="shared" si="163"/>
        <v>0.3277136865612541</v>
      </c>
      <c r="AP110" s="7">
        <f t="shared" si="164"/>
        <v>0.5988076658128465</v>
      </c>
      <c r="AQ110" s="94">
        <f t="shared" si="165"/>
        <v>0.9610343219092294</v>
      </c>
    </row>
    <row r="111" spans="1:43" ht="12.75">
      <c r="A111" s="177">
        <v>41456</v>
      </c>
      <c r="B111" s="25">
        <f t="shared" si="72"/>
        <v>0.17947600970813368</v>
      </c>
      <c r="C111" s="51">
        <v>412</v>
      </c>
      <c r="D111" s="3">
        <v>2295.5714285714284</v>
      </c>
      <c r="E111" s="39">
        <f t="shared" si="73"/>
        <v>0.6077612548380525</v>
      </c>
      <c r="F111" s="51">
        <v>852.4285714285714</v>
      </c>
      <c r="G111" s="3">
        <v>1402.5714285714287</v>
      </c>
      <c r="H111" s="39">
        <f t="shared" si="74"/>
        <v>0.9380370872908187</v>
      </c>
      <c r="I111" s="51">
        <v>888.8571428571429</v>
      </c>
      <c r="J111" s="3">
        <v>947.5714285714286</v>
      </c>
      <c r="K111" s="63">
        <f t="shared" si="155"/>
        <v>2153.2857142857147</v>
      </c>
      <c r="L111" s="7">
        <f t="shared" si="152"/>
        <v>0.46349938499384996</v>
      </c>
      <c r="M111" s="26">
        <f t="shared" si="156"/>
        <v>4645.714285714286</v>
      </c>
      <c r="N111" s="45">
        <f t="shared" si="78"/>
        <v>0.3851556217861262</v>
      </c>
      <c r="O111" s="3">
        <v>4431.274258064516</v>
      </c>
      <c r="P111" s="174">
        <v>11505.152741935484</v>
      </c>
      <c r="Q111" s="39">
        <f t="shared" si="79"/>
        <v>0.6081257678932624</v>
      </c>
      <c r="R111" s="3">
        <v>3496.161806451613</v>
      </c>
      <c r="S111" s="3">
        <v>5749.076903225807</v>
      </c>
      <c r="T111" s="39">
        <f t="shared" si="80"/>
        <v>0.9631089503368083</v>
      </c>
      <c r="U111" s="3">
        <v>7247.989741935484</v>
      </c>
      <c r="V111" s="3">
        <v>7525.617677419355</v>
      </c>
      <c r="W111" s="63">
        <f t="shared" si="157"/>
        <v>15175.425806451613</v>
      </c>
      <c r="X111" s="7">
        <f t="shared" si="153"/>
        <v>0.6124099801302246</v>
      </c>
      <c r="Y111" s="24">
        <f t="shared" si="158"/>
        <v>24779.847322580645</v>
      </c>
      <c r="Z111" s="25">
        <f t="shared" si="84"/>
        <v>0.00883861513097637</v>
      </c>
      <c r="AA111" s="3">
        <v>6.225806451612903</v>
      </c>
      <c r="AB111" s="3">
        <v>704.3870967741935</v>
      </c>
      <c r="AC111" s="39">
        <f t="shared" si="85"/>
        <v>0.47474619289340103</v>
      </c>
      <c r="AD111" s="3">
        <v>120.6774193548387</v>
      </c>
      <c r="AE111" s="3">
        <v>254.19354838709677</v>
      </c>
      <c r="AF111" s="39">
        <f t="shared" si="86"/>
        <v>0.9552712912087912</v>
      </c>
      <c r="AG111" s="3">
        <v>358.93548387096774</v>
      </c>
      <c r="AH111" s="3">
        <v>375.741935483871</v>
      </c>
      <c r="AI111" s="63">
        <f t="shared" si="159"/>
        <v>485.8387096774194</v>
      </c>
      <c r="AJ111" s="7">
        <f t="shared" si="154"/>
        <v>0.36410888695483995</v>
      </c>
      <c r="AK111" s="26">
        <f t="shared" si="160"/>
        <v>1334.3225806451615</v>
      </c>
      <c r="AL111" s="93">
        <f t="shared" si="161"/>
        <v>17814.550230414745</v>
      </c>
      <c r="AM111" s="7">
        <f aca="true" t="shared" si="166" ref="AM111:AM117">AL111/AN111</f>
        <v>0.579148806965277</v>
      </c>
      <c r="AN111" s="3">
        <f t="shared" si="162"/>
        <v>30759.884188940094</v>
      </c>
      <c r="AO111" s="7">
        <f t="shared" si="163"/>
        <v>0.33433042843697797</v>
      </c>
      <c r="AP111" s="7">
        <f t="shared" si="164"/>
        <v>0.6034786955407941</v>
      </c>
      <c r="AQ111" s="94">
        <f t="shared" si="165"/>
        <v>0.9600913747484455</v>
      </c>
    </row>
    <row r="112" spans="1:43" ht="12.75">
      <c r="A112" s="177">
        <v>41426</v>
      </c>
      <c r="B112" s="25">
        <f t="shared" si="72"/>
        <v>0.18367215230719589</v>
      </c>
      <c r="C112" s="51">
        <v>406.57142857142856</v>
      </c>
      <c r="D112" s="3">
        <v>2213.5714285714284</v>
      </c>
      <c r="E112" s="39">
        <f t="shared" si="73"/>
        <v>0.6197848597567105</v>
      </c>
      <c r="F112" s="51">
        <v>880.7142857142857</v>
      </c>
      <c r="G112" s="3">
        <v>1421</v>
      </c>
      <c r="H112" s="39">
        <f t="shared" si="74"/>
        <v>0.9675210953669797</v>
      </c>
      <c r="I112" s="51">
        <v>868.1428571428571</v>
      </c>
      <c r="J112" s="3">
        <v>897.2857142857143</v>
      </c>
      <c r="K112" s="63">
        <f t="shared" si="155"/>
        <v>2155.4285714285716</v>
      </c>
      <c r="L112" s="7">
        <f aca="true" t="shared" si="167" ref="L112:L118">K112/M112</f>
        <v>0.47561706017715855</v>
      </c>
      <c r="M112" s="26">
        <f t="shared" si="156"/>
        <v>4531.857142857143</v>
      </c>
      <c r="N112" s="45">
        <f t="shared" si="78"/>
        <v>0.40006194861423333</v>
      </c>
      <c r="O112" s="3">
        <v>4345.607333333333</v>
      </c>
      <c r="P112" s="174">
        <v>10862.336066666667</v>
      </c>
      <c r="Q112" s="39">
        <f t="shared" si="79"/>
        <v>0.6248973462690925</v>
      </c>
      <c r="R112" s="3">
        <v>3598.8883</v>
      </c>
      <c r="S112" s="3">
        <v>5759.1672</v>
      </c>
      <c r="T112" s="39">
        <f t="shared" si="80"/>
        <v>0.9709338518305243</v>
      </c>
      <c r="U112" s="3">
        <v>7880.051533333333</v>
      </c>
      <c r="V112" s="3">
        <v>8115.950966666666</v>
      </c>
      <c r="W112" s="63">
        <f t="shared" si="157"/>
        <v>15824.547166666667</v>
      </c>
      <c r="X112" s="7">
        <f aca="true" t="shared" si="168" ref="X112:X118">W112/Y112</f>
        <v>0.6396999067649951</v>
      </c>
      <c r="Y112" s="24">
        <f t="shared" si="158"/>
        <v>24737.454233333334</v>
      </c>
      <c r="Z112" s="25">
        <f t="shared" si="84"/>
        <v>0.009206042419002086</v>
      </c>
      <c r="AA112" s="3">
        <v>6.033333333333333</v>
      </c>
      <c r="AB112" s="3">
        <v>655.3666666666667</v>
      </c>
      <c r="AC112" s="39">
        <f t="shared" si="85"/>
        <v>0.4545849002024877</v>
      </c>
      <c r="AD112" s="3">
        <v>104.76666666666667</v>
      </c>
      <c r="AE112" s="3">
        <v>230.46666666666667</v>
      </c>
      <c r="AF112" s="39">
        <f t="shared" si="86"/>
        <v>0.9814777121921431</v>
      </c>
      <c r="AG112" s="3">
        <v>321.46666666666664</v>
      </c>
      <c r="AH112" s="3">
        <v>327.53333333333336</v>
      </c>
      <c r="AI112" s="63">
        <f t="shared" si="159"/>
        <v>432.26666666666665</v>
      </c>
      <c r="AJ112" s="7">
        <f t="shared" si="154"/>
        <v>0.35625394906733326</v>
      </c>
      <c r="AK112" s="26">
        <f t="shared" si="160"/>
        <v>1213.3666666666668</v>
      </c>
      <c r="AL112" s="93">
        <f t="shared" si="161"/>
        <v>18412.242404761906</v>
      </c>
      <c r="AM112" s="7">
        <f t="shared" si="166"/>
        <v>0.604023123521995</v>
      </c>
      <c r="AN112" s="3">
        <f t="shared" si="162"/>
        <v>30482.678042857144</v>
      </c>
      <c r="AO112" s="7">
        <f t="shared" si="163"/>
        <v>0.3465237121576816</v>
      </c>
      <c r="AP112" s="7">
        <f t="shared" si="164"/>
        <v>0.6186203953485858</v>
      </c>
      <c r="AQ112" s="94">
        <f t="shared" si="165"/>
        <v>0.9709757378965306</v>
      </c>
    </row>
    <row r="113" spans="1:43" ht="12.75">
      <c r="A113" s="177">
        <v>41395</v>
      </c>
      <c r="B113" s="25">
        <f t="shared" si="72"/>
        <v>0.18232403526521174</v>
      </c>
      <c r="C113" s="51">
        <v>360.42857142857144</v>
      </c>
      <c r="D113" s="3">
        <v>1976.857142857143</v>
      </c>
      <c r="E113" s="39">
        <f t="shared" si="73"/>
        <v>0.6195375862486382</v>
      </c>
      <c r="F113" s="51">
        <v>731.1428571428571</v>
      </c>
      <c r="G113" s="3">
        <v>1180.142857142857</v>
      </c>
      <c r="H113" s="39">
        <f t="shared" si="74"/>
        <v>0.9561747409689162</v>
      </c>
      <c r="I113" s="51">
        <v>975.5714285714286</v>
      </c>
      <c r="J113" s="3">
        <v>1020.2857142857143</v>
      </c>
      <c r="K113" s="63">
        <f t="shared" si="155"/>
        <v>2067.142857142857</v>
      </c>
      <c r="L113" s="7">
        <f t="shared" si="167"/>
        <v>0.4948531171984541</v>
      </c>
      <c r="M113" s="26">
        <f t="shared" si="156"/>
        <v>4177.285714285715</v>
      </c>
      <c r="N113" s="45">
        <f t="shared" si="78"/>
        <v>0.40053758834975955</v>
      </c>
      <c r="O113" s="3">
        <v>3803.6513548387097</v>
      </c>
      <c r="P113" s="174">
        <v>9496.365548387097</v>
      </c>
      <c r="Q113" s="39">
        <f t="shared" si="79"/>
        <v>0.6334122747215243</v>
      </c>
      <c r="R113" s="3">
        <v>3124.332709677419</v>
      </c>
      <c r="S113" s="3">
        <v>4932.542096774194</v>
      </c>
      <c r="T113" s="39">
        <f t="shared" si="80"/>
        <v>0.9763137104437901</v>
      </c>
      <c r="U113" s="3">
        <v>7738.483903225806</v>
      </c>
      <c r="V113" s="3">
        <v>7926.226806451612</v>
      </c>
      <c r="W113" s="63">
        <f t="shared" si="157"/>
        <v>14666.467967741935</v>
      </c>
      <c r="X113" s="7">
        <f t="shared" si="168"/>
        <v>0.656067088278405</v>
      </c>
      <c r="Y113" s="24">
        <f t="shared" si="158"/>
        <v>22355.134451612903</v>
      </c>
      <c r="Z113" s="25">
        <f t="shared" si="84"/>
        <v>0.008809963099630997</v>
      </c>
      <c r="AA113" s="3">
        <v>6.161290322580645</v>
      </c>
      <c r="AB113" s="3">
        <v>699.3548387096774</v>
      </c>
      <c r="AC113" s="39">
        <f t="shared" si="85"/>
        <v>0.46675066498670026</v>
      </c>
      <c r="AD113" s="3">
        <v>107.54838709677419</v>
      </c>
      <c r="AE113" s="3">
        <v>230.41935483870967</v>
      </c>
      <c r="AF113" s="39">
        <f t="shared" si="86"/>
        <v>0.9422883754908228</v>
      </c>
      <c r="AG113" s="3">
        <v>332.8709677419355</v>
      </c>
      <c r="AH113" s="3">
        <v>353.258064516129</v>
      </c>
      <c r="AI113" s="63">
        <f t="shared" si="159"/>
        <v>446.58064516129036</v>
      </c>
      <c r="AJ113" s="7">
        <f aca="true" t="shared" si="169" ref="AJ113:AJ119">AI113/AK113</f>
        <v>0.34806657615527736</v>
      </c>
      <c r="AK113" s="26">
        <f t="shared" si="160"/>
        <v>1283.032258064516</v>
      </c>
      <c r="AL113" s="93">
        <f t="shared" si="161"/>
        <v>17180.191470046084</v>
      </c>
      <c r="AM113" s="7">
        <f t="shared" si="166"/>
        <v>0.6176491832016824</v>
      </c>
      <c r="AN113" s="3">
        <f t="shared" si="162"/>
        <v>27815.452423963132</v>
      </c>
      <c r="AO113" s="7">
        <f t="shared" si="163"/>
        <v>0.34259311196234776</v>
      </c>
      <c r="AP113" s="7">
        <f t="shared" si="164"/>
        <v>0.6247767277682404</v>
      </c>
      <c r="AQ113" s="94">
        <f t="shared" si="165"/>
        <v>0.9728117717102381</v>
      </c>
    </row>
    <row r="114" spans="1:43" ht="12.75">
      <c r="A114" s="177">
        <v>41365</v>
      </c>
      <c r="B114" s="25">
        <f t="shared" si="72"/>
        <v>0.18038639227215456</v>
      </c>
      <c r="C114" s="51">
        <v>368.14285714285717</v>
      </c>
      <c r="D114" s="3">
        <v>2040.857142857143</v>
      </c>
      <c r="E114" s="39">
        <f t="shared" si="73"/>
        <v>0.6226255293405928</v>
      </c>
      <c r="F114" s="51">
        <v>735.1428571428571</v>
      </c>
      <c r="G114" s="3">
        <v>1180.7142857142858</v>
      </c>
      <c r="H114" s="39">
        <f t="shared" si="74"/>
        <v>0.8438837920489296</v>
      </c>
      <c r="I114" s="51">
        <v>788.4285714285714</v>
      </c>
      <c r="J114" s="3">
        <v>934.2857142857143</v>
      </c>
      <c r="K114" s="63">
        <f t="shared" si="155"/>
        <v>1891.7142857142858</v>
      </c>
      <c r="L114" s="7">
        <f t="shared" si="167"/>
        <v>0.4551923275239765</v>
      </c>
      <c r="M114" s="26">
        <f t="shared" si="156"/>
        <v>4155.857142857143</v>
      </c>
      <c r="N114" s="45">
        <f t="shared" si="78"/>
        <v>0.3938249445322962</v>
      </c>
      <c r="O114" s="3">
        <v>4376.0257</v>
      </c>
      <c r="P114" s="174">
        <v>11111.601133333334</v>
      </c>
      <c r="Q114" s="39">
        <f t="shared" si="79"/>
        <v>0.6376318824708866</v>
      </c>
      <c r="R114" s="3">
        <v>3265.3827333333334</v>
      </c>
      <c r="S114" s="3">
        <v>5121.109566666667</v>
      </c>
      <c r="T114" s="39">
        <f t="shared" si="80"/>
        <v>0.9818888690214294</v>
      </c>
      <c r="U114" s="3">
        <v>8643.718466666667</v>
      </c>
      <c r="V114" s="3">
        <v>8803.153533333334</v>
      </c>
      <c r="W114" s="63">
        <f t="shared" si="157"/>
        <v>16285.126900000001</v>
      </c>
      <c r="X114" s="7">
        <f t="shared" si="168"/>
        <v>0.6504719289185793</v>
      </c>
      <c r="Y114" s="24">
        <f t="shared" si="158"/>
        <v>25035.864233333334</v>
      </c>
      <c r="Z114" s="25">
        <f t="shared" si="84"/>
        <v>0.008809004760421764</v>
      </c>
      <c r="AA114" s="3">
        <v>6.6</v>
      </c>
      <c r="AB114" s="3">
        <v>749.2333333333333</v>
      </c>
      <c r="AC114" s="39">
        <f t="shared" si="85"/>
        <v>0.45891702586206895</v>
      </c>
      <c r="AD114" s="3">
        <v>113.56666666666666</v>
      </c>
      <c r="AE114" s="3">
        <v>247.46666666666667</v>
      </c>
      <c r="AF114" s="39">
        <f t="shared" si="86"/>
        <v>0.9477327795084804</v>
      </c>
      <c r="AG114" s="3">
        <v>365.06666666666666</v>
      </c>
      <c r="AH114" s="3">
        <v>385.2</v>
      </c>
      <c r="AI114" s="63">
        <f t="shared" si="159"/>
        <v>485.23333333333335</v>
      </c>
      <c r="AJ114" s="7">
        <f t="shared" si="169"/>
        <v>0.3511349108715054</v>
      </c>
      <c r="AK114" s="26">
        <f t="shared" si="160"/>
        <v>1381.9</v>
      </c>
      <c r="AL114" s="93">
        <f t="shared" si="161"/>
        <v>18662.07451904762</v>
      </c>
      <c r="AM114" s="7">
        <f t="shared" si="166"/>
        <v>0.6103979077068346</v>
      </c>
      <c r="AN114" s="3">
        <f t="shared" si="162"/>
        <v>30573.62137619048</v>
      </c>
      <c r="AO114" s="7">
        <f t="shared" si="163"/>
        <v>0.34174032129213594</v>
      </c>
      <c r="AP114" s="7">
        <f t="shared" si="164"/>
        <v>0.6281737304487629</v>
      </c>
      <c r="AQ114" s="94">
        <f t="shared" si="165"/>
        <v>0.9678517099249895</v>
      </c>
    </row>
    <row r="115" spans="1:43" ht="12.75">
      <c r="A115" s="177">
        <v>41334</v>
      </c>
      <c r="B115" s="25">
        <f t="shared" si="72"/>
        <v>0.17662237130692815</v>
      </c>
      <c r="C115" s="51">
        <v>391.14285714285717</v>
      </c>
      <c r="D115" s="3">
        <v>2214.5714285714284</v>
      </c>
      <c r="E115" s="39">
        <f t="shared" si="73"/>
        <v>0.6260746672947827</v>
      </c>
      <c r="F115" s="51">
        <v>759.4285714285714</v>
      </c>
      <c r="G115" s="3">
        <v>1213</v>
      </c>
      <c r="H115" s="39">
        <f t="shared" si="74"/>
        <v>0.9644642857142857</v>
      </c>
      <c r="I115" s="51">
        <v>771.5714285714286</v>
      </c>
      <c r="J115" s="3">
        <v>800</v>
      </c>
      <c r="K115" s="63">
        <f aca="true" t="shared" si="170" ref="K115:K120">SUM(C115+F115+I115)</f>
        <v>1922.1428571428573</v>
      </c>
      <c r="L115" s="7">
        <f t="shared" si="167"/>
        <v>0.45466833372757076</v>
      </c>
      <c r="M115" s="26">
        <f aca="true" t="shared" si="171" ref="M115:M120">SUM(J115+G115+D115)</f>
        <v>4227.571428571428</v>
      </c>
      <c r="N115" s="45">
        <f aca="true" t="shared" si="172" ref="N115:N129">O115/P115</f>
        <v>0.36380925841182427</v>
      </c>
      <c r="O115" s="3">
        <v>4069.3832258064517</v>
      </c>
      <c r="P115" s="174">
        <v>11185.485612903225</v>
      </c>
      <c r="Q115" s="39">
        <f t="shared" si="79"/>
        <v>0.6398972452209234</v>
      </c>
      <c r="R115" s="3">
        <v>3136.788</v>
      </c>
      <c r="S115" s="3">
        <v>4902.0182903225805</v>
      </c>
      <c r="T115" s="39">
        <f t="shared" si="80"/>
        <v>0.974541875599355</v>
      </c>
      <c r="U115" s="3">
        <v>7024.089129032258</v>
      </c>
      <c r="V115" s="3">
        <v>7207.580612903225</v>
      </c>
      <c r="W115" s="63">
        <f aca="true" t="shared" si="173" ref="W115:W120">+U115+O115+R115</f>
        <v>14230.26035483871</v>
      </c>
      <c r="X115" s="7">
        <f t="shared" si="168"/>
        <v>0.6108696598626193</v>
      </c>
      <c r="Y115" s="24">
        <f aca="true" t="shared" si="174" ref="Y115:Y120">+V115+S115+P115</f>
        <v>23295.08451612903</v>
      </c>
      <c r="Z115" s="25">
        <f aca="true" t="shared" si="175" ref="Z115:Z129">AA115/AB115</f>
        <v>0.00906183368869936</v>
      </c>
      <c r="AA115" s="3">
        <v>7.129032258064516</v>
      </c>
      <c r="AB115" s="3">
        <v>786.7096774193549</v>
      </c>
      <c r="AC115" s="39">
        <f t="shared" si="85"/>
        <v>0.45699305653960604</v>
      </c>
      <c r="AD115" s="3">
        <v>104.03225806451613</v>
      </c>
      <c r="AE115" s="3">
        <v>227.6451612903226</v>
      </c>
      <c r="AF115" s="39">
        <f t="shared" si="86"/>
        <v>0.9175211769950959</v>
      </c>
      <c r="AG115" s="3">
        <v>343</v>
      </c>
      <c r="AH115" s="3">
        <v>373.8333333333333</v>
      </c>
      <c r="AI115" s="63">
        <f aca="true" t="shared" si="176" ref="AI115:AI120">AG115+AD115+AA115</f>
        <v>454.1612903225806</v>
      </c>
      <c r="AJ115" s="7">
        <f t="shared" si="169"/>
        <v>0.32716118712795744</v>
      </c>
      <c r="AK115" s="26">
        <f aca="true" t="shared" si="177" ref="AK115:AK120">+AH115+AE115+AB115</f>
        <v>1388.1881720430108</v>
      </c>
      <c r="AL115" s="93">
        <f aca="true" t="shared" si="178" ref="AL115:AL120">+AI115+W115+K115</f>
        <v>16606.56450230415</v>
      </c>
      <c r="AM115" s="7">
        <f t="shared" si="166"/>
        <v>0.5744060752860066</v>
      </c>
      <c r="AN115" s="3">
        <f aca="true" t="shared" si="179" ref="AN115:AN120">+AK115+Y115+M115</f>
        <v>28910.84411674347</v>
      </c>
      <c r="AO115" s="7">
        <f aca="true" t="shared" si="180" ref="AO115:AO120">(+AA115+O115+C115)/(D115+P115+AB115)</f>
        <v>0.31491707756477927</v>
      </c>
      <c r="AP115" s="7">
        <f aca="true" t="shared" si="181" ref="AP115:AP120">(+AD115+R115+F115)/(G115+S115+AE115)</f>
        <v>0.6306891198012164</v>
      </c>
      <c r="AQ115" s="94">
        <f aca="true" t="shared" si="182" ref="AQ115:AQ120">(AG115+U115+I115)/(AH115+V115+J115)</f>
        <v>0.9710367021376061</v>
      </c>
    </row>
    <row r="116" spans="1:43" ht="12.75">
      <c r="A116" s="177">
        <v>41306</v>
      </c>
      <c r="B116" s="25">
        <f t="shared" si="72"/>
        <v>0.15643552236979008</v>
      </c>
      <c r="C116" s="51">
        <v>365.14285714285717</v>
      </c>
      <c r="D116" s="3">
        <v>2334.1428571428573</v>
      </c>
      <c r="E116" s="39">
        <f t="shared" si="73"/>
        <v>0.5991212469923631</v>
      </c>
      <c r="F116" s="51">
        <v>818.1428571428571</v>
      </c>
      <c r="G116" s="3">
        <v>1365.5714285714287</v>
      </c>
      <c r="H116" s="39">
        <f t="shared" si="74"/>
        <v>0.930807818716485</v>
      </c>
      <c r="I116" s="51">
        <v>768.7142857142857</v>
      </c>
      <c r="J116" s="3">
        <v>825.8571428571429</v>
      </c>
      <c r="K116" s="63">
        <f t="shared" si="170"/>
        <v>1952</v>
      </c>
      <c r="L116" s="7">
        <f t="shared" si="167"/>
        <v>0.43132674642507646</v>
      </c>
      <c r="M116" s="26">
        <f t="shared" si="171"/>
        <v>4525.571428571429</v>
      </c>
      <c r="N116" s="45">
        <f t="shared" si="172"/>
        <v>0.3523924724082577</v>
      </c>
      <c r="O116" s="3">
        <v>4990.7582142857145</v>
      </c>
      <c r="P116" s="174">
        <v>14162.499500000002</v>
      </c>
      <c r="Q116" s="39">
        <f t="shared" si="79"/>
        <v>0.6405570649220423</v>
      </c>
      <c r="R116" s="3">
        <v>3783.4276785714287</v>
      </c>
      <c r="S116" s="3">
        <v>5906.4646785714285</v>
      </c>
      <c r="T116" s="39">
        <f t="shared" si="80"/>
        <v>0.9763669691670147</v>
      </c>
      <c r="U116" s="3">
        <v>7741.912571428571</v>
      </c>
      <c r="V116" s="3">
        <v>7929.3061071428565</v>
      </c>
      <c r="W116" s="63">
        <f t="shared" si="173"/>
        <v>16516.098464285715</v>
      </c>
      <c r="X116" s="7">
        <f t="shared" si="168"/>
        <v>0.589897100633135</v>
      </c>
      <c r="Y116" s="24">
        <f t="shared" si="174"/>
        <v>27998.270285714287</v>
      </c>
      <c r="Z116" s="25">
        <f t="shared" si="175"/>
        <v>0.007144756081350525</v>
      </c>
      <c r="AA116" s="3">
        <v>7.678571428571429</v>
      </c>
      <c r="AB116" s="3">
        <v>1074.7142857142858</v>
      </c>
      <c r="AC116" s="39">
        <f t="shared" si="85"/>
        <v>0.445237151539173</v>
      </c>
      <c r="AD116" s="3">
        <v>120.35714285714286</v>
      </c>
      <c r="AE116" s="3">
        <v>270.32142857142856</v>
      </c>
      <c r="AF116" s="39">
        <f t="shared" si="86"/>
        <v>0.9470326696307753</v>
      </c>
      <c r="AG116" s="3">
        <v>349.92857142857144</v>
      </c>
      <c r="AH116" s="3">
        <v>369.5</v>
      </c>
      <c r="AI116" s="63">
        <f t="shared" si="176"/>
        <v>477.9642857142858</v>
      </c>
      <c r="AJ116" s="7">
        <f t="shared" si="169"/>
        <v>0.27877184577249153</v>
      </c>
      <c r="AK116" s="26">
        <f t="shared" si="177"/>
        <v>1714.5357142857142</v>
      </c>
      <c r="AL116" s="93">
        <f t="shared" si="178"/>
        <v>18946.06275</v>
      </c>
      <c r="AM116" s="7">
        <f t="shared" si="166"/>
        <v>0.5533574945111092</v>
      </c>
      <c r="AN116" s="3">
        <f t="shared" si="179"/>
        <v>34238.37742857143</v>
      </c>
      <c r="AO116" s="7">
        <f t="shared" si="180"/>
        <v>0.30524561944040146</v>
      </c>
      <c r="AP116" s="7">
        <f t="shared" si="181"/>
        <v>0.6260546064294003</v>
      </c>
      <c r="AQ116" s="94">
        <f t="shared" si="182"/>
        <v>0.9710556089367384</v>
      </c>
    </row>
    <row r="117" spans="1:43" ht="12.75">
      <c r="A117" s="177">
        <v>41275</v>
      </c>
      <c r="B117" s="25">
        <f t="shared" si="72"/>
        <v>0.1519489099317331</v>
      </c>
      <c r="C117" s="51">
        <v>394.2857142857143</v>
      </c>
      <c r="D117" s="3">
        <v>2594.8571428571427</v>
      </c>
      <c r="E117" s="39">
        <f t="shared" si="73"/>
        <v>0.6294370562943705</v>
      </c>
      <c r="F117" s="51">
        <v>899.2857142857143</v>
      </c>
      <c r="G117" s="3">
        <v>1428.7142857142858</v>
      </c>
      <c r="H117" s="39">
        <f t="shared" si="74"/>
        <v>0.9244777718264595</v>
      </c>
      <c r="I117" s="51">
        <v>739.7142857142857</v>
      </c>
      <c r="J117" s="3">
        <v>800.1428571428571</v>
      </c>
      <c r="K117" s="63">
        <f t="shared" si="170"/>
        <v>2033.2857142857142</v>
      </c>
      <c r="L117" s="7">
        <f t="shared" si="167"/>
        <v>0.42151868743706683</v>
      </c>
      <c r="M117" s="26">
        <f t="shared" si="171"/>
        <v>4823.714285714286</v>
      </c>
      <c r="N117" s="45">
        <f t="shared" si="172"/>
        <v>0.3578339637024582</v>
      </c>
      <c r="O117" s="3">
        <v>4623.615677419355</v>
      </c>
      <c r="P117" s="174">
        <v>12921.120258064517</v>
      </c>
      <c r="Q117" s="39">
        <f t="shared" si="79"/>
        <v>0.6370992962456866</v>
      </c>
      <c r="R117" s="3">
        <v>3342.239</v>
      </c>
      <c r="S117" s="3">
        <v>5246.0252580645165</v>
      </c>
      <c r="T117" s="39">
        <f t="shared" si="80"/>
        <v>0.9738662271389664</v>
      </c>
      <c r="U117" s="3">
        <v>7201.622032258065</v>
      </c>
      <c r="V117" s="3">
        <v>7394.878096774194</v>
      </c>
      <c r="W117" s="63">
        <f t="shared" si="173"/>
        <v>15167.47670967742</v>
      </c>
      <c r="X117" s="7">
        <f t="shared" si="168"/>
        <v>0.5933597800927296</v>
      </c>
      <c r="Y117" s="24">
        <f t="shared" si="174"/>
        <v>25562.023612903227</v>
      </c>
      <c r="Z117" s="25">
        <f t="shared" si="175"/>
        <v>0.004339389663079909</v>
      </c>
      <c r="AA117" s="3">
        <v>3.967741935483871</v>
      </c>
      <c r="AB117" s="3">
        <v>914.3548387096774</v>
      </c>
      <c r="AC117" s="39">
        <f t="shared" si="85"/>
        <v>0.43995899013200046</v>
      </c>
      <c r="AD117" s="3">
        <v>110.74193548387096</v>
      </c>
      <c r="AE117" s="3">
        <v>251.70967741935485</v>
      </c>
      <c r="AF117" s="39">
        <f t="shared" si="86"/>
        <v>0.9468199784405318</v>
      </c>
      <c r="AG117" s="3">
        <v>340</v>
      </c>
      <c r="AH117" s="3">
        <v>359.0967741935484</v>
      </c>
      <c r="AI117" s="63">
        <f t="shared" si="176"/>
        <v>454.7096774193548</v>
      </c>
      <c r="AJ117" s="7">
        <f t="shared" si="169"/>
        <v>0.29813874788494077</v>
      </c>
      <c r="AK117" s="26">
        <f t="shared" si="177"/>
        <v>1525.1612903225807</v>
      </c>
      <c r="AL117" s="93">
        <f t="shared" si="178"/>
        <v>17655.47210138249</v>
      </c>
      <c r="AM117" s="7">
        <f t="shared" si="166"/>
        <v>0.5532740395952757</v>
      </c>
      <c r="AN117" s="3">
        <f t="shared" si="179"/>
        <v>31910.899188940093</v>
      </c>
      <c r="AO117" s="7">
        <f t="shared" si="180"/>
        <v>0.3056462316402455</v>
      </c>
      <c r="AP117" s="7">
        <f t="shared" si="181"/>
        <v>0.6283546606318321</v>
      </c>
      <c r="AQ117" s="94">
        <f t="shared" si="182"/>
        <v>0.9681110993782758</v>
      </c>
    </row>
    <row r="118" spans="1:43" ht="12.75">
      <c r="A118" s="177">
        <v>41244</v>
      </c>
      <c r="B118" s="25">
        <f t="shared" si="72"/>
        <v>0.14118936694984927</v>
      </c>
      <c r="C118" s="51">
        <v>368</v>
      </c>
      <c r="D118" s="3">
        <v>2606.4285714285716</v>
      </c>
      <c r="E118" s="39">
        <f t="shared" si="73"/>
        <v>0.6361669911313</v>
      </c>
      <c r="F118" s="51">
        <v>840.2857142857143</v>
      </c>
      <c r="G118" s="3">
        <v>1320.857142857143</v>
      </c>
      <c r="H118" s="39">
        <f t="shared" si="74"/>
        <v>0.9891482391482391</v>
      </c>
      <c r="I118" s="51">
        <v>690.1428571428571</v>
      </c>
      <c r="J118" s="3">
        <v>697.7142857142857</v>
      </c>
      <c r="K118" s="63">
        <f t="shared" si="170"/>
        <v>1898.4285714285713</v>
      </c>
      <c r="L118" s="7">
        <f t="shared" si="167"/>
        <v>0.41047104247104244</v>
      </c>
      <c r="M118" s="26">
        <f t="shared" si="171"/>
        <v>4625</v>
      </c>
      <c r="N118" s="45">
        <f t="shared" si="172"/>
        <v>0.3533521483367198</v>
      </c>
      <c r="O118" s="3">
        <v>4250.717774193548</v>
      </c>
      <c r="P118" s="174">
        <v>12029.692741935483</v>
      </c>
      <c r="Q118" s="39">
        <f t="shared" si="79"/>
        <v>0.6512578975352226</v>
      </c>
      <c r="R118" s="3">
        <v>3370.5466774193546</v>
      </c>
      <c r="S118" s="3">
        <v>5175.440774193548</v>
      </c>
      <c r="T118" s="39">
        <f t="shared" si="80"/>
        <v>0.9756519881171241</v>
      </c>
      <c r="U118" s="3">
        <v>7419.146290322581</v>
      </c>
      <c r="V118" s="3">
        <v>7604.295774193549</v>
      </c>
      <c r="W118" s="63">
        <f t="shared" si="173"/>
        <v>15040.410741935484</v>
      </c>
      <c r="X118" s="7">
        <f t="shared" si="168"/>
        <v>0.606237675439084</v>
      </c>
      <c r="Y118" s="24">
        <f t="shared" si="174"/>
        <v>24809.42929032258</v>
      </c>
      <c r="Z118" s="25">
        <f t="shared" si="175"/>
        <v>0.003922177779503709</v>
      </c>
      <c r="AA118" s="3">
        <v>3.2580645161290325</v>
      </c>
      <c r="AB118" s="3">
        <v>830.6774193548387</v>
      </c>
      <c r="AC118" s="39">
        <f t="shared" si="85"/>
        <v>0.4420955882352941</v>
      </c>
      <c r="AD118" s="3">
        <v>108.61290322580645</v>
      </c>
      <c r="AE118" s="3">
        <v>245.67741935483872</v>
      </c>
      <c r="AF118" s="39">
        <f t="shared" si="86"/>
        <v>0.9524990083300277</v>
      </c>
      <c r="AG118" s="3">
        <v>309.83870967741933</v>
      </c>
      <c r="AH118" s="3">
        <v>325.2903225806452</v>
      </c>
      <c r="AI118" s="63">
        <f t="shared" si="176"/>
        <v>421.7096774193548</v>
      </c>
      <c r="AJ118" s="7">
        <f t="shared" si="169"/>
        <v>0.30086764401279603</v>
      </c>
      <c r="AK118" s="26">
        <f t="shared" si="177"/>
        <v>1401.6451612903224</v>
      </c>
      <c r="AL118" s="93">
        <f t="shared" si="178"/>
        <v>17360.54899078341</v>
      </c>
      <c r="AM118" s="7">
        <f aca="true" t="shared" si="183" ref="AM118:AM124">AL118/AN118</f>
        <v>0.5629947812593685</v>
      </c>
      <c r="AN118" s="3">
        <f t="shared" si="179"/>
        <v>30836.0744516129</v>
      </c>
      <c r="AO118" s="7">
        <f t="shared" si="180"/>
        <v>0.2988320930906162</v>
      </c>
      <c r="AP118" s="7">
        <f t="shared" si="181"/>
        <v>0.6406794862637065</v>
      </c>
      <c r="AQ118" s="94">
        <f t="shared" si="182"/>
        <v>0.9758704906382805</v>
      </c>
    </row>
    <row r="119" spans="1:43" ht="12.75">
      <c r="A119" s="177">
        <v>41214</v>
      </c>
      <c r="B119" s="25">
        <f t="shared" si="72"/>
        <v>0.12606733349597463</v>
      </c>
      <c r="C119" s="51">
        <v>295.2857142857143</v>
      </c>
      <c r="D119" s="3">
        <v>2342.285714285714</v>
      </c>
      <c r="E119" s="39">
        <f t="shared" si="73"/>
        <v>0.643986534734265</v>
      </c>
      <c r="F119" s="51">
        <v>901.8571428571429</v>
      </c>
      <c r="G119" s="3">
        <v>1400.4285714285713</v>
      </c>
      <c r="H119" s="39">
        <f t="shared" si="74"/>
        <v>0.9301075268817204</v>
      </c>
      <c r="I119" s="51">
        <v>815.5714285714286</v>
      </c>
      <c r="J119" s="3">
        <v>876.8571428571429</v>
      </c>
      <c r="K119" s="63">
        <f t="shared" si="170"/>
        <v>2012.7142857142858</v>
      </c>
      <c r="L119" s="7">
        <f aca="true" t="shared" si="184" ref="L119:L125">K119/M119</f>
        <v>0.4356928595726258</v>
      </c>
      <c r="M119" s="26">
        <f t="shared" si="171"/>
        <v>4619.571428571428</v>
      </c>
      <c r="N119" s="45">
        <f t="shared" si="172"/>
        <v>0.33859274075298745</v>
      </c>
      <c r="O119" s="3">
        <v>3545.7322333333336</v>
      </c>
      <c r="P119" s="174">
        <v>10471.967666666667</v>
      </c>
      <c r="Q119" s="39">
        <f t="shared" si="79"/>
        <v>0.65589788735529</v>
      </c>
      <c r="R119" s="3">
        <v>3438.2487333333333</v>
      </c>
      <c r="S119" s="3">
        <v>5242.0488000000005</v>
      </c>
      <c r="T119" s="39">
        <f t="shared" si="80"/>
        <v>0.9776211263432331</v>
      </c>
      <c r="U119" s="3">
        <v>7921.5905999999995</v>
      </c>
      <c r="V119" s="3">
        <v>8102.924933333333</v>
      </c>
      <c r="W119" s="63">
        <f t="shared" si="173"/>
        <v>14905.571566666667</v>
      </c>
      <c r="X119" s="7">
        <f aca="true" t="shared" si="185" ref="X119:X125">W119/Y119</f>
        <v>0.6258390326587724</v>
      </c>
      <c r="Y119" s="24">
        <f t="shared" si="174"/>
        <v>23816.9414</v>
      </c>
      <c r="Z119" s="25">
        <f t="shared" si="175"/>
        <v>0.00367662961200744</v>
      </c>
      <c r="AA119" s="3">
        <v>2.8333333333333335</v>
      </c>
      <c r="AB119" s="3">
        <v>770.6333333333333</v>
      </c>
      <c r="AC119" s="39">
        <f t="shared" si="85"/>
        <v>0.4475091942494149</v>
      </c>
      <c r="AD119" s="3">
        <v>89.23333333333333</v>
      </c>
      <c r="AE119" s="3">
        <v>199.4</v>
      </c>
      <c r="AF119" s="39">
        <f t="shared" si="86"/>
        <v>0.9517409249656048</v>
      </c>
      <c r="AG119" s="3">
        <v>299.76666666666665</v>
      </c>
      <c r="AH119" s="3">
        <v>314.96666666666664</v>
      </c>
      <c r="AI119" s="63">
        <f t="shared" si="176"/>
        <v>391.8333333333333</v>
      </c>
      <c r="AJ119" s="7">
        <f t="shared" si="169"/>
        <v>0.3049286640726329</v>
      </c>
      <c r="AK119" s="26">
        <f t="shared" si="177"/>
        <v>1285</v>
      </c>
      <c r="AL119" s="93">
        <f t="shared" si="178"/>
        <v>17310.119185714288</v>
      </c>
      <c r="AM119" s="7">
        <f t="shared" si="183"/>
        <v>0.5824104340030091</v>
      </c>
      <c r="AN119" s="3">
        <f t="shared" si="179"/>
        <v>29721.512828571427</v>
      </c>
      <c r="AO119" s="7">
        <f t="shared" si="180"/>
        <v>0.28295055835174765</v>
      </c>
      <c r="AP119" s="7">
        <f t="shared" si="181"/>
        <v>0.6473865240585234</v>
      </c>
      <c r="AQ119" s="94">
        <f t="shared" si="182"/>
        <v>0.9722617517964456</v>
      </c>
    </row>
    <row r="120" spans="1:43" ht="12.75">
      <c r="A120" s="177">
        <v>41183</v>
      </c>
      <c r="B120" s="25">
        <f t="shared" si="72"/>
        <v>0.10998182674833411</v>
      </c>
      <c r="C120" s="51">
        <v>233.42857142857142</v>
      </c>
      <c r="D120" s="3">
        <v>2122.4285714285716</v>
      </c>
      <c r="E120" s="39">
        <f t="shared" si="73"/>
        <v>0.6339449541284403</v>
      </c>
      <c r="F120" s="51">
        <v>789.7142857142857</v>
      </c>
      <c r="G120" s="3">
        <v>1245.7142857142858</v>
      </c>
      <c r="H120" s="39">
        <f t="shared" si="74"/>
        <v>0.9844747283077455</v>
      </c>
      <c r="I120" s="51">
        <v>815.2857142857143</v>
      </c>
      <c r="J120" s="3">
        <v>828.1428571428571</v>
      </c>
      <c r="K120" s="63">
        <f t="shared" si="170"/>
        <v>1838.4285714285716</v>
      </c>
      <c r="L120" s="7">
        <f t="shared" si="184"/>
        <v>0.43810853135425887</v>
      </c>
      <c r="M120" s="26">
        <f t="shared" si="171"/>
        <v>4196.285714285715</v>
      </c>
      <c r="N120" s="45">
        <f t="shared" si="172"/>
        <v>0.3188631232035095</v>
      </c>
      <c r="O120" s="3">
        <v>3156.882</v>
      </c>
      <c r="P120" s="174">
        <v>9900.429903225806</v>
      </c>
      <c r="Q120" s="39">
        <f t="shared" si="79"/>
        <v>0.6393832713123918</v>
      </c>
      <c r="R120" s="3">
        <v>3303.5010322580647</v>
      </c>
      <c r="S120" s="3">
        <v>5166.6991935483875</v>
      </c>
      <c r="T120" s="39">
        <f t="shared" si="80"/>
        <v>0.9711911216965015</v>
      </c>
      <c r="U120" s="3">
        <v>7506.441193548387</v>
      </c>
      <c r="V120" s="3">
        <v>7729.108129032258</v>
      </c>
      <c r="W120" s="63">
        <f t="shared" si="173"/>
        <v>13966.824225806453</v>
      </c>
      <c r="X120" s="7">
        <f t="shared" si="185"/>
        <v>0.6126811230932151</v>
      </c>
      <c r="Y120" s="24">
        <f t="shared" si="174"/>
        <v>22796.23722580645</v>
      </c>
      <c r="Z120" s="25">
        <f t="shared" si="175"/>
        <v>0.0037937654264558</v>
      </c>
      <c r="AA120" s="3">
        <v>2.6774193548387095</v>
      </c>
      <c r="AB120" s="3">
        <v>705.741935483871</v>
      </c>
      <c r="AC120" s="39">
        <f t="shared" si="85"/>
        <v>0.44580534703015934</v>
      </c>
      <c r="AD120" s="3">
        <v>109.19354838709677</v>
      </c>
      <c r="AE120" s="3">
        <v>244.93548387096774</v>
      </c>
      <c r="AF120" s="39">
        <f t="shared" si="86"/>
        <v>0.9606355228835666</v>
      </c>
      <c r="AG120" s="3">
        <v>392.03225806451616</v>
      </c>
      <c r="AH120" s="3">
        <v>408.0967741935484</v>
      </c>
      <c r="AI120" s="63">
        <f t="shared" si="176"/>
        <v>503.90322580645164</v>
      </c>
      <c r="AJ120" s="7">
        <f aca="true" t="shared" si="186" ref="AJ120:AJ125">AI120/AK120</f>
        <v>0.370851336593704</v>
      </c>
      <c r="AK120" s="26">
        <f t="shared" si="177"/>
        <v>1358.774193548387</v>
      </c>
      <c r="AL120" s="93">
        <f t="shared" si="178"/>
        <v>16309.156023041476</v>
      </c>
      <c r="AM120" s="7">
        <f t="shared" si="183"/>
        <v>0.5752525518026357</v>
      </c>
      <c r="AN120" s="3">
        <f t="shared" si="179"/>
        <v>28351.29713364055</v>
      </c>
      <c r="AO120" s="7">
        <f t="shared" si="180"/>
        <v>0.26656410614327375</v>
      </c>
      <c r="AP120" s="7">
        <f t="shared" si="181"/>
        <v>0.6312435910496955</v>
      </c>
      <c r="AQ120" s="94">
        <f t="shared" si="182"/>
        <v>0.9719376647515899</v>
      </c>
    </row>
    <row r="121" spans="1:43" ht="12.75">
      <c r="A121" s="177">
        <v>41153</v>
      </c>
      <c r="B121" s="25">
        <f t="shared" si="72"/>
        <v>0.10697452011749436</v>
      </c>
      <c r="C121" s="51">
        <v>223.71428571428572</v>
      </c>
      <c r="D121" s="3">
        <v>2091.285714285714</v>
      </c>
      <c r="E121" s="39">
        <f t="shared" si="73"/>
        <v>0.6262582056892778</v>
      </c>
      <c r="F121" s="51">
        <v>817.7142857142857</v>
      </c>
      <c r="G121" s="3">
        <v>1305.7142857142858</v>
      </c>
      <c r="H121" s="39">
        <f t="shared" si="74"/>
        <v>0.9625577021713114</v>
      </c>
      <c r="I121" s="51">
        <v>804.2857142857143</v>
      </c>
      <c r="J121" s="3">
        <v>835.5714285714286</v>
      </c>
      <c r="K121" s="63">
        <f aca="true" t="shared" si="187" ref="K121:K126">SUM(C121+F121+I121)</f>
        <v>1845.7142857142858</v>
      </c>
      <c r="L121" s="7">
        <f t="shared" si="184"/>
        <v>0.43607398406912384</v>
      </c>
      <c r="M121" s="26">
        <f aca="true" t="shared" si="188" ref="M121:M126">SUM(J121+G121+D121)</f>
        <v>4232.571428571428</v>
      </c>
      <c r="N121" s="45">
        <f t="shared" si="172"/>
        <v>0.30403251159746614</v>
      </c>
      <c r="O121" s="3">
        <v>3449.0062666666663</v>
      </c>
      <c r="P121" s="174">
        <v>11344.202133333332</v>
      </c>
      <c r="Q121" s="39">
        <f t="shared" si="79"/>
        <v>0.6210477859875168</v>
      </c>
      <c r="R121" s="3">
        <v>3751.0831666666663</v>
      </c>
      <c r="S121" s="3">
        <v>6039.926799999999</v>
      </c>
      <c r="T121" s="39">
        <f t="shared" si="80"/>
        <v>0.9721394982449553</v>
      </c>
      <c r="U121" s="3">
        <v>7964.574066666667</v>
      </c>
      <c r="V121" s="3">
        <v>8192.830433333334</v>
      </c>
      <c r="W121" s="63">
        <f aca="true" t="shared" si="189" ref="W121:W126">+U121+O121+R121</f>
        <v>15164.663499999999</v>
      </c>
      <c r="X121" s="7">
        <f t="shared" si="185"/>
        <v>0.5929032956029732</v>
      </c>
      <c r="Y121" s="24">
        <f aca="true" t="shared" si="190" ref="Y121:Y126">+V121+S121+P121</f>
        <v>25576.959366666666</v>
      </c>
      <c r="Z121" s="25">
        <f t="shared" si="175"/>
        <v>0.0037556922210224873</v>
      </c>
      <c r="AA121" s="3">
        <v>2.6666666666666665</v>
      </c>
      <c r="AB121" s="3">
        <v>710.0333333333333</v>
      </c>
      <c r="AC121" s="39">
        <f t="shared" si="85"/>
        <v>0.4612092766427388</v>
      </c>
      <c r="AD121" s="3">
        <v>111.36666666666666</v>
      </c>
      <c r="AE121" s="3">
        <v>241.46666666666667</v>
      </c>
      <c r="AF121" s="39">
        <f t="shared" si="86"/>
        <v>0.9567907600288749</v>
      </c>
      <c r="AG121" s="3">
        <v>309.26666666666665</v>
      </c>
      <c r="AH121" s="3">
        <v>323.23333333333335</v>
      </c>
      <c r="AI121" s="63">
        <f aca="true" t="shared" si="191" ref="AI121:AI126">AG121+AD121+AA121</f>
        <v>423.3</v>
      </c>
      <c r="AJ121" s="7">
        <f t="shared" si="186"/>
        <v>0.3320694524344961</v>
      </c>
      <c r="AK121" s="26">
        <f aca="true" t="shared" si="192" ref="AK121:AK126">+AH121+AE121+AB121</f>
        <v>1274.7333333333333</v>
      </c>
      <c r="AL121" s="93">
        <f aca="true" t="shared" si="193" ref="AL121:AL126">+AI121+W121+K121</f>
        <v>17433.677785714284</v>
      </c>
      <c r="AM121" s="7">
        <f t="shared" si="183"/>
        <v>0.5608521956191311</v>
      </c>
      <c r="AN121" s="3">
        <f aca="true" t="shared" si="194" ref="AN121:AN126">+AK121+Y121+M121</f>
        <v>31084.264128571427</v>
      </c>
      <c r="AO121" s="7">
        <f aca="true" t="shared" si="195" ref="AO121:AO126">(+AA121+O121+C121)/(D121+P121+AB121)</f>
        <v>0.2598269213294667</v>
      </c>
      <c r="AP121" s="7">
        <f aca="true" t="shared" si="196" ref="AP121:AP126">(+AD121+R121+F121)/(G121+S121+AE121)</f>
        <v>0.6168574734659477</v>
      </c>
      <c r="AQ121" s="94">
        <f aca="true" t="shared" si="197" ref="AQ121:AQ126">(AG121+U121+I121)/(AH121+V121+J121)</f>
        <v>0.9707528424806048</v>
      </c>
    </row>
    <row r="122" spans="1:43" ht="12.75">
      <c r="A122" s="177">
        <v>41122</v>
      </c>
      <c r="B122" s="25">
        <f t="shared" si="72"/>
        <v>0.10165499287175354</v>
      </c>
      <c r="C122" s="51">
        <v>234.28571428571428</v>
      </c>
      <c r="D122" s="3">
        <v>2304.714285714286</v>
      </c>
      <c r="E122" s="39">
        <f t="shared" si="73"/>
        <v>0.6118703631393987</v>
      </c>
      <c r="F122" s="51">
        <v>895.4285714285714</v>
      </c>
      <c r="G122" s="3">
        <v>1463.4285714285713</v>
      </c>
      <c r="H122" s="39">
        <f t="shared" si="74"/>
        <v>0.8481625900980739</v>
      </c>
      <c r="I122" s="51">
        <v>1025.4285714285713</v>
      </c>
      <c r="J122" s="3">
        <v>1209</v>
      </c>
      <c r="K122" s="63">
        <f t="shared" si="187"/>
        <v>2155.142857142857</v>
      </c>
      <c r="L122" s="7">
        <f t="shared" si="184"/>
        <v>0.43300803673938</v>
      </c>
      <c r="M122" s="26">
        <f t="shared" si="188"/>
        <v>4977.142857142857</v>
      </c>
      <c r="N122" s="45">
        <f t="shared" si="172"/>
        <v>0.29497543635885004</v>
      </c>
      <c r="O122" s="3">
        <v>3650.0181612903225</v>
      </c>
      <c r="P122" s="174">
        <v>12373.973258064518</v>
      </c>
      <c r="Q122" s="39">
        <f t="shared" si="79"/>
        <v>0.6092027808167518</v>
      </c>
      <c r="R122" s="3">
        <v>3788.900064516129</v>
      </c>
      <c r="S122" s="3">
        <v>6219.4398709677425</v>
      </c>
      <c r="T122" s="39">
        <f t="shared" si="80"/>
        <v>0.968513955627473</v>
      </c>
      <c r="U122" s="3">
        <v>8007.077967741935</v>
      </c>
      <c r="V122" s="3">
        <v>8267.38522580645</v>
      </c>
      <c r="W122" s="63">
        <f t="shared" si="189"/>
        <v>15445.996193548386</v>
      </c>
      <c r="X122" s="7">
        <f t="shared" si="185"/>
        <v>0.5750386116414868</v>
      </c>
      <c r="Y122" s="24">
        <f t="shared" si="190"/>
        <v>26860.798354838713</v>
      </c>
      <c r="Z122" s="25">
        <f t="shared" si="175"/>
        <v>0.004310157168357352</v>
      </c>
      <c r="AA122" s="3">
        <v>3.193548387096774</v>
      </c>
      <c r="AB122" s="3">
        <v>740.9354838709677</v>
      </c>
      <c r="AC122" s="39">
        <f t="shared" si="85"/>
        <v>0.45293818366827776</v>
      </c>
      <c r="AD122" s="3">
        <v>114.87096774193549</v>
      </c>
      <c r="AE122" s="3">
        <v>253.61290322580646</v>
      </c>
      <c r="AF122" s="39">
        <f t="shared" si="86"/>
        <v>0.943630214205186</v>
      </c>
      <c r="AG122" s="3">
        <v>270</v>
      </c>
      <c r="AH122" s="3">
        <v>286.1290322580645</v>
      </c>
      <c r="AI122" s="63">
        <f t="shared" si="191"/>
        <v>388.06451612903226</v>
      </c>
      <c r="AJ122" s="7">
        <f t="shared" si="186"/>
        <v>0.3030150374045994</v>
      </c>
      <c r="AK122" s="26">
        <f t="shared" si="192"/>
        <v>1280.6774193548385</v>
      </c>
      <c r="AL122" s="93">
        <f t="shared" si="193"/>
        <v>17989.203566820273</v>
      </c>
      <c r="AM122" s="7">
        <f t="shared" si="183"/>
        <v>0.5431749363422761</v>
      </c>
      <c r="AN122" s="3">
        <f t="shared" si="194"/>
        <v>33118.61863133641</v>
      </c>
      <c r="AO122" s="7">
        <f t="shared" si="195"/>
        <v>0.2521136487573171</v>
      </c>
      <c r="AP122" s="7">
        <f t="shared" si="196"/>
        <v>0.6047011760865467</v>
      </c>
      <c r="AQ122" s="94">
        <f t="shared" si="197"/>
        <v>0.9528802000453918</v>
      </c>
    </row>
    <row r="123" spans="1:43" ht="12.75">
      <c r="A123" s="177">
        <v>41091</v>
      </c>
      <c r="B123" s="25">
        <f t="shared" si="72"/>
        <v>0.1013338161627135</v>
      </c>
      <c r="C123" s="51">
        <v>239.85714285714286</v>
      </c>
      <c r="D123" s="3">
        <v>2367</v>
      </c>
      <c r="E123" s="39">
        <f t="shared" si="73"/>
        <v>0.6393521180755223</v>
      </c>
      <c r="F123" s="51">
        <v>953</v>
      </c>
      <c r="G123" s="3">
        <v>1490.5714285714287</v>
      </c>
      <c r="H123" s="39">
        <f t="shared" si="74"/>
        <v>0.9518796992481203</v>
      </c>
      <c r="I123" s="51">
        <v>904.2857142857143</v>
      </c>
      <c r="J123" s="3">
        <v>950</v>
      </c>
      <c r="K123" s="63">
        <f t="shared" si="187"/>
        <v>2097.1428571428573</v>
      </c>
      <c r="L123" s="7">
        <f t="shared" si="184"/>
        <v>0.4362166820194337</v>
      </c>
      <c r="M123" s="26">
        <f t="shared" si="188"/>
        <v>4807.571428571428</v>
      </c>
      <c r="N123" s="45">
        <f t="shared" si="172"/>
        <v>0.2786051187829448</v>
      </c>
      <c r="O123" s="3">
        <v>3216.722548387097</v>
      </c>
      <c r="P123" s="174">
        <v>11545.812806451613</v>
      </c>
      <c r="Q123" s="39">
        <f t="shared" si="79"/>
        <v>0.608604911734381</v>
      </c>
      <c r="R123" s="3">
        <v>3602.548193548387</v>
      </c>
      <c r="S123" s="3">
        <v>5919.354451612904</v>
      </c>
      <c r="T123" s="39">
        <f t="shared" si="80"/>
        <v>0.9694484397203704</v>
      </c>
      <c r="U123" s="3">
        <v>7985.576838709678</v>
      </c>
      <c r="V123" s="3">
        <v>8237.23729032258</v>
      </c>
      <c r="W123" s="63">
        <f t="shared" si="189"/>
        <v>14804.847580645162</v>
      </c>
      <c r="X123" s="7">
        <f t="shared" si="185"/>
        <v>0.5760102154167599</v>
      </c>
      <c r="Y123" s="24">
        <f t="shared" si="190"/>
        <v>25702.404548387098</v>
      </c>
      <c r="Z123" s="25">
        <f t="shared" si="175"/>
        <v>0.0043387050634118435</v>
      </c>
      <c r="AA123" s="3">
        <v>2.935483870967742</v>
      </c>
      <c r="AB123" s="3">
        <v>676.5806451612904</v>
      </c>
      <c r="AC123" s="39">
        <f t="shared" si="85"/>
        <v>0.46180728906640045</v>
      </c>
      <c r="AD123" s="3">
        <v>119.35483870967742</v>
      </c>
      <c r="AE123" s="3">
        <v>258.4516129032258</v>
      </c>
      <c r="AF123" s="39">
        <f t="shared" si="86"/>
        <v>0.9676832043695948</v>
      </c>
      <c r="AG123" s="3">
        <v>342.9032258064516</v>
      </c>
      <c r="AH123" s="3">
        <v>354.35483870967744</v>
      </c>
      <c r="AI123" s="63">
        <f t="shared" si="191"/>
        <v>465.19354838709677</v>
      </c>
      <c r="AJ123" s="7">
        <f t="shared" si="186"/>
        <v>0.36078657026344096</v>
      </c>
      <c r="AK123" s="26">
        <f t="shared" si="192"/>
        <v>1289.3870967741937</v>
      </c>
      <c r="AL123" s="93">
        <f t="shared" si="193"/>
        <v>17367.183986175118</v>
      </c>
      <c r="AM123" s="7">
        <f t="shared" si="183"/>
        <v>0.5461488000846458</v>
      </c>
      <c r="AN123" s="3">
        <f t="shared" si="194"/>
        <v>31799.36307373272</v>
      </c>
      <c r="AO123" s="7">
        <f t="shared" si="195"/>
        <v>0.237125360049341</v>
      </c>
      <c r="AP123" s="7">
        <f t="shared" si="196"/>
        <v>0.6096339201444013</v>
      </c>
      <c r="AQ123" s="94">
        <f t="shared" si="197"/>
        <v>0.9676336667870398</v>
      </c>
    </row>
    <row r="124" spans="1:43" ht="12.75">
      <c r="A124" s="177">
        <v>41061</v>
      </c>
      <c r="B124" s="25">
        <f t="shared" si="72"/>
        <v>0.09552081271851706</v>
      </c>
      <c r="C124" s="51">
        <v>206.85714285714286</v>
      </c>
      <c r="D124" s="3">
        <v>2165.5714285714284</v>
      </c>
      <c r="E124" s="39">
        <f t="shared" si="73"/>
        <v>0.61083349990006</v>
      </c>
      <c r="F124" s="51">
        <v>873.1428571428571</v>
      </c>
      <c r="G124" s="3">
        <v>1429.4285714285713</v>
      </c>
      <c r="H124" s="39">
        <f t="shared" si="74"/>
        <v>0.9343137254901961</v>
      </c>
      <c r="I124" s="51">
        <v>816.8571428571429</v>
      </c>
      <c r="J124" s="3">
        <v>874.2857142857143</v>
      </c>
      <c r="K124" s="63">
        <f t="shared" si="187"/>
        <v>1896.857142857143</v>
      </c>
      <c r="L124" s="7">
        <f t="shared" si="184"/>
        <v>0.42442064887326203</v>
      </c>
      <c r="M124" s="26">
        <f t="shared" si="188"/>
        <v>4469.285714285714</v>
      </c>
      <c r="N124" s="45">
        <f t="shared" si="172"/>
        <v>0.2641287080306987</v>
      </c>
      <c r="O124" s="4">
        <v>2763.6211000000003</v>
      </c>
      <c r="P124" s="181">
        <v>10463.160633333333</v>
      </c>
      <c r="Q124" s="39">
        <f t="shared" si="79"/>
        <v>0.617012199814318</v>
      </c>
      <c r="R124" s="3">
        <v>3455.1590666666666</v>
      </c>
      <c r="S124" s="3">
        <v>5599.822933333333</v>
      </c>
      <c r="T124" s="39">
        <f t="shared" si="80"/>
        <v>0.9689859507730585</v>
      </c>
      <c r="U124" s="3">
        <v>7798.6832</v>
      </c>
      <c r="V124" s="3">
        <v>8048.293366666667</v>
      </c>
      <c r="W124" s="63">
        <f t="shared" si="189"/>
        <v>14017.463366666667</v>
      </c>
      <c r="X124" s="7">
        <f t="shared" si="185"/>
        <v>0.581365450093098</v>
      </c>
      <c r="Y124" s="24">
        <f t="shared" si="190"/>
        <v>24111.276933333334</v>
      </c>
      <c r="Z124" s="25">
        <f t="shared" si="175"/>
        <v>0.0042352488208682254</v>
      </c>
      <c r="AA124" s="3">
        <v>2.933333333333333</v>
      </c>
      <c r="AB124" s="3">
        <v>692.6</v>
      </c>
      <c r="AC124" s="39">
        <f t="shared" si="85"/>
        <v>0.4508621898219543</v>
      </c>
      <c r="AD124" s="3">
        <v>107.2</v>
      </c>
      <c r="AE124" s="3">
        <v>237.76666666666668</v>
      </c>
      <c r="AF124" s="39">
        <f t="shared" si="86"/>
        <v>0.9532445451969397</v>
      </c>
      <c r="AG124" s="3">
        <v>336.4</v>
      </c>
      <c r="AH124" s="3">
        <v>352.9</v>
      </c>
      <c r="AI124" s="63">
        <f t="shared" si="191"/>
        <v>446.5333333333333</v>
      </c>
      <c r="AJ124" s="7">
        <f t="shared" si="186"/>
        <v>0.34796612811055116</v>
      </c>
      <c r="AK124" s="26">
        <f t="shared" si="192"/>
        <v>1283.2666666666667</v>
      </c>
      <c r="AL124" s="93">
        <f t="shared" si="193"/>
        <v>16360.853842857143</v>
      </c>
      <c r="AM124" s="7">
        <f t="shared" si="183"/>
        <v>0.5478484915874715</v>
      </c>
      <c r="AN124" s="3">
        <f t="shared" si="194"/>
        <v>29863.829314285715</v>
      </c>
      <c r="AO124" s="7">
        <f t="shared" si="195"/>
        <v>0.22320677559668314</v>
      </c>
      <c r="AP124" s="7">
        <f t="shared" si="196"/>
        <v>0.6103606485048296</v>
      </c>
      <c r="AQ124" s="94">
        <f t="shared" si="197"/>
        <v>0.9651189188966379</v>
      </c>
    </row>
    <row r="125" spans="1:43" ht="12.75">
      <c r="A125" s="177">
        <v>41030</v>
      </c>
      <c r="B125" s="25">
        <f t="shared" si="72"/>
        <v>0.089098103424751</v>
      </c>
      <c r="C125" s="51">
        <v>186.57142857142858</v>
      </c>
      <c r="D125" s="3">
        <v>2094</v>
      </c>
      <c r="E125" s="39">
        <f t="shared" si="73"/>
        <v>0.5965528598089802</v>
      </c>
      <c r="F125" s="51">
        <v>776.2857142857143</v>
      </c>
      <c r="G125" s="3">
        <v>1301.2857142857142</v>
      </c>
      <c r="H125" s="39">
        <f t="shared" si="74"/>
        <v>0.904135663609621</v>
      </c>
      <c r="I125" s="51">
        <v>746.4285714285714</v>
      </c>
      <c r="J125" s="3">
        <v>825.5714285714286</v>
      </c>
      <c r="K125" s="63">
        <f t="shared" si="187"/>
        <v>1709.2857142857142</v>
      </c>
      <c r="L125" s="7">
        <f t="shared" si="184"/>
        <v>0.4049617545522236</v>
      </c>
      <c r="M125" s="26">
        <f t="shared" si="188"/>
        <v>4220.857142857143</v>
      </c>
      <c r="N125" s="45">
        <f t="shared" si="172"/>
        <v>0.24922627125689836</v>
      </c>
      <c r="O125" s="4">
        <v>2242.157709677419</v>
      </c>
      <c r="P125" s="181">
        <v>8996.474161290322</v>
      </c>
      <c r="Q125" s="39">
        <f t="shared" si="79"/>
        <v>0.6187562850235535</v>
      </c>
      <c r="R125" s="3">
        <v>2910.070548387097</v>
      </c>
      <c r="S125" s="3">
        <v>4703.096548387097</v>
      </c>
      <c r="T125" s="39">
        <f t="shared" si="80"/>
        <v>0.9721098698180597</v>
      </c>
      <c r="U125" s="3">
        <v>6951.990612903226</v>
      </c>
      <c r="V125" s="3">
        <v>7151.44535483871</v>
      </c>
      <c r="W125" s="63">
        <f t="shared" si="189"/>
        <v>12104.218870967741</v>
      </c>
      <c r="X125" s="7">
        <f t="shared" si="185"/>
        <v>0.5805097858788031</v>
      </c>
      <c r="Y125" s="24">
        <f t="shared" si="190"/>
        <v>20851.01606451613</v>
      </c>
      <c r="Z125" s="25">
        <f t="shared" si="175"/>
        <v>0.004071022169903865</v>
      </c>
      <c r="AA125" s="3">
        <v>2.6774193548387095</v>
      </c>
      <c r="AB125" s="3">
        <v>657.6774193548387</v>
      </c>
      <c r="AC125" s="39">
        <f t="shared" si="85"/>
        <v>0.47542475728155337</v>
      </c>
      <c r="AD125" s="3">
        <v>101.09677419354838</v>
      </c>
      <c r="AE125" s="40">
        <v>212.6451612903226</v>
      </c>
      <c r="AF125" s="7">
        <f t="shared" si="86"/>
        <v>0.9405874499332443</v>
      </c>
      <c r="AG125" s="3">
        <v>272.7096774193548</v>
      </c>
      <c r="AH125" s="3">
        <v>289.93548387096774</v>
      </c>
      <c r="AI125" s="63">
        <f t="shared" si="191"/>
        <v>376.4838709677419</v>
      </c>
      <c r="AJ125" s="7">
        <f t="shared" si="186"/>
        <v>0.3244828736654804</v>
      </c>
      <c r="AK125" s="26">
        <f t="shared" si="192"/>
        <v>1160.258064516129</v>
      </c>
      <c r="AL125" s="93">
        <f t="shared" si="193"/>
        <v>14189.988456221197</v>
      </c>
      <c r="AM125" s="7">
        <f aca="true" t="shared" si="198" ref="AM125:AM131">AL125/AN125</f>
        <v>0.5409392134076166</v>
      </c>
      <c r="AN125" s="3">
        <f t="shared" si="194"/>
        <v>26232.131271889404</v>
      </c>
      <c r="AO125" s="7">
        <f t="shared" si="195"/>
        <v>0.20696077514094885</v>
      </c>
      <c r="AP125" s="7">
        <f t="shared" si="196"/>
        <v>0.6092064227138302</v>
      </c>
      <c r="AQ125" s="94">
        <f t="shared" si="197"/>
        <v>0.9642161468984449</v>
      </c>
    </row>
    <row r="126" spans="1:43" ht="12.75">
      <c r="A126" s="177">
        <v>41000</v>
      </c>
      <c r="B126" s="25">
        <f t="shared" si="72"/>
        <v>0.0800941444975394</v>
      </c>
      <c r="C126" s="51">
        <v>160.42857142857142</v>
      </c>
      <c r="D126" s="3">
        <v>2003</v>
      </c>
      <c r="E126" s="39">
        <f t="shared" si="73"/>
        <v>0.5778950915421768</v>
      </c>
      <c r="F126" s="51">
        <v>735</v>
      </c>
      <c r="G126" s="3">
        <v>1271.857142857143</v>
      </c>
      <c r="H126" s="39">
        <f t="shared" si="74"/>
        <v>0.9265252976190476</v>
      </c>
      <c r="I126" s="51">
        <v>711.5714285714286</v>
      </c>
      <c r="J126" s="3">
        <v>768</v>
      </c>
      <c r="K126" s="63">
        <f t="shared" si="187"/>
        <v>1607</v>
      </c>
      <c r="L126" s="7">
        <f aca="true" t="shared" si="199" ref="L126:L132">K126/M126</f>
        <v>0.3974911660777385</v>
      </c>
      <c r="M126" s="26">
        <f t="shared" si="188"/>
        <v>4042.857142857143</v>
      </c>
      <c r="N126" s="45">
        <f t="shared" si="172"/>
        <v>0.2159630854261734</v>
      </c>
      <c r="O126" s="4">
        <v>2285.5747666666666</v>
      </c>
      <c r="P126" s="181">
        <v>10583.173333333332</v>
      </c>
      <c r="Q126" s="39">
        <f t="shared" si="79"/>
        <v>0.6026531675268825</v>
      </c>
      <c r="R126" s="3">
        <v>3142.4527000000003</v>
      </c>
      <c r="S126" s="3">
        <v>5214.363533333333</v>
      </c>
      <c r="T126" s="39">
        <f t="shared" si="80"/>
        <v>0.9775517538350094</v>
      </c>
      <c r="U126" s="3">
        <v>8184.637366666666</v>
      </c>
      <c r="V126" s="3">
        <v>8372.587266666666</v>
      </c>
      <c r="W126" s="63">
        <f t="shared" si="189"/>
        <v>13612.664833333332</v>
      </c>
      <c r="X126" s="7">
        <f aca="true" t="shared" si="200" ref="X126:X132">W126/Y126</f>
        <v>0.5632021067926553</v>
      </c>
      <c r="Y126" s="24">
        <f t="shared" si="190"/>
        <v>24170.12413333333</v>
      </c>
      <c r="Z126" s="25">
        <f t="shared" si="175"/>
        <v>0.003536416133219929</v>
      </c>
      <c r="AA126" s="3">
        <v>2.6333333333333333</v>
      </c>
      <c r="AB126" s="3">
        <v>744.6333333333333</v>
      </c>
      <c r="AC126" s="39">
        <f t="shared" si="85"/>
        <v>0.444</v>
      </c>
      <c r="AD126" s="3">
        <v>107.3</v>
      </c>
      <c r="AE126" s="40">
        <v>241.66666666666666</v>
      </c>
      <c r="AF126" s="7">
        <f t="shared" si="86"/>
        <v>0.9539216577297102</v>
      </c>
      <c r="AG126" s="3">
        <v>349.8666666666667</v>
      </c>
      <c r="AH126" s="3">
        <v>366.76666666666665</v>
      </c>
      <c r="AI126" s="63">
        <f t="shared" si="191"/>
        <v>459.8</v>
      </c>
      <c r="AJ126" s="7">
        <f aca="true" t="shared" si="201" ref="AJ126:AJ132">AI126/AK126</f>
        <v>0.3398206543161214</v>
      </c>
      <c r="AK126" s="26">
        <f t="shared" si="192"/>
        <v>1353.0666666666666</v>
      </c>
      <c r="AL126" s="93">
        <f t="shared" si="193"/>
        <v>15679.464833333332</v>
      </c>
      <c r="AM126" s="7">
        <f t="shared" si="198"/>
        <v>0.5303199421051243</v>
      </c>
      <c r="AN126" s="3">
        <f t="shared" si="194"/>
        <v>29566.04794285714</v>
      </c>
      <c r="AO126" s="7">
        <f t="shared" si="195"/>
        <v>0.18368255820192214</v>
      </c>
      <c r="AP126" s="7">
        <f t="shared" si="196"/>
        <v>0.5922739928501521</v>
      </c>
      <c r="AQ126" s="94">
        <f t="shared" si="197"/>
        <v>0.9725182765614192</v>
      </c>
    </row>
    <row r="127" spans="1:43" ht="12.75">
      <c r="A127" s="177">
        <v>40969</v>
      </c>
      <c r="B127" s="25">
        <f t="shared" si="72"/>
        <v>0.06850117096018735</v>
      </c>
      <c r="C127" s="51">
        <v>150.42857142857142</v>
      </c>
      <c r="D127" s="3">
        <v>2196</v>
      </c>
      <c r="E127" s="39">
        <f t="shared" si="73"/>
        <v>0.5748340045716774</v>
      </c>
      <c r="F127" s="51">
        <v>754.4285714285714</v>
      </c>
      <c r="G127" s="3">
        <v>1312.4285714285713</v>
      </c>
      <c r="H127" s="39">
        <f t="shared" si="74"/>
        <v>0.973805570927873</v>
      </c>
      <c r="I127" s="51">
        <v>754.1428571428571</v>
      </c>
      <c r="J127" s="3">
        <v>774.4285714285714</v>
      </c>
      <c r="K127" s="63">
        <f aca="true" t="shared" si="202" ref="K127:K132">SUM(C127+F127+I127)</f>
        <v>1659</v>
      </c>
      <c r="L127" s="7">
        <f t="shared" si="199"/>
        <v>0.3873582388258839</v>
      </c>
      <c r="M127" s="26">
        <f aca="true" t="shared" si="203" ref="M127:M132">SUM(J127+G127+D127)</f>
        <v>4282.857142857143</v>
      </c>
      <c r="N127" s="45">
        <f t="shared" si="172"/>
        <v>0.16554963980287132</v>
      </c>
      <c r="O127" s="4">
        <v>1756.8124838709678</v>
      </c>
      <c r="P127" s="181">
        <v>10611.998225806452</v>
      </c>
      <c r="Q127" s="39">
        <f t="shared" si="79"/>
        <v>0.5914747923274184</v>
      </c>
      <c r="R127" s="3">
        <v>2840.1718387096776</v>
      </c>
      <c r="S127" s="3">
        <v>4801.8476451612905</v>
      </c>
      <c r="T127" s="39">
        <f t="shared" si="80"/>
        <v>0.9767734454781778</v>
      </c>
      <c r="U127" s="3">
        <v>6826.125516129033</v>
      </c>
      <c r="V127" s="3">
        <v>6988.442967741936</v>
      </c>
      <c r="W127" s="63">
        <f aca="true" t="shared" si="204" ref="W127:W132">+U127+O127+R127</f>
        <v>11423.109838709677</v>
      </c>
      <c r="X127" s="7">
        <f t="shared" si="200"/>
        <v>0.509908158088351</v>
      </c>
      <c r="Y127" s="24">
        <f aca="true" t="shared" si="205" ref="Y127:Y132">+V127+S127+P127</f>
        <v>22402.28883870968</v>
      </c>
      <c r="Z127" s="25">
        <f t="shared" si="175"/>
        <v>0.0029152190407731324</v>
      </c>
      <c r="AA127" s="3">
        <v>2.3548387096774195</v>
      </c>
      <c r="AB127" s="3">
        <v>807.7741935483871</v>
      </c>
      <c r="AC127" s="39">
        <f t="shared" si="85"/>
        <v>0.42579694615590674</v>
      </c>
      <c r="AD127" s="3">
        <v>102.54838709677419</v>
      </c>
      <c r="AE127" s="40">
        <v>240.83870967741936</v>
      </c>
      <c r="AF127" s="7">
        <f t="shared" si="86"/>
        <v>0.9545330792267902</v>
      </c>
      <c r="AG127" s="3">
        <v>339.2903225806452</v>
      </c>
      <c r="AH127" s="3">
        <v>355.4516129032258</v>
      </c>
      <c r="AI127" s="63">
        <f aca="true" t="shared" si="206" ref="AI127:AI132">AG127+AD127+AA127</f>
        <v>444.1935483870968</v>
      </c>
      <c r="AJ127" s="7">
        <f t="shared" si="201"/>
        <v>0.31636263382805685</v>
      </c>
      <c r="AK127" s="26">
        <f aca="true" t="shared" si="207" ref="AK127:AK132">+AH127+AE127+AB127</f>
        <v>1404.0645161290322</v>
      </c>
      <c r="AL127" s="93">
        <f aca="true" t="shared" si="208" ref="AL127:AL132">+AI127+W127+K127</f>
        <v>13526.303387096774</v>
      </c>
      <c r="AM127" s="7">
        <f t="shared" si="198"/>
        <v>0.48154800891275773</v>
      </c>
      <c r="AN127" s="3">
        <f aca="true" t="shared" si="209" ref="AN127:AN132">+AK127+Y127+M127</f>
        <v>28089.210497695858</v>
      </c>
      <c r="AO127" s="7">
        <f aca="true" t="shared" si="210" ref="AO127:AO132">(+AA127+O127+C127)/(D127+P127+AB127)</f>
        <v>0.1402488110990107</v>
      </c>
      <c r="AP127" s="7">
        <f aca="true" t="shared" si="211" ref="AP127:AP132">(+AD127+R127+F127)/(G127+S127+AE127)</f>
        <v>0.5817595496115706</v>
      </c>
      <c r="AQ127" s="94">
        <f aca="true" t="shared" si="212" ref="AQ127:AQ132">(AG127+U127+I127)/(AH127+V127+J127)</f>
        <v>0.975516562657348</v>
      </c>
    </row>
    <row r="128" spans="1:43" ht="12.75">
      <c r="A128" s="177">
        <v>40940</v>
      </c>
      <c r="B128" s="25">
        <f t="shared" si="72"/>
        <v>0.06409543235057791</v>
      </c>
      <c r="C128" s="51">
        <v>148.14285714285714</v>
      </c>
      <c r="D128" s="3">
        <v>2311.285714285714</v>
      </c>
      <c r="E128" s="39">
        <f t="shared" si="73"/>
        <v>0.561649527370936</v>
      </c>
      <c r="F128" s="51">
        <v>772.4285714285714</v>
      </c>
      <c r="G128" s="3">
        <v>1375.2857142857142</v>
      </c>
      <c r="H128" s="39">
        <f t="shared" si="74"/>
        <v>0.9734566659963804</v>
      </c>
      <c r="I128" s="51">
        <v>691.5714285714286</v>
      </c>
      <c r="J128" s="3">
        <v>710.4285714285714</v>
      </c>
      <c r="K128" s="63">
        <f t="shared" si="202"/>
        <v>1612.142857142857</v>
      </c>
      <c r="L128" s="7">
        <f t="shared" si="199"/>
        <v>0.3666460898664674</v>
      </c>
      <c r="M128" s="26">
        <f t="shared" si="203"/>
        <v>4397</v>
      </c>
      <c r="N128" s="45">
        <f t="shared" si="172"/>
        <v>0.08501189643647891</v>
      </c>
      <c r="O128" s="4">
        <v>1073.4457586206897</v>
      </c>
      <c r="P128" s="181">
        <v>12627.006379310345</v>
      </c>
      <c r="Q128" s="39">
        <f t="shared" si="79"/>
        <v>0.5740492624347028</v>
      </c>
      <c r="R128" s="3">
        <v>3121.035172413793</v>
      </c>
      <c r="S128" s="3">
        <v>5436.876896551724</v>
      </c>
      <c r="T128" s="39">
        <f t="shared" si="80"/>
        <v>0.9727913063188975</v>
      </c>
      <c r="U128" s="3">
        <v>7560.175206896552</v>
      </c>
      <c r="V128" s="3">
        <v>7771.631137931035</v>
      </c>
      <c r="W128" s="63">
        <f t="shared" si="204"/>
        <v>11754.656137931033</v>
      </c>
      <c r="X128" s="7">
        <f t="shared" si="200"/>
        <v>0.4549805337591977</v>
      </c>
      <c r="Y128" s="24">
        <f t="shared" si="205"/>
        <v>25835.514413793106</v>
      </c>
      <c r="Z128" s="25">
        <f t="shared" si="175"/>
        <v>0.0024444274692536857</v>
      </c>
      <c r="AA128" s="3">
        <v>2.206896551724138</v>
      </c>
      <c r="AB128" s="3">
        <v>902.8275862068965</v>
      </c>
      <c r="AC128" s="39">
        <f t="shared" si="85"/>
        <v>0.4218378663850013</v>
      </c>
      <c r="AD128" s="3">
        <v>110.17241379310344</v>
      </c>
      <c r="AE128" s="40">
        <v>261.17241379310343</v>
      </c>
      <c r="AF128" s="7">
        <f t="shared" si="86"/>
        <v>0.7135362997658079</v>
      </c>
      <c r="AG128" s="3">
        <v>262.6551724137931</v>
      </c>
      <c r="AH128" s="3">
        <v>368.1034482758621</v>
      </c>
      <c r="AI128" s="63">
        <f t="shared" si="206"/>
        <v>375.03448275862064</v>
      </c>
      <c r="AJ128" s="7">
        <f t="shared" si="201"/>
        <v>0.2447840471742702</v>
      </c>
      <c r="AK128" s="26">
        <f t="shared" si="207"/>
        <v>1532.103448275862</v>
      </c>
      <c r="AL128" s="93">
        <f t="shared" si="208"/>
        <v>13741.833477832512</v>
      </c>
      <c r="AM128" s="7">
        <f t="shared" si="198"/>
        <v>0.43261447493256405</v>
      </c>
      <c r="AN128" s="3">
        <f t="shared" si="209"/>
        <v>31764.617862068968</v>
      </c>
      <c r="AO128" s="7">
        <f t="shared" si="210"/>
        <v>0.0772543568290555</v>
      </c>
      <c r="AP128" s="7">
        <f t="shared" si="211"/>
        <v>0.5660181715830134</v>
      </c>
      <c r="AQ128" s="94">
        <f t="shared" si="212"/>
        <v>0.9620615638634846</v>
      </c>
    </row>
    <row r="129" spans="1:43" ht="14.25" customHeight="1">
      <c r="A129" s="177">
        <v>40909</v>
      </c>
      <c r="B129" s="25">
        <f t="shared" si="72"/>
        <v>0.06192468619246862</v>
      </c>
      <c r="C129" s="13">
        <v>148</v>
      </c>
      <c r="D129" s="3">
        <v>2390</v>
      </c>
      <c r="E129" s="39">
        <f t="shared" si="73"/>
        <v>0.5744565217391304</v>
      </c>
      <c r="F129" s="13">
        <v>755</v>
      </c>
      <c r="G129" s="40">
        <v>1314.2857142857142</v>
      </c>
      <c r="H129" s="39">
        <f t="shared" si="74"/>
        <v>0.9660343270099369</v>
      </c>
      <c r="I129" s="51">
        <v>763.8571428571429</v>
      </c>
      <c r="J129" s="3">
        <v>790.7142857142857</v>
      </c>
      <c r="K129" s="63">
        <f t="shared" si="202"/>
        <v>1666.857142857143</v>
      </c>
      <c r="L129" s="7">
        <f t="shared" si="199"/>
        <v>0.370824725885905</v>
      </c>
      <c r="M129" s="26">
        <f t="shared" si="203"/>
        <v>4495</v>
      </c>
      <c r="N129" s="45">
        <f t="shared" si="172"/>
        <v>0.06717955917111827</v>
      </c>
      <c r="O129" s="4">
        <v>840.7991935483872</v>
      </c>
      <c r="P129" s="181">
        <v>12515.699774193548</v>
      </c>
      <c r="Q129" s="39">
        <f t="shared" si="79"/>
        <v>0.5608933151099431</v>
      </c>
      <c r="R129" s="3">
        <v>2860.3460967741935</v>
      </c>
      <c r="S129" s="3">
        <v>5099.625935483871</v>
      </c>
      <c r="T129" s="39">
        <f t="shared" si="80"/>
        <v>0.9731948079496319</v>
      </c>
      <c r="U129" s="3">
        <v>7577.4493870967735</v>
      </c>
      <c r="V129" s="3">
        <v>7786.158870967742</v>
      </c>
      <c r="W129" s="63">
        <f t="shared" si="204"/>
        <v>11278.594677419354</v>
      </c>
      <c r="X129" s="7">
        <f t="shared" si="200"/>
        <v>0.44401320881902934</v>
      </c>
      <c r="Y129" s="24">
        <f t="shared" si="205"/>
        <v>25401.484580645163</v>
      </c>
      <c r="Z129" s="25">
        <f t="shared" si="175"/>
        <v>0.00258825965420851</v>
      </c>
      <c r="AA129" s="3">
        <v>2.4193548387096775</v>
      </c>
      <c r="AB129" s="3">
        <v>934.741935483871</v>
      </c>
      <c r="AC129" s="39">
        <f t="shared" si="85"/>
        <v>0.4167373137943563</v>
      </c>
      <c r="AD129" s="3">
        <v>111</v>
      </c>
      <c r="AE129" s="40">
        <v>266.35483870967744</v>
      </c>
      <c r="AF129" s="7">
        <f t="shared" si="86"/>
        <v>0.7316485086622612</v>
      </c>
      <c r="AG129" s="3">
        <v>264.2903225806452</v>
      </c>
      <c r="AH129" s="3">
        <v>361.2258064516129</v>
      </c>
      <c r="AI129" s="63">
        <f t="shared" si="206"/>
        <v>377.7096774193549</v>
      </c>
      <c r="AJ129" s="7">
        <f t="shared" si="201"/>
        <v>0.24176164519326065</v>
      </c>
      <c r="AK129" s="26">
        <f t="shared" si="207"/>
        <v>1562.3225806451615</v>
      </c>
      <c r="AL129" s="93">
        <f t="shared" si="208"/>
        <v>13323.161497695852</v>
      </c>
      <c r="AM129" s="7">
        <f t="shared" si="198"/>
        <v>0.4235113375210818</v>
      </c>
      <c r="AN129" s="3">
        <f t="shared" si="209"/>
        <v>31458.807161290326</v>
      </c>
      <c r="AO129" s="7">
        <f t="shared" si="210"/>
        <v>0.06257518360624569</v>
      </c>
      <c r="AP129" s="7">
        <f t="shared" si="211"/>
        <v>0.5578139888881113</v>
      </c>
      <c r="AQ129" s="94">
        <f t="shared" si="212"/>
        <v>0.9627994597094386</v>
      </c>
    </row>
    <row r="130" spans="1:43" ht="12.75">
      <c r="A130" s="177">
        <v>40878</v>
      </c>
      <c r="B130" s="25">
        <f aca="true" t="shared" si="213" ref="B130:B139">C130/D130</f>
        <v>0.05737797317100665</v>
      </c>
      <c r="C130" s="51">
        <v>145.42857142857142</v>
      </c>
      <c r="D130" s="3">
        <v>2534.5714285714284</v>
      </c>
      <c r="E130" s="39">
        <f aca="true" t="shared" si="214" ref="E130:E139">F130/G130</f>
        <v>0.5606599805888062</v>
      </c>
      <c r="F130" s="51">
        <v>742.7142857142857</v>
      </c>
      <c r="G130" s="3">
        <v>1324.7142857142858</v>
      </c>
      <c r="H130" s="39">
        <f aca="true" t="shared" si="215" ref="H130:H139">I130/J130</f>
        <v>0.9626677036748981</v>
      </c>
      <c r="I130" s="51">
        <v>707.2857142857143</v>
      </c>
      <c r="J130" s="3">
        <v>734.7142857142857</v>
      </c>
      <c r="K130" s="63">
        <f t="shared" si="202"/>
        <v>1595.4285714285716</v>
      </c>
      <c r="L130" s="7">
        <f t="shared" si="199"/>
        <v>0.3472852789352572</v>
      </c>
      <c r="M130" s="26">
        <f t="shared" si="203"/>
        <v>4594</v>
      </c>
      <c r="N130" s="25">
        <f aca="true" t="shared" si="216" ref="N130:N139">O130/P130</f>
        <v>0.06665325420737273</v>
      </c>
      <c r="O130" s="3">
        <v>882.915</v>
      </c>
      <c r="P130" s="174">
        <v>13246.39</v>
      </c>
      <c r="Q130" s="39">
        <f aca="true" t="shared" si="217" ref="Q130:Q139">R130/S130</f>
        <v>0.5614962530280739</v>
      </c>
      <c r="R130" s="3">
        <v>2993.77</v>
      </c>
      <c r="S130" s="3">
        <v>5331.772</v>
      </c>
      <c r="T130" s="39">
        <f aca="true" t="shared" si="218" ref="T130:T138">U130/V130</f>
        <v>0.9665027200353894</v>
      </c>
      <c r="U130" s="3">
        <v>6239.902</v>
      </c>
      <c r="V130" s="3">
        <v>6456.166</v>
      </c>
      <c r="W130" s="63">
        <f t="shared" si="204"/>
        <v>10116.587</v>
      </c>
      <c r="X130" s="7">
        <f t="shared" si="200"/>
        <v>0.404108590412333</v>
      </c>
      <c r="Y130" s="24">
        <f t="shared" si="205"/>
        <v>25034.328</v>
      </c>
      <c r="Z130" s="25">
        <f aca="true" t="shared" si="219" ref="Z130:Z141">AA130/AB130</f>
        <v>0.0031228730431997437</v>
      </c>
      <c r="AA130" s="3">
        <v>2.5161290322580645</v>
      </c>
      <c r="AB130" s="3">
        <v>805.7096774193549</v>
      </c>
      <c r="AC130" s="39">
        <f aca="true" t="shared" si="220" ref="AC130:AC141">AD130/AE130</f>
        <v>0.4213023991563406</v>
      </c>
      <c r="AD130" s="3">
        <v>103.09677419354838</v>
      </c>
      <c r="AE130" s="40">
        <v>244.70967741935485</v>
      </c>
      <c r="AF130" s="7">
        <f aca="true" t="shared" si="221" ref="AF130:AF141">AG130/AH130</f>
        <v>0.7191288267926854</v>
      </c>
      <c r="AG130" s="3">
        <v>225.80645161290323</v>
      </c>
      <c r="AH130" s="3">
        <v>314</v>
      </c>
      <c r="AI130" s="63">
        <f t="shared" si="206"/>
        <v>331.41935483870964</v>
      </c>
      <c r="AJ130" s="7">
        <f t="shared" si="201"/>
        <v>0.24290138780528164</v>
      </c>
      <c r="AK130" s="26">
        <f t="shared" si="207"/>
        <v>1364.4193548387098</v>
      </c>
      <c r="AL130" s="93">
        <f t="shared" si="208"/>
        <v>12043.43492626728</v>
      </c>
      <c r="AM130" s="7">
        <f t="shared" si="198"/>
        <v>0.38858881364665504</v>
      </c>
      <c r="AN130" s="3">
        <f t="shared" si="209"/>
        <v>30992.74735483871</v>
      </c>
      <c r="AO130" s="7">
        <f t="shared" si="210"/>
        <v>0.06214988492106188</v>
      </c>
      <c r="AP130" s="7">
        <f t="shared" si="211"/>
        <v>0.5563645896188097</v>
      </c>
      <c r="AQ130" s="94">
        <f t="shared" si="212"/>
        <v>0.9557772932837556</v>
      </c>
    </row>
    <row r="131" spans="1:43" ht="12.75">
      <c r="A131" s="177">
        <v>40848</v>
      </c>
      <c r="B131" s="25">
        <f t="shared" si="213"/>
        <v>0.057979637709903484</v>
      </c>
      <c r="C131" s="51">
        <v>125.28571428571429</v>
      </c>
      <c r="D131" s="3">
        <v>2160.8571428571427</v>
      </c>
      <c r="E131" s="39">
        <f t="shared" si="214"/>
        <v>0.5500492287495898</v>
      </c>
      <c r="F131" s="51">
        <v>718.2857142857143</v>
      </c>
      <c r="G131" s="3">
        <v>1305.857142857143</v>
      </c>
      <c r="H131" s="39">
        <f t="shared" si="215"/>
        <v>0.9687778768956289</v>
      </c>
      <c r="I131" s="51">
        <v>775.7142857142857</v>
      </c>
      <c r="J131" s="3">
        <v>800.7142857142857</v>
      </c>
      <c r="K131" s="63">
        <f t="shared" si="202"/>
        <v>1619.2857142857142</v>
      </c>
      <c r="L131" s="7">
        <f t="shared" si="199"/>
        <v>0.379452329941082</v>
      </c>
      <c r="M131" s="26">
        <f t="shared" si="203"/>
        <v>4267.428571428571</v>
      </c>
      <c r="N131" s="25">
        <f t="shared" si="216"/>
        <v>0.05000038516769069</v>
      </c>
      <c r="O131" s="3">
        <v>551.712</v>
      </c>
      <c r="P131" s="174">
        <v>11034.154999999999</v>
      </c>
      <c r="Q131" s="39">
        <f t="shared" si="217"/>
        <v>0.5543301779434812</v>
      </c>
      <c r="R131" s="3">
        <v>2789.696</v>
      </c>
      <c r="S131" s="3">
        <v>5032.553</v>
      </c>
      <c r="T131" s="39">
        <f t="shared" si="218"/>
        <v>0.9640712007980352</v>
      </c>
      <c r="U131" s="3">
        <v>5935.904</v>
      </c>
      <c r="V131" s="3">
        <v>6157.122</v>
      </c>
      <c r="W131" s="63">
        <f t="shared" si="204"/>
        <v>9277.312</v>
      </c>
      <c r="X131" s="7">
        <f t="shared" si="200"/>
        <v>0.41744883757660134</v>
      </c>
      <c r="Y131" s="24">
        <f t="shared" si="205"/>
        <v>22223.829999999998</v>
      </c>
      <c r="Z131" s="25">
        <f t="shared" si="219"/>
        <v>0.00442303481497701</v>
      </c>
      <c r="AA131" s="3">
        <v>3.3666666666666667</v>
      </c>
      <c r="AB131" s="3">
        <v>761.1666666666666</v>
      </c>
      <c r="AC131" s="39">
        <f t="shared" si="220"/>
        <v>0.4261785762528705</v>
      </c>
      <c r="AD131" s="3">
        <v>105.16666666666667</v>
      </c>
      <c r="AE131" s="40">
        <v>246.76666666666668</v>
      </c>
      <c r="AF131" s="7">
        <f t="shared" si="221"/>
        <v>0.7501329645782363</v>
      </c>
      <c r="AG131" s="3">
        <v>235.06666666666666</v>
      </c>
      <c r="AH131" s="3">
        <v>313.3666666666667</v>
      </c>
      <c r="AI131" s="63">
        <f t="shared" si="206"/>
        <v>343.6</v>
      </c>
      <c r="AJ131" s="7">
        <f t="shared" si="201"/>
        <v>0.26004692348444713</v>
      </c>
      <c r="AK131" s="26">
        <f t="shared" si="207"/>
        <v>1321.3</v>
      </c>
      <c r="AL131" s="93">
        <f t="shared" si="208"/>
        <v>11240.197714285714</v>
      </c>
      <c r="AM131" s="7">
        <f t="shared" si="198"/>
        <v>0.4041410891924414</v>
      </c>
      <c r="AN131" s="3">
        <f t="shared" si="209"/>
        <v>27812.55857142857</v>
      </c>
      <c r="AO131" s="7">
        <f t="shared" si="210"/>
        <v>0.048750047576640025</v>
      </c>
      <c r="AP131" s="7">
        <f t="shared" si="211"/>
        <v>0.5486790234283256</v>
      </c>
      <c r="AQ131" s="94">
        <f t="shared" si="212"/>
        <v>0.9553694206962361</v>
      </c>
    </row>
    <row r="132" spans="1:43" ht="12.75">
      <c r="A132" s="177">
        <v>40817</v>
      </c>
      <c r="B132" s="25">
        <f t="shared" si="213"/>
        <v>0.05678295851744377</v>
      </c>
      <c r="C132" s="51">
        <v>123</v>
      </c>
      <c r="D132" s="174">
        <v>2166.1428571428573</v>
      </c>
      <c r="E132" s="39">
        <f t="shared" si="214"/>
        <v>0.5384701159678859</v>
      </c>
      <c r="F132" s="51">
        <v>689.8571428571429</v>
      </c>
      <c r="G132" s="174">
        <v>1281.142857142857</v>
      </c>
      <c r="H132" s="39">
        <f t="shared" si="215"/>
        <v>0.966162830642391</v>
      </c>
      <c r="I132" s="51">
        <v>803.5714285714286</v>
      </c>
      <c r="J132" s="174">
        <v>831.7142857142857</v>
      </c>
      <c r="K132" s="63">
        <f t="shared" si="202"/>
        <v>1616.4285714285716</v>
      </c>
      <c r="L132" s="7">
        <f t="shared" si="199"/>
        <v>0.3777584882983341</v>
      </c>
      <c r="M132" s="26">
        <f t="shared" si="203"/>
        <v>4279</v>
      </c>
      <c r="N132" s="25">
        <f t="shared" si="216"/>
        <v>0.04677594884411011</v>
      </c>
      <c r="O132" s="3">
        <v>490.05404397899997</v>
      </c>
      <c r="P132" s="174">
        <v>10476.62433555757</v>
      </c>
      <c r="Q132" s="39">
        <f t="shared" si="217"/>
        <v>0.5440716340235681</v>
      </c>
      <c r="R132" s="3">
        <v>2993.9431765647146</v>
      </c>
      <c r="S132" s="174">
        <v>5502.847399750715</v>
      </c>
      <c r="T132" s="39">
        <f t="shared" si="218"/>
        <v>0.9580758024460112</v>
      </c>
      <c r="U132" s="3">
        <v>7637.467912362571</v>
      </c>
      <c r="V132" s="174">
        <v>7971.673945697999</v>
      </c>
      <c r="W132" s="63">
        <f t="shared" si="204"/>
        <v>11121.465132906285</v>
      </c>
      <c r="X132" s="7">
        <f t="shared" si="200"/>
        <v>0.46433958863712393</v>
      </c>
      <c r="Y132" s="24">
        <f t="shared" si="205"/>
        <v>23951.145681006285</v>
      </c>
      <c r="Z132" s="25">
        <f t="shared" si="219"/>
        <v>0.005</v>
      </c>
      <c r="AA132" s="3">
        <v>3.3548387096774195</v>
      </c>
      <c r="AB132" s="174">
        <v>670.9677419354839</v>
      </c>
      <c r="AC132" s="39">
        <f t="shared" si="220"/>
        <v>0.4385845060800656</v>
      </c>
      <c r="AD132" s="3">
        <v>103.54838709677419</v>
      </c>
      <c r="AE132" s="175">
        <v>236.09677419354838</v>
      </c>
      <c r="AF132" s="7">
        <f t="shared" si="221"/>
        <v>0.7651961228372135</v>
      </c>
      <c r="AG132" s="3">
        <v>272.48387096774195</v>
      </c>
      <c r="AH132" s="174">
        <v>356.0967741935484</v>
      </c>
      <c r="AI132" s="63">
        <f t="shared" si="206"/>
        <v>379.3870967741936</v>
      </c>
      <c r="AJ132" s="7">
        <f t="shared" si="201"/>
        <v>0.3003473108943256</v>
      </c>
      <c r="AK132" s="26">
        <f t="shared" si="207"/>
        <v>1263.1612903225807</v>
      </c>
      <c r="AL132" s="93">
        <f t="shared" si="208"/>
        <v>13117.28080110905</v>
      </c>
      <c r="AM132" s="7">
        <f aca="true" t="shared" si="222" ref="AM132:AM139">AL132/AN132</f>
        <v>0.4447544934130535</v>
      </c>
      <c r="AN132" s="3">
        <f t="shared" si="209"/>
        <v>29493.306971328864</v>
      </c>
      <c r="AO132" s="7">
        <f t="shared" si="210"/>
        <v>0.04629871975932757</v>
      </c>
      <c r="AP132" s="7">
        <f t="shared" si="211"/>
        <v>0.5395016742309715</v>
      </c>
      <c r="AQ132" s="94">
        <f t="shared" si="212"/>
        <v>0.9513114772903549</v>
      </c>
    </row>
    <row r="133" spans="1:43" ht="12.75">
      <c r="A133" s="177">
        <v>40797</v>
      </c>
      <c r="B133" s="25">
        <f t="shared" si="213"/>
        <v>0.05662015089804367</v>
      </c>
      <c r="C133" s="51">
        <v>121.14285714285714</v>
      </c>
      <c r="D133" s="3">
        <v>2139.5714285714284</v>
      </c>
      <c r="E133" s="39">
        <f t="shared" si="214"/>
        <v>0.5273015873015873</v>
      </c>
      <c r="F133" s="51">
        <v>711.8571428571429</v>
      </c>
      <c r="G133" s="3">
        <v>1350</v>
      </c>
      <c r="H133" s="39">
        <f t="shared" si="215"/>
        <v>0.9324298160696999</v>
      </c>
      <c r="I133" s="51">
        <v>688</v>
      </c>
      <c r="J133" s="3">
        <v>737.8571428571429</v>
      </c>
      <c r="K133" s="63">
        <f aca="true" t="shared" si="223" ref="K133:K138">SUM(C133+F133+I133)</f>
        <v>1521</v>
      </c>
      <c r="L133" s="7">
        <f aca="true" t="shared" si="224" ref="L133:L138">K133/M133</f>
        <v>0.35979318734793186</v>
      </c>
      <c r="M133" s="26">
        <f aca="true" t="shared" si="225" ref="M133:M138">SUM(J133+G133+D133)</f>
        <v>4227.428571428572</v>
      </c>
      <c r="N133" s="25">
        <f t="shared" si="216"/>
        <v>0.04373036680363631</v>
      </c>
      <c r="O133" s="3">
        <v>441.019</v>
      </c>
      <c r="P133" s="174">
        <v>10084.96</v>
      </c>
      <c r="Q133" s="39">
        <f t="shared" si="217"/>
        <v>0.5314478565202347</v>
      </c>
      <c r="R133" s="3">
        <v>2952.111</v>
      </c>
      <c r="S133" s="3">
        <v>5554.846</v>
      </c>
      <c r="T133" s="39">
        <f t="shared" si="218"/>
        <v>0.9485902377010657</v>
      </c>
      <c r="U133" s="3">
        <v>7169.187</v>
      </c>
      <c r="V133" s="3">
        <v>7557.728</v>
      </c>
      <c r="W133" s="63">
        <f aca="true" t="shared" si="226" ref="W133:W140">+U133+O133+R133</f>
        <v>10562.317</v>
      </c>
      <c r="X133" s="7">
        <f aca="true" t="shared" si="227" ref="X133:X138">W133/Y133</f>
        <v>0.45532068193110525</v>
      </c>
      <c r="Y133" s="24">
        <f aca="true" t="shared" si="228" ref="Y133:Y140">+V133+S133+P133</f>
        <v>23197.534</v>
      </c>
      <c r="Z133" s="25">
        <f t="shared" si="219"/>
        <v>0.003962951016082208</v>
      </c>
      <c r="AA133" s="3">
        <v>2.8666666666666667</v>
      </c>
      <c r="AB133" s="3">
        <v>723.3666666666667</v>
      </c>
      <c r="AC133" s="39">
        <f t="shared" si="220"/>
        <v>0.4159715407262021</v>
      </c>
      <c r="AD133" s="3">
        <v>113.03333333333333</v>
      </c>
      <c r="AE133" s="40">
        <v>271.73333333333335</v>
      </c>
      <c r="AF133" s="7">
        <f t="shared" si="221"/>
        <v>0.6258809710258417</v>
      </c>
      <c r="AG133" s="3">
        <v>213.13333333333333</v>
      </c>
      <c r="AH133" s="3">
        <v>340.53333333333336</v>
      </c>
      <c r="AI133" s="63">
        <f aca="true" t="shared" si="229" ref="AI133:AI142">AG133+AD133+AA133</f>
        <v>329.0333333333333</v>
      </c>
      <c r="AJ133" s="7">
        <f aca="true" t="shared" si="230" ref="AJ133:AJ142">AI133/AK133</f>
        <v>0.24635004617035614</v>
      </c>
      <c r="AK133" s="26">
        <f aca="true" t="shared" si="231" ref="AK133:AK142">+AH133+AE133+AB133</f>
        <v>1335.6333333333332</v>
      </c>
      <c r="AL133" s="93">
        <f aca="true" t="shared" si="232" ref="AL133:AL140">+AI133+W133+K133</f>
        <v>12412.350333333332</v>
      </c>
      <c r="AM133" s="7">
        <f t="shared" si="222"/>
        <v>0.431574866335722</v>
      </c>
      <c r="AN133" s="3">
        <f aca="true" t="shared" si="233" ref="AN133:AN140">+AK133+Y133+M133</f>
        <v>28760.595904761904</v>
      </c>
      <c r="AO133" s="7">
        <f aca="true" t="shared" si="234" ref="AO133:AO140">(+AA133+O133+C133)/(D133+P133+AB133)</f>
        <v>0.0436386291932068</v>
      </c>
      <c r="AP133" s="7">
        <f aca="true" t="shared" si="235" ref="AP133:AP138">(+AD133+R133+F133)/(G133+S133+AE133)</f>
        <v>0.5262955094284671</v>
      </c>
      <c r="AQ133" s="94">
        <f aca="true" t="shared" si="236" ref="AQ133:AQ138">(AG133+U133+I133)/(AH133+V133+J133)</f>
        <v>0.9344846710455591</v>
      </c>
    </row>
    <row r="134" spans="1:43" ht="12.75">
      <c r="A134" s="177">
        <v>40756</v>
      </c>
      <c r="B134" s="25">
        <f t="shared" si="213"/>
        <v>0.05591054313099041</v>
      </c>
      <c r="C134" s="51">
        <v>125</v>
      </c>
      <c r="D134" s="3">
        <v>2235.714285714286</v>
      </c>
      <c r="E134" s="39">
        <f t="shared" si="214"/>
        <v>0.521978021978022</v>
      </c>
      <c r="F134" s="51">
        <v>732.8571428571429</v>
      </c>
      <c r="G134" s="3">
        <v>1404</v>
      </c>
      <c r="H134" s="39">
        <f t="shared" si="215"/>
        <v>0.9321312296518907</v>
      </c>
      <c r="I134" s="51">
        <v>1063.4285714285713</v>
      </c>
      <c r="J134" s="3">
        <v>1140.857142857143</v>
      </c>
      <c r="K134" s="63">
        <f t="shared" si="223"/>
        <v>1921.2857142857142</v>
      </c>
      <c r="L134" s="7">
        <f t="shared" si="224"/>
        <v>0.40189457327277067</v>
      </c>
      <c r="M134" s="26">
        <f t="shared" si="225"/>
        <v>4780.571428571429</v>
      </c>
      <c r="N134" s="25">
        <f t="shared" si="216"/>
        <v>0.03885802474878181</v>
      </c>
      <c r="O134" s="3">
        <v>417.709</v>
      </c>
      <c r="P134" s="174">
        <v>10749.62</v>
      </c>
      <c r="Q134" s="39">
        <f t="shared" si="217"/>
        <v>0.5243742257022288</v>
      </c>
      <c r="R134" s="3">
        <v>2923.498</v>
      </c>
      <c r="S134" s="3">
        <v>5575.213</v>
      </c>
      <c r="T134" s="39">
        <f t="shared" si="218"/>
        <v>0.9522735810528228</v>
      </c>
      <c r="U134" s="3">
        <v>6981.15</v>
      </c>
      <c r="V134" s="3">
        <v>7331.034</v>
      </c>
      <c r="W134" s="63">
        <f t="shared" si="226"/>
        <v>10322.357</v>
      </c>
      <c r="X134" s="7">
        <f t="shared" si="227"/>
        <v>0.43635504883418563</v>
      </c>
      <c r="Y134" s="24">
        <f t="shared" si="228"/>
        <v>23655.867</v>
      </c>
      <c r="Z134" s="25">
        <f t="shared" si="219"/>
        <v>0.005878510777269759</v>
      </c>
      <c r="AA134" s="3">
        <v>4.064516129032258</v>
      </c>
      <c r="AB134" s="3">
        <v>691.4193548387096</v>
      </c>
      <c r="AC134" s="39">
        <f t="shared" si="220"/>
        <v>0.413823758195355</v>
      </c>
      <c r="AD134" s="3">
        <v>120.12903225806451</v>
      </c>
      <c r="AE134" s="40">
        <v>290.2903225806452</v>
      </c>
      <c r="AF134" s="7">
        <f t="shared" si="221"/>
        <v>0.6695061020558605</v>
      </c>
      <c r="AG134" s="3">
        <v>263.6774193548387</v>
      </c>
      <c r="AH134" s="3">
        <v>393.83870967741933</v>
      </c>
      <c r="AI134" s="63">
        <f t="shared" si="229"/>
        <v>387.8709677419355</v>
      </c>
      <c r="AJ134" s="7">
        <f t="shared" si="230"/>
        <v>0.281975517095821</v>
      </c>
      <c r="AK134" s="26">
        <f t="shared" si="231"/>
        <v>1375.5483870967741</v>
      </c>
      <c r="AL134" s="93">
        <f t="shared" si="232"/>
        <v>12631.51368202765</v>
      </c>
      <c r="AM134" s="7">
        <f t="shared" si="222"/>
        <v>0.42370586570194446</v>
      </c>
      <c r="AN134" s="3">
        <f t="shared" si="233"/>
        <v>29811.9868156682</v>
      </c>
      <c r="AO134" s="7">
        <f t="shared" si="234"/>
        <v>0.039978311410669265</v>
      </c>
      <c r="AP134" s="7">
        <f t="shared" si="235"/>
        <v>0.5194968634768531</v>
      </c>
      <c r="AQ134" s="94">
        <f t="shared" si="236"/>
        <v>0.9371203644794366</v>
      </c>
    </row>
    <row r="135" spans="1:43" ht="12.75">
      <c r="A135" s="177">
        <v>40725</v>
      </c>
      <c r="B135" s="25">
        <f t="shared" si="213"/>
        <v>0.057957510249720456</v>
      </c>
      <c r="C135" s="51">
        <v>133.28571428571428</v>
      </c>
      <c r="D135" s="3">
        <v>2299.714285714286</v>
      </c>
      <c r="E135" s="39">
        <f t="shared" si="214"/>
        <v>0.5398662808102983</v>
      </c>
      <c r="F135" s="51">
        <v>772.8571428571429</v>
      </c>
      <c r="G135" s="3">
        <v>1431.5714285714287</v>
      </c>
      <c r="H135" s="39">
        <f t="shared" si="215"/>
        <v>0.9064685314685316</v>
      </c>
      <c r="I135" s="51">
        <v>888.8571428571429</v>
      </c>
      <c r="J135" s="3">
        <v>980.5714285714286</v>
      </c>
      <c r="K135" s="63">
        <f t="shared" si="223"/>
        <v>1795</v>
      </c>
      <c r="L135" s="7">
        <f t="shared" si="224"/>
        <v>0.38095382469757144</v>
      </c>
      <c r="M135" s="26">
        <f t="shared" si="225"/>
        <v>4711.857142857143</v>
      </c>
      <c r="N135" s="25">
        <f t="shared" si="216"/>
        <v>0.03775134532644966</v>
      </c>
      <c r="O135" s="3">
        <v>456.021</v>
      </c>
      <c r="P135" s="174">
        <v>12079.596000000001</v>
      </c>
      <c r="Q135" s="39">
        <f t="shared" si="217"/>
        <v>0.5359755161282997</v>
      </c>
      <c r="R135" s="3">
        <v>3162.456</v>
      </c>
      <c r="S135" s="3">
        <v>5900.374</v>
      </c>
      <c r="T135" s="39">
        <f t="shared" si="218"/>
        <v>0.9459599553398905</v>
      </c>
      <c r="U135" s="3">
        <v>7064.393</v>
      </c>
      <c r="V135" s="3">
        <v>7467.962</v>
      </c>
      <c r="W135" s="63">
        <f t="shared" si="226"/>
        <v>10682.869999999999</v>
      </c>
      <c r="X135" s="7">
        <f t="shared" si="227"/>
        <v>0.4197932468540076</v>
      </c>
      <c r="Y135" s="24">
        <f t="shared" si="228"/>
        <v>25447.932</v>
      </c>
      <c r="Z135" s="25">
        <f t="shared" si="219"/>
        <v>0.0040731174249950325</v>
      </c>
      <c r="AA135" s="3">
        <v>2.6451612903225805</v>
      </c>
      <c r="AB135" s="3">
        <v>649.4193548387096</v>
      </c>
      <c r="AC135" s="39">
        <f t="shared" si="220"/>
        <v>0.3736815024440442</v>
      </c>
      <c r="AD135" s="3">
        <v>93.70967741935483</v>
      </c>
      <c r="AE135" s="40">
        <v>250.7741935483871</v>
      </c>
      <c r="AF135" s="7">
        <f t="shared" si="221"/>
        <v>0.6746396155899625</v>
      </c>
      <c r="AG135" s="3">
        <v>203.80645161290323</v>
      </c>
      <c r="AH135" s="3">
        <v>302.0967741935484</v>
      </c>
      <c r="AI135" s="63">
        <f t="shared" si="229"/>
        <v>300.1612903225806</v>
      </c>
      <c r="AJ135" s="7">
        <f t="shared" si="230"/>
        <v>0.2496579109763623</v>
      </c>
      <c r="AK135" s="26">
        <f t="shared" si="231"/>
        <v>1202.2903225806451</v>
      </c>
      <c r="AL135" s="93">
        <f t="shared" si="232"/>
        <v>12778.03129032258</v>
      </c>
      <c r="AM135" s="7">
        <f t="shared" si="222"/>
        <v>0.40743571561970116</v>
      </c>
      <c r="AN135" s="3">
        <f t="shared" si="233"/>
        <v>31362.07946543779</v>
      </c>
      <c r="AO135" s="7">
        <f t="shared" si="234"/>
        <v>0.03938801813153486</v>
      </c>
      <c r="AP135" s="7">
        <f t="shared" si="235"/>
        <v>0.5313427135724885</v>
      </c>
      <c r="AQ135" s="94">
        <f t="shared" si="236"/>
        <v>0.9321679016778269</v>
      </c>
    </row>
    <row r="136" spans="1:43" ht="12.75">
      <c r="A136" s="177">
        <v>40695</v>
      </c>
      <c r="B136" s="25">
        <f t="shared" si="213"/>
        <v>0.060055581915542604</v>
      </c>
      <c r="C136" s="51">
        <v>126.57142857142857</v>
      </c>
      <c r="D136" s="3">
        <v>2107.5714285714284</v>
      </c>
      <c r="E136" s="39">
        <f t="shared" si="214"/>
        <v>0.553290377099398</v>
      </c>
      <c r="F136" s="51">
        <v>748.2857142857143</v>
      </c>
      <c r="G136" s="3">
        <v>1352.4285714285713</v>
      </c>
      <c r="H136" s="39">
        <f t="shared" si="215"/>
        <v>0.9380032206119162</v>
      </c>
      <c r="I136" s="51">
        <v>832.1428571428571</v>
      </c>
      <c r="J136" s="3">
        <v>887.1428571428571</v>
      </c>
      <c r="K136" s="63">
        <f t="shared" si="223"/>
        <v>1707</v>
      </c>
      <c r="L136" s="7">
        <f t="shared" si="224"/>
        <v>0.3926717055537299</v>
      </c>
      <c r="M136" s="26">
        <f t="shared" si="225"/>
        <v>4347.142857142857</v>
      </c>
      <c r="N136" s="25">
        <f>O136/P136</f>
        <v>0.041877253013298026</v>
      </c>
      <c r="O136" s="3">
        <v>439.216</v>
      </c>
      <c r="P136" s="174">
        <v>10488.176</v>
      </c>
      <c r="Q136" s="39">
        <f>R136/S136</f>
        <v>0.5505709524870284</v>
      </c>
      <c r="R136" s="3">
        <v>3190.829</v>
      </c>
      <c r="S136" s="3">
        <v>5795.491</v>
      </c>
      <c r="T136" s="39">
        <f>U136/V136</f>
        <v>0.9491360922881904</v>
      </c>
      <c r="U136" s="3">
        <v>6674.381</v>
      </c>
      <c r="V136" s="3">
        <v>7032.059</v>
      </c>
      <c r="W136" s="63">
        <f t="shared" si="226"/>
        <v>10304.426000000001</v>
      </c>
      <c r="X136" s="7">
        <f>W136/Y136</f>
        <v>0.4419517539363776</v>
      </c>
      <c r="Y136" s="24">
        <f t="shared" si="228"/>
        <v>23315.726</v>
      </c>
      <c r="Z136" s="25">
        <f t="shared" si="219"/>
        <v>0.0042963528737827005</v>
      </c>
      <c r="AA136" s="3">
        <v>2.903225806451613</v>
      </c>
      <c r="AB136" s="3">
        <v>675.741935483871</v>
      </c>
      <c r="AC136" s="39">
        <f t="shared" si="220"/>
        <v>0.38187399893219437</v>
      </c>
      <c r="AD136" s="3">
        <v>92.29032258064517</v>
      </c>
      <c r="AE136" s="40">
        <v>241.67741935483872</v>
      </c>
      <c r="AF136" s="7">
        <f t="shared" si="221"/>
        <v>0.691816330309202</v>
      </c>
      <c r="AG136" s="3">
        <v>241.06451612903226</v>
      </c>
      <c r="AH136" s="3">
        <v>348.4516129032258</v>
      </c>
      <c r="AI136" s="63">
        <f t="shared" si="229"/>
        <v>336.258064516129</v>
      </c>
      <c r="AJ136" s="7">
        <f t="shared" si="230"/>
        <v>0.2656337597472096</v>
      </c>
      <c r="AK136" s="26">
        <f t="shared" si="231"/>
        <v>1265.8709677419356</v>
      </c>
      <c r="AL136" s="93">
        <f t="shared" si="232"/>
        <v>12347.68406451613</v>
      </c>
      <c r="AM136" s="7">
        <f t="shared" si="222"/>
        <v>0.42683103858864013</v>
      </c>
      <c r="AN136" s="3">
        <f t="shared" si="233"/>
        <v>28928.73982488479</v>
      </c>
      <c r="AO136" s="7">
        <f t="shared" si="234"/>
        <v>0.04285055269818702</v>
      </c>
      <c r="AP136" s="7">
        <f t="shared" si="235"/>
        <v>0.5455514071869526</v>
      </c>
      <c r="AQ136" s="94">
        <f t="shared" si="236"/>
        <v>0.937096408472077</v>
      </c>
    </row>
    <row r="137" spans="1:43" ht="12.75">
      <c r="A137" s="177">
        <v>40664</v>
      </c>
      <c r="B137" s="25">
        <f t="shared" si="213"/>
        <v>0.05529605715070751</v>
      </c>
      <c r="C137" s="51">
        <v>115</v>
      </c>
      <c r="D137" s="174">
        <v>2079.714285714286</v>
      </c>
      <c r="E137" s="39">
        <f t="shared" si="214"/>
        <v>0.5560590217265016</v>
      </c>
      <c r="F137" s="51">
        <v>683.7142857142857</v>
      </c>
      <c r="G137" s="174">
        <v>1229.5714285714287</v>
      </c>
      <c r="H137" s="39">
        <f t="shared" si="215"/>
        <v>0.9255813953488372</v>
      </c>
      <c r="I137" s="51">
        <v>796</v>
      </c>
      <c r="J137" s="173">
        <v>860</v>
      </c>
      <c r="K137" s="63">
        <f t="shared" si="223"/>
        <v>1594.7142857142858</v>
      </c>
      <c r="L137" s="7">
        <f t="shared" si="224"/>
        <v>0.38249100565358923</v>
      </c>
      <c r="M137" s="26">
        <f t="shared" si="225"/>
        <v>4169.285714285714</v>
      </c>
      <c r="N137" s="25">
        <f t="shared" si="216"/>
        <v>0.04074789500301255</v>
      </c>
      <c r="O137" s="3">
        <v>441.22</v>
      </c>
      <c r="P137" s="174">
        <v>10828.044</v>
      </c>
      <c r="Q137" s="39">
        <f t="shared" si="217"/>
        <v>0.5600044219810814</v>
      </c>
      <c r="R137" s="3">
        <v>2978.598</v>
      </c>
      <c r="S137" s="3">
        <v>5318.883</v>
      </c>
      <c r="T137" s="39">
        <f t="shared" si="218"/>
        <v>0.9619142197891689</v>
      </c>
      <c r="U137" s="3">
        <v>6378.357</v>
      </c>
      <c r="V137" s="3">
        <v>6630.9</v>
      </c>
      <c r="W137" s="63">
        <f t="shared" si="226"/>
        <v>9798.175</v>
      </c>
      <c r="X137" s="7">
        <f t="shared" si="227"/>
        <v>0.43016285091637585</v>
      </c>
      <c r="Y137" s="24">
        <f t="shared" si="228"/>
        <v>22777.826999999997</v>
      </c>
      <c r="Z137" s="25">
        <f t="shared" si="219"/>
        <v>0.0033925364198762716</v>
      </c>
      <c r="AA137" s="51">
        <v>2.193548387096774</v>
      </c>
      <c r="AB137" s="173">
        <v>646.5806451612904</v>
      </c>
      <c r="AC137" s="39">
        <f t="shared" si="220"/>
        <v>0.3795697505609081</v>
      </c>
      <c r="AD137" s="51">
        <v>92.7741935483871</v>
      </c>
      <c r="AE137" s="176">
        <v>244.41935483870967</v>
      </c>
      <c r="AF137" s="7">
        <f t="shared" si="221"/>
        <v>0.700243987452074</v>
      </c>
      <c r="AG137" s="51">
        <v>259.2258064516129</v>
      </c>
      <c r="AH137" s="173">
        <v>370.19354838709677</v>
      </c>
      <c r="AI137" s="63">
        <f t="shared" si="229"/>
        <v>354.19354838709677</v>
      </c>
      <c r="AJ137" s="7">
        <f t="shared" si="230"/>
        <v>0.28083996214543316</v>
      </c>
      <c r="AK137" s="26">
        <f t="shared" si="231"/>
        <v>1261.1935483870968</v>
      </c>
      <c r="AL137" s="93">
        <f t="shared" si="232"/>
        <v>11747.082834101382</v>
      </c>
      <c r="AM137" s="7">
        <f t="shared" si="222"/>
        <v>0.416440559199612</v>
      </c>
      <c r="AN137" s="3">
        <f t="shared" si="233"/>
        <v>28208.30626267281</v>
      </c>
      <c r="AO137" s="7">
        <f t="shared" si="234"/>
        <v>0.04119813966840394</v>
      </c>
      <c r="AP137" s="7">
        <f t="shared" si="235"/>
        <v>0.5527979171986847</v>
      </c>
      <c r="AQ137" s="94">
        <f t="shared" si="236"/>
        <v>0.945616886594207</v>
      </c>
    </row>
    <row r="138" spans="1:43" ht="12.75">
      <c r="A138" s="177">
        <v>40634</v>
      </c>
      <c r="B138" s="25">
        <f t="shared" si="213"/>
        <v>0.05419863447596255</v>
      </c>
      <c r="C138" s="51">
        <v>110</v>
      </c>
      <c r="D138" s="174">
        <v>2029.5714285714287</v>
      </c>
      <c r="E138" s="39">
        <f t="shared" si="214"/>
        <v>0.54990990990991</v>
      </c>
      <c r="F138" s="51">
        <v>654</v>
      </c>
      <c r="G138" s="175">
        <v>1189.2857142857142</v>
      </c>
      <c r="H138" s="7">
        <f t="shared" si="215"/>
        <v>0.9363810185989918</v>
      </c>
      <c r="I138" s="51">
        <v>769.5714285714286</v>
      </c>
      <c r="J138" s="173">
        <v>821.8571428571429</v>
      </c>
      <c r="K138" s="63">
        <f t="shared" si="223"/>
        <v>1533.5714285714284</v>
      </c>
      <c r="L138" s="7">
        <f t="shared" si="224"/>
        <v>0.3795297861057097</v>
      </c>
      <c r="M138" s="26">
        <f t="shared" si="225"/>
        <v>4040.714285714286</v>
      </c>
      <c r="N138" s="25">
        <f t="shared" si="216"/>
        <v>0.040047612770436614</v>
      </c>
      <c r="O138" s="3">
        <v>396.0675157384286</v>
      </c>
      <c r="P138" s="174">
        <v>9889.915736271001</v>
      </c>
      <c r="Q138" s="39">
        <f t="shared" si="217"/>
        <v>0.5650648085308301</v>
      </c>
      <c r="R138" s="3">
        <v>2729.5123910905713</v>
      </c>
      <c r="S138" s="174">
        <v>4830.441304931572</v>
      </c>
      <c r="T138" s="39">
        <f t="shared" si="218"/>
        <v>0.9651202361150523</v>
      </c>
      <c r="U138" s="3">
        <v>6793.784470777427</v>
      </c>
      <c r="V138" s="174">
        <v>7039.314083937141</v>
      </c>
      <c r="W138" s="63">
        <f t="shared" si="226"/>
        <v>9919.364377606427</v>
      </c>
      <c r="X138" s="7">
        <f t="shared" si="227"/>
        <v>0.4558600321006799</v>
      </c>
      <c r="Y138" s="24">
        <f t="shared" si="228"/>
        <v>21759.671125139714</v>
      </c>
      <c r="Z138" s="25">
        <f t="shared" si="219"/>
        <v>0.0029255558556125663</v>
      </c>
      <c r="AA138" s="51">
        <v>2.096774193548387</v>
      </c>
      <c r="AB138" s="173">
        <v>716.7096774193549</v>
      </c>
      <c r="AC138" s="39">
        <f t="shared" si="220"/>
        <v>0.39021447721179625</v>
      </c>
      <c r="AD138" s="51">
        <v>93.90322580645162</v>
      </c>
      <c r="AE138" s="176">
        <v>240.6451612903226</v>
      </c>
      <c r="AF138" s="7">
        <f t="shared" si="221"/>
        <v>0.6557869249394673</v>
      </c>
      <c r="AG138" s="51">
        <v>218.41935483870967</v>
      </c>
      <c r="AH138" s="173">
        <v>333.06451612903226</v>
      </c>
      <c r="AI138" s="63">
        <f t="shared" si="229"/>
        <v>314.4193548387097</v>
      </c>
      <c r="AJ138" s="7">
        <f t="shared" si="230"/>
        <v>0.24365672574556907</v>
      </c>
      <c r="AK138" s="26">
        <f t="shared" si="231"/>
        <v>1290.4193548387098</v>
      </c>
      <c r="AL138" s="93">
        <f t="shared" si="232"/>
        <v>11767.355161016567</v>
      </c>
      <c r="AM138" s="7">
        <f t="shared" si="222"/>
        <v>0.4343671316814673</v>
      </c>
      <c r="AN138" s="3">
        <f t="shared" si="233"/>
        <v>27090.80476569271</v>
      </c>
      <c r="AO138" s="7">
        <f t="shared" si="234"/>
        <v>0.04021497102929107</v>
      </c>
      <c r="AP138" s="7">
        <f t="shared" si="235"/>
        <v>0.5554646779187279</v>
      </c>
      <c r="AQ138" s="94">
        <f t="shared" si="236"/>
        <v>0.9496645566864537</v>
      </c>
    </row>
    <row r="139" spans="1:43" ht="12.75">
      <c r="A139" s="177">
        <v>40603</v>
      </c>
      <c r="B139" s="25">
        <f t="shared" si="213"/>
        <v>0.05233028436313857</v>
      </c>
      <c r="C139" s="51">
        <v>120.14285714285714</v>
      </c>
      <c r="D139" s="174">
        <v>2295.8571428571427</v>
      </c>
      <c r="E139" s="39">
        <f t="shared" si="214"/>
        <v>0.5498193683719846</v>
      </c>
      <c r="F139" s="51">
        <v>674</v>
      </c>
      <c r="G139" s="175">
        <v>1225.857142857143</v>
      </c>
      <c r="H139" s="7">
        <f t="shared" si="215"/>
        <v>0.9662613461209112</v>
      </c>
      <c r="I139" s="51">
        <v>806</v>
      </c>
      <c r="J139" s="173">
        <v>834.1428571428571</v>
      </c>
      <c r="K139" s="63">
        <f>SUM(C139+F139+I139)</f>
        <v>1600.142857142857</v>
      </c>
      <c r="L139" s="7">
        <f>K139/M139</f>
        <v>0.36735430126922697</v>
      </c>
      <c r="M139" s="26">
        <f>SUM(J139+G139+D139)</f>
        <v>4355.857142857143</v>
      </c>
      <c r="N139" s="25">
        <f t="shared" si="216"/>
        <v>0.038716547857817085</v>
      </c>
      <c r="O139" s="3">
        <v>443.2566717554286</v>
      </c>
      <c r="P139" s="174">
        <v>11448.765354371146</v>
      </c>
      <c r="Q139" s="39">
        <f t="shared" si="217"/>
        <v>0.560211201345393</v>
      </c>
      <c r="R139" s="3">
        <v>2971.6844494624293</v>
      </c>
      <c r="S139" s="175">
        <v>5304.578777299857</v>
      </c>
      <c r="T139" s="7">
        <f>U139/V139</f>
        <v>0.9659302787497372</v>
      </c>
      <c r="U139" s="3">
        <v>6089.290090295143</v>
      </c>
      <c r="V139" s="174">
        <v>6304.067927321716</v>
      </c>
      <c r="W139" s="63">
        <f t="shared" si="226"/>
        <v>9504.231211513</v>
      </c>
      <c r="X139" s="7">
        <f>W139/Y139</f>
        <v>0.4121985237196737</v>
      </c>
      <c r="Y139" s="24">
        <f t="shared" si="228"/>
        <v>23057.41205899272</v>
      </c>
      <c r="Z139" s="25">
        <f t="shared" si="219"/>
        <v>0.0028382581648522553</v>
      </c>
      <c r="AA139" s="51">
        <v>2.3548387096774195</v>
      </c>
      <c r="AB139" s="173">
        <v>829.6774193548387</v>
      </c>
      <c r="AC139" s="39">
        <f t="shared" si="220"/>
        <v>0.39172625127681304</v>
      </c>
      <c r="AD139" s="51">
        <v>98.96774193548387</v>
      </c>
      <c r="AE139" s="176">
        <v>252.6451612903226</v>
      </c>
      <c r="AF139" s="7">
        <f t="shared" si="221"/>
        <v>0.6444034637588197</v>
      </c>
      <c r="AG139" s="51">
        <v>259.258064516129</v>
      </c>
      <c r="AH139" s="173">
        <v>402.3225806451613</v>
      </c>
      <c r="AI139" s="63">
        <f t="shared" si="229"/>
        <v>360.58064516129036</v>
      </c>
      <c r="AJ139" s="7">
        <f t="shared" si="230"/>
        <v>0.24287328350425869</v>
      </c>
      <c r="AK139" s="26">
        <f t="shared" si="231"/>
        <v>1484.6451612903224</v>
      </c>
      <c r="AL139" s="93">
        <f t="shared" si="232"/>
        <v>11464.954713817147</v>
      </c>
      <c r="AM139" s="7">
        <f t="shared" si="222"/>
        <v>0.39673986744319883</v>
      </c>
      <c r="AN139" s="3">
        <f t="shared" si="233"/>
        <v>28897.914363140182</v>
      </c>
      <c r="AO139" s="7">
        <f t="shared" si="234"/>
        <v>0.03881863079846661</v>
      </c>
      <c r="AP139" s="7">
        <f aca="true" t="shared" si="237" ref="AP139:AP144">(+AD139+R139+F139)/(G139+S139+AE139)</f>
        <v>0.5520577074686696</v>
      </c>
      <c r="AQ139" s="94">
        <f aca="true" t="shared" si="238" ref="AQ139:AQ144">(AG139+U139+I139)/(AH139+V139+J139)</f>
        <v>0.9488119484910145</v>
      </c>
    </row>
    <row r="140" spans="1:43" ht="12.75">
      <c r="A140" s="177">
        <v>40575</v>
      </c>
      <c r="B140" s="25">
        <f aca="true" t="shared" si="239" ref="B140:B146">C140/D140</f>
        <v>0.05167973779702681</v>
      </c>
      <c r="C140" s="51">
        <v>126.14285714285714</v>
      </c>
      <c r="D140" s="174">
        <v>2440.8571428571427</v>
      </c>
      <c r="E140" s="39">
        <f aca="true" t="shared" si="240" ref="E140:E146">F140/G140</f>
        <v>0.5360944251238275</v>
      </c>
      <c r="F140" s="51">
        <v>726.7142857142857</v>
      </c>
      <c r="G140" s="175">
        <v>1355.5714285714287</v>
      </c>
      <c r="H140" s="7">
        <f aca="true" t="shared" si="241" ref="H140:H146">I140/J140</f>
        <v>0.9643931795386158</v>
      </c>
      <c r="I140" s="51">
        <v>824.1428571428571</v>
      </c>
      <c r="J140" s="173">
        <v>854.5714285714286</v>
      </c>
      <c r="K140" s="63">
        <f>SUM(C140+F140+I140)</f>
        <v>1677</v>
      </c>
      <c r="L140" s="7">
        <f aca="true" t="shared" si="242" ref="L140:L145">K140/M140</f>
        <v>0.36056761986669533</v>
      </c>
      <c r="M140" s="26">
        <f aca="true" t="shared" si="243" ref="M140:M145">SUM(J140+G140+D140)</f>
        <v>4651</v>
      </c>
      <c r="N140" s="25">
        <f aca="true" t="shared" si="244" ref="N140:N146">O140/P140</f>
        <v>0.03963622652135928</v>
      </c>
      <c r="O140" s="3">
        <v>486.9441504425714</v>
      </c>
      <c r="P140" s="174">
        <v>12285.33069817243</v>
      </c>
      <c r="Q140" s="39">
        <f aca="true" t="shared" si="245" ref="Q140:Q146">R140/S140</f>
        <v>0.5647026772038286</v>
      </c>
      <c r="R140" s="3">
        <v>3142.1160094522857</v>
      </c>
      <c r="S140" s="175">
        <v>5564.195347914286</v>
      </c>
      <c r="T140" s="7">
        <f aca="true" t="shared" si="246" ref="T140:T146">U140/V140</f>
        <v>0.9571777408301422</v>
      </c>
      <c r="U140" s="3">
        <v>6159.492002330713</v>
      </c>
      <c r="V140" s="174">
        <v>6435.055621946141</v>
      </c>
      <c r="W140" s="63">
        <f t="shared" si="226"/>
        <v>9788.55216222557</v>
      </c>
      <c r="X140" s="7">
        <f aca="true" t="shared" si="247" ref="X140:X145">W140/Y140</f>
        <v>0.4030768285834128</v>
      </c>
      <c r="Y140" s="24">
        <f t="shared" si="228"/>
        <v>24284.581668032857</v>
      </c>
      <c r="Z140" s="25">
        <f t="shared" si="219"/>
        <v>0.002802303262955854</v>
      </c>
      <c r="AA140" s="51">
        <v>2.607142857142857</v>
      </c>
      <c r="AB140" s="173">
        <v>930.3571428571429</v>
      </c>
      <c r="AC140" s="39">
        <f t="shared" si="220"/>
        <v>0.4266170806215964</v>
      </c>
      <c r="AD140" s="51">
        <v>114.71428571428571</v>
      </c>
      <c r="AE140" s="176">
        <v>268.89285714285717</v>
      </c>
      <c r="AF140" s="7">
        <f t="shared" si="221"/>
        <v>0.6198507050041471</v>
      </c>
      <c r="AG140" s="51">
        <v>240.21428571428572</v>
      </c>
      <c r="AH140" s="173">
        <v>387.5357142857143</v>
      </c>
      <c r="AI140" s="63">
        <f t="shared" si="229"/>
        <v>357.5357142857143</v>
      </c>
      <c r="AJ140" s="7">
        <f t="shared" si="230"/>
        <v>0.22532072923700203</v>
      </c>
      <c r="AK140" s="26">
        <f t="shared" si="231"/>
        <v>1586.7857142857142</v>
      </c>
      <c r="AL140" s="93">
        <f t="shared" si="232"/>
        <v>11823.087876511283</v>
      </c>
      <c r="AM140" s="7">
        <f aca="true" t="shared" si="248" ref="AM140:AM145">AL140/AN140</f>
        <v>0.3873581537243513</v>
      </c>
      <c r="AN140" s="3">
        <f t="shared" si="233"/>
        <v>30522.36738231857</v>
      </c>
      <c r="AO140" s="7">
        <f t="shared" si="234"/>
        <v>0.039325033145960794</v>
      </c>
      <c r="AP140" s="7">
        <f t="shared" si="237"/>
        <v>0.5541428839175837</v>
      </c>
      <c r="AQ140" s="94">
        <f t="shared" si="238"/>
        <v>0.9409529752718425</v>
      </c>
    </row>
    <row r="141" spans="1:43" s="15" customFormat="1" ht="12.75">
      <c r="A141" s="147">
        <v>40544</v>
      </c>
      <c r="B141" s="25">
        <f t="shared" si="239"/>
        <v>0.05192870150653937</v>
      </c>
      <c r="C141" s="51">
        <v>134.42857142857142</v>
      </c>
      <c r="D141" s="3">
        <v>2588.714285714286</v>
      </c>
      <c r="E141" s="39">
        <f t="shared" si="240"/>
        <v>0.5325847202727091</v>
      </c>
      <c r="F141" s="51">
        <v>758.8571428571429</v>
      </c>
      <c r="G141" s="40">
        <v>1424.857142857143</v>
      </c>
      <c r="H141" s="7">
        <f t="shared" si="241"/>
        <v>0.957670322879654</v>
      </c>
      <c r="I141" s="51">
        <v>885.5714285714286</v>
      </c>
      <c r="J141" s="26">
        <v>924.7142857142857</v>
      </c>
      <c r="K141" s="63">
        <f aca="true" t="shared" si="249" ref="K141:K146">SUM(C141+F141+I141)</f>
        <v>1778.857142857143</v>
      </c>
      <c r="L141" s="7">
        <f t="shared" si="242"/>
        <v>0.36021754223559366</v>
      </c>
      <c r="M141" s="26">
        <f t="shared" si="243"/>
        <v>4938.285714285714</v>
      </c>
      <c r="N141" s="25">
        <f t="shared" si="244"/>
        <v>0.03608366750918614</v>
      </c>
      <c r="O141" s="11">
        <v>494.0055656020001</v>
      </c>
      <c r="P141" s="3">
        <v>13690.558629502855</v>
      </c>
      <c r="Q141" s="39">
        <f t="shared" si="245"/>
        <v>0.5515968842979305</v>
      </c>
      <c r="R141" s="3">
        <v>2851.446188806571</v>
      </c>
      <c r="S141" s="40">
        <v>5169.438533787</v>
      </c>
      <c r="T141" s="7">
        <f t="shared" si="246"/>
        <v>0.9668480760077969</v>
      </c>
      <c r="U141" s="3">
        <v>6559.305714404285</v>
      </c>
      <c r="V141" s="26">
        <v>6784.215511384427</v>
      </c>
      <c r="W141" s="63">
        <f aca="true" t="shared" si="250" ref="W141:W146">+U141+O141+R141</f>
        <v>9904.757468812857</v>
      </c>
      <c r="X141" s="7">
        <f t="shared" si="247"/>
        <v>0.38623753415501033</v>
      </c>
      <c r="Y141" s="24">
        <f aca="true" t="shared" si="251" ref="Y141:Y146">+V141+S141+P141</f>
        <v>25644.212674674283</v>
      </c>
      <c r="Z141" s="25">
        <f t="shared" si="219"/>
        <v>0.003171709806780897</v>
      </c>
      <c r="AA141" s="51">
        <v>2.806451612903226</v>
      </c>
      <c r="AB141" s="51">
        <v>884.8387096774194</v>
      </c>
      <c r="AC141" s="39">
        <f t="shared" si="220"/>
        <v>0.39733671528218134</v>
      </c>
      <c r="AD141" s="51">
        <v>101.06451612903226</v>
      </c>
      <c r="AE141" s="137">
        <v>254.3548387096774</v>
      </c>
      <c r="AF141" s="7">
        <f t="shared" si="221"/>
        <v>0.6204136690647483</v>
      </c>
      <c r="AG141" s="51">
        <v>222.5483870967742</v>
      </c>
      <c r="AH141" s="104">
        <v>358.7096774193548</v>
      </c>
      <c r="AI141" s="63">
        <f t="shared" si="229"/>
        <v>326.4193548387097</v>
      </c>
      <c r="AJ141" s="7">
        <f t="shared" si="230"/>
        <v>0.21791751911273824</v>
      </c>
      <c r="AK141" s="26">
        <f t="shared" si="231"/>
        <v>1497.9032258064517</v>
      </c>
      <c r="AL141" s="93">
        <f aca="true" t="shared" si="252" ref="AL141:AL146">+AI141+W141+K141</f>
        <v>12010.03396650871</v>
      </c>
      <c r="AM141" s="7">
        <f t="shared" si="248"/>
        <v>0.37437293057392873</v>
      </c>
      <c r="AN141" s="3">
        <f aca="true" t="shared" si="253" ref="AN141:AN146">+AK141+Y141+M141</f>
        <v>32080.401614766448</v>
      </c>
      <c r="AO141" s="7">
        <f aca="true" t="shared" si="254" ref="AO141:AO146">(+AA141+O141+C141)/(D141+P141+AB141)</f>
        <v>0.03677677018412845</v>
      </c>
      <c r="AP141" s="7">
        <f t="shared" si="237"/>
        <v>0.5419122846862053</v>
      </c>
      <c r="AQ141" s="94">
        <f t="shared" si="238"/>
        <v>0.9503926835464488</v>
      </c>
    </row>
    <row r="142" spans="1:43" s="15" customFormat="1" ht="12.75">
      <c r="A142" s="147">
        <v>40513</v>
      </c>
      <c r="B142" s="25">
        <f t="shared" si="239"/>
        <v>0.048620088808948345</v>
      </c>
      <c r="C142" s="51">
        <v>123.57142857142857</v>
      </c>
      <c r="D142" s="3">
        <v>2541.5714285714284</v>
      </c>
      <c r="E142" s="39">
        <f t="shared" si="240"/>
        <v>0.5414914804160212</v>
      </c>
      <c r="F142" s="51">
        <v>699.1428571428571</v>
      </c>
      <c r="G142" s="40">
        <v>1291.142857142857</v>
      </c>
      <c r="H142" s="7">
        <f t="shared" si="241"/>
        <v>0.9680985470625394</v>
      </c>
      <c r="I142" s="51">
        <v>875.7142857142857</v>
      </c>
      <c r="J142" s="26">
        <v>904.5714285714286</v>
      </c>
      <c r="K142" s="63">
        <f t="shared" si="249"/>
        <v>1698.4285714285713</v>
      </c>
      <c r="L142" s="7">
        <f t="shared" si="242"/>
        <v>0.35852356684056574</v>
      </c>
      <c r="M142" s="26">
        <f t="shared" si="243"/>
        <v>4737.285714285714</v>
      </c>
      <c r="N142" s="25">
        <f t="shared" si="244"/>
        <v>0.037825928049017736</v>
      </c>
      <c r="O142" s="11">
        <v>509.814</v>
      </c>
      <c r="P142" s="3">
        <v>13477.898</v>
      </c>
      <c r="Q142" s="39">
        <f t="shared" si="245"/>
        <v>0.5542833567267602</v>
      </c>
      <c r="R142" s="3">
        <v>3100.752</v>
      </c>
      <c r="S142" s="40">
        <v>5594.164</v>
      </c>
      <c r="T142" s="7">
        <f t="shared" si="246"/>
        <v>0.9689991973845802</v>
      </c>
      <c r="U142" s="3">
        <v>6112.57</v>
      </c>
      <c r="V142" s="26">
        <v>6308.127</v>
      </c>
      <c r="W142" s="63">
        <f t="shared" si="250"/>
        <v>9723.136</v>
      </c>
      <c r="X142" s="7">
        <f t="shared" si="247"/>
        <v>0.38309943239587385</v>
      </c>
      <c r="Y142" s="24">
        <f t="shared" si="251"/>
        <v>25380.189</v>
      </c>
      <c r="Z142" s="25">
        <f>AA142/AB142</f>
        <v>0.003241362953593169</v>
      </c>
      <c r="AA142" s="51">
        <v>2.6451612903225805</v>
      </c>
      <c r="AB142" s="51">
        <v>816.0645161290323</v>
      </c>
      <c r="AC142" s="39">
        <f>AD142/AE142</f>
        <v>0.4274099883855982</v>
      </c>
      <c r="AD142" s="51">
        <v>106.83870967741936</v>
      </c>
      <c r="AE142" s="137">
        <v>249.96774193548387</v>
      </c>
      <c r="AF142" s="7">
        <f>AG142/AH142</f>
        <v>0.6108649585821615</v>
      </c>
      <c r="AG142" s="51">
        <v>204.58064516129033</v>
      </c>
      <c r="AH142" s="104">
        <v>334.9032258064516</v>
      </c>
      <c r="AI142" s="63">
        <f t="shared" si="229"/>
        <v>314.06451612903226</v>
      </c>
      <c r="AJ142" s="7">
        <f t="shared" si="230"/>
        <v>0.2241819982039651</v>
      </c>
      <c r="AK142" s="26">
        <f t="shared" si="231"/>
        <v>1400.9354838709678</v>
      </c>
      <c r="AL142" s="93">
        <f t="shared" si="252"/>
        <v>11735.629087557603</v>
      </c>
      <c r="AM142" s="7">
        <f t="shared" si="248"/>
        <v>0.37234203799543</v>
      </c>
      <c r="AN142" s="3">
        <f t="shared" si="253"/>
        <v>31518.410198156682</v>
      </c>
      <c r="AO142" s="7">
        <f t="shared" si="254"/>
        <v>0.03777905660437712</v>
      </c>
      <c r="AP142" s="7">
        <f t="shared" si="237"/>
        <v>0.5475239267350562</v>
      </c>
      <c r="AQ142" s="94">
        <f t="shared" si="238"/>
        <v>0.953000073434381</v>
      </c>
    </row>
    <row r="143" spans="1:43" s="15" customFormat="1" ht="12.75">
      <c r="A143" s="147">
        <v>40483</v>
      </c>
      <c r="B143" s="25">
        <f t="shared" si="239"/>
        <v>0.05026372944461681</v>
      </c>
      <c r="C143" s="51">
        <v>115.71428571428571</v>
      </c>
      <c r="D143" s="3">
        <v>2302.1428571428573</v>
      </c>
      <c r="E143" s="39">
        <f t="shared" si="240"/>
        <v>0.5268245004344049</v>
      </c>
      <c r="F143" s="51">
        <v>693</v>
      </c>
      <c r="G143" s="40">
        <v>1315.4285714285713</v>
      </c>
      <c r="H143" s="7">
        <f t="shared" si="241"/>
        <v>0.9664502164502164</v>
      </c>
      <c r="I143" s="51">
        <v>893</v>
      </c>
      <c r="J143" s="26">
        <v>924</v>
      </c>
      <c r="K143" s="63">
        <f t="shared" si="249"/>
        <v>1701.7142857142858</v>
      </c>
      <c r="L143" s="7">
        <f t="shared" si="242"/>
        <v>0.3746972413576169</v>
      </c>
      <c r="M143" s="26">
        <f t="shared" si="243"/>
        <v>4541.571428571429</v>
      </c>
      <c r="N143" s="25">
        <f t="shared" si="244"/>
        <v>0.038632131948727194</v>
      </c>
      <c r="O143" s="11">
        <v>465.239</v>
      </c>
      <c r="P143" s="3">
        <v>12042.799</v>
      </c>
      <c r="Q143" s="39">
        <f t="shared" si="245"/>
        <v>0.551993336419138</v>
      </c>
      <c r="R143" s="3">
        <v>3015.942</v>
      </c>
      <c r="S143" s="40">
        <v>5463.729</v>
      </c>
      <c r="T143" s="7">
        <f t="shared" si="246"/>
        <v>0.9725778726480272</v>
      </c>
      <c r="U143" s="3">
        <v>5976.492</v>
      </c>
      <c r="V143" s="26">
        <v>6145.001</v>
      </c>
      <c r="W143" s="63">
        <f t="shared" si="250"/>
        <v>9457.672999999999</v>
      </c>
      <c r="X143" s="7">
        <f t="shared" si="247"/>
        <v>0.3998757543328382</v>
      </c>
      <c r="Y143" s="24">
        <f t="shared" si="251"/>
        <v>23651.529000000002</v>
      </c>
      <c r="Z143" s="25">
        <f>AA143/AB143</f>
        <v>0.004564793476333983</v>
      </c>
      <c r="AA143" s="51">
        <v>3.433333333333333</v>
      </c>
      <c r="AB143" s="51">
        <v>752.1333333333333</v>
      </c>
      <c r="AC143" s="39">
        <f>AD143/AE143</f>
        <v>0.423665546845838</v>
      </c>
      <c r="AD143" s="51">
        <v>113.5</v>
      </c>
      <c r="AE143" s="137">
        <v>267.9</v>
      </c>
      <c r="AF143" s="7">
        <f>AG143/AH143</f>
        <v>0.668642951251647</v>
      </c>
      <c r="AG143" s="51">
        <v>236.83333333333334</v>
      </c>
      <c r="AH143" s="104">
        <v>354.2</v>
      </c>
      <c r="AI143" s="63">
        <f>AG143+AD143+AA143</f>
        <v>353.7666666666667</v>
      </c>
      <c r="AJ143" s="7">
        <f>AI143/AK143</f>
        <v>0.2574283843112524</v>
      </c>
      <c r="AK143" s="26">
        <f>+AH143+AE143+AB143</f>
        <v>1374.2333333333331</v>
      </c>
      <c r="AL143" s="93">
        <f t="shared" si="252"/>
        <v>11513.153952380952</v>
      </c>
      <c r="AM143" s="7">
        <f t="shared" si="248"/>
        <v>0.3893876277479833</v>
      </c>
      <c r="AN143" s="3">
        <f t="shared" si="253"/>
        <v>29567.333761904767</v>
      </c>
      <c r="AO143" s="7">
        <f t="shared" si="254"/>
        <v>0.038708598299640996</v>
      </c>
      <c r="AP143" s="7">
        <f t="shared" si="237"/>
        <v>0.5424167407823687</v>
      </c>
      <c r="AQ143" s="94">
        <f t="shared" si="238"/>
        <v>0.9573127998734419</v>
      </c>
    </row>
    <row r="144" spans="1:43" s="15" customFormat="1" ht="12.75">
      <c r="A144" s="147">
        <v>40452</v>
      </c>
      <c r="B144" s="25">
        <f t="shared" si="239"/>
        <v>0.05161929940515532</v>
      </c>
      <c r="C144" s="51">
        <f>781/7</f>
        <v>111.57142857142857</v>
      </c>
      <c r="D144" s="3">
        <f>15130/7</f>
        <v>2161.4285714285716</v>
      </c>
      <c r="E144" s="39">
        <f t="shared" si="240"/>
        <v>0.5305887764489421</v>
      </c>
      <c r="F144" s="51">
        <f>4614/7</f>
        <v>659.1428571428571</v>
      </c>
      <c r="G144" s="40">
        <f>8696/7</f>
        <v>1242.2857142857142</v>
      </c>
      <c r="H144" s="7">
        <f t="shared" si="241"/>
        <v>0.9659008813755238</v>
      </c>
      <c r="I144" s="51">
        <f>6685/7</f>
        <v>955</v>
      </c>
      <c r="J144" s="26">
        <f>6921/7</f>
        <v>988.7142857142857</v>
      </c>
      <c r="K144" s="63">
        <f t="shared" si="249"/>
        <v>1725.7142857142858</v>
      </c>
      <c r="L144" s="7">
        <f t="shared" si="242"/>
        <v>0.3928838585878297</v>
      </c>
      <c r="M144" s="26">
        <f t="shared" si="243"/>
        <v>4392.428571428572</v>
      </c>
      <c r="N144" s="25">
        <f t="shared" si="244"/>
        <v>0.038771897312215586</v>
      </c>
      <c r="O144" s="11">
        <v>412.573</v>
      </c>
      <c r="P144" s="3">
        <v>10641.032</v>
      </c>
      <c r="Q144" s="39">
        <f t="shared" si="245"/>
        <v>0.5453122807633765</v>
      </c>
      <c r="R144" s="3">
        <v>2918.718</v>
      </c>
      <c r="S144" s="40">
        <v>5352.379</v>
      </c>
      <c r="T144" s="7">
        <f t="shared" si="246"/>
        <v>0.9644464967806783</v>
      </c>
      <c r="U144" s="3">
        <v>6585.232</v>
      </c>
      <c r="V144" s="26">
        <v>6827.991</v>
      </c>
      <c r="W144" s="63">
        <f t="shared" si="250"/>
        <v>9916.523000000001</v>
      </c>
      <c r="X144" s="7">
        <f t="shared" si="247"/>
        <v>0.43452733534951105</v>
      </c>
      <c r="Y144" s="24">
        <f t="shared" si="251"/>
        <v>22821.402</v>
      </c>
      <c r="Z144" s="25">
        <f>AA144/AB144</f>
        <v>0.004923047509798299</v>
      </c>
      <c r="AA144" s="51">
        <f>103/31</f>
        <v>3.3225806451612905</v>
      </c>
      <c r="AB144" s="51">
        <f>20922/31</f>
        <v>674.9032258064516</v>
      </c>
      <c r="AC144" s="39">
        <f>AD144/AE144</f>
        <v>0.4032834635244274</v>
      </c>
      <c r="AD144" s="51">
        <f>3046/31</f>
        <v>98.25806451612904</v>
      </c>
      <c r="AE144" s="137">
        <f>7553/31</f>
        <v>243.6451612903226</v>
      </c>
      <c r="AF144" s="7">
        <f>AG144/AH144</f>
        <v>0.6573556797020484</v>
      </c>
      <c r="AG144" s="51">
        <f>7060/31</f>
        <v>227.74193548387098</v>
      </c>
      <c r="AH144" s="104">
        <f>10740/31</f>
        <v>346.4516129032258</v>
      </c>
      <c r="AI144" s="63">
        <f>AG144+AD144+AA144</f>
        <v>329.3225806451613</v>
      </c>
      <c r="AJ144" s="7">
        <f>AI144/AK144</f>
        <v>0.2603340558459773</v>
      </c>
      <c r="AK144" s="26">
        <f>+AH144+AE144+AB144</f>
        <v>1265</v>
      </c>
      <c r="AL144" s="93">
        <f t="shared" si="252"/>
        <v>11971.559866359448</v>
      </c>
      <c r="AM144" s="7">
        <f t="shared" si="248"/>
        <v>0.42036697526372213</v>
      </c>
      <c r="AN144" s="3">
        <f t="shared" si="253"/>
        <v>28478.83057142857</v>
      </c>
      <c r="AO144" s="7">
        <f t="shared" si="254"/>
        <v>0.039137253928309294</v>
      </c>
      <c r="AP144" s="7">
        <f t="shared" si="237"/>
        <v>0.5375771189879461</v>
      </c>
      <c r="AQ144" s="94">
        <f t="shared" si="238"/>
        <v>0.9515894441278513</v>
      </c>
    </row>
    <row r="145" spans="1:43" s="15" customFormat="1" ht="12.75">
      <c r="A145" s="147">
        <v>40422</v>
      </c>
      <c r="B145" s="25">
        <f t="shared" si="239"/>
        <v>0.0519255155843289</v>
      </c>
      <c r="C145" s="51">
        <f>778/7</f>
        <v>111.14285714285714</v>
      </c>
      <c r="D145" s="3">
        <f>14983/7</f>
        <v>2140.4285714285716</v>
      </c>
      <c r="E145" s="39">
        <f t="shared" si="240"/>
        <v>0.5205790212811927</v>
      </c>
      <c r="F145" s="51">
        <f>4819/7</f>
        <v>688.4285714285714</v>
      </c>
      <c r="G145" s="40">
        <f>9257/7</f>
        <v>1322.4285714285713</v>
      </c>
      <c r="H145" s="7">
        <f t="shared" si="241"/>
        <v>0.9678720258099207</v>
      </c>
      <c r="I145" s="51">
        <f>7200/7</f>
        <v>1028.5714285714287</v>
      </c>
      <c r="J145" s="26">
        <f>7439/7</f>
        <v>1062.7142857142858</v>
      </c>
      <c r="K145" s="63">
        <f t="shared" si="249"/>
        <v>1828.1428571428573</v>
      </c>
      <c r="L145" s="7">
        <f t="shared" si="242"/>
        <v>0.40395845828466814</v>
      </c>
      <c r="M145" s="26">
        <f t="shared" si="243"/>
        <v>4525.571428571428</v>
      </c>
      <c r="N145" s="25">
        <f t="shared" si="244"/>
        <v>0.037891749212277934</v>
      </c>
      <c r="O145" s="11">
        <f>397655/1000</f>
        <v>397.655</v>
      </c>
      <c r="P145" s="3">
        <f>10494501/1000</f>
        <v>10494.501</v>
      </c>
      <c r="Q145" s="39">
        <f t="shared" si="245"/>
        <v>0.5277352722121239</v>
      </c>
      <c r="R145" s="3">
        <f>3039771/1000</f>
        <v>3039.771</v>
      </c>
      <c r="S145" s="40">
        <f>5760030/1000</f>
        <v>5760.03</v>
      </c>
      <c r="T145" s="7">
        <f t="shared" si="246"/>
        <v>0.9692579564715355</v>
      </c>
      <c r="U145" s="3">
        <f>7032612/1000</f>
        <v>7032.612</v>
      </c>
      <c r="V145" s="26">
        <f>7255666/1000</f>
        <v>7255.666</v>
      </c>
      <c r="W145" s="63">
        <f t="shared" si="250"/>
        <v>10470.038</v>
      </c>
      <c r="X145" s="7">
        <f t="shared" si="247"/>
        <v>0.44534029212941095</v>
      </c>
      <c r="Y145" s="24">
        <f t="shared" si="251"/>
        <v>23510.197</v>
      </c>
      <c r="Z145" s="25">
        <f>AA145/AB145</f>
        <v>0.0024398411711237626</v>
      </c>
      <c r="AA145" s="51">
        <v>1.6451612903225807</v>
      </c>
      <c r="AB145" s="51">
        <f>20903/31</f>
        <v>674.2903225806451</v>
      </c>
      <c r="AC145" s="39">
        <f>AD145/AE145</f>
        <v>0.37733617222616517</v>
      </c>
      <c r="AD145" s="51">
        <v>102.90322580645162</v>
      </c>
      <c r="AE145" s="137">
        <f>8454/31</f>
        <v>272.7096774193548</v>
      </c>
      <c r="AF145" s="7">
        <f>AG145/AH145</f>
        <v>0.5996595897160262</v>
      </c>
      <c r="AG145" s="51">
        <v>215.93548387096774</v>
      </c>
      <c r="AH145" s="104">
        <v>360.0967741935484</v>
      </c>
      <c r="AI145" s="63">
        <f>AG145+AD145+AA145</f>
        <v>320.48387096774195</v>
      </c>
      <c r="AJ145" s="7">
        <f>AI145/AK145</f>
        <v>0.24518756169792696</v>
      </c>
      <c r="AK145" s="26">
        <f>+AH145+AE145+AB145</f>
        <v>1307.0967741935483</v>
      </c>
      <c r="AL145" s="93">
        <f t="shared" si="252"/>
        <v>12618.6647281106</v>
      </c>
      <c r="AM145" s="7">
        <f t="shared" si="248"/>
        <v>0.43004200990302555</v>
      </c>
      <c r="AN145" s="3">
        <f t="shared" si="253"/>
        <v>29342.865202764977</v>
      </c>
      <c r="AO145" s="7">
        <f t="shared" si="254"/>
        <v>0.03835258734157226</v>
      </c>
      <c r="AP145" s="7">
        <f aca="true" t="shared" si="255" ref="AP145:AP200">(+AD145+R145+F145)/(G145+S145+AE145)</f>
        <v>0.5208722176865371</v>
      </c>
      <c r="AQ145" s="94">
        <f aca="true" t="shared" si="256" ref="AQ145:AQ200">(AG145+U145+I145)/(AH145+V145+J145)</f>
        <v>0.9537524677780619</v>
      </c>
    </row>
    <row r="146" spans="1:43" s="15" customFormat="1" ht="12.75">
      <c r="A146" s="147">
        <v>40391</v>
      </c>
      <c r="B146" s="25">
        <f t="shared" si="239"/>
        <v>0.04808090366077237</v>
      </c>
      <c r="C146" s="51">
        <v>116.14285714285714</v>
      </c>
      <c r="D146" s="3">
        <v>2415.5714285714284</v>
      </c>
      <c r="E146" s="39">
        <f t="shared" si="240"/>
        <v>0.5217477854085797</v>
      </c>
      <c r="F146" s="51">
        <v>748.8571428571429</v>
      </c>
      <c r="G146" s="40">
        <v>1435.2857142857142</v>
      </c>
      <c r="H146" s="7">
        <f t="shared" si="241"/>
        <v>0.9480578139114724</v>
      </c>
      <c r="I146" s="51">
        <v>1199.4285714285713</v>
      </c>
      <c r="J146" s="26">
        <v>1265.142857142857</v>
      </c>
      <c r="K146" s="63">
        <f t="shared" si="249"/>
        <v>2064.4285714285716</v>
      </c>
      <c r="L146" s="7">
        <f aca="true" t="shared" si="257" ref="L146:L151">K146/M146</f>
        <v>0.4035239584496817</v>
      </c>
      <c r="M146" s="26">
        <f aca="true" t="shared" si="258" ref="M146:M151">SUM(J146+G146+D146)</f>
        <v>5116</v>
      </c>
      <c r="N146" s="25">
        <f t="shared" si="244"/>
        <v>0.03394641127110461</v>
      </c>
      <c r="O146" s="11">
        <v>424.147</v>
      </c>
      <c r="P146" s="3">
        <v>12494.605</v>
      </c>
      <c r="Q146" s="39">
        <f t="shared" si="245"/>
        <v>0.5159492610655267</v>
      </c>
      <c r="R146" s="3">
        <v>3181.015</v>
      </c>
      <c r="S146" s="40">
        <v>6165.364</v>
      </c>
      <c r="T146" s="7">
        <f t="shared" si="246"/>
        <v>0.9684932974440673</v>
      </c>
      <c r="U146" s="3">
        <v>7114.483</v>
      </c>
      <c r="V146" s="26">
        <v>7345.929</v>
      </c>
      <c r="W146" s="63">
        <f t="shared" si="250"/>
        <v>10719.645</v>
      </c>
      <c r="X146" s="7">
        <f aca="true" t="shared" si="259" ref="X146:X151">W146/Y146</f>
        <v>0.4122005323561601</v>
      </c>
      <c r="Y146" s="24">
        <f t="shared" si="251"/>
        <v>26005.898</v>
      </c>
      <c r="Z146" s="25">
        <f aca="true" t="shared" si="260" ref="Z146:Z151">AA146/AB146</f>
        <v>0.0018169429934135816</v>
      </c>
      <c r="AA146" s="51">
        <v>1.2903225806451613</v>
      </c>
      <c r="AB146" s="51">
        <v>710.1612903225806</v>
      </c>
      <c r="AC146" s="39">
        <f aca="true" t="shared" si="261" ref="AC146:AC151">AD146/AE146</f>
        <v>0.40774640026788705</v>
      </c>
      <c r="AD146" s="51">
        <v>117.83870967741936</v>
      </c>
      <c r="AE146" s="137">
        <v>289</v>
      </c>
      <c r="AF146" s="7">
        <f aca="true" t="shared" si="262" ref="AF146:AF151">AG146/AH146</f>
        <v>0.6189247669773635</v>
      </c>
      <c r="AG146" s="51">
        <v>239.90322580645162</v>
      </c>
      <c r="AH146" s="104">
        <v>387.61290322580646</v>
      </c>
      <c r="AI146" s="63">
        <f>AG146+AD146+AA146</f>
        <v>359.03225806451616</v>
      </c>
      <c r="AJ146" s="7">
        <f aca="true" t="shared" si="263" ref="AJ146:AJ151">AI146/AK146</f>
        <v>0.25889741800418703</v>
      </c>
      <c r="AK146" s="26">
        <f>+AH146+AE146+AB146</f>
        <v>1386.774193548387</v>
      </c>
      <c r="AL146" s="93">
        <f t="shared" si="252"/>
        <v>13143.105829493088</v>
      </c>
      <c r="AM146" s="7">
        <f aca="true" t="shared" si="264" ref="AM146:AM151">AL146/AN146</f>
        <v>0.404295375438356</v>
      </c>
      <c r="AN146" s="3">
        <f t="shared" si="253"/>
        <v>32508.672193548387</v>
      </c>
      <c r="AO146" s="7">
        <f t="shared" si="254"/>
        <v>0.034671476985316335</v>
      </c>
      <c r="AP146" s="7">
        <f t="shared" si="255"/>
        <v>0.5130406290668914</v>
      </c>
      <c r="AQ146" s="94">
        <f t="shared" si="256"/>
        <v>0.9505627794527369</v>
      </c>
    </row>
    <row r="147" spans="1:43" s="15" customFormat="1" ht="12.75">
      <c r="A147" s="147">
        <v>40360</v>
      </c>
      <c r="B147" s="25">
        <f aca="true" t="shared" si="265" ref="B147:B152">C147/D147</f>
        <v>0.04624522698345354</v>
      </c>
      <c r="C147" s="51">
        <f>763/7</f>
        <v>109</v>
      </c>
      <c r="D147" s="3">
        <f>16499/7</f>
        <v>2357</v>
      </c>
      <c r="E147" s="39">
        <f aca="true" t="shared" si="266" ref="E147:E152">F147/G147</f>
        <v>0.5149312377210217</v>
      </c>
      <c r="F147" s="51">
        <f>5242/7</f>
        <v>748.8571428571429</v>
      </c>
      <c r="G147" s="40">
        <f>10180/7</f>
        <v>1454.2857142857142</v>
      </c>
      <c r="H147" s="7">
        <f aca="true" t="shared" si="267" ref="H147:H152">I147/J147</f>
        <v>0.9484821626412586</v>
      </c>
      <c r="I147" s="51">
        <f>8561/7</f>
        <v>1223</v>
      </c>
      <c r="J147" s="26">
        <f>9026/7</f>
        <v>1289.4285714285713</v>
      </c>
      <c r="K147" s="63">
        <f aca="true" t="shared" si="268" ref="K147:K152">SUM(C147+F147+I147)</f>
        <v>2080.857142857143</v>
      </c>
      <c r="L147" s="7">
        <f t="shared" si="257"/>
        <v>0.4079540680576951</v>
      </c>
      <c r="M147" s="26">
        <f t="shared" si="258"/>
        <v>5100.714285714285</v>
      </c>
      <c r="N147" s="25">
        <f aca="true" t="shared" si="269" ref="N147:N152">O147/P147</f>
        <v>0.031919074898896733</v>
      </c>
      <c r="O147" s="11">
        <v>408.652</v>
      </c>
      <c r="P147" s="3">
        <v>12802.752</v>
      </c>
      <c r="Q147" s="39">
        <f aca="true" t="shared" si="270" ref="Q147:Q152">R147/S147</f>
        <v>0.5194374364425083</v>
      </c>
      <c r="R147" s="3">
        <v>3276.749</v>
      </c>
      <c r="S147" s="40">
        <v>6308.265</v>
      </c>
      <c r="T147" s="7">
        <f aca="true" t="shared" si="271" ref="T147:T152">U147/V147</f>
        <v>0.9665215538720416</v>
      </c>
      <c r="U147" s="3">
        <v>6691.567</v>
      </c>
      <c r="V147" s="26">
        <v>6923.35</v>
      </c>
      <c r="W147" s="63">
        <f aca="true" t="shared" si="272" ref="W147:W152">+U147+O147+R147</f>
        <v>10376.968</v>
      </c>
      <c r="X147" s="7">
        <f t="shared" si="259"/>
        <v>0.398587298089483</v>
      </c>
      <c r="Y147" s="24">
        <f aca="true" t="shared" si="273" ref="Y147:Y152">+V147+S147+P147</f>
        <v>26034.367000000002</v>
      </c>
      <c r="Z147" s="25">
        <f t="shared" si="260"/>
        <v>0.0016331935555065108</v>
      </c>
      <c r="AA147" s="51">
        <f>37/31</f>
        <v>1.1935483870967742</v>
      </c>
      <c r="AB147" s="51">
        <f>22655/31</f>
        <v>730.8064516129032</v>
      </c>
      <c r="AC147" s="39">
        <f t="shared" si="261"/>
        <v>0.4143917761279269</v>
      </c>
      <c r="AD147" s="51">
        <f>3628/31</f>
        <v>117.03225806451613</v>
      </c>
      <c r="AE147" s="137">
        <f>8755/31</f>
        <v>282.4193548387097</v>
      </c>
      <c r="AF147" s="7">
        <f t="shared" si="262"/>
        <v>0.634976976208749</v>
      </c>
      <c r="AG147" s="51">
        <v>213.51612903225808</v>
      </c>
      <c r="AH147" s="104">
        <f>10424/31</f>
        <v>336.258064516129</v>
      </c>
      <c r="AI147" s="63">
        <f aca="true" t="shared" si="274" ref="AI147:AI152">AG147+AD147+AA147</f>
        <v>331.741935483871</v>
      </c>
      <c r="AJ147" s="7">
        <f t="shared" si="263"/>
        <v>0.2458287517330401</v>
      </c>
      <c r="AK147" s="26">
        <f aca="true" t="shared" si="275" ref="AK147:AK152">+AH147+AE147+AB147</f>
        <v>1349.483870967742</v>
      </c>
      <c r="AL147" s="93">
        <f aca="true" t="shared" si="276" ref="AL147:AL152">+AI147+W147+K147</f>
        <v>12789.567078341015</v>
      </c>
      <c r="AM147" s="7">
        <f t="shared" si="264"/>
        <v>0.39371212194632743</v>
      </c>
      <c r="AN147" s="3">
        <f aca="true" t="shared" si="277" ref="AN147:AN152">+AK147+Y147+M147</f>
        <v>32484.56515668203</v>
      </c>
      <c r="AO147" s="7">
        <f aca="true" t="shared" si="278" ref="AO147:AO152">(+AA147+O147+C147)/(D147+P147+AB147)</f>
        <v>0.032651184032769696</v>
      </c>
      <c r="AP147" s="7">
        <f t="shared" si="255"/>
        <v>0.5149352160824787</v>
      </c>
      <c r="AQ147" s="94">
        <f t="shared" si="256"/>
        <v>0.9507601236445135</v>
      </c>
    </row>
    <row r="148" spans="1:43" s="15" customFormat="1" ht="12.75">
      <c r="A148" s="147">
        <v>40330</v>
      </c>
      <c r="B148" s="25">
        <f t="shared" si="265"/>
        <v>0.045989304812834225</v>
      </c>
      <c r="C148" s="51">
        <v>98.28571428571429</v>
      </c>
      <c r="D148" s="3">
        <v>2137.1428571428573</v>
      </c>
      <c r="E148" s="39">
        <f t="shared" si="266"/>
        <v>0.5153237264055206</v>
      </c>
      <c r="F148" s="51">
        <v>725.4285714285714</v>
      </c>
      <c r="G148" s="40">
        <v>1407.7142857142858</v>
      </c>
      <c r="H148" s="7">
        <f t="shared" si="267"/>
        <v>0.9701572075672795</v>
      </c>
      <c r="I148" s="51">
        <v>1040.2857142857142</v>
      </c>
      <c r="J148" s="26">
        <v>1072.2857142857142</v>
      </c>
      <c r="K148" s="63">
        <f t="shared" si="268"/>
        <v>1864</v>
      </c>
      <c r="L148" s="7">
        <f t="shared" si="257"/>
        <v>0.40371287128712874</v>
      </c>
      <c r="M148" s="26">
        <f t="shared" si="258"/>
        <v>4617.142857142857</v>
      </c>
      <c r="N148" s="25">
        <f t="shared" si="269"/>
        <v>0.03378422916873833</v>
      </c>
      <c r="O148" s="11">
        <v>389.008</v>
      </c>
      <c r="P148" s="3">
        <v>11514.485</v>
      </c>
      <c r="Q148" s="39">
        <f t="shared" si="270"/>
        <v>0.5316395260021215</v>
      </c>
      <c r="R148" s="3">
        <v>3330.501</v>
      </c>
      <c r="S148" s="40">
        <v>6264.585</v>
      </c>
      <c r="T148" s="7">
        <f t="shared" si="271"/>
        <v>0.9656344238846221</v>
      </c>
      <c r="U148" s="3">
        <v>6359.34</v>
      </c>
      <c r="V148" s="26">
        <v>6585.66</v>
      </c>
      <c r="W148" s="63">
        <f t="shared" si="272"/>
        <v>10078.849</v>
      </c>
      <c r="X148" s="7">
        <f t="shared" si="259"/>
        <v>0.4136655321031672</v>
      </c>
      <c r="Y148" s="24">
        <f t="shared" si="273"/>
        <v>24364.73</v>
      </c>
      <c r="Z148" s="25">
        <f t="shared" si="260"/>
        <v>0.0023534333978348413</v>
      </c>
      <c r="AA148" s="51">
        <v>1.5</v>
      </c>
      <c r="AB148" s="51">
        <v>637.3666666666667</v>
      </c>
      <c r="AC148" s="39">
        <f t="shared" si="261"/>
        <v>0.43045970288922686</v>
      </c>
      <c r="AD148" s="51">
        <v>122.66666666666667</v>
      </c>
      <c r="AE148" s="137">
        <v>284.96666666666664</v>
      </c>
      <c r="AF148" s="7">
        <f t="shared" si="262"/>
        <v>0.6166789789050315</v>
      </c>
      <c r="AG148" s="51">
        <v>250.43333333333334</v>
      </c>
      <c r="AH148" s="104">
        <v>406.1</v>
      </c>
      <c r="AI148" s="63">
        <f t="shared" si="274"/>
        <v>374.6</v>
      </c>
      <c r="AJ148" s="7">
        <f t="shared" si="263"/>
        <v>0.28198629965121824</v>
      </c>
      <c r="AK148" s="26">
        <f t="shared" si="275"/>
        <v>1328.4333333333334</v>
      </c>
      <c r="AL148" s="93">
        <f t="shared" si="276"/>
        <v>12317.449</v>
      </c>
      <c r="AM148" s="7">
        <f t="shared" si="264"/>
        <v>0.40637824384203247</v>
      </c>
      <c r="AN148" s="3">
        <f t="shared" si="277"/>
        <v>30310.306190476193</v>
      </c>
      <c r="AO148" s="7">
        <f t="shared" si="278"/>
        <v>0.03420770534072534</v>
      </c>
      <c r="AP148" s="7">
        <f t="shared" si="255"/>
        <v>0.5251296441643916</v>
      </c>
      <c r="AQ148" s="94">
        <f t="shared" si="256"/>
        <v>0.9486626587528795</v>
      </c>
    </row>
    <row r="149" spans="1:43" s="15" customFormat="1" ht="12.75">
      <c r="A149" s="147">
        <v>40299</v>
      </c>
      <c r="B149" s="25">
        <f t="shared" si="265"/>
        <v>0.03877199034149707</v>
      </c>
      <c r="C149" s="51">
        <v>80.28571428571429</v>
      </c>
      <c r="D149" s="3">
        <v>2070.714285714286</v>
      </c>
      <c r="E149" s="39">
        <f t="shared" si="266"/>
        <v>0.5082474226804125</v>
      </c>
      <c r="F149" s="51">
        <v>633.8571428571429</v>
      </c>
      <c r="G149" s="40">
        <v>1247.142857142857</v>
      </c>
      <c r="H149" s="7">
        <f t="shared" si="267"/>
        <v>0.8151745865056446</v>
      </c>
      <c r="I149" s="51">
        <v>887.1428571428571</v>
      </c>
      <c r="J149" s="26">
        <v>1088.2857142857142</v>
      </c>
      <c r="K149" s="63">
        <f t="shared" si="268"/>
        <v>1601.2857142857142</v>
      </c>
      <c r="L149" s="7">
        <f t="shared" si="257"/>
        <v>0.3634211976785656</v>
      </c>
      <c r="M149" s="26">
        <f t="shared" si="258"/>
        <v>4406.142857142857</v>
      </c>
      <c r="N149" s="25">
        <f t="shared" si="269"/>
        <v>0.03228904041898438</v>
      </c>
      <c r="O149" s="11">
        <v>347.89</v>
      </c>
      <c r="P149" s="3">
        <v>10774.244</v>
      </c>
      <c r="Q149" s="39">
        <f t="shared" si="270"/>
        <v>0.5373310136910564</v>
      </c>
      <c r="R149" s="3">
        <v>3008.9</v>
      </c>
      <c r="S149" s="40">
        <v>5599.714</v>
      </c>
      <c r="T149" s="7">
        <f t="shared" si="271"/>
        <v>0.966345169225173</v>
      </c>
      <c r="U149" s="3">
        <v>6619.993</v>
      </c>
      <c r="V149" s="26">
        <v>6850.547</v>
      </c>
      <c r="W149" s="63">
        <f t="shared" si="272"/>
        <v>9976.783000000001</v>
      </c>
      <c r="X149" s="7">
        <f t="shared" si="259"/>
        <v>0.4295800061185374</v>
      </c>
      <c r="Y149" s="24">
        <f t="shared" si="273"/>
        <v>23224.504999999997</v>
      </c>
      <c r="Z149" s="25">
        <f t="shared" si="260"/>
        <v>0.0024178198466999327</v>
      </c>
      <c r="AA149" s="51">
        <v>1.5161290322580645</v>
      </c>
      <c r="AB149" s="51">
        <f>19439/31</f>
        <v>627.0645161290323</v>
      </c>
      <c r="AC149" s="39">
        <f t="shared" si="261"/>
        <v>0.41597106288258207</v>
      </c>
      <c r="AD149" s="51">
        <f>2990/31</f>
        <v>96.45161290322581</v>
      </c>
      <c r="AE149" s="137">
        <f>7188/31</f>
        <v>231.8709677419355</v>
      </c>
      <c r="AF149" s="7">
        <f t="shared" si="262"/>
        <v>0.6345988333173951</v>
      </c>
      <c r="AG149" s="51">
        <f>6636/31</f>
        <v>214.06451612903226</v>
      </c>
      <c r="AH149" s="104">
        <f>10457/31</f>
        <v>337.3225806451613</v>
      </c>
      <c r="AI149" s="63">
        <f t="shared" si="274"/>
        <v>312.0322580645161</v>
      </c>
      <c r="AJ149" s="7">
        <f t="shared" si="263"/>
        <v>0.2608402545572214</v>
      </c>
      <c r="AK149" s="26">
        <f t="shared" si="275"/>
        <v>1196.2580645161293</v>
      </c>
      <c r="AL149" s="93">
        <f t="shared" si="276"/>
        <v>11890.100972350232</v>
      </c>
      <c r="AM149" s="7">
        <f t="shared" si="264"/>
        <v>0.41246538926734594</v>
      </c>
      <c r="AN149" s="3">
        <f t="shared" si="277"/>
        <v>28826.90592165898</v>
      </c>
      <c r="AO149" s="7">
        <f t="shared" si="278"/>
        <v>0.03189512440991262</v>
      </c>
      <c r="AP149" s="7">
        <f t="shared" si="255"/>
        <v>0.528231745627432</v>
      </c>
      <c r="AQ149" s="94">
        <f t="shared" si="256"/>
        <v>0.9329453228120436</v>
      </c>
    </row>
    <row r="150" spans="1:43" s="15" customFormat="1" ht="12.75">
      <c r="A150" s="147">
        <v>40269</v>
      </c>
      <c r="B150" s="25">
        <f t="shared" si="265"/>
        <v>0.03362844495216336</v>
      </c>
      <c r="C150" s="51">
        <f>471/7</f>
        <v>67.28571428571429</v>
      </c>
      <c r="D150" s="3">
        <f>14006/7</f>
        <v>2000.857142857143</v>
      </c>
      <c r="E150" s="39">
        <f t="shared" si="266"/>
        <v>0.5090433127082341</v>
      </c>
      <c r="F150" s="51">
        <f>4278/7</f>
        <v>611.1428571428571</v>
      </c>
      <c r="G150" s="40">
        <f>8404/7</f>
        <v>1200.5714285714287</v>
      </c>
      <c r="H150" s="7">
        <f t="shared" si="267"/>
        <v>0.8715218625780806</v>
      </c>
      <c r="I150" s="51">
        <f>6139/7</f>
        <v>877</v>
      </c>
      <c r="J150" s="26">
        <f>7044/7</f>
        <v>1006.2857142857143</v>
      </c>
      <c r="K150" s="63">
        <f t="shared" si="268"/>
        <v>1555.4285714285716</v>
      </c>
      <c r="L150" s="7">
        <f t="shared" si="257"/>
        <v>0.3696611665648129</v>
      </c>
      <c r="M150" s="26">
        <f t="shared" si="258"/>
        <v>4207.714285714286</v>
      </c>
      <c r="N150" s="25">
        <f t="shared" si="269"/>
        <v>0.03107757778104191</v>
      </c>
      <c r="O150" s="11">
        <v>309.536</v>
      </c>
      <c r="P150" s="3">
        <v>9960.107</v>
      </c>
      <c r="Q150" s="39">
        <f t="shared" si="270"/>
        <v>0.5345725376892975</v>
      </c>
      <c r="R150" s="3">
        <v>2732.413</v>
      </c>
      <c r="S150" s="40">
        <v>5111.398</v>
      </c>
      <c r="T150" s="7">
        <f t="shared" si="271"/>
        <v>0.953718560479786</v>
      </c>
      <c r="U150" s="3">
        <v>5879.117</v>
      </c>
      <c r="V150" s="26">
        <v>6164.415</v>
      </c>
      <c r="W150" s="63">
        <f t="shared" si="272"/>
        <v>8921.066</v>
      </c>
      <c r="X150" s="7">
        <f t="shared" si="259"/>
        <v>0.42009321941314537</v>
      </c>
      <c r="Y150" s="24">
        <f t="shared" si="273"/>
        <v>21235.92</v>
      </c>
      <c r="Z150" s="25">
        <f t="shared" si="260"/>
        <v>0.002289812494599499</v>
      </c>
      <c r="AA150" s="51">
        <f>53/30</f>
        <v>1.7666666666666666</v>
      </c>
      <c r="AB150" s="51">
        <f>23146/30</f>
        <v>771.5333333333333</v>
      </c>
      <c r="AC150" s="39">
        <f t="shared" si="261"/>
        <v>0.4197580109028055</v>
      </c>
      <c r="AD150" s="51">
        <f>3157/30</f>
        <v>105.23333333333333</v>
      </c>
      <c r="AE150" s="137">
        <f>7521/30</f>
        <v>250.7</v>
      </c>
      <c r="AF150" s="7">
        <f t="shared" si="262"/>
        <v>0.6282290279627164</v>
      </c>
      <c r="AG150" s="51">
        <f>7077/30</f>
        <v>235.9</v>
      </c>
      <c r="AH150" s="104">
        <f>11265/30</f>
        <v>375.5</v>
      </c>
      <c r="AI150" s="63">
        <f t="shared" si="274"/>
        <v>342.9</v>
      </c>
      <c r="AJ150" s="7">
        <f t="shared" si="263"/>
        <v>0.2453257655251359</v>
      </c>
      <c r="AK150" s="26">
        <f t="shared" si="275"/>
        <v>1397.7333333333333</v>
      </c>
      <c r="AL150" s="93">
        <f t="shared" si="276"/>
        <v>10819.394571428573</v>
      </c>
      <c r="AM150" s="7">
        <f t="shared" si="264"/>
        <v>0.4030865611985707</v>
      </c>
      <c r="AN150" s="3">
        <f t="shared" si="277"/>
        <v>26841.367619047618</v>
      </c>
      <c r="AO150" s="7">
        <f t="shared" si="278"/>
        <v>0.029734023639928765</v>
      </c>
      <c r="AP150" s="7">
        <f t="shared" si="255"/>
        <v>0.5255162137927352</v>
      </c>
      <c r="AQ150" s="94">
        <f t="shared" si="256"/>
        <v>0.9265612279253864</v>
      </c>
    </row>
    <row r="151" spans="1:43" s="15" customFormat="1" ht="12.75">
      <c r="A151" s="147">
        <v>40238</v>
      </c>
      <c r="B151" s="25">
        <f t="shared" si="265"/>
        <v>0.030990315526398</v>
      </c>
      <c r="C151" s="51">
        <v>70.85714285714286</v>
      </c>
      <c r="D151" s="3">
        <v>2286.4285714285716</v>
      </c>
      <c r="E151" s="39">
        <f t="shared" si="266"/>
        <v>0.5059260146055309</v>
      </c>
      <c r="F151" s="51">
        <v>603.7142857142857</v>
      </c>
      <c r="G151" s="40">
        <v>1193.2857142857142</v>
      </c>
      <c r="H151" s="7">
        <f t="shared" si="267"/>
        <v>0.8554144884241971</v>
      </c>
      <c r="I151" s="51">
        <v>818.1428571428571</v>
      </c>
      <c r="J151" s="26">
        <v>956.4285714285714</v>
      </c>
      <c r="K151" s="63">
        <f t="shared" si="268"/>
        <v>1492.7142857142858</v>
      </c>
      <c r="L151" s="7">
        <f t="shared" si="257"/>
        <v>0.336489228093904</v>
      </c>
      <c r="M151" s="26">
        <f t="shared" si="258"/>
        <v>4436.142857142857</v>
      </c>
      <c r="N151" s="25">
        <f t="shared" si="269"/>
        <v>0.02966069899074078</v>
      </c>
      <c r="O151" s="11">
        <v>339.541</v>
      </c>
      <c r="P151" s="3">
        <v>11447.505</v>
      </c>
      <c r="Q151" s="39">
        <f t="shared" si="270"/>
        <v>0.5298010189596641</v>
      </c>
      <c r="R151" s="3">
        <v>2767.449</v>
      </c>
      <c r="S151" s="40">
        <v>5223.563</v>
      </c>
      <c r="T151" s="7">
        <f t="shared" si="271"/>
        <v>0.9651515192451922</v>
      </c>
      <c r="U151" s="3">
        <v>6072.771</v>
      </c>
      <c r="V151" s="26">
        <v>6292.039</v>
      </c>
      <c r="W151" s="63">
        <f t="shared" si="272"/>
        <v>9179.761</v>
      </c>
      <c r="X151" s="7">
        <f t="shared" si="259"/>
        <v>0.3997612779490163</v>
      </c>
      <c r="Y151" s="24">
        <f t="shared" si="273"/>
        <v>22963.106999999996</v>
      </c>
      <c r="Z151" s="25">
        <f t="shared" si="260"/>
        <v>0.001957883745214062</v>
      </c>
      <c r="AA151" s="51">
        <v>1.5</v>
      </c>
      <c r="AB151" s="51">
        <v>766.1333333333333</v>
      </c>
      <c r="AC151" s="39">
        <f t="shared" si="261"/>
        <v>0.41877900749732233</v>
      </c>
      <c r="AD151" s="51">
        <v>117.3</v>
      </c>
      <c r="AE151" s="137">
        <v>280.1</v>
      </c>
      <c r="AF151" s="7">
        <f t="shared" si="262"/>
        <v>0.6162829219811164</v>
      </c>
      <c r="AG151" s="51">
        <v>248.03333333333333</v>
      </c>
      <c r="AH151" s="104">
        <v>402.46666666666664</v>
      </c>
      <c r="AI151" s="63">
        <f t="shared" si="274"/>
        <v>366.8333333333333</v>
      </c>
      <c r="AJ151" s="7">
        <f t="shared" si="263"/>
        <v>0.25321552656404595</v>
      </c>
      <c r="AK151" s="26">
        <f t="shared" si="275"/>
        <v>1448.6999999999998</v>
      </c>
      <c r="AL151" s="93">
        <f t="shared" si="276"/>
        <v>11039.30861904762</v>
      </c>
      <c r="AM151" s="7">
        <f t="shared" si="264"/>
        <v>0.3826722062994105</v>
      </c>
      <c r="AN151" s="3">
        <f t="shared" si="277"/>
        <v>28847.949857142856</v>
      </c>
      <c r="AO151" s="7">
        <f t="shared" si="278"/>
        <v>0.028406637401229725</v>
      </c>
      <c r="AP151" s="7">
        <f t="shared" si="255"/>
        <v>0.5209033896695086</v>
      </c>
      <c r="AQ151" s="94">
        <f t="shared" si="256"/>
        <v>0.9330817607776863</v>
      </c>
    </row>
    <row r="152" spans="1:43" s="15" customFormat="1" ht="12.75">
      <c r="A152" s="147">
        <v>40210</v>
      </c>
      <c r="B152" s="25">
        <f t="shared" si="265"/>
        <v>0.026904106079046825</v>
      </c>
      <c r="C152" s="51">
        <v>60</v>
      </c>
      <c r="D152" s="3">
        <v>2230.1428571428573</v>
      </c>
      <c r="E152" s="39">
        <f t="shared" si="266"/>
        <v>0.4985039538362898</v>
      </c>
      <c r="F152" s="51">
        <v>666.4285714285714</v>
      </c>
      <c r="G152" s="40">
        <v>1336.857142857143</v>
      </c>
      <c r="H152" s="7">
        <f t="shared" si="267"/>
        <v>0.9586555152280258</v>
      </c>
      <c r="I152" s="51">
        <v>867.8571428571429</v>
      </c>
      <c r="J152" s="26">
        <v>905.2857142857143</v>
      </c>
      <c r="K152" s="63">
        <f t="shared" si="268"/>
        <v>1594.2857142857142</v>
      </c>
      <c r="L152" s="7">
        <f aca="true" t="shared" si="279" ref="L152:L157">K152/M152</f>
        <v>0.3564811857151983</v>
      </c>
      <c r="M152" s="26">
        <f aca="true" t="shared" si="280" ref="M152:M157">SUM(J152+G152+D152)</f>
        <v>4472.285714285715</v>
      </c>
      <c r="N152" s="25">
        <f t="shared" si="269"/>
        <v>0.028808789451885114</v>
      </c>
      <c r="O152" s="11">
        <v>340.058</v>
      </c>
      <c r="P152" s="3">
        <v>11803.967</v>
      </c>
      <c r="Q152" s="39">
        <f t="shared" si="270"/>
        <v>0.5262221525228741</v>
      </c>
      <c r="R152" s="3">
        <v>2677.693</v>
      </c>
      <c r="S152" s="40">
        <v>5088.522</v>
      </c>
      <c r="T152" s="7">
        <f t="shared" si="271"/>
        <v>0.9639600292383355</v>
      </c>
      <c r="U152" s="3">
        <v>5930.472</v>
      </c>
      <c r="V152" s="26">
        <v>6152.197</v>
      </c>
      <c r="W152" s="63">
        <f t="shared" si="272"/>
        <v>8948.223</v>
      </c>
      <c r="X152" s="7">
        <f aca="true" t="shared" si="281" ref="X152:X157">W152/Y152</f>
        <v>0.388298760069892</v>
      </c>
      <c r="Y152" s="24">
        <f t="shared" si="273"/>
        <v>23044.686</v>
      </c>
      <c r="Z152" s="25">
        <f aca="true" t="shared" si="282" ref="Z152:Z158">AA152/AB152</f>
        <v>0.0021339382983562986</v>
      </c>
      <c r="AA152" s="51">
        <v>1.6428571428571428</v>
      </c>
      <c r="AB152" s="51">
        <v>769.8709677419355</v>
      </c>
      <c r="AC152" s="39">
        <f aca="true" t="shared" si="283" ref="AC152:AC158">AD152/AE152</f>
        <v>0.40902021772939345</v>
      </c>
      <c r="AD152" s="51">
        <v>112.71428571428571</v>
      </c>
      <c r="AE152" s="137">
        <v>275.57142857142856</v>
      </c>
      <c r="AF152" s="7">
        <f aca="true" t="shared" si="284" ref="AF152:AF158">AG152/AH152</f>
        <v>0.591471939285001</v>
      </c>
      <c r="AG152" s="51">
        <v>211.53571428571428</v>
      </c>
      <c r="AH152" s="104">
        <v>357.64285714285717</v>
      </c>
      <c r="AI152" s="63">
        <f t="shared" si="274"/>
        <v>325.89285714285717</v>
      </c>
      <c r="AJ152" s="7">
        <f aca="true" t="shared" si="285" ref="AJ152:AJ157">AI152/AK152</f>
        <v>0.23226874941496603</v>
      </c>
      <c r="AK152" s="26">
        <f t="shared" si="275"/>
        <v>1403.0852534562214</v>
      </c>
      <c r="AL152" s="93">
        <f t="shared" si="276"/>
        <v>10868.40157142857</v>
      </c>
      <c r="AM152" s="7">
        <f aca="true" t="shared" si="286" ref="AM152:AM157">AL152/AN152</f>
        <v>0.3758084426856912</v>
      </c>
      <c r="AN152" s="3">
        <f t="shared" si="277"/>
        <v>28920.056967741937</v>
      </c>
      <c r="AO152" s="7">
        <f t="shared" si="278"/>
        <v>0.027134651273501852</v>
      </c>
      <c r="AP152" s="7">
        <f t="shared" si="255"/>
        <v>0.5158724602270714</v>
      </c>
      <c r="AQ152" s="94">
        <f t="shared" si="256"/>
        <v>0.9453467496427524</v>
      </c>
    </row>
    <row r="153" spans="1:43" s="15" customFormat="1" ht="12.75">
      <c r="A153" s="147">
        <v>40179</v>
      </c>
      <c r="B153" s="25">
        <f aca="true" t="shared" si="287" ref="B153:B158">C153/D153</f>
        <v>0.027011225444340505</v>
      </c>
      <c r="C153" s="51">
        <v>66</v>
      </c>
      <c r="D153" s="3">
        <v>2443.4285714285716</v>
      </c>
      <c r="E153" s="39">
        <f aca="true" t="shared" si="288" ref="E153:E158">F153/G153</f>
        <v>0.5043460476531343</v>
      </c>
      <c r="F153" s="51">
        <v>704.5714285714286</v>
      </c>
      <c r="G153" s="40">
        <v>1397</v>
      </c>
      <c r="H153" s="7">
        <f aca="true" t="shared" si="289" ref="H153:H158">I153/J153</f>
        <v>0.9447393068997815</v>
      </c>
      <c r="I153" s="51">
        <v>864.5714285714286</v>
      </c>
      <c r="J153" s="26">
        <v>915.1428571428571</v>
      </c>
      <c r="K153" s="63">
        <f aca="true" t="shared" si="290" ref="K153:K158">SUM(C153+F153+I153)</f>
        <v>1635.142857142857</v>
      </c>
      <c r="L153" s="7">
        <f t="shared" si="279"/>
        <v>0.3438373036138064</v>
      </c>
      <c r="M153" s="26">
        <f t="shared" si="280"/>
        <v>4755.571428571428</v>
      </c>
      <c r="N153" s="25">
        <f aca="true" t="shared" si="291" ref="N153:N158">O153/P153</f>
        <v>0.026374880220112033</v>
      </c>
      <c r="O153" s="11">
        <v>351.403</v>
      </c>
      <c r="P153" s="3">
        <v>13323.397</v>
      </c>
      <c r="Q153" s="39">
        <f aca="true" t="shared" si="292" ref="Q153:Q158">R153/S153</f>
        <v>0.5255360384116374</v>
      </c>
      <c r="R153" s="3">
        <v>2761.293</v>
      </c>
      <c r="S153" s="40">
        <v>5254.241</v>
      </c>
      <c r="T153" s="7">
        <f aca="true" t="shared" si="293" ref="T153:T158">U153/V153</f>
        <v>0.9573403771019712</v>
      </c>
      <c r="U153" s="3">
        <v>6050.126</v>
      </c>
      <c r="V153" s="26">
        <v>6319.723</v>
      </c>
      <c r="W153" s="63">
        <f aca="true" t="shared" si="294" ref="W153:W158">+U153+O153+R153</f>
        <v>9162.822</v>
      </c>
      <c r="X153" s="7">
        <f t="shared" si="281"/>
        <v>0.3680238238904115</v>
      </c>
      <c r="Y153" s="24">
        <f aca="true" t="shared" si="295" ref="Y153:Y158">+V153+S153+P153</f>
        <v>24897.361</v>
      </c>
      <c r="Z153" s="25">
        <f t="shared" si="282"/>
        <v>0.001447126923619935</v>
      </c>
      <c r="AA153" s="51">
        <v>1.3225806451612903</v>
      </c>
      <c r="AB153" s="51">
        <v>913.9354838709677</v>
      </c>
      <c r="AC153" s="39">
        <f t="shared" si="283"/>
        <v>0.407348045863642</v>
      </c>
      <c r="AD153" s="51">
        <v>106.58064516129032</v>
      </c>
      <c r="AE153" s="137">
        <v>261.64516129032256</v>
      </c>
      <c r="AF153" s="7">
        <f t="shared" si="284"/>
        <v>0.5989578212565136</v>
      </c>
      <c r="AG153" s="51">
        <v>196.51612903225808</v>
      </c>
      <c r="AH153" s="104">
        <v>328.0967741935484</v>
      </c>
      <c r="AI153" s="63">
        <f aca="true" t="shared" si="296" ref="AI153:AI158">AG153+AD153+AA153</f>
        <v>304.4193548387097</v>
      </c>
      <c r="AJ153" s="7">
        <f t="shared" si="285"/>
        <v>0.2024499077530356</v>
      </c>
      <c r="AK153" s="26">
        <f aca="true" t="shared" si="297" ref="AK153:AK158">+AH153+AE153+AB153</f>
        <v>1503.6774193548385</v>
      </c>
      <c r="AL153" s="93">
        <f aca="true" t="shared" si="298" ref="AL153:AL158">+AI153+W153+K153</f>
        <v>11102.384211981567</v>
      </c>
      <c r="AM153" s="7">
        <f t="shared" si="286"/>
        <v>0.3563412151120326</v>
      </c>
      <c r="AN153" s="3">
        <f aca="true" t="shared" si="299" ref="AN153:AN158">+AK153+Y153+M153</f>
        <v>31156.609847926266</v>
      </c>
      <c r="AO153" s="7">
        <f aca="true" t="shared" si="300" ref="AO153:AO158">(+AA153+O153+C153)/(D153+P153+AB153)</f>
        <v>0.025102306738704266</v>
      </c>
      <c r="AP153" s="7">
        <f t="shared" si="255"/>
        <v>0.5167805443892779</v>
      </c>
      <c r="AQ153" s="94">
        <f t="shared" si="256"/>
        <v>0.9402682393456581</v>
      </c>
    </row>
    <row r="154" spans="1:43" s="15" customFormat="1" ht="12.75">
      <c r="A154" s="147">
        <v>40148</v>
      </c>
      <c r="B154" s="25">
        <f t="shared" si="287"/>
        <v>0.02195108044928445</v>
      </c>
      <c r="C154" s="51">
        <v>55</v>
      </c>
      <c r="D154" s="3">
        <v>2505.5714285714284</v>
      </c>
      <c r="E154" s="39">
        <f t="shared" si="288"/>
        <v>0.5094401396922406</v>
      </c>
      <c r="F154" s="51">
        <v>666.8571428571429</v>
      </c>
      <c r="G154" s="40">
        <v>1309</v>
      </c>
      <c r="H154" s="7">
        <f t="shared" si="289"/>
        <v>0.9631064690026954</v>
      </c>
      <c r="I154" s="51">
        <v>816.7142857142857</v>
      </c>
      <c r="J154" s="26">
        <v>848</v>
      </c>
      <c r="K154" s="63">
        <f t="shared" si="290"/>
        <v>1538.5714285714284</v>
      </c>
      <c r="L154" s="7">
        <f t="shared" si="279"/>
        <v>0.3299834548685581</v>
      </c>
      <c r="M154" s="26">
        <f t="shared" si="280"/>
        <v>4662.571428571428</v>
      </c>
      <c r="N154" s="25">
        <f t="shared" si="291"/>
        <v>0.021819695717336107</v>
      </c>
      <c r="O154" s="11">
        <v>293.971</v>
      </c>
      <c r="P154" s="3">
        <v>13472.736</v>
      </c>
      <c r="Q154" s="39">
        <f t="shared" si="292"/>
        <v>0.5265096158507978</v>
      </c>
      <c r="R154" s="3">
        <v>2888.675</v>
      </c>
      <c r="S154" s="40">
        <v>5486.462</v>
      </c>
      <c r="T154" s="7">
        <f t="shared" si="293"/>
        <v>0.956776582344534</v>
      </c>
      <c r="U154" s="3">
        <v>5674.817</v>
      </c>
      <c r="V154" s="26">
        <v>5931.183</v>
      </c>
      <c r="W154" s="63">
        <f t="shared" si="294"/>
        <v>8857.463</v>
      </c>
      <c r="X154" s="7">
        <f t="shared" si="281"/>
        <v>0.35585887576409536</v>
      </c>
      <c r="Y154" s="24">
        <f t="shared" si="295"/>
        <v>24890.381</v>
      </c>
      <c r="Z154" s="25">
        <f t="shared" si="282"/>
        <v>0.001159180293935003</v>
      </c>
      <c r="AA154" s="51">
        <v>0.9032258064516129</v>
      </c>
      <c r="AB154" s="51">
        <v>779.1935483870968</v>
      </c>
      <c r="AC154" s="39">
        <f t="shared" si="283"/>
        <v>0.3993109927967428</v>
      </c>
      <c r="AD154" s="51">
        <v>109.6774193548387</v>
      </c>
      <c r="AE154" s="137">
        <v>274.6666666666667</v>
      </c>
      <c r="AF154" s="7">
        <f t="shared" si="284"/>
        <v>0.5782191916197252</v>
      </c>
      <c r="AG154" s="51">
        <v>188.74193548387098</v>
      </c>
      <c r="AH154" s="104">
        <v>326.4193548387097</v>
      </c>
      <c r="AI154" s="63">
        <f t="shared" si="296"/>
        <v>299.3225806451613</v>
      </c>
      <c r="AJ154" s="7">
        <f t="shared" si="285"/>
        <v>0.21685648847825745</v>
      </c>
      <c r="AK154" s="26">
        <f t="shared" si="297"/>
        <v>1380.2795698924733</v>
      </c>
      <c r="AL154" s="93">
        <f t="shared" si="298"/>
        <v>10695.35700921659</v>
      </c>
      <c r="AM154" s="7">
        <f t="shared" si="286"/>
        <v>0.34575620839580246</v>
      </c>
      <c r="AN154" s="3">
        <f t="shared" si="299"/>
        <v>30933.231998463903</v>
      </c>
      <c r="AO154" s="7">
        <f t="shared" si="300"/>
        <v>0.020878663607868903</v>
      </c>
      <c r="AP154" s="7">
        <f t="shared" si="255"/>
        <v>0.5184077596058809</v>
      </c>
      <c r="AQ154" s="94">
        <f t="shared" si="256"/>
        <v>0.940141720237002</v>
      </c>
    </row>
    <row r="155" spans="1:43" s="15" customFormat="1" ht="12.75">
      <c r="A155" s="147">
        <v>40118</v>
      </c>
      <c r="B155" s="25">
        <f t="shared" si="287"/>
        <v>0.015446783549501401</v>
      </c>
      <c r="C155" s="51">
        <v>33.857142857142854</v>
      </c>
      <c r="D155" s="3">
        <v>2191.8571428571427</v>
      </c>
      <c r="E155" s="39">
        <f t="shared" si="288"/>
        <v>0.49024937950596853</v>
      </c>
      <c r="F155" s="51">
        <v>592.5714285714286</v>
      </c>
      <c r="G155" s="40">
        <v>1208.7142857142858</v>
      </c>
      <c r="H155" s="7">
        <f t="shared" si="289"/>
        <v>0.9604904632152588</v>
      </c>
      <c r="I155" s="51">
        <v>805.7142857142857</v>
      </c>
      <c r="J155" s="26">
        <v>838.8571428571429</v>
      </c>
      <c r="K155" s="63">
        <f t="shared" si="290"/>
        <v>1432.142857142857</v>
      </c>
      <c r="L155" s="7">
        <f t="shared" si="279"/>
        <v>0.33781506941636336</v>
      </c>
      <c r="M155" s="26">
        <f t="shared" si="280"/>
        <v>4239.428571428572</v>
      </c>
      <c r="N155" s="25">
        <f t="shared" si="291"/>
        <v>0.02053311377117631</v>
      </c>
      <c r="O155" s="11">
        <v>237.487</v>
      </c>
      <c r="P155" s="3">
        <v>11566.049</v>
      </c>
      <c r="Q155" s="39">
        <f t="shared" si="292"/>
        <v>0.5163245801353751</v>
      </c>
      <c r="R155" s="3">
        <v>2561.273</v>
      </c>
      <c r="S155" s="40">
        <v>4960.587</v>
      </c>
      <c r="T155" s="7">
        <f t="shared" si="293"/>
        <v>0.9577235626653497</v>
      </c>
      <c r="U155" s="3">
        <v>5771.473</v>
      </c>
      <c r="V155" s="26">
        <v>6026.241</v>
      </c>
      <c r="W155" s="63">
        <f t="shared" si="294"/>
        <v>8570.233</v>
      </c>
      <c r="X155" s="7">
        <f t="shared" si="281"/>
        <v>0.38000619610526853</v>
      </c>
      <c r="Y155" s="24">
        <f t="shared" si="295"/>
        <v>22552.877</v>
      </c>
      <c r="Z155" s="25">
        <f t="shared" si="282"/>
        <v>0.0019274281404508507</v>
      </c>
      <c r="AA155" s="51">
        <v>1.5333333333333334</v>
      </c>
      <c r="AB155" s="51">
        <v>795.5333333333333</v>
      </c>
      <c r="AC155" s="39">
        <f t="shared" si="283"/>
        <v>0.4090202177293935</v>
      </c>
      <c r="AD155" s="51">
        <v>105.2</v>
      </c>
      <c r="AE155" s="137">
        <v>257.2</v>
      </c>
      <c r="AF155" s="7">
        <f t="shared" si="284"/>
        <v>0.591471939285001</v>
      </c>
      <c r="AG155" s="51">
        <v>197.43333333333334</v>
      </c>
      <c r="AH155" s="104">
        <v>333.8</v>
      </c>
      <c r="AI155" s="63">
        <f t="shared" si="296"/>
        <v>304.1666666666667</v>
      </c>
      <c r="AJ155" s="7">
        <f t="shared" si="285"/>
        <v>0.219372055005289</v>
      </c>
      <c r="AK155" s="26">
        <f t="shared" si="297"/>
        <v>1386.5333333333333</v>
      </c>
      <c r="AL155" s="93">
        <f t="shared" si="298"/>
        <v>10306.542523809523</v>
      </c>
      <c r="AM155" s="7">
        <f t="shared" si="286"/>
        <v>0.3657546912647218</v>
      </c>
      <c r="AN155" s="3">
        <f t="shared" si="299"/>
        <v>28178.838904761906</v>
      </c>
      <c r="AO155" s="7">
        <f t="shared" si="300"/>
        <v>0.018750033394985804</v>
      </c>
      <c r="AP155" s="7">
        <f t="shared" si="255"/>
        <v>0.5071257724348522</v>
      </c>
      <c r="AQ155" s="94">
        <f t="shared" si="256"/>
        <v>0.9410635467553463</v>
      </c>
    </row>
    <row r="156" spans="1:43" s="15" customFormat="1" ht="12.75">
      <c r="A156" s="147">
        <v>40087</v>
      </c>
      <c r="B156" s="25">
        <f t="shared" si="287"/>
        <v>0.01430172016081197</v>
      </c>
      <c r="C156" s="51">
        <v>31</v>
      </c>
      <c r="D156" s="3">
        <v>2167.5714285714284</v>
      </c>
      <c r="E156" s="39">
        <f t="shared" si="288"/>
        <v>0.4787367460950861</v>
      </c>
      <c r="F156" s="51">
        <v>599.8571428571429</v>
      </c>
      <c r="G156" s="40">
        <v>1253</v>
      </c>
      <c r="H156" s="7">
        <f t="shared" si="289"/>
        <v>0.9566973662950397</v>
      </c>
      <c r="I156" s="51">
        <v>845.8571428571429</v>
      </c>
      <c r="J156" s="26">
        <v>884.1428571428571</v>
      </c>
      <c r="K156" s="63">
        <f t="shared" si="290"/>
        <v>1476.7142857142858</v>
      </c>
      <c r="L156" s="7">
        <f t="shared" si="279"/>
        <v>0.34304583015298845</v>
      </c>
      <c r="M156" s="26">
        <f t="shared" si="280"/>
        <v>4304.714285714285</v>
      </c>
      <c r="N156" s="25">
        <f t="shared" si="291"/>
        <v>0.0200132503868954</v>
      </c>
      <c r="O156" s="11">
        <v>211.515</v>
      </c>
      <c r="P156" s="3">
        <v>10568.748</v>
      </c>
      <c r="Q156" s="39">
        <f t="shared" si="292"/>
        <v>0.4953374622249406</v>
      </c>
      <c r="R156" s="3">
        <v>2627.153</v>
      </c>
      <c r="S156" s="40">
        <v>5303.764</v>
      </c>
      <c r="T156" s="7">
        <f t="shared" si="293"/>
        <v>0.9529083527541459</v>
      </c>
      <c r="U156" s="3">
        <v>6573.664</v>
      </c>
      <c r="V156" s="26">
        <v>6898.527</v>
      </c>
      <c r="W156" s="63">
        <f t="shared" si="294"/>
        <v>9412.332</v>
      </c>
      <c r="X156" s="7">
        <f t="shared" si="281"/>
        <v>0.41334661980070386</v>
      </c>
      <c r="Y156" s="24">
        <f t="shared" si="295"/>
        <v>22771.039</v>
      </c>
      <c r="Z156" s="25">
        <f t="shared" si="282"/>
        <v>0.002754572138180176</v>
      </c>
      <c r="AA156" s="51">
        <v>2.033333333333333</v>
      </c>
      <c r="AB156" s="51">
        <v>738.1666666666666</v>
      </c>
      <c r="AC156" s="39">
        <f t="shared" si="283"/>
        <v>0.40022491565662877</v>
      </c>
      <c r="AD156" s="51">
        <v>106.76666666666667</v>
      </c>
      <c r="AE156" s="137">
        <v>266.76666666666665</v>
      </c>
      <c r="AF156" s="7">
        <f t="shared" si="284"/>
        <v>0.5424882219507939</v>
      </c>
      <c r="AG156" s="51">
        <v>207.26666666666668</v>
      </c>
      <c r="AH156" s="104">
        <v>382.06666666666666</v>
      </c>
      <c r="AI156" s="63">
        <f t="shared" si="296"/>
        <v>316.0666666666667</v>
      </c>
      <c r="AJ156" s="7">
        <f t="shared" si="285"/>
        <v>0.2278779139629897</v>
      </c>
      <c r="AK156" s="26">
        <f t="shared" si="297"/>
        <v>1387</v>
      </c>
      <c r="AL156" s="93">
        <f t="shared" si="298"/>
        <v>11205.112952380954</v>
      </c>
      <c r="AM156" s="7">
        <f t="shared" si="286"/>
        <v>0.393676354493959</v>
      </c>
      <c r="AN156" s="3">
        <f t="shared" si="299"/>
        <v>28462.753285714287</v>
      </c>
      <c r="AO156" s="7">
        <f t="shared" si="300"/>
        <v>0.018148991479516027</v>
      </c>
      <c r="AP156" s="7">
        <f t="shared" si="255"/>
        <v>0.48857064947469175</v>
      </c>
      <c r="AQ156" s="94">
        <f t="shared" si="256"/>
        <v>0.9341131569013917</v>
      </c>
    </row>
    <row r="157" spans="1:43" s="15" customFormat="1" ht="12.75">
      <c r="A157" s="147">
        <v>40057</v>
      </c>
      <c r="B157" s="25">
        <f t="shared" si="287"/>
        <v>0.014171413072959048</v>
      </c>
      <c r="C157" s="51">
        <v>29.857142857142858</v>
      </c>
      <c r="D157" s="3">
        <f>14748/7</f>
        <v>2106.8571428571427</v>
      </c>
      <c r="E157" s="39">
        <f t="shared" si="288"/>
        <v>0.46676480579775786</v>
      </c>
      <c r="F157" s="51">
        <v>588.8571428571429</v>
      </c>
      <c r="G157" s="40">
        <f>8831/7</f>
        <v>1261.5714285714287</v>
      </c>
      <c r="H157" s="7">
        <f t="shared" si="289"/>
        <v>0.9398028809704322</v>
      </c>
      <c r="I157" s="51">
        <f>6198/7</f>
        <v>885.4285714285714</v>
      </c>
      <c r="J157" s="26">
        <f>6595/7</f>
        <v>942.1428571428571</v>
      </c>
      <c r="K157" s="63">
        <f t="shared" si="290"/>
        <v>1504.1428571428573</v>
      </c>
      <c r="L157" s="7">
        <f t="shared" si="279"/>
        <v>0.34894279843573944</v>
      </c>
      <c r="M157" s="26">
        <f t="shared" si="280"/>
        <v>4310.571428571428</v>
      </c>
      <c r="N157" s="25">
        <f t="shared" si="291"/>
        <v>0.01712087695451726</v>
      </c>
      <c r="O157" s="11">
        <v>176.82</v>
      </c>
      <c r="P157" s="3">
        <v>10327.742</v>
      </c>
      <c r="Q157" s="39">
        <f t="shared" si="292"/>
        <v>0.47146099775320327</v>
      </c>
      <c r="R157" s="3">
        <v>2536.719</v>
      </c>
      <c r="S157" s="40">
        <v>5380.549</v>
      </c>
      <c r="T157" s="7">
        <f t="shared" si="293"/>
        <v>0.9512281591409076</v>
      </c>
      <c r="U157" s="3">
        <v>6377.747</v>
      </c>
      <c r="V157" s="26">
        <v>6704.75</v>
      </c>
      <c r="W157" s="63">
        <f t="shared" si="294"/>
        <v>9091.286</v>
      </c>
      <c r="X157" s="7">
        <f t="shared" si="281"/>
        <v>0.4056248324357235</v>
      </c>
      <c r="Y157" s="24">
        <f t="shared" si="295"/>
        <v>22413.040999999997</v>
      </c>
      <c r="Z157" s="25">
        <f t="shared" si="282"/>
        <v>0.0008830022075055188</v>
      </c>
      <c r="AA157" s="51">
        <v>0.6</v>
      </c>
      <c r="AB157" s="51">
        <f>20385/30</f>
        <v>679.5</v>
      </c>
      <c r="AC157" s="39">
        <f t="shared" si="283"/>
        <v>0.4017135862913097</v>
      </c>
      <c r="AD157" s="51">
        <v>109.4</v>
      </c>
      <c r="AE157" s="137">
        <v>272.3333333333333</v>
      </c>
      <c r="AF157" s="7">
        <f t="shared" si="284"/>
        <v>0.6219711090400746</v>
      </c>
      <c r="AG157" s="51">
        <v>177.96666666666667</v>
      </c>
      <c r="AH157" s="104">
        <v>286.1333333333333</v>
      </c>
      <c r="AI157" s="63">
        <f t="shared" si="296"/>
        <v>287.9666666666667</v>
      </c>
      <c r="AJ157" s="7">
        <f t="shared" si="285"/>
        <v>0.2326126174641213</v>
      </c>
      <c r="AK157" s="26">
        <f t="shared" si="297"/>
        <v>1237.9666666666667</v>
      </c>
      <c r="AL157" s="93">
        <f t="shared" si="298"/>
        <v>10883.395523809524</v>
      </c>
      <c r="AM157" s="7">
        <f t="shared" si="286"/>
        <v>0.38922678460827653</v>
      </c>
      <c r="AN157" s="3">
        <f t="shared" si="299"/>
        <v>27961.579095238092</v>
      </c>
      <c r="AO157" s="7">
        <f t="shared" si="300"/>
        <v>0.015805671483735923</v>
      </c>
      <c r="AP157" s="7">
        <f t="shared" si="255"/>
        <v>0.4678570794240132</v>
      </c>
      <c r="AQ157" s="94">
        <f t="shared" si="256"/>
        <v>0.9379954205910134</v>
      </c>
    </row>
    <row r="158" spans="1:43" s="15" customFormat="1" ht="12.75">
      <c r="A158" s="147">
        <v>40026</v>
      </c>
      <c r="B158" s="25">
        <f t="shared" si="287"/>
        <v>0.014005069708491762</v>
      </c>
      <c r="C158" s="51">
        <v>31.571428571428573</v>
      </c>
      <c r="D158" s="3">
        <v>2254.285714285714</v>
      </c>
      <c r="E158" s="39">
        <f t="shared" si="288"/>
        <v>0.4502561912894962</v>
      </c>
      <c r="F158" s="51">
        <v>602.5714285714286</v>
      </c>
      <c r="G158" s="40">
        <v>1338.2857142857142</v>
      </c>
      <c r="H158" s="7">
        <f t="shared" si="289"/>
        <v>0.8237846256535767</v>
      </c>
      <c r="I158" s="51">
        <v>1057.857142857143</v>
      </c>
      <c r="J158" s="26">
        <v>1284.142857142857</v>
      </c>
      <c r="K158" s="63">
        <f t="shared" si="290"/>
        <v>1692</v>
      </c>
      <c r="L158" s="7">
        <f aca="true" t="shared" si="301" ref="L158:L163">K158/M158</f>
        <v>0.3469549169522805</v>
      </c>
      <c r="M158" s="26">
        <f aca="true" t="shared" si="302" ref="M158:M163">SUM(J158+G158+D158)</f>
        <v>4876.714285714286</v>
      </c>
      <c r="N158" s="25">
        <f t="shared" si="291"/>
        <v>0.015676005430802054</v>
      </c>
      <c r="O158" s="11">
        <v>180.106</v>
      </c>
      <c r="P158" s="3">
        <v>11489.279</v>
      </c>
      <c r="Q158" s="39">
        <f t="shared" si="292"/>
        <v>0.4594718908816912</v>
      </c>
      <c r="R158" s="3">
        <v>2628.193</v>
      </c>
      <c r="S158" s="40">
        <v>5720.03</v>
      </c>
      <c r="T158" s="7">
        <f t="shared" si="293"/>
        <v>0.9479498404791528</v>
      </c>
      <c r="U158" s="3">
        <v>6616.36</v>
      </c>
      <c r="V158" s="26">
        <v>6979.652</v>
      </c>
      <c r="W158" s="63">
        <f t="shared" si="294"/>
        <v>9424.659</v>
      </c>
      <c r="X158" s="7">
        <f aca="true" t="shared" si="303" ref="X158:X163">W158/Y158</f>
        <v>0.38962644985040895</v>
      </c>
      <c r="Y158" s="24">
        <f t="shared" si="295"/>
        <v>24188.961000000003</v>
      </c>
      <c r="Z158" s="25">
        <f t="shared" si="282"/>
        <v>0.0005782296535440659</v>
      </c>
      <c r="AA158" s="51">
        <f>12/31</f>
        <v>0.3870967741935484</v>
      </c>
      <c r="AB158" s="51">
        <v>669.4516129032259</v>
      </c>
      <c r="AC158" s="39">
        <f t="shared" si="283"/>
        <v>0.39287689414887733</v>
      </c>
      <c r="AD158" s="51">
        <v>114.58064516129032</v>
      </c>
      <c r="AE158" s="137">
        <v>291.64516129032256</v>
      </c>
      <c r="AF158" s="7">
        <f t="shared" si="284"/>
        <v>0.6525509175236943</v>
      </c>
      <c r="AG158" s="51">
        <v>208.7741935483871</v>
      </c>
      <c r="AH158" s="104">
        <v>319.93548387096774</v>
      </c>
      <c r="AI158" s="63">
        <f t="shared" si="296"/>
        <v>323.741935483871</v>
      </c>
      <c r="AJ158" s="7">
        <f aca="true" t="shared" si="304" ref="AJ158:AJ163">AI158/AK158</f>
        <v>0.2527195809830782</v>
      </c>
      <c r="AK158" s="26">
        <f t="shared" si="297"/>
        <v>1281.032258064516</v>
      </c>
      <c r="AL158" s="93">
        <f t="shared" si="298"/>
        <v>11440.40093548387</v>
      </c>
      <c r="AM158" s="7">
        <f aca="true" t="shared" si="305" ref="AM158:AM163">AL158/AN158</f>
        <v>0.3769898569385066</v>
      </c>
      <c r="AN158" s="3">
        <f t="shared" si="299"/>
        <v>30346.707543778804</v>
      </c>
      <c r="AO158" s="7">
        <f t="shared" si="300"/>
        <v>0.014713403532720647</v>
      </c>
      <c r="AP158" s="7">
        <f t="shared" si="255"/>
        <v>0.45515141241762525</v>
      </c>
      <c r="AQ158" s="94">
        <f t="shared" si="256"/>
        <v>0.9183642802407129</v>
      </c>
    </row>
    <row r="159" spans="1:43" s="15" customFormat="1" ht="12.75">
      <c r="A159" s="147">
        <v>39995</v>
      </c>
      <c r="B159" s="25">
        <f aca="true" t="shared" si="306" ref="B159:B164">C159/D159</f>
        <v>0.013955174288648583</v>
      </c>
      <c r="C159" s="51">
        <v>33</v>
      </c>
      <c r="D159" s="3">
        <v>2364.714285714286</v>
      </c>
      <c r="E159" s="39">
        <f aca="true" t="shared" si="307" ref="E159:E164">F159/G159</f>
        <v>0.45586481113320076</v>
      </c>
      <c r="F159" s="51">
        <v>655.1428571428571</v>
      </c>
      <c r="G159" s="40">
        <v>1437.142857142857</v>
      </c>
      <c r="H159" s="7">
        <f aca="true" t="shared" si="308" ref="H159:H164">I159/J159</f>
        <v>0.9205459770114942</v>
      </c>
      <c r="I159" s="51">
        <v>915.2857142857143</v>
      </c>
      <c r="J159" s="26">
        <v>994.2857142857143</v>
      </c>
      <c r="K159" s="63">
        <f aca="true" t="shared" si="309" ref="K159:K164">SUM(C159+F159+I159)</f>
        <v>1603.4285714285716</v>
      </c>
      <c r="L159" s="7">
        <f t="shared" si="301"/>
        <v>0.3343162660471212</v>
      </c>
      <c r="M159" s="26">
        <f t="shared" si="302"/>
        <v>4796.142857142857</v>
      </c>
      <c r="N159" s="25">
        <f aca="true" t="shared" si="310" ref="N159:N164">O159/P159</f>
        <v>0.015115301297027438</v>
      </c>
      <c r="O159" s="11">
        <v>192.05</v>
      </c>
      <c r="P159" s="3">
        <v>12705.668</v>
      </c>
      <c r="Q159" s="39">
        <f aca="true" t="shared" si="311" ref="Q159:Q164">R159/S159</f>
        <v>0.4677544067252944</v>
      </c>
      <c r="R159" s="3">
        <v>2983.593</v>
      </c>
      <c r="S159" s="40">
        <v>6378.546</v>
      </c>
      <c r="T159" s="7">
        <f aca="true" t="shared" si="312" ref="T159:T164">U159/V159</f>
        <v>0.9491504043779125</v>
      </c>
      <c r="U159" s="3">
        <v>6681.736</v>
      </c>
      <c r="V159" s="26">
        <v>7039.702</v>
      </c>
      <c r="W159" s="63">
        <f aca="true" t="shared" si="313" ref="W159:W164">+U159+O159+R159</f>
        <v>9857.379</v>
      </c>
      <c r="X159" s="7">
        <f t="shared" si="303"/>
        <v>0.3773315991369748</v>
      </c>
      <c r="Y159" s="24">
        <f aca="true" t="shared" si="314" ref="Y159:Y164">+V159+S159+P159</f>
        <v>26123.915999999997</v>
      </c>
      <c r="Z159" s="25">
        <f aca="true" t="shared" si="315" ref="Z159:Z164">AA159/AB159</f>
        <v>0.0005559158713981284</v>
      </c>
      <c r="AA159" s="51">
        <v>0.3870967741935484</v>
      </c>
      <c r="AB159" s="51">
        <v>696.3225806451613</v>
      </c>
      <c r="AC159" s="39">
        <f aca="true" t="shared" si="316" ref="AC159:AC164">AD159/AE159</f>
        <v>0.41157670454545453</v>
      </c>
      <c r="AD159" s="51">
        <v>112.16129032258064</v>
      </c>
      <c r="AE159" s="137">
        <v>272.51612903225805</v>
      </c>
      <c r="AF159" s="7">
        <f aca="true" t="shared" si="317" ref="AF159:AF164">AG159/AH159</f>
        <v>0.8056444573756182</v>
      </c>
      <c r="AG159" s="51">
        <f>8307/31</f>
        <v>267.96774193548384</v>
      </c>
      <c r="AH159" s="104">
        <v>332.61290322580646</v>
      </c>
      <c r="AI159" s="63">
        <f aca="true" t="shared" si="318" ref="AI159:AI164">AG159+AD159+AA159</f>
        <v>380.51612903225805</v>
      </c>
      <c r="AJ159" s="7">
        <f t="shared" si="304"/>
        <v>0.2923782376998389</v>
      </c>
      <c r="AK159" s="26">
        <f aca="true" t="shared" si="319" ref="AK159:AK164">+AH159+AE159+AB159</f>
        <v>1301.4516129032259</v>
      </c>
      <c r="AL159" s="93">
        <f aca="true" t="shared" si="320" ref="AL159:AL164">+AI159+W159+K159</f>
        <v>11841.32370046083</v>
      </c>
      <c r="AM159" s="7">
        <f t="shared" si="305"/>
        <v>0.3674974738216826</v>
      </c>
      <c r="AN159" s="3">
        <f aca="true" t="shared" si="321" ref="AN159:AN164">+AK159+Y159+M159</f>
        <v>32221.51047004608</v>
      </c>
      <c r="AO159" s="7">
        <f aca="true" t="shared" si="322" ref="AO159:AO164">(+AA159+O159+C159)/(D159+P159+AB159)</f>
        <v>0.014298301305505903</v>
      </c>
      <c r="AP159" s="7">
        <f t="shared" si="255"/>
        <v>0.4637490214301831</v>
      </c>
      <c r="AQ159" s="94">
        <f t="shared" si="256"/>
        <v>0.9400460014500468</v>
      </c>
    </row>
    <row r="160" spans="1:43" s="15" customFormat="1" ht="12.75">
      <c r="A160" s="147">
        <v>39965</v>
      </c>
      <c r="B160" s="25">
        <f t="shared" si="306"/>
        <v>0.013649189579368726</v>
      </c>
      <c r="C160" s="51">
        <v>29.714285714285715</v>
      </c>
      <c r="D160" s="3">
        <v>2177</v>
      </c>
      <c r="E160" s="39">
        <f t="shared" si="307"/>
        <v>0.4541453428863869</v>
      </c>
      <c r="F160" s="51">
        <v>633.8571428571429</v>
      </c>
      <c r="G160" s="40">
        <v>1395.7142857142858</v>
      </c>
      <c r="H160" s="7">
        <f t="shared" si="308"/>
        <v>0.9107604407563598</v>
      </c>
      <c r="I160" s="51">
        <v>956.4285714285714</v>
      </c>
      <c r="J160" s="26">
        <v>1050.142857142857</v>
      </c>
      <c r="K160" s="63">
        <f t="shared" si="309"/>
        <v>1620</v>
      </c>
      <c r="L160" s="7">
        <f t="shared" si="301"/>
        <v>0.35043263288009885</v>
      </c>
      <c r="M160" s="26">
        <f t="shared" si="302"/>
        <v>4622.857142857143</v>
      </c>
      <c r="N160" s="25">
        <f t="shared" si="310"/>
        <v>0.015194472680746956</v>
      </c>
      <c r="O160" s="11">
        <v>168.73</v>
      </c>
      <c r="P160" s="3">
        <v>11104.696</v>
      </c>
      <c r="Q160" s="39">
        <f t="shared" si="311"/>
        <v>0.4726162036825946</v>
      </c>
      <c r="R160" s="3">
        <v>2767.554</v>
      </c>
      <c r="S160" s="40">
        <v>5855.817</v>
      </c>
      <c r="T160" s="7">
        <f t="shared" si="312"/>
        <v>0.9533473667201587</v>
      </c>
      <c r="U160" s="3">
        <v>6277.576</v>
      </c>
      <c r="V160" s="26">
        <v>6584.773</v>
      </c>
      <c r="W160" s="63">
        <f t="shared" si="313"/>
        <v>9213.86</v>
      </c>
      <c r="X160" s="7">
        <f t="shared" si="303"/>
        <v>0.39132504060473083</v>
      </c>
      <c r="Y160" s="24">
        <f t="shared" si="314"/>
        <v>23545.286</v>
      </c>
      <c r="Z160" s="25">
        <f t="shared" si="315"/>
        <v>0.000635997456010176</v>
      </c>
      <c r="AA160" s="51">
        <v>0.4</v>
      </c>
      <c r="AB160" s="51">
        <v>628.9333333333333</v>
      </c>
      <c r="AC160" s="39">
        <f t="shared" si="316"/>
        <v>0.39791026429010445</v>
      </c>
      <c r="AD160" s="51">
        <v>107.9</v>
      </c>
      <c r="AE160" s="137">
        <v>271.1666666666667</v>
      </c>
      <c r="AF160" s="7">
        <f t="shared" si="317"/>
        <v>0.7469496907905733</v>
      </c>
      <c r="AG160" s="51">
        <v>297.93333333333334</v>
      </c>
      <c r="AH160" s="104">
        <v>398.8666666666667</v>
      </c>
      <c r="AI160" s="63">
        <f t="shared" si="318"/>
        <v>406.23333333333335</v>
      </c>
      <c r="AJ160" s="7">
        <f t="shared" si="304"/>
        <v>0.3127357643254895</v>
      </c>
      <c r="AK160" s="26">
        <f t="shared" si="319"/>
        <v>1298.9666666666667</v>
      </c>
      <c r="AL160" s="93">
        <f t="shared" si="320"/>
        <v>11240.093333333334</v>
      </c>
      <c r="AM160" s="7">
        <f t="shared" si="305"/>
        <v>0.381445394746536</v>
      </c>
      <c r="AN160" s="3">
        <f t="shared" si="321"/>
        <v>29467.109809523812</v>
      </c>
      <c r="AO160" s="7">
        <f t="shared" si="322"/>
        <v>0.014294413354671544</v>
      </c>
      <c r="AP160" s="7">
        <f t="shared" si="255"/>
        <v>0.4664963507868128</v>
      </c>
      <c r="AQ160" s="94">
        <f t="shared" si="256"/>
        <v>0.9375332083535602</v>
      </c>
    </row>
    <row r="161" spans="1:43" s="15" customFormat="1" ht="12.75">
      <c r="A161" s="147">
        <v>39934</v>
      </c>
      <c r="B161" s="25">
        <f t="shared" si="306"/>
        <v>0.008919722497522299</v>
      </c>
      <c r="C161" s="51">
        <v>18</v>
      </c>
      <c r="D161" s="3">
        <v>2018</v>
      </c>
      <c r="E161" s="39">
        <f t="shared" si="307"/>
        <v>0.4445357436318817</v>
      </c>
      <c r="F161" s="51">
        <v>541</v>
      </c>
      <c r="G161" s="40">
        <v>1217</v>
      </c>
      <c r="H161" s="7">
        <f t="shared" si="308"/>
        <v>0.9104477611940298</v>
      </c>
      <c r="I161" s="51">
        <v>854</v>
      </c>
      <c r="J161" s="26">
        <v>938</v>
      </c>
      <c r="K161" s="63">
        <f t="shared" si="309"/>
        <v>1413</v>
      </c>
      <c r="L161" s="7">
        <f t="shared" si="301"/>
        <v>0.3386053199137311</v>
      </c>
      <c r="M161" s="26">
        <f t="shared" si="302"/>
        <v>4173</v>
      </c>
      <c r="N161" s="25">
        <f t="shared" si="310"/>
        <v>0.013229571984435798</v>
      </c>
      <c r="O161" s="11">
        <v>136</v>
      </c>
      <c r="P161" s="3">
        <v>10280</v>
      </c>
      <c r="Q161" s="39">
        <f t="shared" si="311"/>
        <v>0.4722275982194697</v>
      </c>
      <c r="R161" s="3">
        <v>2440</v>
      </c>
      <c r="S161" s="40">
        <v>5167</v>
      </c>
      <c r="T161" s="7">
        <f t="shared" si="312"/>
        <v>0.9477165354330709</v>
      </c>
      <c r="U161" s="3">
        <v>6018</v>
      </c>
      <c r="V161" s="26">
        <v>6350</v>
      </c>
      <c r="W161" s="63">
        <f t="shared" si="313"/>
        <v>8594</v>
      </c>
      <c r="X161" s="7">
        <f t="shared" si="303"/>
        <v>0.394274441436895</v>
      </c>
      <c r="Y161" s="24">
        <f t="shared" si="314"/>
        <v>21797</v>
      </c>
      <c r="Z161" s="25">
        <f t="shared" si="315"/>
        <v>0.0005494231057389741</v>
      </c>
      <c r="AA161" s="51">
        <v>0.3548387096774194</v>
      </c>
      <c r="AB161" s="51">
        <f>20021/31</f>
        <v>645.8387096774194</v>
      </c>
      <c r="AC161" s="39">
        <f t="shared" si="316"/>
        <v>0.3974621367171511</v>
      </c>
      <c r="AD161" s="51">
        <v>93.96774193548387</v>
      </c>
      <c r="AE161" s="137">
        <v>236.41935483870967</v>
      </c>
      <c r="AF161" s="7">
        <f t="shared" si="317"/>
        <v>0.7225857624429902</v>
      </c>
      <c r="AG161" s="51">
        <v>235.09677419354838</v>
      </c>
      <c r="AH161" s="104">
        <v>325.35483870967744</v>
      </c>
      <c r="AI161" s="63">
        <f t="shared" si="318"/>
        <v>329.4193548387097</v>
      </c>
      <c r="AJ161" s="7">
        <f t="shared" si="304"/>
        <v>0.27278555401218085</v>
      </c>
      <c r="AK161" s="26">
        <f t="shared" si="319"/>
        <v>1207.6129032258063</v>
      </c>
      <c r="AL161" s="93">
        <f t="shared" si="320"/>
        <v>10336.41935483871</v>
      </c>
      <c r="AM161" s="7">
        <f t="shared" si="305"/>
        <v>0.38032844869947513</v>
      </c>
      <c r="AN161" s="3">
        <f t="shared" si="321"/>
        <v>27177.612903225807</v>
      </c>
      <c r="AO161" s="7">
        <f t="shared" si="322"/>
        <v>0.011924966168983125</v>
      </c>
      <c r="AP161" s="7">
        <f t="shared" si="255"/>
        <v>0.46446721531137786</v>
      </c>
      <c r="AQ161" s="94">
        <f t="shared" si="256"/>
        <v>0.9335039446812478</v>
      </c>
    </row>
    <row r="162" spans="1:43" s="15" customFormat="1" ht="12.75">
      <c r="A162" s="147">
        <v>39904</v>
      </c>
      <c r="B162" s="25">
        <f t="shared" si="306"/>
        <v>0.008531468531468531</v>
      </c>
      <c r="C162" s="51">
        <v>17.428571428571427</v>
      </c>
      <c r="D162" s="3">
        <v>2042.857142857143</v>
      </c>
      <c r="E162" s="39">
        <f t="shared" si="307"/>
        <v>0.44165527525786</v>
      </c>
      <c r="F162" s="51">
        <v>507.7142857142857</v>
      </c>
      <c r="G162" s="40">
        <v>1149.5714285714287</v>
      </c>
      <c r="H162" s="7">
        <f t="shared" si="308"/>
        <v>0.9004827908425478</v>
      </c>
      <c r="I162" s="13">
        <v>826</v>
      </c>
      <c r="J162" s="26">
        <v>917.2857142857143</v>
      </c>
      <c r="K162" s="63">
        <f t="shared" si="309"/>
        <v>1351.142857142857</v>
      </c>
      <c r="L162" s="7">
        <f t="shared" si="301"/>
        <v>0.32876807563959953</v>
      </c>
      <c r="M162" s="26">
        <f t="shared" si="302"/>
        <v>4109.714285714286</v>
      </c>
      <c r="N162" s="25">
        <f t="shared" si="310"/>
        <v>0.012796061673336249</v>
      </c>
      <c r="O162" s="11">
        <v>127.23</v>
      </c>
      <c r="P162" s="3">
        <v>9942.903</v>
      </c>
      <c r="Q162" s="39">
        <f t="shared" si="311"/>
        <v>0.4809917355371901</v>
      </c>
      <c r="R162" s="3">
        <v>2328</v>
      </c>
      <c r="S162" s="40">
        <v>4840</v>
      </c>
      <c r="T162" s="7">
        <f t="shared" si="312"/>
        <v>0.946439923712651</v>
      </c>
      <c r="U162" s="3">
        <v>5955</v>
      </c>
      <c r="V162" s="26">
        <v>6292</v>
      </c>
      <c r="W162" s="63">
        <f t="shared" si="313"/>
        <v>8410.23</v>
      </c>
      <c r="X162" s="7">
        <f t="shared" si="303"/>
        <v>0.3990637584429214</v>
      </c>
      <c r="Y162" s="24">
        <f t="shared" si="314"/>
        <v>21074.903</v>
      </c>
      <c r="Z162" s="25">
        <f t="shared" si="315"/>
        <v>0.000805405163541993</v>
      </c>
      <c r="AA162" s="51">
        <v>0.5806451612903226</v>
      </c>
      <c r="AB162" s="51">
        <v>720.9354838709677</v>
      </c>
      <c r="AC162" s="39">
        <f t="shared" si="316"/>
        <v>0.3275862068965517</v>
      </c>
      <c r="AD162" s="51">
        <v>80.90322580645162</v>
      </c>
      <c r="AE162" s="137">
        <v>246.96774193548387</v>
      </c>
      <c r="AF162" s="7">
        <f t="shared" si="317"/>
        <v>0.7175511026079952</v>
      </c>
      <c r="AG162" s="51">
        <f>7126/31</f>
        <v>229.8709677419355</v>
      </c>
      <c r="AH162" s="104">
        <v>320.35483870967744</v>
      </c>
      <c r="AI162" s="63">
        <f t="shared" si="318"/>
        <v>311.3548387096774</v>
      </c>
      <c r="AJ162" s="7">
        <f t="shared" si="304"/>
        <v>0.24168669871794868</v>
      </c>
      <c r="AK162" s="26">
        <f t="shared" si="319"/>
        <v>1288.258064516129</v>
      </c>
      <c r="AL162" s="93">
        <f t="shared" si="320"/>
        <v>10072.727695852534</v>
      </c>
      <c r="AM162" s="7">
        <f t="shared" si="305"/>
        <v>0.3804923931606418</v>
      </c>
      <c r="AN162" s="3">
        <f t="shared" si="321"/>
        <v>26472.875350230413</v>
      </c>
      <c r="AO162" s="7">
        <f t="shared" si="322"/>
        <v>0.01143013265261158</v>
      </c>
      <c r="AP162" s="7">
        <f t="shared" si="255"/>
        <v>0.4676660294725082</v>
      </c>
      <c r="AQ162" s="94">
        <f t="shared" si="256"/>
        <v>0.9311030079587156</v>
      </c>
    </row>
    <row r="163" spans="1:43" s="15" customFormat="1" ht="12.75">
      <c r="A163" s="147">
        <v>39873</v>
      </c>
      <c r="B163" s="25">
        <f t="shared" si="306"/>
        <v>0.008021390374331552</v>
      </c>
      <c r="C163" s="51">
        <v>18</v>
      </c>
      <c r="D163" s="3">
        <v>2244</v>
      </c>
      <c r="E163" s="39">
        <f t="shared" si="307"/>
        <v>0.4400345125107852</v>
      </c>
      <c r="F163" s="51">
        <v>510</v>
      </c>
      <c r="G163" s="40">
        <v>1159</v>
      </c>
      <c r="H163" s="7">
        <f t="shared" si="308"/>
        <v>0.9073881373569199</v>
      </c>
      <c r="I163" s="13">
        <v>872</v>
      </c>
      <c r="J163" s="26">
        <v>961</v>
      </c>
      <c r="K163" s="63">
        <f t="shared" si="309"/>
        <v>1400</v>
      </c>
      <c r="L163" s="7">
        <f t="shared" si="301"/>
        <v>0.3208065994500458</v>
      </c>
      <c r="M163" s="26">
        <f t="shared" si="302"/>
        <v>4364</v>
      </c>
      <c r="N163" s="25">
        <f t="shared" si="310"/>
        <v>0.011684952279011685</v>
      </c>
      <c r="O163" s="11">
        <v>131</v>
      </c>
      <c r="P163" s="3">
        <v>11211</v>
      </c>
      <c r="Q163" s="39">
        <f t="shared" si="311"/>
        <v>0.4739984591679507</v>
      </c>
      <c r="R163" s="3">
        <v>2461</v>
      </c>
      <c r="S163" s="40">
        <v>5192</v>
      </c>
      <c r="T163" s="7">
        <f t="shared" si="312"/>
        <v>0.9393939393939394</v>
      </c>
      <c r="U163" s="3">
        <v>5146</v>
      </c>
      <c r="V163" s="26">
        <v>5478</v>
      </c>
      <c r="W163" s="63">
        <f t="shared" si="313"/>
        <v>7738</v>
      </c>
      <c r="X163" s="7">
        <f t="shared" si="303"/>
        <v>0.35364014441753117</v>
      </c>
      <c r="Y163" s="24">
        <f t="shared" si="314"/>
        <v>21881</v>
      </c>
      <c r="Z163" s="25">
        <f t="shared" si="315"/>
        <v>0.004398129804263413</v>
      </c>
      <c r="AA163" s="51">
        <v>3.5806451612903225</v>
      </c>
      <c r="AB163" s="51">
        <v>814.1290322580645</v>
      </c>
      <c r="AC163" s="39">
        <f t="shared" si="316"/>
        <v>0.23935985155978196</v>
      </c>
      <c r="AD163" s="51">
        <v>66.58064516129032</v>
      </c>
      <c r="AE163" s="137">
        <v>278.16129032258067</v>
      </c>
      <c r="AF163" s="7">
        <f t="shared" si="317"/>
        <v>0.8664783794312426</v>
      </c>
      <c r="AG163" s="51">
        <v>287</v>
      </c>
      <c r="AH163" s="104">
        <v>331.2258064516129</v>
      </c>
      <c r="AI163" s="63">
        <f t="shared" si="318"/>
        <v>357.1612903225806</v>
      </c>
      <c r="AJ163" s="7">
        <f t="shared" si="304"/>
        <v>0.25090076820231594</v>
      </c>
      <c r="AK163" s="26">
        <f t="shared" si="319"/>
        <v>1423.516129032258</v>
      </c>
      <c r="AL163" s="93">
        <f t="shared" si="320"/>
        <v>9495.16129032258</v>
      </c>
      <c r="AM163" s="7">
        <f t="shared" si="305"/>
        <v>0.3431756602356935</v>
      </c>
      <c r="AN163" s="3">
        <f t="shared" si="321"/>
        <v>27668.516129032258</v>
      </c>
      <c r="AO163" s="7">
        <f t="shared" si="322"/>
        <v>0.010693059458384106</v>
      </c>
      <c r="AP163" s="7">
        <f t="shared" si="255"/>
        <v>0.4582149252569293</v>
      </c>
      <c r="AQ163" s="94">
        <f t="shared" si="256"/>
        <v>0.9312835613240136</v>
      </c>
    </row>
    <row r="164" spans="1:43" s="15" customFormat="1" ht="12.75">
      <c r="A164" s="147">
        <v>39845</v>
      </c>
      <c r="B164" s="25">
        <f t="shared" si="306"/>
        <v>0.007553503986571549</v>
      </c>
      <c r="C164" s="51">
        <v>18</v>
      </c>
      <c r="D164" s="3">
        <v>2383</v>
      </c>
      <c r="E164" s="39">
        <f t="shared" si="307"/>
        <v>0.419175911251981</v>
      </c>
      <c r="F164" s="51">
        <v>529</v>
      </c>
      <c r="G164" s="40">
        <v>1262</v>
      </c>
      <c r="H164" s="7">
        <f t="shared" si="308"/>
        <v>0.9096638655462185</v>
      </c>
      <c r="I164" s="13">
        <v>866</v>
      </c>
      <c r="J164" s="26">
        <v>952</v>
      </c>
      <c r="K164" s="63">
        <f t="shared" si="309"/>
        <v>1413</v>
      </c>
      <c r="L164" s="7">
        <f aca="true" t="shared" si="323" ref="L164:L183">K164/M164</f>
        <v>0.3073743745921253</v>
      </c>
      <c r="M164" s="26">
        <f aca="true" t="shared" si="324" ref="M164:M169">SUM(J164+G164+D164)</f>
        <v>4597</v>
      </c>
      <c r="N164" s="25">
        <f t="shared" si="310"/>
        <v>0.011215864759427829</v>
      </c>
      <c r="O164" s="11">
        <v>138</v>
      </c>
      <c r="P164" s="3">
        <v>12304</v>
      </c>
      <c r="Q164" s="39">
        <f t="shared" si="311"/>
        <v>0.4580896686159844</v>
      </c>
      <c r="R164" s="3">
        <v>2350</v>
      </c>
      <c r="S164" s="40">
        <v>5130</v>
      </c>
      <c r="T164" s="7">
        <f t="shared" si="312"/>
        <v>0.942683749157114</v>
      </c>
      <c r="U164" s="3">
        <v>5592</v>
      </c>
      <c r="V164" s="26">
        <v>5932</v>
      </c>
      <c r="W164" s="63">
        <f t="shared" si="313"/>
        <v>8080</v>
      </c>
      <c r="X164" s="7">
        <f aca="true" t="shared" si="325" ref="X164:X187">W164/Y164</f>
        <v>0.3458015920568347</v>
      </c>
      <c r="Y164" s="24">
        <f t="shared" si="314"/>
        <v>23366</v>
      </c>
      <c r="Z164" s="25">
        <f t="shared" si="315"/>
        <v>0.0029682741605951968</v>
      </c>
      <c r="AA164" s="51">
        <v>2.4838709677419355</v>
      </c>
      <c r="AB164" s="51">
        <v>836.8064516129032</v>
      </c>
      <c r="AC164" s="39">
        <f t="shared" si="316"/>
        <v>0.24529027297193387</v>
      </c>
      <c r="AD164" s="51">
        <v>61.74193548387097</v>
      </c>
      <c r="AE164" s="137">
        <v>251.70967741935485</v>
      </c>
      <c r="AF164" s="7">
        <f t="shared" si="317"/>
        <v>0.8954484860026662</v>
      </c>
      <c r="AG164" s="51">
        <v>303.35483870967744</v>
      </c>
      <c r="AH164" s="104">
        <v>338.7741935483871</v>
      </c>
      <c r="AI164" s="63">
        <f t="shared" si="318"/>
        <v>367.58064516129036</v>
      </c>
      <c r="AJ164" s="7">
        <f aca="true" t="shared" si="326" ref="AJ164:AJ184">AI164/AK164</f>
        <v>0.25753740451114226</v>
      </c>
      <c r="AK164" s="26">
        <f t="shared" si="319"/>
        <v>1427.2903225806451</v>
      </c>
      <c r="AL164" s="93">
        <f t="shared" si="320"/>
        <v>9860.58064516129</v>
      </c>
      <c r="AM164" s="7">
        <f aca="true" t="shared" si="327" ref="AM164:AM184">AL164/AN164</f>
        <v>0.3355047036600852</v>
      </c>
      <c r="AN164" s="3">
        <f t="shared" si="321"/>
        <v>29390.290322580644</v>
      </c>
      <c r="AO164" s="7">
        <f t="shared" si="322"/>
        <v>0.010209085733046849</v>
      </c>
      <c r="AP164" s="7">
        <f t="shared" si="255"/>
        <v>0.44263552717826704</v>
      </c>
      <c r="AQ164" s="94">
        <f t="shared" si="256"/>
        <v>0.9361160486990076</v>
      </c>
    </row>
    <row r="165" spans="1:43" s="15" customFormat="1" ht="12.75">
      <c r="A165" s="147">
        <v>39814</v>
      </c>
      <c r="B165" s="25">
        <f aca="true" t="shared" si="328" ref="B165:B183">C165/D165</f>
        <v>0.007271335629544585</v>
      </c>
      <c r="C165" s="51">
        <v>19</v>
      </c>
      <c r="D165" s="3">
        <v>2613</v>
      </c>
      <c r="E165" s="39">
        <f aca="true" t="shared" si="329" ref="E165:E183">F165/G165</f>
        <v>0.4565718677940046</v>
      </c>
      <c r="F165" s="51">
        <v>594</v>
      </c>
      <c r="G165" s="40">
        <v>1301</v>
      </c>
      <c r="H165" s="7">
        <f aca="true" t="shared" si="330" ref="H165:H183">I165/J165</f>
        <v>0.9398563734290843</v>
      </c>
      <c r="I165" s="13">
        <v>1047</v>
      </c>
      <c r="J165" s="26">
        <v>1114</v>
      </c>
      <c r="K165" s="63">
        <f aca="true" t="shared" si="331" ref="K165:K170">SUM(C165+F165+I165)</f>
        <v>1660</v>
      </c>
      <c r="L165" s="7">
        <f t="shared" si="323"/>
        <v>0.33015115354017505</v>
      </c>
      <c r="M165" s="26">
        <f t="shared" si="324"/>
        <v>5028</v>
      </c>
      <c r="N165" s="25">
        <f aca="true" t="shared" si="332" ref="N165:N184">O165/P165</f>
        <v>0.011060600913835629</v>
      </c>
      <c r="O165" s="11">
        <v>155.968</v>
      </c>
      <c r="P165" s="3">
        <v>14101.223</v>
      </c>
      <c r="Q165" s="39">
        <f aca="true" t="shared" si="333" ref="Q165:Q184">R165/S165</f>
        <v>0.44767371395814337</v>
      </c>
      <c r="R165" s="3">
        <v>2515.411</v>
      </c>
      <c r="S165" s="40">
        <v>5618.849</v>
      </c>
      <c r="T165" s="7">
        <f aca="true" t="shared" si="334" ref="T165:T184">U165/V165</f>
        <v>0.9328781213056768</v>
      </c>
      <c r="U165" s="3">
        <v>5574.305</v>
      </c>
      <c r="V165" s="26">
        <v>5975.384</v>
      </c>
      <c r="W165" s="63">
        <f aca="true" t="shared" si="335" ref="W165:W184">+U165+O165+R165</f>
        <v>8245.684000000001</v>
      </c>
      <c r="X165" s="7">
        <f t="shared" si="325"/>
        <v>0.3209004736090304</v>
      </c>
      <c r="Y165" s="24">
        <f aca="true" t="shared" si="336" ref="Y165:Y184">+V165+S165+P165</f>
        <v>25695.456</v>
      </c>
      <c r="Z165" s="25">
        <f aca="true" t="shared" si="337" ref="Z165:Z184">AA165/AB165</f>
        <v>0.0030120481927710845</v>
      </c>
      <c r="AA165" s="51">
        <v>3</v>
      </c>
      <c r="AB165" s="51">
        <v>996</v>
      </c>
      <c r="AC165" s="39">
        <f aca="true" t="shared" si="338" ref="AC165:AC184">AD165/AE165</f>
        <v>0.24232081911262798</v>
      </c>
      <c r="AD165" s="51">
        <v>71</v>
      </c>
      <c r="AE165" s="137">
        <v>293</v>
      </c>
      <c r="AF165" s="7">
        <f aca="true" t="shared" si="339" ref="AF165:AF184">AG165/AH165</f>
        <v>0.6942857142857143</v>
      </c>
      <c r="AG165" s="51">
        <v>243</v>
      </c>
      <c r="AH165" s="104">
        <v>350</v>
      </c>
      <c r="AI165" s="63">
        <f aca="true" t="shared" si="340" ref="AI165:AI184">AG165+AD165+AA165</f>
        <v>317</v>
      </c>
      <c r="AJ165" s="7">
        <f t="shared" si="326"/>
        <v>0.19341061622940817</v>
      </c>
      <c r="AK165" s="26">
        <f aca="true" t="shared" si="341" ref="AK165:AK184">+AH165+AE165+AB165</f>
        <v>1639</v>
      </c>
      <c r="AL165" s="93">
        <f aca="true" t="shared" si="342" ref="AL165:AL184">+AI165+W165+K165</f>
        <v>10222.684000000001</v>
      </c>
      <c r="AM165" s="7">
        <f t="shared" si="327"/>
        <v>0.3158809702205544</v>
      </c>
      <c r="AN165" s="3">
        <f aca="true" t="shared" si="343" ref="AN165:AN184">+AK165+Y165+M165</f>
        <v>32362.456</v>
      </c>
      <c r="AO165" s="7">
        <f aca="true" t="shared" si="344" ref="AO165:AO199">(+AA165+O165+C165)/(D165+P165+AB165)</f>
        <v>0.010048885324594728</v>
      </c>
      <c r="AP165" s="7">
        <f t="shared" si="255"/>
        <v>0.44093686142604677</v>
      </c>
      <c r="AQ165" s="94">
        <f t="shared" si="256"/>
        <v>0.9226980352136682</v>
      </c>
    </row>
    <row r="166" spans="1:43" s="15" customFormat="1" ht="12.75">
      <c r="A166" s="147">
        <v>39783</v>
      </c>
      <c r="B166" s="39">
        <f t="shared" si="328"/>
        <v>0.006843455945252352</v>
      </c>
      <c r="C166" s="51">
        <v>17.142857142857142</v>
      </c>
      <c r="D166" s="40">
        <v>2505</v>
      </c>
      <c r="E166" s="100">
        <f t="shared" si="329"/>
        <v>0.4346123727486296</v>
      </c>
      <c r="F166" s="51">
        <v>555</v>
      </c>
      <c r="G166" s="12">
        <v>1277</v>
      </c>
      <c r="H166" s="39">
        <f t="shared" si="330"/>
        <v>0.8957617411225659</v>
      </c>
      <c r="I166" s="13">
        <v>782</v>
      </c>
      <c r="J166" s="26">
        <v>873</v>
      </c>
      <c r="K166" s="63">
        <f t="shared" si="331"/>
        <v>1354.142857142857</v>
      </c>
      <c r="L166" s="7">
        <f t="shared" si="323"/>
        <v>0.2909007211907319</v>
      </c>
      <c r="M166" s="26">
        <f t="shared" si="324"/>
        <v>4655</v>
      </c>
      <c r="N166" s="25">
        <f t="shared" si="332"/>
        <v>0.011029919596740606</v>
      </c>
      <c r="O166" s="11">
        <v>146.847</v>
      </c>
      <c r="P166" s="3">
        <v>13313.515</v>
      </c>
      <c r="Q166" s="39">
        <f t="shared" si="333"/>
        <v>0.4314963243370746</v>
      </c>
      <c r="R166" s="3">
        <v>2264.683</v>
      </c>
      <c r="S166" s="40">
        <v>5248.441</v>
      </c>
      <c r="T166" s="7">
        <f t="shared" si="334"/>
        <v>0.9246415679808272</v>
      </c>
      <c r="U166" s="3">
        <v>4699.218</v>
      </c>
      <c r="V166" s="26">
        <v>5082.205</v>
      </c>
      <c r="W166" s="63">
        <f t="shared" si="335"/>
        <v>7110.748</v>
      </c>
      <c r="X166" s="7">
        <f t="shared" si="325"/>
        <v>0.30074012776346765</v>
      </c>
      <c r="Y166" s="24">
        <f t="shared" si="336"/>
        <v>23644.161</v>
      </c>
      <c r="Z166" s="25">
        <f t="shared" si="337"/>
        <v>0.0049504950495049506</v>
      </c>
      <c r="AA166" s="51">
        <v>4</v>
      </c>
      <c r="AB166" s="51">
        <v>808</v>
      </c>
      <c r="AC166" s="39">
        <f t="shared" si="338"/>
        <v>0.24210526315789474</v>
      </c>
      <c r="AD166" s="51">
        <v>69</v>
      </c>
      <c r="AE166" s="137">
        <v>285</v>
      </c>
      <c r="AF166" s="7">
        <f t="shared" si="339"/>
        <v>0.7182320441988951</v>
      </c>
      <c r="AG166" s="51">
        <v>260</v>
      </c>
      <c r="AH166" s="103">
        <v>362</v>
      </c>
      <c r="AI166" s="63">
        <f t="shared" si="340"/>
        <v>333</v>
      </c>
      <c r="AJ166" s="7">
        <f t="shared" si="326"/>
        <v>0.2288659793814433</v>
      </c>
      <c r="AK166" s="26">
        <f t="shared" si="341"/>
        <v>1455</v>
      </c>
      <c r="AL166" s="93">
        <f t="shared" si="342"/>
        <v>8797.890857142856</v>
      </c>
      <c r="AM166" s="7">
        <f t="shared" si="327"/>
        <v>0.29568606747617104</v>
      </c>
      <c r="AN166" s="3">
        <f t="shared" si="343"/>
        <v>29754.161</v>
      </c>
      <c r="AO166" s="7">
        <f t="shared" si="344"/>
        <v>0.01010373233012794</v>
      </c>
      <c r="AP166" s="7">
        <f t="shared" si="255"/>
        <v>0.42415505838755524</v>
      </c>
      <c r="AQ166" s="94">
        <f t="shared" si="256"/>
        <v>0.9088224934919794</v>
      </c>
    </row>
    <row r="167" spans="1:43" s="15" customFormat="1" ht="12.75">
      <c r="A167" s="147">
        <v>39753</v>
      </c>
      <c r="B167" s="25">
        <f t="shared" si="328"/>
        <v>0.005716798592788039</v>
      </c>
      <c r="C167" s="51">
        <v>13</v>
      </c>
      <c r="D167" s="3">
        <v>2274</v>
      </c>
      <c r="E167" s="39">
        <f t="shared" si="329"/>
        <v>0.4145785876993166</v>
      </c>
      <c r="F167" s="13">
        <v>546</v>
      </c>
      <c r="G167" s="40">
        <v>1317</v>
      </c>
      <c r="H167" s="7">
        <f t="shared" si="330"/>
        <v>0.9254054054054054</v>
      </c>
      <c r="I167" s="13">
        <v>856</v>
      </c>
      <c r="J167" s="26">
        <v>925</v>
      </c>
      <c r="K167" s="63">
        <f t="shared" si="331"/>
        <v>1415</v>
      </c>
      <c r="L167" s="7">
        <f t="shared" si="323"/>
        <v>0.3133303808680248</v>
      </c>
      <c r="M167" s="26">
        <f t="shared" si="324"/>
        <v>4516</v>
      </c>
      <c r="N167" s="25">
        <f t="shared" si="332"/>
        <v>0.011242864609471223</v>
      </c>
      <c r="O167" s="11">
        <v>138.271</v>
      </c>
      <c r="P167" s="3">
        <v>12298.556</v>
      </c>
      <c r="Q167" s="39">
        <f t="shared" si="333"/>
        <v>0.4162457089126664</v>
      </c>
      <c r="R167" s="3">
        <v>2256.69084311071</v>
      </c>
      <c r="S167" s="40">
        <v>5421.535393135289</v>
      </c>
      <c r="T167" s="7">
        <f t="shared" si="334"/>
        <v>0.9369836337452795</v>
      </c>
      <c r="U167" s="3">
        <v>6300.17437928471</v>
      </c>
      <c r="V167" s="26">
        <v>6723.88946016257</v>
      </c>
      <c r="W167" s="63">
        <f t="shared" si="335"/>
        <v>8695.13622239542</v>
      </c>
      <c r="X167" s="7">
        <f t="shared" si="325"/>
        <v>0.3557168643920908</v>
      </c>
      <c r="Y167" s="24">
        <f t="shared" si="336"/>
        <v>24443.98085329786</v>
      </c>
      <c r="Z167" s="25">
        <f t="shared" si="337"/>
        <v>0.004779653584740189</v>
      </c>
      <c r="AA167" s="51">
        <f>109/30</f>
        <v>3.6333333333333333</v>
      </c>
      <c r="AB167" s="51">
        <f>22805/30</f>
        <v>760.1666666666666</v>
      </c>
      <c r="AC167" s="39">
        <f t="shared" si="338"/>
        <v>0.24382249117498742</v>
      </c>
      <c r="AD167" s="51">
        <f>1934/30</f>
        <v>64.46666666666667</v>
      </c>
      <c r="AE167" s="137">
        <f>7932/30</f>
        <v>264.4</v>
      </c>
      <c r="AF167" s="7">
        <f t="shared" si="339"/>
        <v>0.7964239336729597</v>
      </c>
      <c r="AG167" s="51">
        <f>7973/30</f>
        <v>265.76666666666665</v>
      </c>
      <c r="AH167" s="103">
        <f>10011/30</f>
        <v>333.7</v>
      </c>
      <c r="AI167" s="63">
        <f t="shared" si="340"/>
        <v>333.8666666666667</v>
      </c>
      <c r="AJ167" s="7">
        <f t="shared" si="326"/>
        <v>0.2458034750171788</v>
      </c>
      <c r="AK167" s="26">
        <f t="shared" si="341"/>
        <v>1358.2666666666664</v>
      </c>
      <c r="AL167" s="93">
        <f t="shared" si="342"/>
        <v>10444.002889062087</v>
      </c>
      <c r="AM167" s="7">
        <f t="shared" si="327"/>
        <v>0.34447910889917777</v>
      </c>
      <c r="AN167" s="3">
        <f t="shared" si="343"/>
        <v>30318.247519964527</v>
      </c>
      <c r="AO167" s="7">
        <f t="shared" si="344"/>
        <v>0.010102858879075357</v>
      </c>
      <c r="AP167" s="7">
        <f t="shared" si="255"/>
        <v>0.4094222420769356</v>
      </c>
      <c r="AQ167" s="94">
        <f t="shared" si="256"/>
        <v>0.929766096952733</v>
      </c>
    </row>
    <row r="168" spans="1:43" s="15" customFormat="1" ht="12.75">
      <c r="A168" s="147">
        <v>39722</v>
      </c>
      <c r="B168" s="25">
        <f t="shared" si="328"/>
        <v>0.005859644285123397</v>
      </c>
      <c r="C168" s="51">
        <f>85/7</f>
        <v>12.142857142857142</v>
      </c>
      <c r="D168" s="3">
        <f>14506/7</f>
        <v>2072.285714285714</v>
      </c>
      <c r="E168" s="39">
        <f t="shared" si="329"/>
        <v>0.40507302075326673</v>
      </c>
      <c r="F168" s="13">
        <v>527</v>
      </c>
      <c r="G168" s="40">
        <v>1301</v>
      </c>
      <c r="H168" s="7">
        <f t="shared" si="330"/>
        <v>0.9253218884120172</v>
      </c>
      <c r="I168" s="13">
        <v>924</v>
      </c>
      <c r="J168" s="26">
        <v>998.5714285714286</v>
      </c>
      <c r="K168" s="63">
        <f t="shared" si="331"/>
        <v>1463.142857142857</v>
      </c>
      <c r="L168" s="7">
        <f t="shared" si="323"/>
        <v>0.33467307126752277</v>
      </c>
      <c r="M168" s="26">
        <f t="shared" si="324"/>
        <v>4371.857142857143</v>
      </c>
      <c r="N168" s="25">
        <f t="shared" si="332"/>
        <v>0.00964945923732266</v>
      </c>
      <c r="O168" s="11">
        <v>100.286</v>
      </c>
      <c r="P168" s="3">
        <v>10392.914</v>
      </c>
      <c r="Q168" s="39">
        <f t="shared" si="333"/>
        <v>0.37765577629927966</v>
      </c>
      <c r="R168" s="3">
        <v>2165.269</v>
      </c>
      <c r="S168" s="40">
        <v>5733.446</v>
      </c>
      <c r="T168" s="7">
        <f t="shared" si="334"/>
        <v>0.9477428319483763</v>
      </c>
      <c r="U168" s="3">
        <v>9277.447</v>
      </c>
      <c r="V168" s="26">
        <v>9788.992</v>
      </c>
      <c r="W168" s="63">
        <f t="shared" si="335"/>
        <v>11543.002</v>
      </c>
      <c r="X168" s="7">
        <f t="shared" si="325"/>
        <v>0.44541173895689323</v>
      </c>
      <c r="Y168" s="24">
        <f t="shared" si="336"/>
        <v>25915.352</v>
      </c>
      <c r="Z168" s="25">
        <f t="shared" si="337"/>
        <v>0.0038935124349053388</v>
      </c>
      <c r="AA168" s="51">
        <f>80/30</f>
        <v>2.6666666666666665</v>
      </c>
      <c r="AB168" s="51">
        <f>20547/30</f>
        <v>684.9</v>
      </c>
      <c r="AC168" s="39">
        <f t="shared" si="338"/>
        <v>0.2240315357150228</v>
      </c>
      <c r="AD168" s="51">
        <f>2171/31</f>
        <v>70.03225806451613</v>
      </c>
      <c r="AE168" s="137">
        <f>9378/30</f>
        <v>312.6</v>
      </c>
      <c r="AF168" s="7">
        <f t="shared" si="339"/>
        <v>0.6896469843280039</v>
      </c>
      <c r="AG168" s="51">
        <f>8713/30</f>
        <v>290.43333333333334</v>
      </c>
      <c r="AH168" s="103">
        <f>12634/30</f>
        <v>421.1333333333333</v>
      </c>
      <c r="AI168" s="63">
        <f t="shared" si="340"/>
        <v>363.1322580645162</v>
      </c>
      <c r="AJ168" s="7">
        <f t="shared" si="326"/>
        <v>0.2559733015798183</v>
      </c>
      <c r="AK168" s="26">
        <f t="shared" si="341"/>
        <v>1418.6333333333332</v>
      </c>
      <c r="AL168" s="93">
        <f t="shared" si="342"/>
        <v>13369.277115207373</v>
      </c>
      <c r="AM168" s="7">
        <f t="shared" si="327"/>
        <v>0.4216660423152938</v>
      </c>
      <c r="AN168" s="3">
        <f t="shared" si="343"/>
        <v>31705.842476190475</v>
      </c>
      <c r="AO168" s="7">
        <f t="shared" si="344"/>
        <v>0.008752444947964073</v>
      </c>
      <c r="AP168" s="7">
        <f t="shared" si="255"/>
        <v>0.3759744063211957</v>
      </c>
      <c r="AQ168" s="94">
        <f t="shared" si="256"/>
        <v>0.9360481915250228</v>
      </c>
    </row>
    <row r="169" spans="1:43" s="15" customFormat="1" ht="12.75">
      <c r="A169" s="147">
        <v>39692</v>
      </c>
      <c r="B169" s="25">
        <f t="shared" si="328"/>
        <v>0.005504587155963303</v>
      </c>
      <c r="C169" s="51">
        <v>12</v>
      </c>
      <c r="D169" s="3">
        <v>2180</v>
      </c>
      <c r="E169" s="39">
        <f t="shared" si="329"/>
        <v>0.3956363636363636</v>
      </c>
      <c r="F169" s="13">
        <v>544</v>
      </c>
      <c r="G169" s="40">
        <v>1375</v>
      </c>
      <c r="H169" s="7">
        <f t="shared" si="330"/>
        <v>0.759607522485691</v>
      </c>
      <c r="I169" s="13">
        <v>929</v>
      </c>
      <c r="J169" s="26">
        <v>1223</v>
      </c>
      <c r="K169" s="63">
        <f t="shared" si="331"/>
        <v>1485</v>
      </c>
      <c r="L169" s="7">
        <f t="shared" si="323"/>
        <v>0.3107994976977815</v>
      </c>
      <c r="M169" s="26">
        <f t="shared" si="324"/>
        <v>4778</v>
      </c>
      <c r="N169" s="25">
        <f t="shared" si="332"/>
        <v>0.008566433566433567</v>
      </c>
      <c r="O169" s="11">
        <v>98</v>
      </c>
      <c r="P169" s="3">
        <v>11440</v>
      </c>
      <c r="Q169" s="39">
        <f t="shared" si="333"/>
        <v>0.36538134873449973</v>
      </c>
      <c r="R169" s="3">
        <v>2151</v>
      </c>
      <c r="S169" s="40">
        <v>5887</v>
      </c>
      <c r="T169" s="7">
        <f t="shared" si="334"/>
        <v>0.9285803627267042</v>
      </c>
      <c r="U169" s="3">
        <v>7424</v>
      </c>
      <c r="V169" s="26">
        <v>7995</v>
      </c>
      <c r="W169" s="63">
        <f t="shared" si="335"/>
        <v>9673</v>
      </c>
      <c r="X169" s="7">
        <f t="shared" si="325"/>
        <v>0.3819998420345944</v>
      </c>
      <c r="Y169" s="24">
        <f t="shared" si="336"/>
        <v>25322</v>
      </c>
      <c r="Z169" s="25">
        <f t="shared" si="337"/>
        <v>0.004379562043795621</v>
      </c>
      <c r="AA169" s="51">
        <v>3</v>
      </c>
      <c r="AB169" s="51">
        <v>685</v>
      </c>
      <c r="AC169" s="39">
        <f t="shared" si="338"/>
        <v>0.2413793103448276</v>
      </c>
      <c r="AD169" s="51">
        <v>70</v>
      </c>
      <c r="AE169" s="137">
        <v>290</v>
      </c>
      <c r="AF169" s="7">
        <f t="shared" si="339"/>
        <v>0.7139364303178484</v>
      </c>
      <c r="AG169" s="51">
        <v>292</v>
      </c>
      <c r="AH169" s="103">
        <v>409</v>
      </c>
      <c r="AI169" s="63">
        <f t="shared" si="340"/>
        <v>365</v>
      </c>
      <c r="AJ169" s="7">
        <f t="shared" si="326"/>
        <v>0.26372832369942195</v>
      </c>
      <c r="AK169" s="26">
        <f t="shared" si="341"/>
        <v>1384</v>
      </c>
      <c r="AL169" s="93">
        <f t="shared" si="342"/>
        <v>11523</v>
      </c>
      <c r="AM169" s="7">
        <f t="shared" si="327"/>
        <v>0.3659954262482531</v>
      </c>
      <c r="AN169" s="3">
        <f t="shared" si="343"/>
        <v>31484</v>
      </c>
      <c r="AO169" s="7">
        <f t="shared" si="344"/>
        <v>0.007899335896539671</v>
      </c>
      <c r="AP169" s="7">
        <f t="shared" si="255"/>
        <v>0.3661281779661017</v>
      </c>
      <c r="AQ169" s="94">
        <f t="shared" si="256"/>
        <v>0.8979952217720993</v>
      </c>
    </row>
    <row r="170" spans="1:43" s="15" customFormat="1" ht="12.75">
      <c r="A170" s="147">
        <v>39661</v>
      </c>
      <c r="B170" s="25">
        <f t="shared" si="328"/>
        <v>0.005538985939497231</v>
      </c>
      <c r="C170" s="5">
        <v>13</v>
      </c>
      <c r="D170" s="3">
        <v>2347</v>
      </c>
      <c r="E170" s="39">
        <f t="shared" si="329"/>
        <v>0.3979591836734694</v>
      </c>
      <c r="F170" s="13">
        <v>585</v>
      </c>
      <c r="G170" s="40">
        <v>1470</v>
      </c>
      <c r="H170" s="7">
        <f t="shared" si="330"/>
        <v>0.8717948717948718</v>
      </c>
      <c r="I170" s="13">
        <v>918</v>
      </c>
      <c r="J170" s="26">
        <v>1053</v>
      </c>
      <c r="K170" s="63">
        <f t="shared" si="331"/>
        <v>1516</v>
      </c>
      <c r="L170" s="7">
        <f t="shared" si="323"/>
        <v>0.31129363449691994</v>
      </c>
      <c r="M170" s="26">
        <f>J170+G170+D170</f>
        <v>4870</v>
      </c>
      <c r="N170" s="25">
        <f t="shared" si="332"/>
        <v>0.008630245447347584</v>
      </c>
      <c r="O170" s="11">
        <v>109</v>
      </c>
      <c r="P170" s="3">
        <v>12630</v>
      </c>
      <c r="Q170" s="39">
        <f t="shared" si="333"/>
        <v>0.3709972552607502</v>
      </c>
      <c r="R170" s="3">
        <v>2433</v>
      </c>
      <c r="S170" s="40">
        <v>6558</v>
      </c>
      <c r="T170" s="7">
        <f t="shared" si="334"/>
        <v>0.9304838516028334</v>
      </c>
      <c r="U170" s="3">
        <v>7750</v>
      </c>
      <c r="V170" s="26">
        <v>8329</v>
      </c>
      <c r="W170" s="63">
        <f t="shared" si="335"/>
        <v>10292</v>
      </c>
      <c r="X170" s="7">
        <f t="shared" si="325"/>
        <v>0.37402333103172586</v>
      </c>
      <c r="Y170" s="24">
        <f t="shared" si="336"/>
        <v>27517</v>
      </c>
      <c r="Z170" s="25">
        <f t="shared" si="337"/>
        <v>0.0027359781121751026</v>
      </c>
      <c r="AA170" s="51">
        <v>2</v>
      </c>
      <c r="AB170" s="51">
        <v>731</v>
      </c>
      <c r="AC170" s="39">
        <f t="shared" si="338"/>
        <v>0.250814332247557</v>
      </c>
      <c r="AD170" s="51">
        <v>77</v>
      </c>
      <c r="AE170" s="137">
        <v>307</v>
      </c>
      <c r="AF170" s="7">
        <f t="shared" si="339"/>
        <v>0.714987714987715</v>
      </c>
      <c r="AG170" s="51">
        <v>291</v>
      </c>
      <c r="AH170" s="103">
        <v>407</v>
      </c>
      <c r="AI170" s="63">
        <f t="shared" si="340"/>
        <v>370</v>
      </c>
      <c r="AJ170" s="7">
        <f t="shared" si="326"/>
        <v>0.2560553633217993</v>
      </c>
      <c r="AK170" s="26">
        <f t="shared" si="341"/>
        <v>1445</v>
      </c>
      <c r="AL170" s="93">
        <f t="shared" si="342"/>
        <v>12178</v>
      </c>
      <c r="AM170" s="7">
        <f t="shared" si="327"/>
        <v>0.3599550721210688</v>
      </c>
      <c r="AN170" s="3">
        <f t="shared" si="343"/>
        <v>33832</v>
      </c>
      <c r="AO170" s="7">
        <f t="shared" si="344"/>
        <v>0.00789406671759613</v>
      </c>
      <c r="AP170" s="7">
        <f t="shared" si="255"/>
        <v>0.3713257348530294</v>
      </c>
      <c r="AQ170" s="94">
        <f t="shared" si="256"/>
        <v>0.9152109510675248</v>
      </c>
    </row>
    <row r="171" spans="1:43" ht="12.75">
      <c r="A171" s="147">
        <v>39630</v>
      </c>
      <c r="B171" s="25">
        <f t="shared" si="328"/>
        <v>0.005050505050505051</v>
      </c>
      <c r="C171" s="5">
        <v>11</v>
      </c>
      <c r="D171" s="3">
        <v>2178</v>
      </c>
      <c r="E171" s="39">
        <f t="shared" si="329"/>
        <v>0.40269886363636365</v>
      </c>
      <c r="F171" s="13">
        <v>567</v>
      </c>
      <c r="G171" s="40">
        <v>1408</v>
      </c>
      <c r="H171" s="7">
        <f t="shared" si="330"/>
        <v>0.8736162361623616</v>
      </c>
      <c r="I171" s="13">
        <v>947</v>
      </c>
      <c r="J171" s="26">
        <v>1084</v>
      </c>
      <c r="K171" s="63">
        <v>1525</v>
      </c>
      <c r="L171" s="7">
        <f t="shared" si="323"/>
        <v>0.3265524625267666</v>
      </c>
      <c r="M171" s="26">
        <v>4670</v>
      </c>
      <c r="N171" s="25">
        <f t="shared" si="332"/>
        <v>0.00917022792022792</v>
      </c>
      <c r="O171" s="11">
        <v>103</v>
      </c>
      <c r="P171" s="3">
        <v>11232</v>
      </c>
      <c r="Q171" s="39">
        <f t="shared" si="333"/>
        <v>0.3925048667708392</v>
      </c>
      <c r="R171" s="3">
        <v>2436.032</v>
      </c>
      <c r="S171" s="40">
        <v>6206.374</v>
      </c>
      <c r="T171" s="7">
        <f t="shared" si="334"/>
        <v>0.9298733569224661</v>
      </c>
      <c r="U171" s="3">
        <v>7325.732</v>
      </c>
      <c r="V171" s="26">
        <v>7878.204</v>
      </c>
      <c r="W171" s="63">
        <f t="shared" si="335"/>
        <v>9864.764</v>
      </c>
      <c r="X171" s="7">
        <f t="shared" si="325"/>
        <v>0.3896562955704361</v>
      </c>
      <c r="Y171" s="24">
        <f t="shared" si="336"/>
        <v>25316.578</v>
      </c>
      <c r="Z171" s="25">
        <f t="shared" si="337"/>
        <v>0.0030349013657056147</v>
      </c>
      <c r="AA171" s="51">
        <v>2</v>
      </c>
      <c r="AB171" s="51">
        <v>659</v>
      </c>
      <c r="AC171" s="39">
        <f t="shared" si="338"/>
        <v>0.26353790613718414</v>
      </c>
      <c r="AD171" s="51">
        <v>73</v>
      </c>
      <c r="AE171" s="137">
        <v>277</v>
      </c>
      <c r="AF171" s="7">
        <f t="shared" si="339"/>
        <v>0.7117516629711752</v>
      </c>
      <c r="AG171" s="51">
        <v>321</v>
      </c>
      <c r="AH171" s="103">
        <v>451</v>
      </c>
      <c r="AI171" s="63">
        <f t="shared" si="340"/>
        <v>396</v>
      </c>
      <c r="AJ171" s="7">
        <f t="shared" si="326"/>
        <v>0.28550829127613553</v>
      </c>
      <c r="AK171" s="26">
        <f t="shared" si="341"/>
        <v>1387</v>
      </c>
      <c r="AL171" s="93">
        <f t="shared" si="342"/>
        <v>11785.764</v>
      </c>
      <c r="AM171" s="7">
        <f t="shared" si="327"/>
        <v>0.3756589063574451</v>
      </c>
      <c r="AN171" s="3">
        <f t="shared" si="343"/>
        <v>31373.578</v>
      </c>
      <c r="AO171" s="7">
        <f t="shared" si="344"/>
        <v>0.008245077830691592</v>
      </c>
      <c r="AP171" s="7">
        <f t="shared" si="255"/>
        <v>0.389796757826964</v>
      </c>
      <c r="AQ171" s="94">
        <f t="shared" si="256"/>
        <v>0.9129444129756458</v>
      </c>
    </row>
    <row r="172" spans="1:43" ht="12.75">
      <c r="A172" s="147">
        <v>39600</v>
      </c>
      <c r="B172" s="25">
        <f t="shared" si="328"/>
        <v>0.005122950819672131</v>
      </c>
      <c r="C172" s="11">
        <v>10</v>
      </c>
      <c r="D172" s="3">
        <v>1952</v>
      </c>
      <c r="E172" s="39">
        <f t="shared" si="329"/>
        <v>0.41253051261187956</v>
      </c>
      <c r="F172" s="13">
        <v>507</v>
      </c>
      <c r="G172" s="40">
        <v>1229</v>
      </c>
      <c r="H172" s="7">
        <f t="shared" si="330"/>
        <v>0.9107725788900979</v>
      </c>
      <c r="I172" s="13">
        <v>837</v>
      </c>
      <c r="J172" s="26">
        <v>919</v>
      </c>
      <c r="K172" s="63">
        <f aca="true" t="shared" si="345" ref="K172:K183">+C172+F172+I172</f>
        <v>1354</v>
      </c>
      <c r="L172" s="7">
        <f t="shared" si="323"/>
        <v>0.3302439024390244</v>
      </c>
      <c r="M172" s="26">
        <f aca="true" t="shared" si="346" ref="M172:M183">+J172+G172+D172</f>
        <v>4100</v>
      </c>
      <c r="N172" s="25">
        <f t="shared" si="332"/>
        <v>0.008779806445176095</v>
      </c>
      <c r="O172" s="3">
        <v>88</v>
      </c>
      <c r="P172" s="3">
        <v>10023</v>
      </c>
      <c r="Q172" s="39">
        <f t="shared" si="333"/>
        <v>0.3985316265060241</v>
      </c>
      <c r="R172" s="3">
        <v>2117</v>
      </c>
      <c r="S172" s="40">
        <v>5312</v>
      </c>
      <c r="T172" s="7">
        <f t="shared" si="334"/>
        <v>0.9310971348707198</v>
      </c>
      <c r="U172" s="3">
        <v>6662</v>
      </c>
      <c r="V172" s="26">
        <v>7155</v>
      </c>
      <c r="W172" s="63">
        <f t="shared" si="335"/>
        <v>8867</v>
      </c>
      <c r="X172" s="7">
        <f t="shared" si="325"/>
        <v>0.39426411738550465</v>
      </c>
      <c r="Y172" s="24">
        <f t="shared" si="336"/>
        <v>22490</v>
      </c>
      <c r="Z172" s="25">
        <f t="shared" si="337"/>
        <v>0.0043767932694645725</v>
      </c>
      <c r="AA172" s="51">
        <v>2.903225806451613</v>
      </c>
      <c r="AB172" s="51">
        <v>663.3225806451613</v>
      </c>
      <c r="AC172" s="39">
        <f t="shared" si="338"/>
        <v>0.24764810577167554</v>
      </c>
      <c r="AD172" s="51">
        <v>62.83870967741935</v>
      </c>
      <c r="AE172" s="137">
        <v>253.74193548387098</v>
      </c>
      <c r="AF172" s="7">
        <f t="shared" si="339"/>
        <v>0.6960134284515316</v>
      </c>
      <c r="AG172" s="51">
        <v>267.51612903225805</v>
      </c>
      <c r="AH172" s="103">
        <v>384.35483870967744</v>
      </c>
      <c r="AI172" s="63">
        <f t="shared" si="340"/>
        <v>333.25806451612897</v>
      </c>
      <c r="AJ172" s="7">
        <f t="shared" si="326"/>
        <v>0.2560727741423755</v>
      </c>
      <c r="AK172" s="26">
        <f t="shared" si="341"/>
        <v>1301.4193548387098</v>
      </c>
      <c r="AL172" s="93">
        <f t="shared" si="342"/>
        <v>10554.258064516129</v>
      </c>
      <c r="AM172" s="7">
        <f t="shared" si="327"/>
        <v>0.3784051980375512</v>
      </c>
      <c r="AN172" s="3">
        <f t="shared" si="343"/>
        <v>27891.41935483871</v>
      </c>
      <c r="AO172" s="7">
        <f t="shared" si="344"/>
        <v>0.007983909665431305</v>
      </c>
      <c r="AP172" s="7">
        <f t="shared" si="255"/>
        <v>0.3954291031490194</v>
      </c>
      <c r="AQ172" s="94">
        <f t="shared" si="256"/>
        <v>0.9182064688855073</v>
      </c>
    </row>
    <row r="173" spans="1:43" ht="12.75">
      <c r="A173" s="147">
        <v>39569</v>
      </c>
      <c r="B173" s="25">
        <f t="shared" si="328"/>
        <v>0.004816955684007707</v>
      </c>
      <c r="C173" s="11">
        <v>10</v>
      </c>
      <c r="D173" s="3">
        <v>2076</v>
      </c>
      <c r="E173" s="39">
        <f t="shared" si="329"/>
        <v>0.41049913941480204</v>
      </c>
      <c r="F173" s="13">
        <v>477</v>
      </c>
      <c r="G173" s="40">
        <v>1162</v>
      </c>
      <c r="H173" s="7">
        <f t="shared" si="330"/>
        <v>0.9143155694879833</v>
      </c>
      <c r="I173" s="13">
        <v>875</v>
      </c>
      <c r="J173" s="26">
        <v>957</v>
      </c>
      <c r="K173" s="63">
        <f t="shared" si="345"/>
        <v>1362</v>
      </c>
      <c r="L173" s="7">
        <f t="shared" si="323"/>
        <v>0.32467222884386177</v>
      </c>
      <c r="M173" s="26">
        <f t="shared" si="346"/>
        <v>4195</v>
      </c>
      <c r="N173" s="25">
        <f t="shared" si="332"/>
        <v>0.008992278369660834</v>
      </c>
      <c r="O173" s="3">
        <v>92</v>
      </c>
      <c r="P173" s="3">
        <v>10231</v>
      </c>
      <c r="Q173" s="39">
        <f t="shared" si="333"/>
        <v>0.416650226869205</v>
      </c>
      <c r="R173" s="3">
        <v>2112</v>
      </c>
      <c r="S173" s="40">
        <v>5069</v>
      </c>
      <c r="T173" s="7">
        <f t="shared" si="334"/>
        <v>0.9285617275567024</v>
      </c>
      <c r="U173" s="3">
        <v>6837</v>
      </c>
      <c r="V173" s="26">
        <v>7363</v>
      </c>
      <c r="W173" s="63">
        <f t="shared" si="335"/>
        <v>9041</v>
      </c>
      <c r="X173" s="7">
        <f t="shared" si="325"/>
        <v>0.3989321802056215</v>
      </c>
      <c r="Y173" s="24">
        <f t="shared" si="336"/>
        <v>22663</v>
      </c>
      <c r="Z173" s="25">
        <f t="shared" si="337"/>
        <v>0.0046726950201185485</v>
      </c>
      <c r="AA173" s="51">
        <v>3.6</v>
      </c>
      <c r="AB173" s="51">
        <v>770.4333333333333</v>
      </c>
      <c r="AC173" s="39">
        <f t="shared" si="338"/>
        <v>0.23614840126922138</v>
      </c>
      <c r="AD173" s="51">
        <v>64.5</v>
      </c>
      <c r="AE173" s="137">
        <v>273.1333333333333</v>
      </c>
      <c r="AF173" s="7">
        <f t="shared" si="339"/>
        <v>0.6926939492844588</v>
      </c>
      <c r="AG173" s="51">
        <v>275.9</v>
      </c>
      <c r="AH173" s="103">
        <v>398.3</v>
      </c>
      <c r="AI173" s="63">
        <f t="shared" si="340"/>
        <v>344</v>
      </c>
      <c r="AJ173" s="7">
        <f t="shared" si="326"/>
        <v>0.23857961901239133</v>
      </c>
      <c r="AK173" s="26">
        <f t="shared" si="341"/>
        <v>1441.8666666666668</v>
      </c>
      <c r="AL173" s="93">
        <f t="shared" si="342"/>
        <v>10747</v>
      </c>
      <c r="AM173" s="7">
        <f t="shared" si="327"/>
        <v>0.37975443936131614</v>
      </c>
      <c r="AN173" s="3">
        <f t="shared" si="343"/>
        <v>28299.86666666667</v>
      </c>
      <c r="AO173" s="7">
        <f t="shared" si="344"/>
        <v>0.008074979035131767</v>
      </c>
      <c r="AP173" s="7">
        <f t="shared" si="255"/>
        <v>0.40797134130091633</v>
      </c>
      <c r="AQ173" s="94">
        <f t="shared" si="256"/>
        <v>0.9162221992819701</v>
      </c>
    </row>
    <row r="174" spans="1:43" ht="12.75">
      <c r="A174" s="147">
        <v>39539</v>
      </c>
      <c r="B174" s="25">
        <f t="shared" si="328"/>
        <v>0.005691768826619965</v>
      </c>
      <c r="C174" s="11">
        <v>13</v>
      </c>
      <c r="D174" s="3">
        <v>2284</v>
      </c>
      <c r="E174" s="39">
        <f t="shared" si="329"/>
        <v>0.41451990632318503</v>
      </c>
      <c r="F174" s="13">
        <v>531</v>
      </c>
      <c r="G174" s="40">
        <v>1281</v>
      </c>
      <c r="H174" s="7">
        <f t="shared" si="330"/>
        <v>0.9256900212314225</v>
      </c>
      <c r="I174" s="13">
        <v>872</v>
      </c>
      <c r="J174" s="26">
        <v>942</v>
      </c>
      <c r="K174" s="63">
        <f t="shared" si="345"/>
        <v>1416</v>
      </c>
      <c r="L174" s="7">
        <f t="shared" si="323"/>
        <v>0.3141779454182383</v>
      </c>
      <c r="M174" s="26">
        <f t="shared" si="346"/>
        <v>4507</v>
      </c>
      <c r="N174" s="25">
        <f t="shared" si="332"/>
        <v>0.009172767819574181</v>
      </c>
      <c r="O174" s="3">
        <v>109</v>
      </c>
      <c r="P174" s="3">
        <v>11883</v>
      </c>
      <c r="Q174" s="39">
        <f t="shared" si="333"/>
        <v>0.4169314146888432</v>
      </c>
      <c r="R174" s="3">
        <v>2231</v>
      </c>
      <c r="S174" s="40">
        <v>5351</v>
      </c>
      <c r="T174" s="7">
        <f t="shared" si="334"/>
        <v>0.935068349106204</v>
      </c>
      <c r="U174" s="3">
        <v>7114</v>
      </c>
      <c r="V174" s="26">
        <v>7608</v>
      </c>
      <c r="W174" s="63">
        <f t="shared" si="335"/>
        <v>9454</v>
      </c>
      <c r="X174" s="7">
        <f t="shared" si="325"/>
        <v>0.38056517188632155</v>
      </c>
      <c r="Y174" s="24">
        <f t="shared" si="336"/>
        <v>24842</v>
      </c>
      <c r="Z174" s="25">
        <f t="shared" si="337"/>
        <v>0.004527296937416777</v>
      </c>
      <c r="AA174" s="51">
        <v>3.4</v>
      </c>
      <c r="AB174" s="51">
        <v>751</v>
      </c>
      <c r="AC174" s="39">
        <f t="shared" si="338"/>
        <v>0.23591549295774647</v>
      </c>
      <c r="AD174" s="51">
        <v>67</v>
      </c>
      <c r="AE174" s="137">
        <v>284</v>
      </c>
      <c r="AF174" s="7">
        <f t="shared" si="339"/>
        <v>0.6942355889724311</v>
      </c>
      <c r="AG174" s="51">
        <v>277</v>
      </c>
      <c r="AH174" s="103">
        <v>399</v>
      </c>
      <c r="AI174" s="63">
        <f t="shared" si="340"/>
        <v>347.4</v>
      </c>
      <c r="AJ174" s="7">
        <f t="shared" si="326"/>
        <v>0.2422594142259414</v>
      </c>
      <c r="AK174" s="26">
        <f t="shared" si="341"/>
        <v>1434</v>
      </c>
      <c r="AL174" s="93">
        <f t="shared" si="342"/>
        <v>11217.4</v>
      </c>
      <c r="AM174" s="7">
        <f t="shared" si="327"/>
        <v>0.36440242991261407</v>
      </c>
      <c r="AN174" s="3">
        <f t="shared" si="343"/>
        <v>30783</v>
      </c>
      <c r="AO174" s="7">
        <f t="shared" si="344"/>
        <v>0.008405952540555034</v>
      </c>
      <c r="AP174" s="7">
        <f t="shared" si="255"/>
        <v>0.4090514748409485</v>
      </c>
      <c r="AQ174" s="94">
        <f t="shared" si="256"/>
        <v>0.9233433903229411</v>
      </c>
    </row>
    <row r="175" spans="1:43" ht="12.75">
      <c r="A175" s="147">
        <v>39508</v>
      </c>
      <c r="B175" s="25">
        <f t="shared" si="328"/>
        <v>0.006374840628984276</v>
      </c>
      <c r="C175" s="11">
        <v>15</v>
      </c>
      <c r="D175" s="3">
        <v>2353</v>
      </c>
      <c r="E175" s="39">
        <f t="shared" si="329"/>
        <v>0.4024130589070263</v>
      </c>
      <c r="F175" s="13">
        <v>567</v>
      </c>
      <c r="G175" s="40">
        <v>1409</v>
      </c>
      <c r="H175" s="7">
        <f t="shared" si="330"/>
        <v>0.9449064449064449</v>
      </c>
      <c r="I175" s="13">
        <v>909</v>
      </c>
      <c r="J175" s="26">
        <v>962</v>
      </c>
      <c r="K175" s="63">
        <f t="shared" si="345"/>
        <v>1491</v>
      </c>
      <c r="L175" s="7">
        <f t="shared" si="323"/>
        <v>0.3156223539373412</v>
      </c>
      <c r="M175" s="26">
        <f t="shared" si="346"/>
        <v>4724</v>
      </c>
      <c r="N175" s="25">
        <f t="shared" si="332"/>
        <v>0.010876519513755598</v>
      </c>
      <c r="O175" s="3">
        <v>136</v>
      </c>
      <c r="P175" s="3">
        <v>12504</v>
      </c>
      <c r="Q175" s="39">
        <f t="shared" si="333"/>
        <v>0.41954419889502764</v>
      </c>
      <c r="R175" s="3">
        <v>2430</v>
      </c>
      <c r="S175" s="40">
        <v>5792</v>
      </c>
      <c r="T175" s="7">
        <f t="shared" si="334"/>
        <v>0.9339610304694651</v>
      </c>
      <c r="U175" s="3">
        <v>7142</v>
      </c>
      <c r="V175" s="26">
        <v>7647</v>
      </c>
      <c r="W175" s="63">
        <f t="shared" si="335"/>
        <v>9708</v>
      </c>
      <c r="X175" s="7">
        <f t="shared" si="325"/>
        <v>0.3742049878579964</v>
      </c>
      <c r="Y175" s="24">
        <f t="shared" si="336"/>
        <v>25943</v>
      </c>
      <c r="Z175" s="25">
        <f t="shared" si="337"/>
        <v>0.0054525627044711015</v>
      </c>
      <c r="AA175" s="51">
        <v>5</v>
      </c>
      <c r="AB175" s="51">
        <v>917</v>
      </c>
      <c r="AC175" s="39">
        <f t="shared" si="338"/>
        <v>0.2734375</v>
      </c>
      <c r="AD175" s="51">
        <v>70</v>
      </c>
      <c r="AE175" s="137">
        <v>256</v>
      </c>
      <c r="AF175" s="7">
        <f t="shared" si="339"/>
        <v>0.6880952380952381</v>
      </c>
      <c r="AG175" s="51">
        <v>289</v>
      </c>
      <c r="AH175" s="103">
        <v>420</v>
      </c>
      <c r="AI175" s="63">
        <f t="shared" si="340"/>
        <v>364</v>
      </c>
      <c r="AJ175" s="7">
        <f t="shared" si="326"/>
        <v>0.22849968612680477</v>
      </c>
      <c r="AK175" s="26">
        <f t="shared" si="341"/>
        <v>1593</v>
      </c>
      <c r="AL175" s="93">
        <f t="shared" si="342"/>
        <v>11563</v>
      </c>
      <c r="AM175" s="7">
        <f t="shared" si="327"/>
        <v>0.35843149411035335</v>
      </c>
      <c r="AN175" s="3">
        <f t="shared" si="343"/>
        <v>32260</v>
      </c>
      <c r="AO175" s="7">
        <f t="shared" si="344"/>
        <v>0.0098896918980601</v>
      </c>
      <c r="AP175" s="7">
        <f t="shared" si="255"/>
        <v>0.411291404049886</v>
      </c>
      <c r="AQ175" s="94">
        <f t="shared" si="256"/>
        <v>0.9236903311551666</v>
      </c>
    </row>
    <row r="176" spans="1:43" ht="12.75">
      <c r="A176" s="147">
        <v>39479</v>
      </c>
      <c r="B176" s="25">
        <f t="shared" si="328"/>
        <v>0.006830052229811169</v>
      </c>
      <c r="C176" s="11">
        <v>17</v>
      </c>
      <c r="D176" s="3">
        <v>2489</v>
      </c>
      <c r="E176" s="39">
        <f t="shared" si="329"/>
        <v>0.3857442348008386</v>
      </c>
      <c r="F176" s="13">
        <v>552</v>
      </c>
      <c r="G176" s="40">
        <v>1431</v>
      </c>
      <c r="H176" s="7">
        <f t="shared" si="330"/>
        <v>0.8988212180746562</v>
      </c>
      <c r="I176" s="13">
        <v>915</v>
      </c>
      <c r="J176" s="26">
        <v>1018</v>
      </c>
      <c r="K176" s="63">
        <f t="shared" si="345"/>
        <v>1484</v>
      </c>
      <c r="L176" s="7">
        <f t="shared" si="323"/>
        <v>0.30052652895909276</v>
      </c>
      <c r="M176" s="26">
        <f t="shared" si="346"/>
        <v>4938</v>
      </c>
      <c r="N176" s="25">
        <f t="shared" si="332"/>
        <v>0.010111524163568773</v>
      </c>
      <c r="O176" s="3">
        <v>136</v>
      </c>
      <c r="P176" s="3">
        <v>13450</v>
      </c>
      <c r="Q176" s="39">
        <f t="shared" si="333"/>
        <v>0.421822272215973</v>
      </c>
      <c r="R176" s="3">
        <v>2250</v>
      </c>
      <c r="S176" s="40">
        <v>5334</v>
      </c>
      <c r="T176" s="7">
        <f t="shared" si="334"/>
        <v>0.9419986936642717</v>
      </c>
      <c r="U176" s="3">
        <v>7211</v>
      </c>
      <c r="V176" s="26">
        <v>7655</v>
      </c>
      <c r="W176" s="63">
        <f t="shared" si="335"/>
        <v>9597</v>
      </c>
      <c r="X176" s="7">
        <f t="shared" si="325"/>
        <v>0.36298649722001586</v>
      </c>
      <c r="Y176" s="24">
        <f t="shared" si="336"/>
        <v>26439</v>
      </c>
      <c r="Z176" s="25">
        <f t="shared" si="337"/>
        <v>0.003355704697986577</v>
      </c>
      <c r="AA176" s="51">
        <v>3.064516129032258</v>
      </c>
      <c r="AB176" s="51">
        <v>913.2258064516129</v>
      </c>
      <c r="AC176" s="39">
        <f t="shared" si="338"/>
        <v>0.23768877216021012</v>
      </c>
      <c r="AD176" s="51">
        <v>70.06451612903226</v>
      </c>
      <c r="AE176" s="137">
        <v>294.7741935483871</v>
      </c>
      <c r="AF176" s="7">
        <f t="shared" si="339"/>
        <v>0.7123114644475815</v>
      </c>
      <c r="AG176" s="51">
        <v>309.258064516129</v>
      </c>
      <c r="AH176" s="103">
        <v>434.16129032258067</v>
      </c>
      <c r="AI176" s="63">
        <f t="shared" si="340"/>
        <v>382.38709677419354</v>
      </c>
      <c r="AJ176" s="7">
        <f t="shared" si="326"/>
        <v>0.2328559922996837</v>
      </c>
      <c r="AK176" s="26">
        <f t="shared" si="341"/>
        <v>1642.1612903225807</v>
      </c>
      <c r="AL176" s="93">
        <f t="shared" si="342"/>
        <v>11463.387096774193</v>
      </c>
      <c r="AM176" s="7">
        <f t="shared" si="327"/>
        <v>0.3471737817923904</v>
      </c>
      <c r="AN176" s="3">
        <f t="shared" si="343"/>
        <v>33019.161290322576</v>
      </c>
      <c r="AO176" s="7">
        <f t="shared" si="344"/>
        <v>0.009260765783786576</v>
      </c>
      <c r="AP176" s="7">
        <f t="shared" si="255"/>
        <v>0.4068210168469246</v>
      </c>
      <c r="AQ176" s="94">
        <f t="shared" si="256"/>
        <v>0.9262225402200325</v>
      </c>
    </row>
    <row r="177" spans="1:43" ht="12.75">
      <c r="A177" s="147">
        <v>39448</v>
      </c>
      <c r="B177" s="25">
        <f t="shared" si="328"/>
        <v>0.007231820008035355</v>
      </c>
      <c r="C177" s="11">
        <v>18</v>
      </c>
      <c r="D177" s="3">
        <v>2489</v>
      </c>
      <c r="E177" s="39">
        <f t="shared" si="329"/>
        <v>0.4241214057507987</v>
      </c>
      <c r="F177" s="13">
        <v>531</v>
      </c>
      <c r="G177" s="40">
        <v>1252</v>
      </c>
      <c r="H177" s="7">
        <f t="shared" si="330"/>
        <v>0.9513274336283186</v>
      </c>
      <c r="I177" s="13">
        <v>860</v>
      </c>
      <c r="J177" s="26">
        <v>904</v>
      </c>
      <c r="K177" s="63">
        <f t="shared" si="345"/>
        <v>1409</v>
      </c>
      <c r="L177" s="7">
        <f t="shared" si="323"/>
        <v>0.30333692142088264</v>
      </c>
      <c r="M177" s="26">
        <f t="shared" si="346"/>
        <v>4645</v>
      </c>
      <c r="N177" s="25">
        <f t="shared" si="332"/>
        <v>0.01006893346758578</v>
      </c>
      <c r="O177" s="3">
        <v>130</v>
      </c>
      <c r="P177" s="3">
        <v>12911</v>
      </c>
      <c r="Q177" s="39">
        <f t="shared" si="333"/>
        <v>0.42163435404964666</v>
      </c>
      <c r="R177" s="3">
        <v>2327</v>
      </c>
      <c r="S177" s="40">
        <v>5519</v>
      </c>
      <c r="T177" s="7">
        <f t="shared" si="334"/>
        <v>0.9361442102047052</v>
      </c>
      <c r="U177" s="3">
        <v>6128</v>
      </c>
      <c r="V177" s="26">
        <v>6546</v>
      </c>
      <c r="W177" s="63">
        <f t="shared" si="335"/>
        <v>8585</v>
      </c>
      <c r="X177" s="7">
        <f t="shared" si="325"/>
        <v>0.3437299807815503</v>
      </c>
      <c r="Y177" s="24">
        <f t="shared" si="336"/>
        <v>24976</v>
      </c>
      <c r="Z177" s="25">
        <f t="shared" si="337"/>
        <v>0.0034883720930232558</v>
      </c>
      <c r="AA177" s="51">
        <v>3</v>
      </c>
      <c r="AB177" s="51">
        <v>860</v>
      </c>
      <c r="AC177" s="39">
        <f t="shared" si="338"/>
        <v>0.24295774647887325</v>
      </c>
      <c r="AD177" s="51">
        <v>69</v>
      </c>
      <c r="AE177" s="137">
        <v>284</v>
      </c>
      <c r="AF177" s="7">
        <f t="shared" si="339"/>
        <v>0.7191283292978208</v>
      </c>
      <c r="AG177" s="51">
        <v>297</v>
      </c>
      <c r="AH177" s="103">
        <v>413</v>
      </c>
      <c r="AI177" s="63">
        <f t="shared" si="340"/>
        <v>369</v>
      </c>
      <c r="AJ177" s="7">
        <f t="shared" si="326"/>
        <v>0.23699421965317918</v>
      </c>
      <c r="AK177" s="26">
        <f t="shared" si="341"/>
        <v>1557</v>
      </c>
      <c r="AL177" s="93">
        <f t="shared" si="342"/>
        <v>10363</v>
      </c>
      <c r="AM177" s="7">
        <f t="shared" si="327"/>
        <v>0.33238180768490605</v>
      </c>
      <c r="AN177" s="3">
        <f t="shared" si="343"/>
        <v>31178</v>
      </c>
      <c r="AO177" s="7">
        <f t="shared" si="344"/>
        <v>0.00928659286592866</v>
      </c>
      <c r="AP177" s="7">
        <f t="shared" si="255"/>
        <v>0.4148830616583983</v>
      </c>
      <c r="AQ177" s="94">
        <f t="shared" si="256"/>
        <v>0.9264911611344271</v>
      </c>
    </row>
    <row r="178" spans="1:43" ht="12.75">
      <c r="A178" s="147">
        <v>39417</v>
      </c>
      <c r="B178" s="25">
        <f t="shared" si="328"/>
        <v>0.007271171941830625</v>
      </c>
      <c r="C178" s="11">
        <v>17</v>
      </c>
      <c r="D178" s="3">
        <v>2338</v>
      </c>
      <c r="E178" s="39">
        <f t="shared" si="329"/>
        <v>0.4369565217391304</v>
      </c>
      <c r="F178" s="13">
        <v>603</v>
      </c>
      <c r="G178" s="40">
        <v>1380</v>
      </c>
      <c r="H178" s="7">
        <f t="shared" si="330"/>
        <v>0.9296435272045028</v>
      </c>
      <c r="I178" s="13">
        <v>991</v>
      </c>
      <c r="J178" s="26">
        <v>1066</v>
      </c>
      <c r="K178" s="63">
        <f t="shared" si="345"/>
        <v>1611</v>
      </c>
      <c r="L178" s="7">
        <f t="shared" si="323"/>
        <v>0.33674749163879597</v>
      </c>
      <c r="M178" s="26">
        <f t="shared" si="346"/>
        <v>4784</v>
      </c>
      <c r="N178" s="25">
        <f t="shared" si="332"/>
        <v>0.010271398747390397</v>
      </c>
      <c r="O178" s="3">
        <v>123</v>
      </c>
      <c r="P178" s="3">
        <v>11975</v>
      </c>
      <c r="Q178" s="39">
        <f t="shared" si="333"/>
        <v>0.42149191444966094</v>
      </c>
      <c r="R178" s="3">
        <v>2424</v>
      </c>
      <c r="S178" s="40">
        <v>5751</v>
      </c>
      <c r="T178" s="7">
        <f t="shared" si="334"/>
        <v>0.9477132112095111</v>
      </c>
      <c r="U178" s="3">
        <v>7812</v>
      </c>
      <c r="V178" s="26">
        <v>8243</v>
      </c>
      <c r="W178" s="63">
        <f t="shared" si="335"/>
        <v>10359</v>
      </c>
      <c r="X178" s="7">
        <f t="shared" si="325"/>
        <v>0.39889868689591435</v>
      </c>
      <c r="Y178" s="24">
        <f t="shared" si="336"/>
        <v>25969</v>
      </c>
      <c r="Z178" s="25">
        <f t="shared" si="337"/>
        <v>0.004271434233123431</v>
      </c>
      <c r="AA178" s="51">
        <v>3.2333333333333334</v>
      </c>
      <c r="AB178" s="51">
        <v>756.9666666666667</v>
      </c>
      <c r="AC178" s="39">
        <f t="shared" si="338"/>
        <v>0.23217874453245066</v>
      </c>
      <c r="AD178" s="51">
        <v>65.46666666666667</v>
      </c>
      <c r="AE178" s="137">
        <v>281.96666666666664</v>
      </c>
      <c r="AF178" s="7">
        <f t="shared" si="339"/>
        <v>0.7153075822603719</v>
      </c>
      <c r="AG178" s="51">
        <v>300</v>
      </c>
      <c r="AH178" s="103">
        <v>419.4</v>
      </c>
      <c r="AI178" s="63">
        <f t="shared" si="340"/>
        <v>368.70000000000005</v>
      </c>
      <c r="AJ178" s="7">
        <f t="shared" si="326"/>
        <v>0.2528228571428572</v>
      </c>
      <c r="AK178" s="26">
        <f t="shared" si="341"/>
        <v>1458.3333333333333</v>
      </c>
      <c r="AL178" s="93">
        <f t="shared" si="342"/>
        <v>12338.7</v>
      </c>
      <c r="AM178" s="7">
        <f t="shared" si="327"/>
        <v>0.3830546184572718</v>
      </c>
      <c r="AN178" s="3">
        <f t="shared" si="343"/>
        <v>32211.333333333332</v>
      </c>
      <c r="AO178" s="7">
        <f t="shared" si="344"/>
        <v>0.009504555418171684</v>
      </c>
      <c r="AP178" s="7">
        <f t="shared" si="255"/>
        <v>0.4171699139795584</v>
      </c>
      <c r="AQ178" s="94">
        <f t="shared" si="256"/>
        <v>0.9357139920233544</v>
      </c>
    </row>
    <row r="179" spans="1:43" ht="12.75">
      <c r="A179" s="147">
        <v>39387</v>
      </c>
      <c r="B179" s="25">
        <f t="shared" si="328"/>
        <v>0.005917159763313609</v>
      </c>
      <c r="C179" s="11">
        <v>13</v>
      </c>
      <c r="D179" s="3">
        <v>2197</v>
      </c>
      <c r="E179" s="39">
        <f t="shared" si="329"/>
        <v>0.4236734693877551</v>
      </c>
      <c r="F179" s="13">
        <v>519</v>
      </c>
      <c r="G179" s="40">
        <v>1225</v>
      </c>
      <c r="H179" s="7">
        <f t="shared" si="330"/>
        <v>0.6657060518731989</v>
      </c>
      <c r="I179" s="13">
        <v>924</v>
      </c>
      <c r="J179" s="26">
        <v>1388</v>
      </c>
      <c r="K179" s="63">
        <f t="shared" si="345"/>
        <v>1456</v>
      </c>
      <c r="L179" s="7">
        <f t="shared" si="323"/>
        <v>0.3027027027027027</v>
      </c>
      <c r="M179" s="26">
        <f t="shared" si="346"/>
        <v>4810</v>
      </c>
      <c r="N179" s="25">
        <f t="shared" si="332"/>
        <v>0.009994178148651271</v>
      </c>
      <c r="O179" s="3">
        <v>103</v>
      </c>
      <c r="P179" s="3">
        <v>10306</v>
      </c>
      <c r="Q179" s="39">
        <f t="shared" si="333"/>
        <v>0.4093293368302735</v>
      </c>
      <c r="R179" s="3">
        <v>2185</v>
      </c>
      <c r="S179" s="40">
        <v>5338</v>
      </c>
      <c r="T179" s="7">
        <f t="shared" si="334"/>
        <v>0.9505938242280285</v>
      </c>
      <c r="U179" s="3">
        <v>8004</v>
      </c>
      <c r="V179" s="26">
        <v>8420</v>
      </c>
      <c r="W179" s="63">
        <f t="shared" si="335"/>
        <v>10292</v>
      </c>
      <c r="X179" s="7">
        <f t="shared" si="325"/>
        <v>0.42769281914893614</v>
      </c>
      <c r="Y179" s="24">
        <f t="shared" si="336"/>
        <v>24064</v>
      </c>
      <c r="Z179" s="25">
        <f t="shared" si="337"/>
        <v>0.004636022884198066</v>
      </c>
      <c r="AA179" s="51">
        <v>3.032258064516129</v>
      </c>
      <c r="AB179" s="51">
        <v>654.0645161290323</v>
      </c>
      <c r="AC179" s="39">
        <f t="shared" si="338"/>
        <v>0.2284988892415106</v>
      </c>
      <c r="AD179" s="51">
        <v>69.6774193548387</v>
      </c>
      <c r="AE179" s="137">
        <v>304.93548387096774</v>
      </c>
      <c r="AF179" s="7">
        <f t="shared" si="339"/>
        <v>0.6900463833521374</v>
      </c>
      <c r="AG179" s="51">
        <v>355.1290322580645</v>
      </c>
      <c r="AH179" s="103">
        <v>514.6451612903226</v>
      </c>
      <c r="AI179" s="63">
        <f t="shared" si="340"/>
        <v>427.8387096774194</v>
      </c>
      <c r="AJ179" s="7">
        <f t="shared" si="326"/>
        <v>0.2903268174156689</v>
      </c>
      <c r="AK179" s="26">
        <f t="shared" si="341"/>
        <v>1473.6451612903224</v>
      </c>
      <c r="AL179" s="93">
        <f t="shared" si="342"/>
        <v>12175.838709677419</v>
      </c>
      <c r="AM179" s="7">
        <f t="shared" si="327"/>
        <v>0.40121197690844906</v>
      </c>
      <c r="AN179" s="3">
        <f t="shared" si="343"/>
        <v>30347.645161290322</v>
      </c>
      <c r="AO179" s="7">
        <f t="shared" si="344"/>
        <v>0.00904702245083593</v>
      </c>
      <c r="AP179" s="7">
        <f t="shared" si="255"/>
        <v>0.4038589800193512</v>
      </c>
      <c r="AQ179" s="94">
        <f t="shared" si="256"/>
        <v>0.8992975043905976</v>
      </c>
    </row>
    <row r="180" spans="1:43" ht="12.75">
      <c r="A180" s="147">
        <v>39356</v>
      </c>
      <c r="B180" s="25">
        <f t="shared" si="328"/>
        <v>0.0061061531235321745</v>
      </c>
      <c r="C180" s="11">
        <v>13</v>
      </c>
      <c r="D180" s="3">
        <v>2129</v>
      </c>
      <c r="E180" s="39">
        <f t="shared" si="329"/>
        <v>0.4024745269286754</v>
      </c>
      <c r="F180" s="13">
        <v>553</v>
      </c>
      <c r="G180" s="40">
        <v>1374</v>
      </c>
      <c r="H180" s="7">
        <f t="shared" si="330"/>
        <v>0.8399638336347197</v>
      </c>
      <c r="I180" s="13">
        <v>929</v>
      </c>
      <c r="J180" s="26">
        <v>1106</v>
      </c>
      <c r="K180" s="63">
        <f t="shared" si="345"/>
        <v>1495</v>
      </c>
      <c r="L180" s="7">
        <f t="shared" si="323"/>
        <v>0.324365372098069</v>
      </c>
      <c r="M180" s="26">
        <f t="shared" si="346"/>
        <v>4609</v>
      </c>
      <c r="N180" s="25">
        <f t="shared" si="332"/>
        <v>0.009425244871557938</v>
      </c>
      <c r="O180" s="3">
        <v>102</v>
      </c>
      <c r="P180" s="3">
        <v>10822</v>
      </c>
      <c r="Q180" s="39">
        <f t="shared" si="333"/>
        <v>0.39311382249707505</v>
      </c>
      <c r="R180" s="3">
        <v>2352</v>
      </c>
      <c r="S180" s="40">
        <v>5983</v>
      </c>
      <c r="T180" s="7">
        <f t="shared" si="334"/>
        <v>0.9465329991645781</v>
      </c>
      <c r="U180" s="3">
        <v>7931</v>
      </c>
      <c r="V180" s="26">
        <v>8379</v>
      </c>
      <c r="W180" s="63">
        <f t="shared" si="335"/>
        <v>10385</v>
      </c>
      <c r="X180" s="7">
        <f t="shared" si="325"/>
        <v>0.4123649936467598</v>
      </c>
      <c r="Y180" s="24">
        <f t="shared" si="336"/>
        <v>25184</v>
      </c>
      <c r="Z180" s="25">
        <f t="shared" si="337"/>
        <v>0.004939811040237878</v>
      </c>
      <c r="AA180" s="51">
        <v>3.433333333333333</v>
      </c>
      <c r="AB180" s="51">
        <v>695.0333333333333</v>
      </c>
      <c r="AC180" s="39">
        <f t="shared" si="338"/>
        <v>0.21733595648651774</v>
      </c>
      <c r="AD180" s="51">
        <v>62.6</v>
      </c>
      <c r="AE180" s="137">
        <v>288.03333333333336</v>
      </c>
      <c r="AF180" s="7">
        <f t="shared" si="339"/>
        <v>0.6996214651525272</v>
      </c>
      <c r="AG180" s="51">
        <v>314.2</v>
      </c>
      <c r="AH180" s="103">
        <v>449.1</v>
      </c>
      <c r="AI180" s="63">
        <f t="shared" si="340"/>
        <v>380.23333333333335</v>
      </c>
      <c r="AJ180" s="7">
        <f t="shared" si="326"/>
        <v>0.2654951704876062</v>
      </c>
      <c r="AK180" s="26">
        <f t="shared" si="341"/>
        <v>1432.1666666666667</v>
      </c>
      <c r="AL180" s="93">
        <f t="shared" si="342"/>
        <v>12260.233333333334</v>
      </c>
      <c r="AM180" s="7">
        <f t="shared" si="327"/>
        <v>0.39263948417675915</v>
      </c>
      <c r="AN180" s="3">
        <f t="shared" si="343"/>
        <v>31225.166666666668</v>
      </c>
      <c r="AO180" s="7">
        <f t="shared" si="344"/>
        <v>0.008678956766435179</v>
      </c>
      <c r="AP180" s="7">
        <f t="shared" si="255"/>
        <v>0.38817358546507313</v>
      </c>
      <c r="AQ180" s="94">
        <f t="shared" si="256"/>
        <v>0.9235059039067455</v>
      </c>
    </row>
    <row r="181" spans="1:43" ht="12.75">
      <c r="A181" s="147">
        <v>39326</v>
      </c>
      <c r="B181" s="25">
        <f t="shared" si="328"/>
        <v>0.006636250518457071</v>
      </c>
      <c r="C181" s="11">
        <v>16</v>
      </c>
      <c r="D181" s="3">
        <v>2411</v>
      </c>
      <c r="E181" s="39">
        <f t="shared" si="329"/>
        <v>0.4262948207171315</v>
      </c>
      <c r="F181" s="13">
        <v>642</v>
      </c>
      <c r="G181" s="40">
        <v>1506</v>
      </c>
      <c r="H181" s="7">
        <f t="shared" si="330"/>
        <v>0.7947072975140337</v>
      </c>
      <c r="I181" s="13">
        <v>991</v>
      </c>
      <c r="J181" s="26">
        <v>1247</v>
      </c>
      <c r="K181" s="63">
        <f t="shared" si="345"/>
        <v>1649</v>
      </c>
      <c r="L181" s="7">
        <f t="shared" si="323"/>
        <v>0.31932610379550735</v>
      </c>
      <c r="M181" s="26">
        <f t="shared" si="346"/>
        <v>5164</v>
      </c>
      <c r="N181" s="25">
        <f t="shared" si="332"/>
        <v>0.0085376360930524</v>
      </c>
      <c r="O181" s="3">
        <v>109</v>
      </c>
      <c r="P181" s="3">
        <v>12767</v>
      </c>
      <c r="Q181" s="39">
        <f t="shared" si="333"/>
        <v>0.38437203416640303</v>
      </c>
      <c r="R181" s="3">
        <v>2430</v>
      </c>
      <c r="S181" s="40">
        <v>6322</v>
      </c>
      <c r="T181" s="7">
        <f t="shared" si="334"/>
        <v>0.9438923897237034</v>
      </c>
      <c r="U181" s="3">
        <v>7789</v>
      </c>
      <c r="V181" s="26">
        <v>8252</v>
      </c>
      <c r="W181" s="63">
        <f t="shared" si="335"/>
        <v>10328</v>
      </c>
      <c r="X181" s="7">
        <f t="shared" si="325"/>
        <v>0.37774770491203685</v>
      </c>
      <c r="Y181" s="24">
        <f t="shared" si="336"/>
        <v>27341</v>
      </c>
      <c r="Z181" s="25">
        <f t="shared" si="337"/>
        <v>0.003950972028913932</v>
      </c>
      <c r="AA181" s="51">
        <v>2.838709677419355</v>
      </c>
      <c r="AB181" s="51">
        <v>718.483870967742</v>
      </c>
      <c r="AC181" s="39">
        <f t="shared" si="338"/>
        <v>0.2296164326137078</v>
      </c>
      <c r="AD181" s="51">
        <v>70.6774193548387</v>
      </c>
      <c r="AE181" s="137">
        <v>307.80645161290323</v>
      </c>
      <c r="AF181" s="7">
        <f t="shared" si="339"/>
        <v>0.6977611940298507</v>
      </c>
      <c r="AG181" s="51">
        <v>343.83870967741933</v>
      </c>
      <c r="AH181" s="103">
        <v>492.7741935483871</v>
      </c>
      <c r="AI181" s="63">
        <f t="shared" si="340"/>
        <v>417.3548387096774</v>
      </c>
      <c r="AJ181" s="7">
        <f t="shared" si="326"/>
        <v>0.27474464335010934</v>
      </c>
      <c r="AK181" s="26">
        <f t="shared" si="341"/>
        <v>1519.0645161290322</v>
      </c>
      <c r="AL181" s="93">
        <f t="shared" si="342"/>
        <v>12394.354838709678</v>
      </c>
      <c r="AM181" s="7">
        <f t="shared" si="327"/>
        <v>0.36428201671302857</v>
      </c>
      <c r="AN181" s="3">
        <f t="shared" si="343"/>
        <v>34024.06451612903</v>
      </c>
      <c r="AO181" s="7">
        <f t="shared" si="344"/>
        <v>0.008041948818058772</v>
      </c>
      <c r="AP181" s="7">
        <f t="shared" si="255"/>
        <v>0.3862773085920463</v>
      </c>
      <c r="AQ181" s="94">
        <f t="shared" si="256"/>
        <v>0.9131349981436344</v>
      </c>
    </row>
    <row r="182" spans="1:43" ht="12.75">
      <c r="A182" s="147">
        <v>39295</v>
      </c>
      <c r="B182" s="25">
        <f t="shared" si="328"/>
        <v>0.006458966565349544</v>
      </c>
      <c r="C182" s="11">
        <v>17</v>
      </c>
      <c r="D182" s="3">
        <v>2632</v>
      </c>
      <c r="E182" s="39">
        <f t="shared" si="329"/>
        <v>0.43042671614100186</v>
      </c>
      <c r="F182" s="13">
        <v>696</v>
      </c>
      <c r="G182" s="40">
        <v>1617</v>
      </c>
      <c r="H182" s="7">
        <f t="shared" si="330"/>
        <v>0.7854961832061069</v>
      </c>
      <c r="I182" s="3">
        <v>1029</v>
      </c>
      <c r="J182" s="26">
        <v>1310</v>
      </c>
      <c r="K182" s="63">
        <f t="shared" si="345"/>
        <v>1742</v>
      </c>
      <c r="L182" s="7">
        <f t="shared" si="323"/>
        <v>0.3133657132577802</v>
      </c>
      <c r="M182" s="26">
        <f t="shared" si="346"/>
        <v>5559</v>
      </c>
      <c r="N182" s="25">
        <f t="shared" si="332"/>
        <v>0.008505117485944933</v>
      </c>
      <c r="O182" s="3">
        <v>118</v>
      </c>
      <c r="P182" s="3">
        <v>13874</v>
      </c>
      <c r="Q182" s="39">
        <f t="shared" si="333"/>
        <v>0.39485948312385255</v>
      </c>
      <c r="R182" s="3">
        <v>2796</v>
      </c>
      <c r="S182" s="40">
        <v>7081</v>
      </c>
      <c r="T182" s="7">
        <f t="shared" si="334"/>
        <v>0.9440883190883191</v>
      </c>
      <c r="U182" s="3">
        <v>7953</v>
      </c>
      <c r="V182" s="26">
        <v>8424</v>
      </c>
      <c r="W182" s="63">
        <f t="shared" si="335"/>
        <v>10867</v>
      </c>
      <c r="X182" s="7">
        <f t="shared" si="325"/>
        <v>0.36989005752408183</v>
      </c>
      <c r="Y182" s="24">
        <f t="shared" si="336"/>
        <v>29379</v>
      </c>
      <c r="Z182" s="25">
        <f t="shared" si="337"/>
        <v>0.0038203919622922353</v>
      </c>
      <c r="AA182" s="51">
        <v>2.4838709677419355</v>
      </c>
      <c r="AB182" s="51">
        <v>650.1612903225806</v>
      </c>
      <c r="AC182" s="39">
        <f t="shared" si="338"/>
        <v>0.23710685163613254</v>
      </c>
      <c r="AD182" s="51">
        <v>72.2258064516129</v>
      </c>
      <c r="AE182" s="137">
        <v>304.61290322580646</v>
      </c>
      <c r="AF182" s="7">
        <f t="shared" si="339"/>
        <v>0.6929672863525004</v>
      </c>
      <c r="AG182" s="51">
        <v>310.2258064516129</v>
      </c>
      <c r="AH182" s="103">
        <v>447.6774193548387</v>
      </c>
      <c r="AI182" s="63">
        <f t="shared" si="340"/>
        <v>384.9354838709678</v>
      </c>
      <c r="AJ182" s="7">
        <f t="shared" si="326"/>
        <v>0.2744732726101758</v>
      </c>
      <c r="AK182" s="26">
        <f t="shared" si="341"/>
        <v>1402.4516129032259</v>
      </c>
      <c r="AL182" s="93">
        <f t="shared" si="342"/>
        <v>12993.935483870968</v>
      </c>
      <c r="AM182" s="7">
        <f t="shared" si="327"/>
        <v>0.35756119990697294</v>
      </c>
      <c r="AN182" s="3">
        <f t="shared" si="343"/>
        <v>36340.45161290323</v>
      </c>
      <c r="AO182" s="7">
        <f t="shared" si="344"/>
        <v>0.00801367325948921</v>
      </c>
      <c r="AP182" s="7">
        <f t="shared" si="255"/>
        <v>0.39591014794987833</v>
      </c>
      <c r="AQ182" s="94">
        <f t="shared" si="256"/>
        <v>0.9126419374461399</v>
      </c>
    </row>
    <row r="183" spans="1:43" ht="12.75">
      <c r="A183" s="147">
        <v>39264</v>
      </c>
      <c r="B183" s="25">
        <f t="shared" si="328"/>
        <v>0.006618372572285019</v>
      </c>
      <c r="C183" s="11">
        <v>15.14</v>
      </c>
      <c r="D183" s="3">
        <v>2287.5714285714284</v>
      </c>
      <c r="E183" s="39">
        <f t="shared" si="329"/>
        <v>0.4412171507607192</v>
      </c>
      <c r="F183" s="13">
        <v>638</v>
      </c>
      <c r="G183" s="40">
        <v>1446</v>
      </c>
      <c r="H183" s="7">
        <f t="shared" si="330"/>
        <v>0.8962892483349191</v>
      </c>
      <c r="I183" s="13">
        <v>942</v>
      </c>
      <c r="J183" s="26">
        <v>1051</v>
      </c>
      <c r="K183" s="63">
        <f t="shared" si="345"/>
        <v>1595.1399999999999</v>
      </c>
      <c r="L183" s="7">
        <f t="shared" si="323"/>
        <v>0.3333924519288188</v>
      </c>
      <c r="M183" s="26">
        <f t="shared" si="346"/>
        <v>4784.571428571428</v>
      </c>
      <c r="N183" s="25">
        <f t="shared" si="332"/>
        <v>0.009148831890214017</v>
      </c>
      <c r="O183" s="106">
        <v>112</v>
      </c>
      <c r="P183" s="3">
        <v>12242</v>
      </c>
      <c r="Q183" s="39">
        <f t="shared" si="333"/>
        <v>0.4151607963246554</v>
      </c>
      <c r="R183" s="3">
        <v>2711</v>
      </c>
      <c r="S183" s="40">
        <v>6530</v>
      </c>
      <c r="T183" s="7">
        <f t="shared" si="334"/>
        <v>0.9414574402939375</v>
      </c>
      <c r="U183" s="3">
        <v>7687</v>
      </c>
      <c r="V183" s="26">
        <v>8165</v>
      </c>
      <c r="W183" s="63">
        <f t="shared" si="335"/>
        <v>10510</v>
      </c>
      <c r="X183" s="7">
        <f t="shared" si="325"/>
        <v>0.39016965512120877</v>
      </c>
      <c r="Y183" s="24">
        <f t="shared" si="336"/>
        <v>26937</v>
      </c>
      <c r="Z183" s="25">
        <f t="shared" si="337"/>
        <v>0.005709861608438982</v>
      </c>
      <c r="AA183" s="51">
        <v>3.933333333333333</v>
      </c>
      <c r="AB183" s="51">
        <v>688.8666666666667</v>
      </c>
      <c r="AC183" s="39">
        <f t="shared" si="338"/>
        <v>0.25894481503941785</v>
      </c>
      <c r="AD183" s="51">
        <v>71.16666666666667</v>
      </c>
      <c r="AE183" s="137">
        <v>274.8333333333333</v>
      </c>
      <c r="AF183" s="7">
        <f t="shared" si="339"/>
        <v>0.6841218587673733</v>
      </c>
      <c r="AG183" s="51">
        <v>324.8666666666667</v>
      </c>
      <c r="AH183" s="103">
        <v>474.8666666666667</v>
      </c>
      <c r="AI183" s="63">
        <f t="shared" si="340"/>
        <v>399.9666666666667</v>
      </c>
      <c r="AJ183" s="7">
        <f t="shared" si="326"/>
        <v>0.2780313738211646</v>
      </c>
      <c r="AK183" s="26">
        <f t="shared" si="341"/>
        <v>1438.5666666666666</v>
      </c>
      <c r="AL183" s="93">
        <f t="shared" si="342"/>
        <v>12505.106666666667</v>
      </c>
      <c r="AM183" s="7">
        <f t="shared" si="327"/>
        <v>0.377112623317526</v>
      </c>
      <c r="AN183" s="3">
        <f t="shared" si="343"/>
        <v>33160.13809523809</v>
      </c>
      <c r="AO183" s="7">
        <f t="shared" si="344"/>
        <v>0.008612798009432168</v>
      </c>
      <c r="AP183" s="7">
        <f t="shared" si="255"/>
        <v>0.4145237854762145</v>
      </c>
      <c r="AQ183" s="94">
        <f t="shared" si="256"/>
        <v>0.9239490104084258</v>
      </c>
    </row>
    <row r="184" spans="1:43" ht="12.75">
      <c r="A184" s="147">
        <v>39234</v>
      </c>
      <c r="B184" s="25">
        <v>0.006298449612403101</v>
      </c>
      <c r="C184" s="11">
        <v>13</v>
      </c>
      <c r="D184" s="3">
        <v>2064</v>
      </c>
      <c r="E184" s="39">
        <v>0.44280693798889015</v>
      </c>
      <c r="F184" s="13">
        <v>558</v>
      </c>
      <c r="G184" s="40">
        <v>1260.142857142857</v>
      </c>
      <c r="H184" s="7">
        <v>0.940385415222515</v>
      </c>
      <c r="I184" s="13">
        <v>969</v>
      </c>
      <c r="J184" s="26">
        <v>1030.4285714285713</v>
      </c>
      <c r="K184" s="88">
        <v>1540</v>
      </c>
      <c r="L184" s="30">
        <v>0.3536513352142248</v>
      </c>
      <c r="M184" s="27">
        <v>4354.571428571428</v>
      </c>
      <c r="N184" s="25">
        <f t="shared" si="332"/>
        <v>0.009410314782316688</v>
      </c>
      <c r="O184" s="3">
        <v>99.369</v>
      </c>
      <c r="P184" s="3">
        <v>10559.583</v>
      </c>
      <c r="Q184" s="39">
        <f t="shared" si="333"/>
        <v>0.4319928507596068</v>
      </c>
      <c r="R184" s="3">
        <v>2417</v>
      </c>
      <c r="S184" s="40">
        <v>5595</v>
      </c>
      <c r="T184" s="7">
        <f t="shared" si="334"/>
        <v>0.9523090474392852</v>
      </c>
      <c r="U184" s="3">
        <v>7568</v>
      </c>
      <c r="V184" s="26">
        <v>7947</v>
      </c>
      <c r="W184" s="63">
        <f t="shared" si="335"/>
        <v>10084.368999999999</v>
      </c>
      <c r="X184" s="7">
        <f t="shared" si="325"/>
        <v>0.4184110645346407</v>
      </c>
      <c r="Y184" s="24">
        <f t="shared" si="336"/>
        <v>24101.583</v>
      </c>
      <c r="Z184" s="25">
        <f t="shared" si="337"/>
        <v>0.006050211995617169</v>
      </c>
      <c r="AA184" s="51">
        <f>127/31</f>
        <v>4.096774193548387</v>
      </c>
      <c r="AB184" s="51">
        <f>20991/31</f>
        <v>677.1290322580645</v>
      </c>
      <c r="AC184" s="39">
        <f t="shared" si="338"/>
        <v>0.24348837209302324</v>
      </c>
      <c r="AD184" s="51">
        <f>2094/31</f>
        <v>67.54838709677419</v>
      </c>
      <c r="AE184" s="137">
        <f>8600/31</f>
        <v>277.4193548387097</v>
      </c>
      <c r="AF184" s="7">
        <f t="shared" si="339"/>
        <v>0.7194419379468314</v>
      </c>
      <c r="AG184" s="51">
        <f>10365/31</f>
        <v>334.35483870967744</v>
      </c>
      <c r="AH184" s="103">
        <f>14407/31</f>
        <v>464.741935483871</v>
      </c>
      <c r="AI184" s="63">
        <f t="shared" si="340"/>
        <v>406.00000000000006</v>
      </c>
      <c r="AJ184" s="7">
        <f t="shared" si="326"/>
        <v>0.28605845720260015</v>
      </c>
      <c r="AK184" s="26">
        <f t="shared" si="341"/>
        <v>1419.2903225806454</v>
      </c>
      <c r="AL184" s="93">
        <f t="shared" si="342"/>
        <v>12030.368999999999</v>
      </c>
      <c r="AM184" s="7">
        <f t="shared" si="327"/>
        <v>0.40268418094549296</v>
      </c>
      <c r="AN184" s="3">
        <f t="shared" si="343"/>
        <v>29875.44475115207</v>
      </c>
      <c r="AO184" s="7">
        <f t="shared" si="344"/>
        <v>0.008756356344764496</v>
      </c>
      <c r="AP184" s="7">
        <f t="shared" si="255"/>
        <v>0.42657158769478076</v>
      </c>
      <c r="AQ184" s="94">
        <f t="shared" si="256"/>
        <v>0.9395461384874505</v>
      </c>
    </row>
    <row r="185" spans="1:43" ht="12.75">
      <c r="A185" s="147">
        <v>39203</v>
      </c>
      <c r="B185" s="25">
        <f>C185/D185</f>
        <v>0.006378986866791745</v>
      </c>
      <c r="C185" s="11">
        <v>13.6</v>
      </c>
      <c r="D185" s="4">
        <v>2132</v>
      </c>
      <c r="E185" s="39">
        <f>F185/G185</f>
        <v>0.4429432013769364</v>
      </c>
      <c r="F185" s="11">
        <v>514.7</v>
      </c>
      <c r="G185" s="40">
        <v>1162</v>
      </c>
      <c r="H185" s="100">
        <f>I185/J185</f>
        <v>0.9376299376299376</v>
      </c>
      <c r="I185" s="4">
        <v>902</v>
      </c>
      <c r="J185" s="85">
        <v>962</v>
      </c>
      <c r="K185" s="63">
        <f>+C185+F185+I185</f>
        <v>1430.3000000000002</v>
      </c>
      <c r="L185" s="7">
        <f>K185/M185</f>
        <v>0.33606672932330833</v>
      </c>
      <c r="M185" s="26">
        <f>+J185+G185+D185</f>
        <v>4256</v>
      </c>
      <c r="N185" s="25">
        <v>0.00939319932368965</v>
      </c>
      <c r="O185" s="3">
        <v>100</v>
      </c>
      <c r="P185" s="3">
        <v>10646</v>
      </c>
      <c r="Q185" s="39">
        <v>0.43888998228695136</v>
      </c>
      <c r="R185" s="3">
        <v>2230</v>
      </c>
      <c r="S185" s="40">
        <v>5081</v>
      </c>
      <c r="T185" s="7">
        <v>0.9478515874027795</v>
      </c>
      <c r="U185" s="3">
        <v>7434</v>
      </c>
      <c r="V185" s="26">
        <v>7843</v>
      </c>
      <c r="W185" s="89">
        <v>9764</v>
      </c>
      <c r="X185" s="7">
        <f t="shared" si="325"/>
        <v>0.41425540941875266</v>
      </c>
      <c r="Y185" s="24">
        <v>23570</v>
      </c>
      <c r="Z185" s="25">
        <v>0.007822685788787484</v>
      </c>
      <c r="AA185" s="13">
        <v>6</v>
      </c>
      <c r="AB185" s="77">
        <v>767</v>
      </c>
      <c r="AC185" s="35">
        <v>0.23958333333333334</v>
      </c>
      <c r="AD185" s="13">
        <v>69</v>
      </c>
      <c r="AE185" s="43">
        <v>288</v>
      </c>
      <c r="AF185" s="7">
        <v>0.8957055214723927</v>
      </c>
      <c r="AG185" s="13">
        <v>438</v>
      </c>
      <c r="AH185" s="71">
        <v>489</v>
      </c>
      <c r="AI185" s="63">
        <v>513</v>
      </c>
      <c r="AJ185" s="67">
        <v>0.3322538860103627</v>
      </c>
      <c r="AK185" s="26">
        <v>1544</v>
      </c>
      <c r="AL185" s="93">
        <v>10277</v>
      </c>
      <c r="AM185" s="7">
        <v>0.40921398423190253</v>
      </c>
      <c r="AN185" s="3">
        <v>25114</v>
      </c>
      <c r="AO185" s="7">
        <f t="shared" si="344"/>
        <v>0.008829826504245108</v>
      </c>
      <c r="AP185" s="7">
        <f t="shared" si="255"/>
        <v>0.43082223242994944</v>
      </c>
      <c r="AQ185" s="94">
        <f t="shared" si="256"/>
        <v>0.944049924682591</v>
      </c>
    </row>
    <row r="186" spans="1:43" ht="12.75">
      <c r="A186" s="147">
        <v>39173</v>
      </c>
      <c r="B186" s="25">
        <v>0.006295341447328976</v>
      </c>
      <c r="C186" s="17">
        <v>15</v>
      </c>
      <c r="D186" s="3">
        <v>2382.714285714286</v>
      </c>
      <c r="E186" s="39">
        <v>0.43800927667042744</v>
      </c>
      <c r="F186" s="3">
        <v>499</v>
      </c>
      <c r="G186" s="40">
        <v>1139.5714285714287</v>
      </c>
      <c r="H186" s="7">
        <v>0.9369886608296253</v>
      </c>
      <c r="I186" s="3">
        <v>933</v>
      </c>
      <c r="J186" s="26">
        <v>995.2857142857143</v>
      </c>
      <c r="K186" s="88">
        <v>1447</v>
      </c>
      <c r="L186" s="30">
        <v>0.3203048414128956</v>
      </c>
      <c r="M186" s="27">
        <v>4517.571428571429</v>
      </c>
      <c r="N186" s="45">
        <v>0.009108596134505955</v>
      </c>
      <c r="O186" s="4">
        <v>104</v>
      </c>
      <c r="P186" s="6">
        <v>11397.146</v>
      </c>
      <c r="Q186" s="39">
        <v>0.4394502414721352</v>
      </c>
      <c r="R186" s="3">
        <v>2239</v>
      </c>
      <c r="S186" s="40">
        <v>5095.619</v>
      </c>
      <c r="T186" s="7">
        <v>0.953</v>
      </c>
      <c r="U186" s="3">
        <v>8658</v>
      </c>
      <c r="V186" s="26">
        <v>9082.034</v>
      </c>
      <c r="W186" s="89">
        <v>11001</v>
      </c>
      <c r="X186" s="7">
        <f t="shared" si="325"/>
        <v>0.4301500082170734</v>
      </c>
      <c r="Y186" s="24">
        <v>25574.799</v>
      </c>
      <c r="Z186" s="22">
        <v>0.00802587446094873</v>
      </c>
      <c r="AA186" s="3">
        <v>6.483870967741935</v>
      </c>
      <c r="AB186" s="84">
        <v>807.8709677419355</v>
      </c>
      <c r="AC186" s="35">
        <v>0.24441215914170766</v>
      </c>
      <c r="AD186" s="6">
        <v>70.54838709677419</v>
      </c>
      <c r="AE186" s="40">
        <v>288.64516129032256</v>
      </c>
      <c r="AF186" s="14">
        <v>0.8919904521946691</v>
      </c>
      <c r="AG186" s="3">
        <v>433.96774193548384</v>
      </c>
      <c r="AH186" s="85">
        <v>486.51612903225805</v>
      </c>
      <c r="AI186" s="63">
        <v>511</v>
      </c>
      <c r="AJ186" s="7">
        <v>0.3227982230916575</v>
      </c>
      <c r="AK186" s="26">
        <v>1583.032258064516</v>
      </c>
      <c r="AL186" s="93">
        <v>12959</v>
      </c>
      <c r="AM186" s="7">
        <v>0.40911871360257357</v>
      </c>
      <c r="AN186" s="3">
        <v>31675.40268663594</v>
      </c>
      <c r="AO186" s="7">
        <f t="shared" si="344"/>
        <v>0.008602014171190017</v>
      </c>
      <c r="AP186" s="7">
        <f t="shared" si="255"/>
        <v>0.43050569690342105</v>
      </c>
      <c r="AQ186" s="94">
        <f t="shared" si="256"/>
        <v>0.9489893529798323</v>
      </c>
    </row>
    <row r="187" spans="1:43" ht="12.75">
      <c r="A187" s="147">
        <v>39142</v>
      </c>
      <c r="B187" s="22">
        <v>0.00676818950930626</v>
      </c>
      <c r="C187" s="11">
        <v>16</v>
      </c>
      <c r="D187" s="6">
        <v>2364</v>
      </c>
      <c r="E187" s="35">
        <v>0.43293591654247393</v>
      </c>
      <c r="F187" s="17">
        <v>576</v>
      </c>
      <c r="G187" s="38">
        <v>1326</v>
      </c>
      <c r="H187" s="8">
        <v>0.9439918533604889</v>
      </c>
      <c r="I187" s="6">
        <v>927</v>
      </c>
      <c r="J187" s="23">
        <v>982</v>
      </c>
      <c r="K187" s="88">
        <v>1519</v>
      </c>
      <c r="L187" s="30">
        <v>0.3251284246575342</v>
      </c>
      <c r="M187" s="27">
        <v>4672</v>
      </c>
      <c r="N187" s="25">
        <v>0.009343285846919342</v>
      </c>
      <c r="O187" s="3">
        <v>117</v>
      </c>
      <c r="P187" s="17">
        <v>12573.842</v>
      </c>
      <c r="Q187" s="49">
        <v>0.4443867905325055</v>
      </c>
      <c r="R187" s="74">
        <v>2489</v>
      </c>
      <c r="S187" s="37">
        <v>5600.468</v>
      </c>
      <c r="T187" s="7">
        <v>0.9446</v>
      </c>
      <c r="U187" s="3">
        <v>7547</v>
      </c>
      <c r="V187" s="24">
        <v>7989.811</v>
      </c>
      <c r="W187" s="89">
        <v>10153</v>
      </c>
      <c r="X187" s="7">
        <f t="shared" si="325"/>
        <v>0.38805049097579086</v>
      </c>
      <c r="Y187" s="24">
        <v>26164.121</v>
      </c>
      <c r="Z187" s="22">
        <v>0.010395010395010396</v>
      </c>
      <c r="AA187" s="17">
        <v>10</v>
      </c>
      <c r="AB187" s="77">
        <v>962</v>
      </c>
      <c r="AC187" s="35">
        <v>0.3052365640790078</v>
      </c>
      <c r="AD187" s="17">
        <v>94.92857142857143</v>
      </c>
      <c r="AE187" s="53">
        <v>311</v>
      </c>
      <c r="AF187" s="14">
        <v>0.8983025386810877</v>
      </c>
      <c r="AG187" s="17">
        <v>427.14285714285717</v>
      </c>
      <c r="AH187" s="50">
        <v>475.5</v>
      </c>
      <c r="AI187" s="63">
        <v>532.0714285714286</v>
      </c>
      <c r="AJ187" s="7">
        <v>0.30430164630908124</v>
      </c>
      <c r="AK187" s="26">
        <v>1748.5</v>
      </c>
      <c r="AL187" s="93">
        <v>12204.07142857143</v>
      </c>
      <c r="AM187" s="7">
        <v>0.3745347054541905</v>
      </c>
      <c r="AN187" s="3">
        <v>32584.621</v>
      </c>
      <c r="AO187" s="7">
        <f t="shared" si="344"/>
        <v>0.008993800064176738</v>
      </c>
      <c r="AP187" s="7">
        <f t="shared" si="255"/>
        <v>0.43660691438339644</v>
      </c>
      <c r="AQ187" s="94">
        <f t="shared" si="256"/>
        <v>0.9421879789013887</v>
      </c>
    </row>
    <row r="188" spans="1:43" ht="12.75">
      <c r="A188" s="147">
        <v>39114</v>
      </c>
      <c r="B188" s="79">
        <v>0.007765131369003297</v>
      </c>
      <c r="C188" s="11">
        <v>20.857142857142858</v>
      </c>
      <c r="D188" s="11">
        <v>2686</v>
      </c>
      <c r="E188" s="80">
        <v>0.434</v>
      </c>
      <c r="F188" s="81">
        <v>578.7142857142857</v>
      </c>
      <c r="G188" s="82">
        <v>1474</v>
      </c>
      <c r="H188" s="30">
        <v>0.8584643848288621</v>
      </c>
      <c r="I188" s="72">
        <v>928</v>
      </c>
      <c r="J188" s="24">
        <v>1081</v>
      </c>
      <c r="K188" s="88">
        <v>1527.5714285714287</v>
      </c>
      <c r="L188" s="30">
        <v>0.2914656417804672</v>
      </c>
      <c r="M188" s="27">
        <v>5241</v>
      </c>
      <c r="N188" s="25">
        <v>0.007962707157026455</v>
      </c>
      <c r="O188" s="3">
        <v>113</v>
      </c>
      <c r="P188" s="17">
        <v>14197.684</v>
      </c>
      <c r="Q188" s="49">
        <v>0.4410063484200204</v>
      </c>
      <c r="R188" s="74">
        <v>2599</v>
      </c>
      <c r="S188" s="37">
        <v>5894.38</v>
      </c>
      <c r="T188" s="7">
        <v>0.9451</v>
      </c>
      <c r="U188" s="3">
        <v>7993</v>
      </c>
      <c r="V188" s="24">
        <v>8457.259</v>
      </c>
      <c r="W188" s="89">
        <v>10705</v>
      </c>
      <c r="X188" s="14">
        <v>0.3749651086297213</v>
      </c>
      <c r="Y188" s="24">
        <v>28549.322999999997</v>
      </c>
      <c r="Z188" s="22">
        <v>0.014746678347203973</v>
      </c>
      <c r="AA188" s="17">
        <v>13.03225806451613</v>
      </c>
      <c r="AB188" s="77">
        <v>883.741935483871</v>
      </c>
      <c r="AC188" s="35">
        <v>0.33104799216454456</v>
      </c>
      <c r="AD188" s="17">
        <v>109.03225806451613</v>
      </c>
      <c r="AE188" s="53">
        <v>329.35483870967744</v>
      </c>
      <c r="AF188" s="14">
        <v>0.8852401868507285</v>
      </c>
      <c r="AG188" s="17">
        <v>409.5806451612903</v>
      </c>
      <c r="AH188" s="85">
        <v>462.6774193548387</v>
      </c>
      <c r="AI188" s="63">
        <v>531.6451612903226</v>
      </c>
      <c r="AJ188" s="7">
        <v>0.31725346012435274</v>
      </c>
      <c r="AK188" s="26">
        <v>1675.774193548387</v>
      </c>
      <c r="AL188" s="93">
        <v>12764.216589861751</v>
      </c>
      <c r="AM188" s="7">
        <v>0.35989910364830563</v>
      </c>
      <c r="AN188" s="3">
        <v>35466.09719354838</v>
      </c>
      <c r="AO188" s="7">
        <f t="shared" si="344"/>
        <v>0.008267342802217718</v>
      </c>
      <c r="AP188" s="7">
        <f t="shared" si="255"/>
        <v>0.4269758068634303</v>
      </c>
      <c r="AQ188" s="94">
        <f t="shared" si="256"/>
        <v>0.9329706993340936</v>
      </c>
    </row>
    <row r="189" spans="1:43" ht="12.75">
      <c r="A189" s="147">
        <v>39083</v>
      </c>
      <c r="B189" s="22">
        <v>0.007707364815267922</v>
      </c>
      <c r="C189" s="17">
        <v>18</v>
      </c>
      <c r="D189" s="6">
        <v>2335.4285714285716</v>
      </c>
      <c r="E189" s="35">
        <v>0.36260679515199684</v>
      </c>
      <c r="F189" s="17">
        <v>541.1428571428571</v>
      </c>
      <c r="G189" s="36">
        <v>1438</v>
      </c>
      <c r="H189" s="30">
        <v>0.9093808902421343</v>
      </c>
      <c r="I189" s="72">
        <v>825</v>
      </c>
      <c r="J189" s="27">
        <v>985.2857142857143</v>
      </c>
      <c r="K189" s="88">
        <v>1384.142857142857</v>
      </c>
      <c r="L189" s="30">
        <v>0.29086487946924433</v>
      </c>
      <c r="M189" s="27">
        <v>4758.714285714286</v>
      </c>
      <c r="N189" s="25">
        <v>0.0036</v>
      </c>
      <c r="O189" s="3">
        <v>99</v>
      </c>
      <c r="P189" s="17">
        <v>13074</v>
      </c>
      <c r="Q189" s="48">
        <v>0.436</v>
      </c>
      <c r="R189" s="75">
        <v>2338</v>
      </c>
      <c r="S189" s="37">
        <v>5362</v>
      </c>
      <c r="T189" s="8">
        <v>0.946</v>
      </c>
      <c r="U189" s="6">
        <v>7426</v>
      </c>
      <c r="V189" s="24">
        <v>7853</v>
      </c>
      <c r="W189" s="89">
        <v>9863</v>
      </c>
      <c r="X189" s="14">
        <v>0.37517592909581954</v>
      </c>
      <c r="Y189" s="24">
        <v>26289</v>
      </c>
      <c r="Z189" s="22">
        <v>0.014953420494982208</v>
      </c>
      <c r="AA189" s="17">
        <v>12.064516129032258</v>
      </c>
      <c r="AB189" s="77">
        <v>806.8064516129032</v>
      </c>
      <c r="AC189" s="35">
        <v>0.3549047963364666</v>
      </c>
      <c r="AD189" s="17">
        <v>95</v>
      </c>
      <c r="AE189" s="53">
        <v>267.6774193548387</v>
      </c>
      <c r="AF189" s="14">
        <v>0.8913059137074121</v>
      </c>
      <c r="AG189" s="76">
        <v>399.16129032258067</v>
      </c>
      <c r="AH189" s="86">
        <v>447.83870967741933</v>
      </c>
      <c r="AI189" s="63">
        <v>506.2258064516129</v>
      </c>
      <c r="AJ189" s="7">
        <v>0.3325351754534667</v>
      </c>
      <c r="AK189" s="26">
        <v>1522.3225806451612</v>
      </c>
      <c r="AL189" s="93">
        <v>11753.36866359447</v>
      </c>
      <c r="AM189" s="7">
        <v>0.3608644568570983</v>
      </c>
      <c r="AN189" s="3">
        <v>32570.03686635945</v>
      </c>
      <c r="AO189" s="7">
        <f t="shared" si="344"/>
        <v>0.00795896926417543</v>
      </c>
      <c r="AP189" s="7">
        <f t="shared" si="255"/>
        <v>0.42080908347601786</v>
      </c>
      <c r="AQ189" s="94">
        <f t="shared" si="256"/>
        <v>0.9315146874406044</v>
      </c>
    </row>
    <row r="190" spans="1:43" ht="12.75">
      <c r="A190" s="147">
        <v>39052</v>
      </c>
      <c r="B190" s="22">
        <v>0.008042555886264327</v>
      </c>
      <c r="C190" s="17">
        <v>18.142857142857142</v>
      </c>
      <c r="D190" s="6">
        <v>2255.8571428571427</v>
      </c>
      <c r="E190" s="35">
        <v>0.411963023382273</v>
      </c>
      <c r="F190" s="17">
        <v>496.2857142857143</v>
      </c>
      <c r="G190" s="36">
        <v>1313.5714285714287</v>
      </c>
      <c r="H190" s="30">
        <v>0.9108940646130729</v>
      </c>
      <c r="I190" s="72">
        <v>860</v>
      </c>
      <c r="J190" s="27">
        <v>950.7142857142857</v>
      </c>
      <c r="K190" s="88">
        <v>1374.4285714285713</v>
      </c>
      <c r="L190" s="30">
        <v>0.30406750734806104</v>
      </c>
      <c r="M190" s="27">
        <v>4520.142857142857</v>
      </c>
      <c r="N190" s="25">
        <v>0.0035</v>
      </c>
      <c r="O190" s="3">
        <v>92</v>
      </c>
      <c r="P190" s="17">
        <v>11614.488</v>
      </c>
      <c r="Q190" s="48">
        <v>0.411</v>
      </c>
      <c r="R190" s="12">
        <v>2230</v>
      </c>
      <c r="S190" s="37">
        <v>5423.596</v>
      </c>
      <c r="T190" s="8">
        <v>0.904</v>
      </c>
      <c r="U190" s="6">
        <v>7259</v>
      </c>
      <c r="V190" s="24">
        <v>8029.287</v>
      </c>
      <c r="W190" s="89">
        <v>9581</v>
      </c>
      <c r="X190" s="14">
        <v>0.38221000518961484</v>
      </c>
      <c r="Y190" s="24">
        <v>25067.371</v>
      </c>
      <c r="Z190" s="22">
        <v>0.01573302605920936</v>
      </c>
      <c r="AA190" s="17">
        <v>11.833333333333334</v>
      </c>
      <c r="AB190" s="4">
        <v>752.1333333333333</v>
      </c>
      <c r="AC190" s="35">
        <v>0.31557734204793025</v>
      </c>
      <c r="AD190" s="17">
        <v>96.56666666666666</v>
      </c>
      <c r="AE190" s="40">
        <v>306</v>
      </c>
      <c r="AF190" s="14">
        <v>0.883275663206459</v>
      </c>
      <c r="AG190" s="17">
        <v>382.9</v>
      </c>
      <c r="AH190" s="85">
        <v>433.5</v>
      </c>
      <c r="AI190" s="63">
        <v>491.3</v>
      </c>
      <c r="AJ190" s="7">
        <v>0.32937048872600505</v>
      </c>
      <c r="AK190" s="26">
        <v>1491.6333333333332</v>
      </c>
      <c r="AL190" s="93">
        <v>11446.72857142857</v>
      </c>
      <c r="AM190" s="7">
        <v>0.3683089661783344</v>
      </c>
      <c r="AN190" s="3">
        <v>31079.147190476186</v>
      </c>
      <c r="AO190" s="7">
        <f t="shared" si="344"/>
        <v>0.008341690546838702</v>
      </c>
      <c r="AP190" s="7">
        <f t="shared" si="255"/>
        <v>0.40079302523764404</v>
      </c>
      <c r="AQ190" s="94">
        <f t="shared" si="256"/>
        <v>0.9031602314541868</v>
      </c>
    </row>
    <row r="191" spans="1:43" ht="12.75">
      <c r="A191" s="147">
        <v>39022</v>
      </c>
      <c r="B191" s="22">
        <v>0.007908496732026144</v>
      </c>
      <c r="C191" s="17">
        <v>17.285714285714285</v>
      </c>
      <c r="D191" s="6">
        <v>2185.714285714286</v>
      </c>
      <c r="E191" s="35">
        <v>0.4000921340550501</v>
      </c>
      <c r="F191" s="17">
        <v>472.2857142857143</v>
      </c>
      <c r="G191" s="36">
        <v>1240.4285714285713</v>
      </c>
      <c r="H191" s="30">
        <v>0.9239179272128202</v>
      </c>
      <c r="I191" s="72">
        <v>903</v>
      </c>
      <c r="J191" s="27">
        <v>953.8571428571429</v>
      </c>
      <c r="K191" s="88">
        <v>1392.5714285714284</v>
      </c>
      <c r="L191" s="30">
        <v>0.3179386823222439</v>
      </c>
      <c r="M191" s="27">
        <v>4380</v>
      </c>
      <c r="N191" s="25">
        <v>0.0035</v>
      </c>
      <c r="O191" s="3">
        <v>79</v>
      </c>
      <c r="P191" s="17">
        <v>10809.702</v>
      </c>
      <c r="Q191" s="48">
        <v>0.392</v>
      </c>
      <c r="R191" s="75">
        <v>2158</v>
      </c>
      <c r="S191" s="37">
        <v>5497.992</v>
      </c>
      <c r="T191" s="8">
        <v>0.909</v>
      </c>
      <c r="U191" s="6">
        <v>8056</v>
      </c>
      <c r="V191" s="24">
        <v>8858.665</v>
      </c>
      <c r="W191" s="89">
        <v>10293</v>
      </c>
      <c r="X191" s="14">
        <v>0.4089983775563243</v>
      </c>
      <c r="Y191" s="24">
        <v>25166.359</v>
      </c>
      <c r="Z191" s="22">
        <v>0.018080798568603444</v>
      </c>
      <c r="AA191" s="17">
        <v>12.387096774193548</v>
      </c>
      <c r="AB191" s="4">
        <v>685.0967741935484</v>
      </c>
      <c r="AC191" s="35">
        <v>0.319677350880917</v>
      </c>
      <c r="AD191" s="17">
        <v>97.16129032258064</v>
      </c>
      <c r="AE191" s="40">
        <v>303.93548387096774</v>
      </c>
      <c r="AF191" s="14">
        <v>0.8882496277243807</v>
      </c>
      <c r="AG191" s="17">
        <v>423.3225806451613</v>
      </c>
      <c r="AH191" s="85">
        <v>476.5806451612903</v>
      </c>
      <c r="AI191" s="63">
        <v>532.8709677419355</v>
      </c>
      <c r="AJ191" s="7">
        <v>0.36358233921732624</v>
      </c>
      <c r="AK191" s="26">
        <v>1465.6129032258063</v>
      </c>
      <c r="AL191" s="93">
        <v>12218.442396313363</v>
      </c>
      <c r="AM191" s="7">
        <v>0.39399114749753866</v>
      </c>
      <c r="AN191" s="3">
        <v>31011.971903225807</v>
      </c>
      <c r="AO191" s="7">
        <f t="shared" si="344"/>
        <v>0.00794362101655272</v>
      </c>
      <c r="AP191" s="7">
        <f t="shared" si="255"/>
        <v>0.3872918357423616</v>
      </c>
      <c r="AQ191" s="94">
        <f t="shared" si="256"/>
        <v>0.9118698465692062</v>
      </c>
    </row>
    <row r="192" spans="1:43" ht="12.75">
      <c r="A192" s="147">
        <v>38991</v>
      </c>
      <c r="B192" s="22">
        <v>0.008113590263691683</v>
      </c>
      <c r="C192" s="17">
        <v>17.142857142857142</v>
      </c>
      <c r="D192" s="6">
        <v>2112.8571428571427</v>
      </c>
      <c r="E192" s="35">
        <v>0.38184338184338185</v>
      </c>
      <c r="F192" s="17">
        <v>501.14285714285717</v>
      </c>
      <c r="G192" s="36">
        <v>1236.857142857143</v>
      </c>
      <c r="H192" s="30">
        <v>0.8706650346797226</v>
      </c>
      <c r="I192" s="72">
        <v>851</v>
      </c>
      <c r="J192" s="27">
        <v>1050.4285714285713</v>
      </c>
      <c r="K192" s="88">
        <v>1369.2857142857142</v>
      </c>
      <c r="L192" s="30">
        <v>0.31119119509106846</v>
      </c>
      <c r="M192" s="27">
        <v>4400.142857142857</v>
      </c>
      <c r="N192" s="25">
        <v>0.0035</v>
      </c>
      <c r="O192" s="3">
        <v>70</v>
      </c>
      <c r="P192" s="17">
        <v>10464.18</v>
      </c>
      <c r="Q192" s="48">
        <v>0.371</v>
      </c>
      <c r="R192" s="75">
        <v>2013</v>
      </c>
      <c r="S192" s="37">
        <v>5424.332</v>
      </c>
      <c r="T192" s="8">
        <v>0.912</v>
      </c>
      <c r="U192" s="6">
        <v>7761</v>
      </c>
      <c r="V192" s="24">
        <v>8513.085</v>
      </c>
      <c r="W192" s="89">
        <v>9844</v>
      </c>
      <c r="X192" s="14">
        <v>0.4034162190286152</v>
      </c>
      <c r="Y192" s="24">
        <v>24401.597</v>
      </c>
      <c r="Z192" s="22">
        <v>0.017050912584053796</v>
      </c>
      <c r="AA192" s="17">
        <v>11.833333333333334</v>
      </c>
      <c r="AB192" s="3">
        <v>694</v>
      </c>
      <c r="AC192" s="35">
        <v>0.30677379756723583</v>
      </c>
      <c r="AD192" s="17">
        <v>91.63333333333334</v>
      </c>
      <c r="AE192" s="40">
        <v>298.7</v>
      </c>
      <c r="AF192" s="14">
        <v>0.8868440502586843</v>
      </c>
      <c r="AG192" s="17">
        <v>399.96666666666664</v>
      </c>
      <c r="AH192" s="26">
        <v>451</v>
      </c>
      <c r="AI192" s="63">
        <v>503.4333333333333</v>
      </c>
      <c r="AJ192" s="7">
        <v>0.348710489252153</v>
      </c>
      <c r="AK192" s="26">
        <v>1443.7</v>
      </c>
      <c r="AL192" s="93">
        <v>11716.719047619046</v>
      </c>
      <c r="AM192" s="7">
        <v>0.387387953455469</v>
      </c>
      <c r="AN192" s="3">
        <v>30245.43985714286</v>
      </c>
      <c r="AO192" s="7">
        <f t="shared" si="344"/>
        <v>0.007458059939909242</v>
      </c>
      <c r="AP192" s="7">
        <f t="shared" si="255"/>
        <v>0.37439909415087014</v>
      </c>
      <c r="AQ192" s="94">
        <f t="shared" si="256"/>
        <v>0.8998906040107458</v>
      </c>
    </row>
    <row r="193" spans="1:43" ht="12.75">
      <c r="A193" s="147">
        <v>38961</v>
      </c>
      <c r="B193" s="22">
        <v>0.00974396881929978</v>
      </c>
      <c r="C193" s="17">
        <v>20.714285714285715</v>
      </c>
      <c r="D193" s="6">
        <v>2125.8571428571427</v>
      </c>
      <c r="E193" s="35">
        <v>0.3858336999560053</v>
      </c>
      <c r="F193" s="17">
        <v>581.8571428571429</v>
      </c>
      <c r="G193" s="36">
        <v>1298.857142857143</v>
      </c>
      <c r="H193" s="30">
        <v>0.5483735277621985</v>
      </c>
      <c r="I193" s="72">
        <v>520</v>
      </c>
      <c r="J193" s="27">
        <v>1018.8571428571429</v>
      </c>
      <c r="K193" s="88">
        <v>1122.5714285714287</v>
      </c>
      <c r="L193" s="30">
        <v>0.2526281948239833</v>
      </c>
      <c r="M193" s="27">
        <v>4443.571428571428</v>
      </c>
      <c r="N193" s="25">
        <v>0.0034</v>
      </c>
      <c r="O193" s="3">
        <v>68</v>
      </c>
      <c r="P193" s="17">
        <v>11090.11</v>
      </c>
      <c r="Q193" s="48">
        <v>0.358</v>
      </c>
      <c r="R193" s="75">
        <v>1948</v>
      </c>
      <c r="S193" s="37">
        <v>5445.094</v>
      </c>
      <c r="T193" s="8">
        <v>0.9</v>
      </c>
      <c r="U193" s="6">
        <v>8173</v>
      </c>
      <c r="V193" s="24">
        <v>9076.873</v>
      </c>
      <c r="W193" s="89">
        <v>10189</v>
      </c>
      <c r="X193" s="14">
        <v>0.39782013774205033</v>
      </c>
      <c r="Y193" s="24">
        <v>25612.077</v>
      </c>
      <c r="Z193" s="22">
        <v>0.01634233893822029</v>
      </c>
      <c r="AA193" s="17">
        <v>11.161290322580646</v>
      </c>
      <c r="AB193" s="3">
        <v>682.9677419354839</v>
      </c>
      <c r="AC193" s="35">
        <v>0.32748600947051226</v>
      </c>
      <c r="AD193" s="17">
        <v>98.16129032258064</v>
      </c>
      <c r="AE193" s="40">
        <v>299.741935483871</v>
      </c>
      <c r="AF193" s="14">
        <v>0.8459821428571429</v>
      </c>
      <c r="AG193" s="17">
        <v>379</v>
      </c>
      <c r="AH193" s="26">
        <v>448</v>
      </c>
      <c r="AI193" s="63">
        <v>488.3225806451613</v>
      </c>
      <c r="AJ193" s="7">
        <v>0.34131493506493504</v>
      </c>
      <c r="AK193" s="26">
        <v>1430.7096774193549</v>
      </c>
      <c r="AL193" s="93">
        <v>11799.89400921659</v>
      </c>
      <c r="AM193" s="7">
        <v>0.3747621102921862</v>
      </c>
      <c r="AN193" s="3">
        <v>31486.358105990785</v>
      </c>
      <c r="AO193" s="7">
        <f t="shared" si="344"/>
        <v>0.007185843869672645</v>
      </c>
      <c r="AP193" s="7">
        <f t="shared" si="255"/>
        <v>0.3731023490022219</v>
      </c>
      <c r="AQ193" s="94">
        <f t="shared" si="256"/>
        <v>0.8604165581898767</v>
      </c>
    </row>
    <row r="194" spans="1:43" ht="12.75">
      <c r="A194" s="147">
        <v>38930</v>
      </c>
      <c r="B194" s="22">
        <v>0.007516672318299988</v>
      </c>
      <c r="C194" s="17">
        <v>19</v>
      </c>
      <c r="D194" s="6">
        <v>2527.714285714286</v>
      </c>
      <c r="E194" s="35">
        <v>0.3813670411985019</v>
      </c>
      <c r="F194" s="17">
        <v>508.85714285714283</v>
      </c>
      <c r="G194" s="36">
        <v>1525.7142857142858</v>
      </c>
      <c r="H194" s="30">
        <v>0.6267441860465116</v>
      </c>
      <c r="I194" s="72">
        <v>697</v>
      </c>
      <c r="J194" s="27">
        <v>1105.7142857142858</v>
      </c>
      <c r="K194" s="88">
        <v>1224.857142857143</v>
      </c>
      <c r="L194" s="30">
        <v>0.23741485296560894</v>
      </c>
      <c r="M194" s="27">
        <v>5159.142857142857</v>
      </c>
      <c r="N194" s="25">
        <v>0.0034</v>
      </c>
      <c r="O194" s="3">
        <v>93</v>
      </c>
      <c r="P194" s="17">
        <v>13947.469</v>
      </c>
      <c r="Q194" s="48">
        <v>0.365</v>
      </c>
      <c r="R194" s="75">
        <v>2503</v>
      </c>
      <c r="S194" s="37">
        <v>6853.874</v>
      </c>
      <c r="T194" s="8">
        <v>0.887</v>
      </c>
      <c r="U194" s="6">
        <v>8205</v>
      </c>
      <c r="V194" s="24">
        <v>9250.533</v>
      </c>
      <c r="W194" s="89">
        <v>10801</v>
      </c>
      <c r="X194" s="14">
        <v>0.35941183838240254</v>
      </c>
      <c r="Y194" s="24">
        <v>30051.875999999997</v>
      </c>
      <c r="Z194" s="22">
        <v>0.015813788201847902</v>
      </c>
      <c r="AA194" s="17">
        <v>11.483870967741936</v>
      </c>
      <c r="AB194" s="3">
        <v>726.1935483870968</v>
      </c>
      <c r="AC194" s="35">
        <v>0.33033636555955154</v>
      </c>
      <c r="AD194" s="17">
        <v>100.74193548387096</v>
      </c>
      <c r="AE194" s="40">
        <v>304.96774193548384</v>
      </c>
      <c r="AF194" s="14">
        <v>0.9043696275071633</v>
      </c>
      <c r="AG194" s="17">
        <v>407.258064516129</v>
      </c>
      <c r="AH194" s="26">
        <v>450.3225806451613</v>
      </c>
      <c r="AI194" s="63">
        <v>519.483870967742</v>
      </c>
      <c r="AJ194" s="7">
        <v>0.3506510473370204</v>
      </c>
      <c r="AK194" s="26">
        <v>1481.483870967742</v>
      </c>
      <c r="AL194" s="93">
        <v>12545.341013824886</v>
      </c>
      <c r="AM194" s="7">
        <v>0.3419047511363606</v>
      </c>
      <c r="AN194" s="3">
        <v>36692.502728110594</v>
      </c>
      <c r="AO194" s="7">
        <f t="shared" si="344"/>
        <v>0.007178720177964921</v>
      </c>
      <c r="AP194" s="7">
        <f t="shared" si="255"/>
        <v>0.35840624073713884</v>
      </c>
      <c r="AQ194" s="94">
        <f t="shared" si="256"/>
        <v>0.8614443046813209</v>
      </c>
    </row>
    <row r="195" spans="1:43" ht="12.75">
      <c r="A195" s="147">
        <v>38899</v>
      </c>
      <c r="B195" s="22">
        <v>0.00782511489255993</v>
      </c>
      <c r="C195" s="17">
        <v>18</v>
      </c>
      <c r="D195" s="6">
        <v>2300.285714285714</v>
      </c>
      <c r="E195" s="35">
        <v>0.36619718309859156</v>
      </c>
      <c r="F195" s="17">
        <v>451</v>
      </c>
      <c r="G195" s="36">
        <v>1389.5714285714287</v>
      </c>
      <c r="H195" s="30">
        <v>0.6344636678200692</v>
      </c>
      <c r="I195" s="72">
        <v>648</v>
      </c>
      <c r="J195" s="27">
        <v>1032.142857142857</v>
      </c>
      <c r="K195" s="88">
        <v>1117</v>
      </c>
      <c r="L195" s="30">
        <v>0.23655230834392207</v>
      </c>
      <c r="M195" s="27">
        <v>4722</v>
      </c>
      <c r="N195" s="25">
        <v>0.0033</v>
      </c>
      <c r="O195" s="3">
        <v>82</v>
      </c>
      <c r="P195" s="17">
        <v>11912.298</v>
      </c>
      <c r="Q195" s="48">
        <v>0.375</v>
      </c>
      <c r="R195" s="75">
        <v>2332</v>
      </c>
      <c r="S195" s="37">
        <v>6215.331</v>
      </c>
      <c r="T195" s="8">
        <v>0.875</v>
      </c>
      <c r="U195" s="6">
        <v>7763</v>
      </c>
      <c r="V195" s="24">
        <v>8869.147</v>
      </c>
      <c r="W195" s="89">
        <v>10177</v>
      </c>
      <c r="X195" s="14">
        <v>0.3769709390484256</v>
      </c>
      <c r="Y195" s="24">
        <v>26996.776</v>
      </c>
      <c r="Z195" s="22">
        <v>0.017408033033033034</v>
      </c>
      <c r="AA195" s="17">
        <v>12.366666666666667</v>
      </c>
      <c r="AB195" s="3">
        <v>710.4</v>
      </c>
      <c r="AC195" s="35">
        <v>0.3582443653618031</v>
      </c>
      <c r="AD195" s="17">
        <v>100.66666666666667</v>
      </c>
      <c r="AE195" s="40">
        <v>281</v>
      </c>
      <c r="AF195" s="14">
        <v>0.8956485297199134</v>
      </c>
      <c r="AG195" s="17">
        <v>427.43333333333334</v>
      </c>
      <c r="AH195" s="26">
        <v>477.23333333333335</v>
      </c>
      <c r="AI195" s="63">
        <v>540.4666666666667</v>
      </c>
      <c r="AJ195" s="7">
        <v>0.3680065366894392</v>
      </c>
      <c r="AK195" s="26">
        <v>1468.6333333333332</v>
      </c>
      <c r="AL195" s="93">
        <v>11834.466666666667</v>
      </c>
      <c r="AM195" s="7">
        <v>0.35659507338465746</v>
      </c>
      <c r="AN195" s="3">
        <v>33187.40933333334</v>
      </c>
      <c r="AO195" s="7">
        <f t="shared" si="344"/>
        <v>0.00752977211649025</v>
      </c>
      <c r="AP195" s="7">
        <f t="shared" si="255"/>
        <v>0.36567364265361035</v>
      </c>
      <c r="AQ195" s="94">
        <f t="shared" si="256"/>
        <v>0.8516079957738001</v>
      </c>
    </row>
    <row r="196" spans="1:43" ht="12.75">
      <c r="A196" s="147">
        <v>38869</v>
      </c>
      <c r="B196" s="22">
        <v>0.007783977405800097</v>
      </c>
      <c r="C196" s="17">
        <v>16.142857142857142</v>
      </c>
      <c r="D196" s="6">
        <v>2073.8571428571427</v>
      </c>
      <c r="E196" s="35">
        <v>0.36812033582089554</v>
      </c>
      <c r="F196" s="17">
        <v>427.42857142857144</v>
      </c>
      <c r="G196" s="36">
        <v>1225.142857142857</v>
      </c>
      <c r="H196" s="30">
        <v>0.5664828431372549</v>
      </c>
      <c r="I196" s="72">
        <v>583</v>
      </c>
      <c r="J196" s="27">
        <v>932.5714285714286</v>
      </c>
      <c r="K196" s="88">
        <v>1026.5714285714287</v>
      </c>
      <c r="L196" s="30">
        <v>0.24259815671314272</v>
      </c>
      <c r="M196" s="27">
        <v>4231.571428571428</v>
      </c>
      <c r="N196" s="25">
        <v>0.0033</v>
      </c>
      <c r="O196" s="3">
        <v>73</v>
      </c>
      <c r="P196" s="17">
        <v>10478.114</v>
      </c>
      <c r="Q196" s="48">
        <v>0.374</v>
      </c>
      <c r="R196" s="75">
        <v>1977</v>
      </c>
      <c r="S196" s="37">
        <v>5285.783</v>
      </c>
      <c r="T196" s="8">
        <v>0.871</v>
      </c>
      <c r="U196" s="6">
        <v>6797</v>
      </c>
      <c r="V196" s="24">
        <v>7805.262</v>
      </c>
      <c r="W196" s="89">
        <v>8847</v>
      </c>
      <c r="X196" s="14">
        <v>0.37536341453676814</v>
      </c>
      <c r="Y196" s="24">
        <v>23569.159</v>
      </c>
      <c r="Z196" s="22">
        <v>0.018538379040907</v>
      </c>
      <c r="AA196" s="17">
        <v>11.709677419354838</v>
      </c>
      <c r="AB196" s="3">
        <v>631.6451612903226</v>
      </c>
      <c r="AC196" s="35">
        <v>0.35787923416789397</v>
      </c>
      <c r="AD196" s="17">
        <v>101.90322580645162</v>
      </c>
      <c r="AE196" s="40">
        <v>284.741935483871</v>
      </c>
      <c r="AF196" s="14">
        <v>0.8904334142023475</v>
      </c>
      <c r="AG196" s="17">
        <v>438.06451612903226</v>
      </c>
      <c r="AH196" s="26">
        <v>491.96774193548384</v>
      </c>
      <c r="AI196" s="63">
        <v>551.6774193548388</v>
      </c>
      <c r="AJ196" s="7">
        <v>0.3917176298128679</v>
      </c>
      <c r="AK196" s="26">
        <v>1408.3548387096776</v>
      </c>
      <c r="AL196" s="93">
        <v>10425.248847926268</v>
      </c>
      <c r="AM196" s="7">
        <v>0.35691801891530756</v>
      </c>
      <c r="AN196" s="3">
        <v>29209.085267281105</v>
      </c>
      <c r="AO196" s="7">
        <f t="shared" si="344"/>
        <v>0.007649838423353123</v>
      </c>
      <c r="AP196" s="7">
        <f t="shared" si="255"/>
        <v>0.3688131724088077</v>
      </c>
      <c r="AQ196" s="94">
        <f t="shared" si="256"/>
        <v>0.8470458216490111</v>
      </c>
    </row>
    <row r="197" spans="1:43" ht="12.75">
      <c r="A197" s="147">
        <v>38838</v>
      </c>
      <c r="B197" s="22">
        <v>0.00851453099711491</v>
      </c>
      <c r="C197" s="17">
        <v>17.285714285714285</v>
      </c>
      <c r="D197" s="6">
        <v>2030.142857142857</v>
      </c>
      <c r="E197" s="35">
        <v>0.355302220638879</v>
      </c>
      <c r="F197" s="17">
        <v>399</v>
      </c>
      <c r="G197" s="36">
        <v>1203</v>
      </c>
      <c r="H197" s="30">
        <v>0.5517919249962195</v>
      </c>
      <c r="I197" s="72">
        <v>469</v>
      </c>
      <c r="J197" s="27">
        <v>944.7142857142857</v>
      </c>
      <c r="K197" s="88">
        <v>885.2857142857143</v>
      </c>
      <c r="L197" s="30">
        <v>0.21189946999487091</v>
      </c>
      <c r="M197" s="27">
        <v>4177.857142857143</v>
      </c>
      <c r="N197" s="25">
        <v>0.0032</v>
      </c>
      <c r="O197" s="3">
        <v>66</v>
      </c>
      <c r="P197" s="17">
        <v>10156.719</v>
      </c>
      <c r="Q197" s="48">
        <v>0.372</v>
      </c>
      <c r="R197" s="75">
        <v>1869</v>
      </c>
      <c r="S197" s="37">
        <v>5023.614</v>
      </c>
      <c r="T197" s="8">
        <v>0.877</v>
      </c>
      <c r="U197" s="6">
        <v>7218</v>
      </c>
      <c r="V197" s="24">
        <v>8229.592</v>
      </c>
      <c r="W197" s="89">
        <v>9153</v>
      </c>
      <c r="X197" s="14">
        <v>0.39098801042720127</v>
      </c>
      <c r="Y197" s="24">
        <v>23409.925</v>
      </c>
      <c r="Z197" s="22">
        <v>0.048665414354986676</v>
      </c>
      <c r="AA197" s="17">
        <v>37.13333333333333</v>
      </c>
      <c r="AB197" s="3">
        <v>763.0333333333333</v>
      </c>
      <c r="AC197" s="35">
        <v>0.346555883141249</v>
      </c>
      <c r="AD197" s="17">
        <v>86.2</v>
      </c>
      <c r="AE197" s="40">
        <v>248.73333333333332</v>
      </c>
      <c r="AF197" s="14">
        <v>0.9065735982204495</v>
      </c>
      <c r="AG197" s="17">
        <v>393.96666666666664</v>
      </c>
      <c r="AH197" s="26">
        <v>434.56666666666666</v>
      </c>
      <c r="AI197" s="63">
        <v>517.3</v>
      </c>
      <c r="AJ197" s="7">
        <v>0.3576630560036875</v>
      </c>
      <c r="AK197" s="26">
        <v>1446.3333333333333</v>
      </c>
      <c r="AL197" s="93">
        <v>10555.585714285713</v>
      </c>
      <c r="AM197" s="7">
        <v>0.36355802617585703</v>
      </c>
      <c r="AN197" s="3">
        <v>29034.115476190476</v>
      </c>
      <c r="AO197" s="7">
        <f t="shared" si="344"/>
        <v>0.009298843415165865</v>
      </c>
      <c r="AP197" s="7">
        <f t="shared" si="255"/>
        <v>0.3635635092315769</v>
      </c>
      <c r="AQ197" s="94">
        <f t="shared" si="256"/>
        <v>0.8409900626966149</v>
      </c>
    </row>
    <row r="198" spans="1:43" ht="12.75">
      <c r="A198" s="147">
        <v>38808</v>
      </c>
      <c r="B198" s="22">
        <v>0.00937661665804449</v>
      </c>
      <c r="C198" s="17">
        <v>20.714285714285715</v>
      </c>
      <c r="D198" s="6">
        <v>2209.1428571428573</v>
      </c>
      <c r="E198" s="35">
        <v>0.33646548608601373</v>
      </c>
      <c r="F198" s="17">
        <v>454.7142857142857</v>
      </c>
      <c r="G198" s="36">
        <v>1185.857142857143</v>
      </c>
      <c r="H198" s="30">
        <v>0.6092209415358978</v>
      </c>
      <c r="I198" s="72">
        <v>596</v>
      </c>
      <c r="J198" s="27">
        <v>1028.7142857142858</v>
      </c>
      <c r="K198" s="88">
        <v>1071.4285714285716</v>
      </c>
      <c r="L198" s="30">
        <v>0.2422011238132145</v>
      </c>
      <c r="M198" s="27">
        <v>4423.714285714286</v>
      </c>
      <c r="N198" s="25">
        <v>0.0032</v>
      </c>
      <c r="O198" s="3">
        <v>68</v>
      </c>
      <c r="P198" s="17">
        <v>11042.603</v>
      </c>
      <c r="Q198" s="48">
        <v>0.359</v>
      </c>
      <c r="R198" s="75">
        <v>1749</v>
      </c>
      <c r="S198" s="37">
        <v>4870.519</v>
      </c>
      <c r="T198" s="8">
        <v>0.871</v>
      </c>
      <c r="U198" s="6">
        <v>6917</v>
      </c>
      <c r="V198" s="24">
        <v>7936.91</v>
      </c>
      <c r="W198" s="89">
        <v>8734</v>
      </c>
      <c r="X198" s="14">
        <v>0.3662049593895723</v>
      </c>
      <c r="Y198" s="24">
        <v>23850.032</v>
      </c>
      <c r="Z198" s="22">
        <v>0.06674212717791163</v>
      </c>
      <c r="AA198" s="17">
        <v>53.25806451612903</v>
      </c>
      <c r="AB198" s="4">
        <v>797.9677419354839</v>
      </c>
      <c r="AC198" s="35">
        <v>0.4622018143129129</v>
      </c>
      <c r="AD198" s="17">
        <v>133.1290322580645</v>
      </c>
      <c r="AE198" s="40">
        <v>288.03225806451616</v>
      </c>
      <c r="AF198" s="14">
        <v>0.9086970372730169</v>
      </c>
      <c r="AG198" s="17">
        <v>460.06451612903226</v>
      </c>
      <c r="AH198" s="23">
        <v>506.2903225806452</v>
      </c>
      <c r="AI198" s="63">
        <v>646.4516129032259</v>
      </c>
      <c r="AJ198" s="7">
        <v>0.40598853345758795</v>
      </c>
      <c r="AK198" s="26">
        <v>1592.2903225806454</v>
      </c>
      <c r="AL198" s="93">
        <v>10451.880184331796</v>
      </c>
      <c r="AM198" s="7">
        <v>0.34995872808342143</v>
      </c>
      <c r="AN198" s="3">
        <v>29866.03660829493</v>
      </c>
      <c r="AO198" s="7">
        <f t="shared" si="344"/>
        <v>0.010104999595132539</v>
      </c>
      <c r="AP198" s="7">
        <f t="shared" si="255"/>
        <v>0.36833116191461984</v>
      </c>
      <c r="AQ198" s="94">
        <f t="shared" si="256"/>
        <v>0.8417584876817515</v>
      </c>
    </row>
    <row r="199" spans="1:43" ht="12.75">
      <c r="A199" s="147">
        <v>38777</v>
      </c>
      <c r="B199" s="22">
        <v>0.008263069139966273</v>
      </c>
      <c r="C199" s="17">
        <v>21</v>
      </c>
      <c r="D199" s="6">
        <v>2541.4285714285716</v>
      </c>
      <c r="E199" s="35">
        <v>0.333089158643784</v>
      </c>
      <c r="F199" s="17">
        <v>370.85714285714283</v>
      </c>
      <c r="G199" s="36">
        <v>1365.142857142857</v>
      </c>
      <c r="H199" s="30">
        <v>0.6592463768115941</v>
      </c>
      <c r="I199" s="72">
        <v>815</v>
      </c>
      <c r="J199" s="27">
        <v>1232.142857142857</v>
      </c>
      <c r="K199" s="88">
        <v>1206.857142857143</v>
      </c>
      <c r="L199" s="30">
        <v>0.23485585610630785</v>
      </c>
      <c r="M199" s="27">
        <v>5138.714285714286</v>
      </c>
      <c r="N199" s="25">
        <v>0.0032</v>
      </c>
      <c r="O199" s="3">
        <v>73</v>
      </c>
      <c r="P199" s="17">
        <v>13041.479</v>
      </c>
      <c r="Q199" s="48">
        <v>0.345</v>
      </c>
      <c r="R199" s="75">
        <v>1953</v>
      </c>
      <c r="S199" s="37">
        <v>5654.952</v>
      </c>
      <c r="T199" s="8">
        <v>0.844</v>
      </c>
      <c r="U199" s="6">
        <v>6930</v>
      </c>
      <c r="V199" s="24">
        <v>8212.052</v>
      </c>
      <c r="W199" s="89">
        <v>8956</v>
      </c>
      <c r="X199" s="14">
        <v>0.33283184340046224</v>
      </c>
      <c r="Y199" s="24">
        <v>26908.483</v>
      </c>
      <c r="Z199" s="22">
        <v>0.0694391614893707</v>
      </c>
      <c r="AA199" s="17">
        <v>58.67857142857143</v>
      </c>
      <c r="AB199" s="4">
        <v>845.0357142857143</v>
      </c>
      <c r="AC199" s="35">
        <v>0.4620581493545663</v>
      </c>
      <c r="AD199" s="17">
        <v>136.78571428571428</v>
      </c>
      <c r="AE199" s="40">
        <v>296.0357142857143</v>
      </c>
      <c r="AF199" s="14">
        <v>0.9021691658174407</v>
      </c>
      <c r="AG199" s="17">
        <v>442.64285714285717</v>
      </c>
      <c r="AH199" s="23">
        <v>490.64285714285717</v>
      </c>
      <c r="AI199" s="63">
        <v>638.1071428571429</v>
      </c>
      <c r="AJ199" s="7">
        <v>0.39106548765540183</v>
      </c>
      <c r="AK199" s="26">
        <v>1631.7142857142858</v>
      </c>
      <c r="AL199" s="93">
        <v>10800.964285714286</v>
      </c>
      <c r="AM199" s="7">
        <v>0.320704078064009</v>
      </c>
      <c r="AN199" s="3">
        <v>33678.91157142857</v>
      </c>
      <c r="AO199" s="7">
        <f t="shared" si="344"/>
        <v>0.009293833608577192</v>
      </c>
      <c r="AP199" s="7">
        <f t="shared" si="255"/>
        <v>0.3363311839666065</v>
      </c>
      <c r="AQ199" s="94">
        <f t="shared" si="256"/>
        <v>0.8241345347161039</v>
      </c>
    </row>
    <row r="200" spans="1:43" ht="12.75">
      <c r="A200" s="147">
        <v>38749</v>
      </c>
      <c r="B200" s="22">
        <v>0.008512049524651781</v>
      </c>
      <c r="C200" s="17">
        <v>22</v>
      </c>
      <c r="D200" s="6">
        <v>2584.5714285714284</v>
      </c>
      <c r="E200" s="35">
        <v>0.3114950803935685</v>
      </c>
      <c r="F200" s="17">
        <v>402</v>
      </c>
      <c r="G200" s="36">
        <v>1190.5714285714287</v>
      </c>
      <c r="H200" s="30">
        <v>0.5738516776030704</v>
      </c>
      <c r="I200" s="72">
        <v>793</v>
      </c>
      <c r="J200" s="27">
        <v>1153.857142857143</v>
      </c>
      <c r="K200" s="88">
        <v>1217</v>
      </c>
      <c r="L200" s="30">
        <v>0.24690606613917632</v>
      </c>
      <c r="M200" s="27">
        <v>4929</v>
      </c>
      <c r="N200" s="25">
        <v>0.0032</v>
      </c>
      <c r="O200" s="12">
        <v>67</v>
      </c>
      <c r="P200" s="17">
        <v>12725</v>
      </c>
      <c r="Q200" s="48">
        <v>0.34</v>
      </c>
      <c r="R200" s="75">
        <v>1782</v>
      </c>
      <c r="S200" s="37">
        <v>5234</v>
      </c>
      <c r="T200" s="8">
        <v>0.858</v>
      </c>
      <c r="U200" s="6">
        <v>7250</v>
      </c>
      <c r="V200" s="24">
        <v>8449</v>
      </c>
      <c r="W200" s="89">
        <v>9099</v>
      </c>
      <c r="X200" s="14">
        <v>0.3445546803998788</v>
      </c>
      <c r="Y200" s="24">
        <v>26408</v>
      </c>
      <c r="Z200" s="22">
        <v>0.07013005421878876</v>
      </c>
      <c r="AA200" s="17">
        <v>63.83870967741935</v>
      </c>
      <c r="AB200" s="4">
        <v>910.2903225806451</v>
      </c>
      <c r="AC200" s="35">
        <v>0.4594305287946906</v>
      </c>
      <c r="AD200" s="17">
        <v>138.4516129032258</v>
      </c>
      <c r="AE200" s="40">
        <v>301.35483870967744</v>
      </c>
      <c r="AF200" s="14">
        <v>0.893647738209817</v>
      </c>
      <c r="AG200" s="17">
        <v>419.3225806451613</v>
      </c>
      <c r="AH200" s="23">
        <v>469.2258064516129</v>
      </c>
      <c r="AI200" s="63">
        <v>621.6129032258065</v>
      </c>
      <c r="AJ200" s="7">
        <v>0.36981595562976183</v>
      </c>
      <c r="AK200" s="26">
        <v>1680.8709677419356</v>
      </c>
      <c r="AL200" s="93">
        <v>10937.612903225807</v>
      </c>
      <c r="AM200" s="7">
        <v>0.33126342137298076</v>
      </c>
      <c r="AN200" s="3">
        <v>33017.87096774194</v>
      </c>
      <c r="AO200" s="7">
        <f>(+AA200+O200+C200)/(D200+P200+AB200)</f>
        <v>0.00942293541229249</v>
      </c>
      <c r="AP200" s="7">
        <f t="shared" si="255"/>
        <v>0.3452984050986416</v>
      </c>
      <c r="AQ200" s="94">
        <f t="shared" si="256"/>
        <v>0.8401760215076393</v>
      </c>
    </row>
    <row r="201" spans="1:43" ht="12.75">
      <c r="A201" s="147">
        <v>38718</v>
      </c>
      <c r="B201" s="83">
        <v>0</v>
      </c>
      <c r="C201" s="17"/>
      <c r="D201" s="6"/>
      <c r="E201" s="35">
        <v>0.33</v>
      </c>
      <c r="F201" s="17"/>
      <c r="G201" s="36"/>
      <c r="H201" s="30">
        <v>0.53</v>
      </c>
      <c r="I201" s="72"/>
      <c r="J201" s="27"/>
      <c r="K201" s="88"/>
      <c r="L201" s="30">
        <v>0.23</v>
      </c>
      <c r="M201" s="27"/>
      <c r="N201" s="25">
        <v>0.0032</v>
      </c>
      <c r="O201" s="51">
        <v>67</v>
      </c>
      <c r="P201" s="17">
        <v>13250</v>
      </c>
      <c r="Q201" s="48">
        <v>0.345</v>
      </c>
      <c r="R201" s="76">
        <v>1821</v>
      </c>
      <c r="S201" s="37">
        <v>5276</v>
      </c>
      <c r="T201" s="8">
        <v>0.858</v>
      </c>
      <c r="U201" s="6">
        <v>7396</v>
      </c>
      <c r="V201" s="24">
        <v>8623</v>
      </c>
      <c r="W201" s="89">
        <f>+U201+R201+O201</f>
        <v>9284</v>
      </c>
      <c r="X201" s="14">
        <f>W201/Y201</f>
        <v>0.34196471324910677</v>
      </c>
      <c r="Y201" s="24">
        <f>+V201+S201+P201</f>
        <v>27149</v>
      </c>
      <c r="Z201" s="22">
        <f>AA201/AB201</f>
        <v>0.07333833576872952</v>
      </c>
      <c r="AA201" s="17">
        <v>59.903225806451616</v>
      </c>
      <c r="AB201" s="12">
        <v>816.8064516129032</v>
      </c>
      <c r="AC201" s="35">
        <f>AD201/AE201</f>
        <v>0.46385474230292095</v>
      </c>
      <c r="AD201" s="17">
        <v>132.67741935483872</v>
      </c>
      <c r="AE201" s="38">
        <v>286.03225806451616</v>
      </c>
      <c r="AF201" s="14">
        <f>AG201/AH201</f>
        <v>0.902500174106832</v>
      </c>
      <c r="AG201" s="17">
        <v>418.03225806451616</v>
      </c>
      <c r="AH201" s="23">
        <v>463.19354838709677</v>
      </c>
      <c r="AI201" s="63">
        <f aca="true" t="shared" si="347" ref="AI201:AI213">AG201+AD201+AA201</f>
        <v>610.6129032258065</v>
      </c>
      <c r="AJ201" s="7">
        <f>AI201/AK201</f>
        <v>0.38991080808288875</v>
      </c>
      <c r="AK201" s="26">
        <f aca="true" t="shared" si="348" ref="AK201:AK213">AH201+AE201+AB201</f>
        <v>1566.032258064516</v>
      </c>
      <c r="AL201" s="92"/>
      <c r="AM201" s="87">
        <v>0.37</v>
      </c>
      <c r="AN201" s="15"/>
      <c r="AO201" s="15"/>
      <c r="AP201" s="15"/>
      <c r="AQ201" s="91"/>
    </row>
    <row r="202" spans="1:43" ht="12.75">
      <c r="A202" s="147">
        <v>38687</v>
      </c>
      <c r="B202" s="20">
        <v>0</v>
      </c>
      <c r="C202" s="9"/>
      <c r="D202" s="2"/>
      <c r="E202" s="33">
        <v>0.35</v>
      </c>
      <c r="F202" s="9"/>
      <c r="G202" s="34"/>
      <c r="H202" s="9">
        <v>0.62</v>
      </c>
      <c r="I202" s="9"/>
      <c r="J202" s="21"/>
      <c r="K202" s="28"/>
      <c r="L202" s="9">
        <v>0.24</v>
      </c>
      <c r="M202" s="19"/>
      <c r="N202" s="22">
        <v>0.003</v>
      </c>
      <c r="O202" s="14"/>
      <c r="P202" s="1"/>
      <c r="Q202" s="46">
        <v>0.34</v>
      </c>
      <c r="R202" s="73"/>
      <c r="S202" s="32"/>
      <c r="T202" s="14">
        <v>0.892</v>
      </c>
      <c r="U202" s="14"/>
      <c r="V202" s="19"/>
      <c r="W202" s="18"/>
      <c r="X202" s="87">
        <v>0.4</v>
      </c>
      <c r="Y202" s="19"/>
      <c r="Z202" s="20">
        <v>0.07</v>
      </c>
      <c r="AA202" s="17">
        <v>56.53333333333333</v>
      </c>
      <c r="AB202" s="3">
        <v>754.9666666666667</v>
      </c>
      <c r="AC202" s="33">
        <v>0.45</v>
      </c>
      <c r="AD202" s="17">
        <v>127.73333333333333</v>
      </c>
      <c r="AE202" s="38">
        <v>278.1333333333333</v>
      </c>
      <c r="AF202" s="9">
        <v>0.87</v>
      </c>
      <c r="AG202" s="17">
        <v>379.7</v>
      </c>
      <c r="AH202" s="23">
        <v>438.96666666666664</v>
      </c>
      <c r="AI202" s="63">
        <f t="shared" si="347"/>
        <v>563.9666666666667</v>
      </c>
      <c r="AJ202" s="87">
        <v>0.4</v>
      </c>
      <c r="AK202" s="26">
        <f t="shared" si="348"/>
        <v>1472.0666666666666</v>
      </c>
      <c r="AL202" s="92"/>
      <c r="AM202" s="87">
        <v>0.38</v>
      </c>
      <c r="AN202" s="13"/>
      <c r="AO202" s="15"/>
      <c r="AP202" s="15"/>
      <c r="AQ202" s="91"/>
    </row>
    <row r="203" spans="1:43" ht="12.75">
      <c r="A203" s="147">
        <v>38657</v>
      </c>
      <c r="B203" s="20">
        <v>0</v>
      </c>
      <c r="C203" s="9"/>
      <c r="D203" s="2"/>
      <c r="E203" s="33">
        <v>0.33</v>
      </c>
      <c r="F203" s="9"/>
      <c r="G203" s="34"/>
      <c r="H203" s="9">
        <v>0.61</v>
      </c>
      <c r="I203" s="9"/>
      <c r="J203" s="21"/>
      <c r="K203" s="28"/>
      <c r="L203" s="9">
        <v>0.27</v>
      </c>
      <c r="M203" s="19"/>
      <c r="N203" s="22">
        <v>0.003</v>
      </c>
      <c r="O203" s="14"/>
      <c r="P203" s="1"/>
      <c r="Q203" s="46">
        <v>0.333</v>
      </c>
      <c r="R203" s="73"/>
      <c r="S203" s="32"/>
      <c r="T203" s="14">
        <v>0.91</v>
      </c>
      <c r="U203" s="14"/>
      <c r="V203" s="19"/>
      <c r="W203" s="18"/>
      <c r="X203" s="87">
        <v>0.41</v>
      </c>
      <c r="Y203" s="19"/>
      <c r="Z203" s="20">
        <v>0.07</v>
      </c>
      <c r="AA203" s="105">
        <v>47.935483870967744</v>
      </c>
      <c r="AB203" s="3">
        <v>677.8709677419355</v>
      </c>
      <c r="AC203" s="33">
        <v>0.45</v>
      </c>
      <c r="AD203" s="17">
        <v>128.67741935483872</v>
      </c>
      <c r="AE203" s="38">
        <v>284.80645161290323</v>
      </c>
      <c r="AF203" s="9">
        <v>0.89</v>
      </c>
      <c r="AG203" s="17">
        <v>396.38709677419354</v>
      </c>
      <c r="AH203" s="23">
        <v>456.8709677419355</v>
      </c>
      <c r="AI203" s="63">
        <f t="shared" si="347"/>
        <v>573</v>
      </c>
      <c r="AJ203" s="87">
        <v>0.39</v>
      </c>
      <c r="AK203" s="26">
        <f t="shared" si="348"/>
        <v>1419.5483870967741</v>
      </c>
      <c r="AL203" s="92"/>
      <c r="AM203" s="87">
        <v>0.39</v>
      </c>
      <c r="AN203" s="13"/>
      <c r="AO203" s="15"/>
      <c r="AP203" s="15"/>
      <c r="AQ203" s="91"/>
    </row>
    <row r="204" spans="1:43" ht="12.75">
      <c r="A204" s="147">
        <v>38626</v>
      </c>
      <c r="B204" s="20">
        <v>0</v>
      </c>
      <c r="C204" s="9"/>
      <c r="D204" s="2"/>
      <c r="E204" s="33">
        <v>0.33</v>
      </c>
      <c r="F204" s="9"/>
      <c r="G204" s="34"/>
      <c r="H204" s="9">
        <v>0.81</v>
      </c>
      <c r="I204" s="9"/>
      <c r="J204" s="21"/>
      <c r="K204" s="28"/>
      <c r="L204" s="9">
        <v>0.25</v>
      </c>
      <c r="M204" s="19"/>
      <c r="N204" s="22">
        <v>0.003</v>
      </c>
      <c r="O204" s="14"/>
      <c r="P204" s="1"/>
      <c r="Q204" s="46">
        <v>0.329</v>
      </c>
      <c r="R204" s="73"/>
      <c r="S204" s="32"/>
      <c r="T204" s="14">
        <v>0.911</v>
      </c>
      <c r="U204" s="14"/>
      <c r="V204" s="19"/>
      <c r="W204" s="18"/>
      <c r="X204" s="87">
        <v>0.41</v>
      </c>
      <c r="Y204" s="19"/>
      <c r="Z204" s="20">
        <v>0.07</v>
      </c>
      <c r="AA204" s="105">
        <v>48.4</v>
      </c>
      <c r="AB204" s="3">
        <v>711.3333333333334</v>
      </c>
      <c r="AC204" s="33">
        <v>0.47</v>
      </c>
      <c r="AD204" s="17">
        <v>136.43333333333334</v>
      </c>
      <c r="AE204" s="38">
        <v>305.56666666666666</v>
      </c>
      <c r="AF204" s="9">
        <v>0.89</v>
      </c>
      <c r="AG204" s="17">
        <v>404.93333333333334</v>
      </c>
      <c r="AH204" s="23">
        <v>456.26666666666665</v>
      </c>
      <c r="AI204" s="63">
        <f t="shared" si="347"/>
        <v>589.7666666666667</v>
      </c>
      <c r="AJ204" s="87">
        <v>0.4</v>
      </c>
      <c r="AK204" s="26">
        <f t="shared" si="348"/>
        <v>1473.1666666666665</v>
      </c>
      <c r="AL204" s="92"/>
      <c r="AM204" s="87">
        <v>0.38</v>
      </c>
      <c r="AN204" s="13"/>
      <c r="AO204" s="15"/>
      <c r="AP204" s="15"/>
      <c r="AQ204" s="91"/>
    </row>
    <row r="205" spans="1:43" ht="12.75">
      <c r="A205" s="147">
        <v>38596</v>
      </c>
      <c r="B205" s="20">
        <v>0</v>
      </c>
      <c r="C205" s="9"/>
      <c r="D205" s="2"/>
      <c r="E205" s="33">
        <v>0.33</v>
      </c>
      <c r="F205" s="9"/>
      <c r="G205" s="34"/>
      <c r="H205" s="9">
        <v>0.86</v>
      </c>
      <c r="I205" s="9"/>
      <c r="J205" s="21"/>
      <c r="K205" s="28"/>
      <c r="L205" s="9">
        <v>0.31</v>
      </c>
      <c r="M205" s="19"/>
      <c r="N205" s="22">
        <v>0.002</v>
      </c>
      <c r="O205" s="14"/>
      <c r="P205" s="1"/>
      <c r="Q205" s="46">
        <v>0.329</v>
      </c>
      <c r="R205" s="73"/>
      <c r="S205" s="32"/>
      <c r="T205" s="14">
        <v>0.911</v>
      </c>
      <c r="U205" s="14"/>
      <c r="V205" s="19"/>
      <c r="W205" s="18"/>
      <c r="X205" s="87">
        <v>0.41</v>
      </c>
      <c r="Y205" s="19"/>
      <c r="Z205" s="20">
        <v>0.07</v>
      </c>
      <c r="AA205" s="105">
        <v>50.064516129032256</v>
      </c>
      <c r="AB205" s="3">
        <v>677.4193548387096</v>
      </c>
      <c r="AC205" s="33">
        <v>0.49</v>
      </c>
      <c r="AD205" s="17">
        <v>151.96774193548387</v>
      </c>
      <c r="AE205" s="38">
        <v>325.741935483871</v>
      </c>
      <c r="AF205" s="9">
        <v>0.9</v>
      </c>
      <c r="AG205" s="17">
        <v>448.73333333333335</v>
      </c>
      <c r="AH205" s="23">
        <v>507.3</v>
      </c>
      <c r="AI205" s="63">
        <f t="shared" si="347"/>
        <v>650.7655913978494</v>
      </c>
      <c r="AJ205" s="87">
        <v>0.4</v>
      </c>
      <c r="AK205" s="26">
        <f t="shared" si="348"/>
        <v>1510.4612903225807</v>
      </c>
      <c r="AL205" s="92"/>
      <c r="AM205" s="87">
        <v>0.39</v>
      </c>
      <c r="AN205" s="13"/>
      <c r="AO205" s="15"/>
      <c r="AP205" s="15"/>
      <c r="AQ205" s="91"/>
    </row>
    <row r="206" spans="1:43" ht="12.75">
      <c r="A206" s="147">
        <v>38565</v>
      </c>
      <c r="B206" s="20">
        <v>0</v>
      </c>
      <c r="C206" s="9"/>
      <c r="D206" s="2"/>
      <c r="E206" s="33">
        <v>0.34</v>
      </c>
      <c r="F206" s="9"/>
      <c r="G206" s="34"/>
      <c r="H206" s="9">
        <v>0.78</v>
      </c>
      <c r="I206" s="9"/>
      <c r="J206" s="21"/>
      <c r="K206" s="28"/>
      <c r="L206" s="9">
        <v>0.32</v>
      </c>
      <c r="M206" s="19"/>
      <c r="N206" s="22">
        <v>0.002</v>
      </c>
      <c r="O206" s="14"/>
      <c r="P206" s="1"/>
      <c r="Q206" s="46">
        <v>0.337</v>
      </c>
      <c r="R206" s="73"/>
      <c r="S206" s="32"/>
      <c r="T206" s="14">
        <v>0.903</v>
      </c>
      <c r="U206" s="14"/>
      <c r="V206" s="19"/>
      <c r="W206" s="18"/>
      <c r="X206" s="87">
        <v>0.41</v>
      </c>
      <c r="Y206" s="19"/>
      <c r="Z206" s="20">
        <v>0.07</v>
      </c>
      <c r="AA206" s="105">
        <v>51.774193548387096</v>
      </c>
      <c r="AB206" s="3">
        <v>709.6774193548387</v>
      </c>
      <c r="AC206" s="33">
        <v>0.5</v>
      </c>
      <c r="AD206" s="17">
        <v>137.03225806451613</v>
      </c>
      <c r="AE206" s="38">
        <v>277.7741935483871</v>
      </c>
      <c r="AF206" s="9">
        <v>0.87</v>
      </c>
      <c r="AG206" s="17">
        <v>384.1290322580645</v>
      </c>
      <c r="AH206" s="23">
        <v>426</v>
      </c>
      <c r="AI206" s="63">
        <f t="shared" si="347"/>
        <v>572.9354838709677</v>
      </c>
      <c r="AJ206" s="87">
        <v>0.41</v>
      </c>
      <c r="AK206" s="26">
        <f t="shared" si="348"/>
        <v>1413.4516129032259</v>
      </c>
      <c r="AL206" s="92"/>
      <c r="AM206" s="87">
        <v>0.39</v>
      </c>
      <c r="AN206" s="13"/>
      <c r="AO206" s="15"/>
      <c r="AP206" s="15"/>
      <c r="AQ206" s="91"/>
    </row>
    <row r="207" spans="1:43" ht="12.75">
      <c r="A207" s="147">
        <v>38534</v>
      </c>
      <c r="B207" s="20">
        <v>0</v>
      </c>
      <c r="C207" s="9"/>
      <c r="D207" s="2"/>
      <c r="E207" s="33">
        <v>0.34</v>
      </c>
      <c r="F207" s="9"/>
      <c r="G207" s="34"/>
      <c r="H207" s="9">
        <v>0.84</v>
      </c>
      <c r="I207" s="9"/>
      <c r="J207" s="21"/>
      <c r="K207" s="28"/>
      <c r="L207" s="9">
        <v>0.3</v>
      </c>
      <c r="M207" s="19"/>
      <c r="N207" s="22">
        <v>0.002</v>
      </c>
      <c r="O207" s="14"/>
      <c r="P207" s="1"/>
      <c r="Q207" s="46">
        <v>0.349</v>
      </c>
      <c r="R207" s="73"/>
      <c r="S207" s="32"/>
      <c r="T207" s="14">
        <v>0.897</v>
      </c>
      <c r="U207" s="14"/>
      <c r="V207" s="19"/>
      <c r="W207" s="18"/>
      <c r="X207" s="87">
        <v>0.41</v>
      </c>
      <c r="Y207" s="19"/>
      <c r="Z207" s="20">
        <v>0.1</v>
      </c>
      <c r="AA207" s="105">
        <v>50.8</v>
      </c>
      <c r="AB207" s="3">
        <v>692.8666666666667</v>
      </c>
      <c r="AC207" s="33">
        <v>0.54</v>
      </c>
      <c r="AD207" s="17">
        <v>144.06666666666666</v>
      </c>
      <c r="AE207" s="38">
        <v>287.26666666666665</v>
      </c>
      <c r="AF207" s="9">
        <v>0.88</v>
      </c>
      <c r="AG207" s="17">
        <v>422.3</v>
      </c>
      <c r="AH207" s="23">
        <v>486.5</v>
      </c>
      <c r="AI207" s="63">
        <f t="shared" si="347"/>
        <v>617.1666666666666</v>
      </c>
      <c r="AJ207" s="87">
        <v>0.41</v>
      </c>
      <c r="AK207" s="26">
        <f t="shared" si="348"/>
        <v>1466.6333333333332</v>
      </c>
      <c r="AL207" s="92"/>
      <c r="AM207" s="87">
        <v>0.39</v>
      </c>
      <c r="AN207" s="13"/>
      <c r="AO207" s="15"/>
      <c r="AP207" s="15"/>
      <c r="AQ207" s="91"/>
    </row>
    <row r="208" spans="1:43" ht="12.75">
      <c r="A208" s="147">
        <v>38504</v>
      </c>
      <c r="B208" s="20">
        <v>0</v>
      </c>
      <c r="C208" s="9"/>
      <c r="D208" s="2"/>
      <c r="E208" s="33">
        <v>0.34</v>
      </c>
      <c r="F208" s="9"/>
      <c r="G208" s="34"/>
      <c r="H208" s="9">
        <v>0.83</v>
      </c>
      <c r="I208" s="9"/>
      <c r="J208" s="21"/>
      <c r="K208" s="28"/>
      <c r="L208" s="9">
        <v>0.32</v>
      </c>
      <c r="M208" s="19"/>
      <c r="N208" s="22">
        <v>0.002</v>
      </c>
      <c r="O208" s="14"/>
      <c r="P208" s="1"/>
      <c r="Q208" s="46">
        <v>0.36</v>
      </c>
      <c r="R208" s="73"/>
      <c r="S208" s="32"/>
      <c r="T208" s="14">
        <v>0.9027</v>
      </c>
      <c r="U208" s="14"/>
      <c r="V208" s="19"/>
      <c r="W208" s="18"/>
      <c r="X208" s="87">
        <v>0.41</v>
      </c>
      <c r="Y208" s="19"/>
      <c r="Z208" s="20">
        <v>0.11</v>
      </c>
      <c r="AA208" s="105">
        <v>65.61290322580645</v>
      </c>
      <c r="AB208" s="3">
        <v>672.5483870967741</v>
      </c>
      <c r="AC208" s="33">
        <v>0.66</v>
      </c>
      <c r="AD208" s="17">
        <v>152.83333333333334</v>
      </c>
      <c r="AE208" s="38">
        <v>285.8666666666667</v>
      </c>
      <c r="AF208" s="9">
        <v>0.89</v>
      </c>
      <c r="AG208" s="17">
        <v>421.2</v>
      </c>
      <c r="AH208" s="23">
        <v>479.43333333333334</v>
      </c>
      <c r="AI208" s="63">
        <f t="shared" si="347"/>
        <v>639.6462365591398</v>
      </c>
      <c r="AJ208" s="87">
        <v>0.43</v>
      </c>
      <c r="AK208" s="26">
        <f t="shared" si="348"/>
        <v>1437.848387096774</v>
      </c>
      <c r="AL208" s="92"/>
      <c r="AM208" s="87">
        <v>0.4</v>
      </c>
      <c r="AN208" s="13"/>
      <c r="AO208" s="15"/>
      <c r="AP208" s="15"/>
      <c r="AQ208" s="91"/>
    </row>
    <row r="209" spans="1:43" ht="12.75">
      <c r="A209" s="147">
        <v>38473</v>
      </c>
      <c r="B209" s="20">
        <v>0</v>
      </c>
      <c r="C209" s="9"/>
      <c r="D209" s="2"/>
      <c r="E209" s="33">
        <v>0.32</v>
      </c>
      <c r="F209" s="9"/>
      <c r="G209" s="34"/>
      <c r="H209" s="9">
        <v>0.85</v>
      </c>
      <c r="I209" s="9"/>
      <c r="J209" s="21"/>
      <c r="K209" s="28"/>
      <c r="L209" s="9">
        <v>0.32</v>
      </c>
      <c r="M209" s="19"/>
      <c r="N209" s="22">
        <v>0.002</v>
      </c>
      <c r="O209" s="14"/>
      <c r="P209" s="1"/>
      <c r="Q209" s="46">
        <v>0.366</v>
      </c>
      <c r="R209" s="73"/>
      <c r="S209" s="32"/>
      <c r="T209" s="14">
        <v>0.919</v>
      </c>
      <c r="U209" s="14"/>
      <c r="V209" s="19"/>
      <c r="W209" s="18"/>
      <c r="X209" s="87">
        <v>0.42</v>
      </c>
      <c r="Y209" s="19"/>
      <c r="Z209" s="20">
        <v>0.11</v>
      </c>
      <c r="AA209" s="105">
        <v>79.3</v>
      </c>
      <c r="AB209" s="3">
        <v>748.7333333333333</v>
      </c>
      <c r="AC209" s="33">
        <v>0.62</v>
      </c>
      <c r="AD209" s="17">
        <v>189.53333333333333</v>
      </c>
      <c r="AE209" s="38">
        <v>289</v>
      </c>
      <c r="AF209" s="9">
        <v>0.93</v>
      </c>
      <c r="AG209" s="17">
        <v>432.76666666666665</v>
      </c>
      <c r="AH209" s="23">
        <v>487.96666666666664</v>
      </c>
      <c r="AI209" s="63">
        <f t="shared" si="347"/>
        <v>701.5999999999999</v>
      </c>
      <c r="AJ209" s="87">
        <v>0.46</v>
      </c>
      <c r="AK209" s="26">
        <f t="shared" si="348"/>
        <v>1525.7</v>
      </c>
      <c r="AL209" s="92"/>
      <c r="AM209" s="87">
        <v>0.41</v>
      </c>
      <c r="AN209" s="13"/>
      <c r="AO209" s="15"/>
      <c r="AP209" s="15"/>
      <c r="AQ209" s="91"/>
    </row>
    <row r="210" spans="1:43" ht="12.75">
      <c r="A210" s="147">
        <v>38443</v>
      </c>
      <c r="B210" s="20">
        <v>0</v>
      </c>
      <c r="C210" s="9"/>
      <c r="D210" s="2"/>
      <c r="E210" s="33">
        <v>0.32</v>
      </c>
      <c r="F210" s="9"/>
      <c r="G210" s="34"/>
      <c r="H210" s="9">
        <v>0.86</v>
      </c>
      <c r="I210" s="9"/>
      <c r="J210" s="21"/>
      <c r="K210" s="28"/>
      <c r="L210" s="9">
        <v>0.29</v>
      </c>
      <c r="M210" s="19"/>
      <c r="N210" s="22">
        <v>0.002</v>
      </c>
      <c r="O210" s="14"/>
      <c r="P210" s="1"/>
      <c r="Q210" s="46">
        <v>0.367</v>
      </c>
      <c r="R210" s="73"/>
      <c r="S210" s="32"/>
      <c r="T210" s="14">
        <v>0.917</v>
      </c>
      <c r="U210" s="14"/>
      <c r="V210" s="19"/>
      <c r="W210" s="18"/>
      <c r="X210" s="87">
        <v>0.42</v>
      </c>
      <c r="Y210" s="19"/>
      <c r="Z210" s="20">
        <v>0.13</v>
      </c>
      <c r="AA210" s="105">
        <v>88.03225806451613</v>
      </c>
      <c r="AB210" s="3">
        <v>807.1290322580645</v>
      </c>
      <c r="AC210" s="33">
        <v>0.65</v>
      </c>
      <c r="AD210" s="17">
        <v>179.19354838709677</v>
      </c>
      <c r="AE210" s="38">
        <v>289.4516129032258</v>
      </c>
      <c r="AF210" s="9">
        <v>0.92</v>
      </c>
      <c r="AG210" s="17">
        <v>461.258064516129</v>
      </c>
      <c r="AH210" s="23">
        <v>493.96774193548384</v>
      </c>
      <c r="AI210" s="63">
        <f t="shared" si="347"/>
        <v>728.483870967742</v>
      </c>
      <c r="AJ210" s="87">
        <v>0.51</v>
      </c>
      <c r="AK210" s="26">
        <f t="shared" si="348"/>
        <v>1590.5483870967741</v>
      </c>
      <c r="AL210" s="92"/>
      <c r="AM210" s="87">
        <v>0.41</v>
      </c>
      <c r="AN210" s="13"/>
      <c r="AO210" s="15"/>
      <c r="AP210" s="15"/>
      <c r="AQ210" s="91"/>
    </row>
    <row r="211" spans="1:43" ht="12.75">
      <c r="A211" s="147">
        <v>38412</v>
      </c>
      <c r="B211" s="20">
        <v>0</v>
      </c>
      <c r="C211" s="9"/>
      <c r="D211" s="2"/>
      <c r="E211" s="33">
        <v>0.33</v>
      </c>
      <c r="F211" s="9"/>
      <c r="G211" s="34"/>
      <c r="H211" s="9">
        <v>0.87</v>
      </c>
      <c r="I211" s="9"/>
      <c r="J211" s="21"/>
      <c r="K211" s="28"/>
      <c r="L211" s="9">
        <v>0.31</v>
      </c>
      <c r="M211" s="19"/>
      <c r="N211" s="22">
        <v>0.002</v>
      </c>
      <c r="O211" s="14"/>
      <c r="P211" s="1"/>
      <c r="Q211" s="46">
        <v>0.368</v>
      </c>
      <c r="R211" s="73"/>
      <c r="S211" s="32"/>
      <c r="T211" s="14">
        <v>0.918</v>
      </c>
      <c r="U211" s="14"/>
      <c r="V211" s="19"/>
      <c r="W211" s="18"/>
      <c r="X211" s="87">
        <v>0.42</v>
      </c>
      <c r="Y211" s="19"/>
      <c r="Z211" s="20">
        <v>0.13</v>
      </c>
      <c r="AA211" s="105">
        <v>113.71428571428571</v>
      </c>
      <c r="AB211" s="3">
        <v>897.4285714285714</v>
      </c>
      <c r="AC211" s="33">
        <v>0.65</v>
      </c>
      <c r="AD211" s="17">
        <v>191.35714285714286</v>
      </c>
      <c r="AE211" s="38">
        <v>294.9642857142857</v>
      </c>
      <c r="AF211" s="9">
        <v>0.93</v>
      </c>
      <c r="AG211" s="17">
        <v>448.5357142857143</v>
      </c>
      <c r="AH211" s="23">
        <v>485.2857142857143</v>
      </c>
      <c r="AI211" s="63">
        <f t="shared" si="347"/>
        <v>753.6071428571428</v>
      </c>
      <c r="AJ211" s="87">
        <v>0.51</v>
      </c>
      <c r="AK211" s="26">
        <f t="shared" si="348"/>
        <v>1677.6785714285716</v>
      </c>
      <c r="AL211" s="92"/>
      <c r="AM211" s="87">
        <v>0.4</v>
      </c>
      <c r="AN211" s="13"/>
      <c r="AO211" s="15"/>
      <c r="AP211" s="15"/>
      <c r="AQ211" s="91"/>
    </row>
    <row r="212" spans="1:43" ht="12.75">
      <c r="A212" s="147">
        <v>38384</v>
      </c>
      <c r="B212" s="20">
        <v>0.01</v>
      </c>
      <c r="C212" s="9"/>
      <c r="D212" s="2"/>
      <c r="E212" s="33">
        <v>0.32</v>
      </c>
      <c r="F212" s="9"/>
      <c r="G212" s="34"/>
      <c r="H212" s="9">
        <v>0.87</v>
      </c>
      <c r="I212" s="9"/>
      <c r="J212" s="21"/>
      <c r="K212" s="28"/>
      <c r="L212" s="9">
        <v>0.31</v>
      </c>
      <c r="M212" s="19"/>
      <c r="N212" s="22">
        <v>0.003</v>
      </c>
      <c r="O212" s="14"/>
      <c r="P212" s="1"/>
      <c r="Q212" s="46">
        <v>0.358</v>
      </c>
      <c r="R212" s="73"/>
      <c r="S212" s="32"/>
      <c r="T212" s="14">
        <v>0.907</v>
      </c>
      <c r="U212" s="14"/>
      <c r="V212" s="19"/>
      <c r="W212" s="18"/>
      <c r="X212" s="87">
        <v>0.41</v>
      </c>
      <c r="Y212" s="19"/>
      <c r="Z212" s="20">
        <v>0.13</v>
      </c>
      <c r="AA212" s="105">
        <v>116.83870967741936</v>
      </c>
      <c r="AB212" s="3">
        <v>927.1935483870968</v>
      </c>
      <c r="AC212" s="33">
        <v>0.64</v>
      </c>
      <c r="AD212" s="17">
        <v>200.90322580645162</v>
      </c>
      <c r="AE212" s="38">
        <v>311</v>
      </c>
      <c r="AF212" s="9">
        <v>0.93</v>
      </c>
      <c r="AG212" s="17">
        <v>437.7096774193548</v>
      </c>
      <c r="AH212" s="23">
        <v>471.258064516129</v>
      </c>
      <c r="AI212" s="63">
        <f t="shared" si="347"/>
        <v>755.4516129032259</v>
      </c>
      <c r="AJ212" s="87">
        <v>0.51</v>
      </c>
      <c r="AK212" s="26">
        <f t="shared" si="348"/>
        <v>1709.4516129032259</v>
      </c>
      <c r="AL212" s="92"/>
      <c r="AM212" s="87">
        <v>0.4</v>
      </c>
      <c r="AN212" s="13"/>
      <c r="AO212" s="15"/>
      <c r="AP212" s="15"/>
      <c r="AQ212" s="91"/>
    </row>
    <row r="213" spans="1:43" ht="12.75">
      <c r="A213" s="147">
        <v>38353</v>
      </c>
      <c r="B213" s="20">
        <v>0.01</v>
      </c>
      <c r="C213" s="9"/>
      <c r="D213" s="2"/>
      <c r="E213" s="33">
        <v>0.31</v>
      </c>
      <c r="F213" s="9"/>
      <c r="G213" s="34"/>
      <c r="H213" s="9">
        <v>0.78</v>
      </c>
      <c r="I213" s="9"/>
      <c r="J213" s="21"/>
      <c r="K213" s="28"/>
      <c r="L213" s="9">
        <v>0.31</v>
      </c>
      <c r="M213" s="19"/>
      <c r="N213" s="22">
        <v>0.003</v>
      </c>
      <c r="O213" s="14"/>
      <c r="P213" s="1"/>
      <c r="Q213" s="46">
        <v>0.359</v>
      </c>
      <c r="R213" s="73"/>
      <c r="S213" s="32"/>
      <c r="T213" s="14">
        <v>0.909</v>
      </c>
      <c r="U213" s="14"/>
      <c r="V213" s="19"/>
      <c r="W213" s="18"/>
      <c r="X213" s="87">
        <v>0.41</v>
      </c>
      <c r="Y213" s="19"/>
      <c r="Z213" s="20">
        <v>0.14</v>
      </c>
      <c r="AA213" s="105">
        <v>109.93548387096774</v>
      </c>
      <c r="AB213" s="3">
        <v>846.5806451612904</v>
      </c>
      <c r="AC213" s="33">
        <v>0.65</v>
      </c>
      <c r="AD213" s="17">
        <v>186.29032258064515</v>
      </c>
      <c r="AE213" s="38">
        <v>289.51612903225805</v>
      </c>
      <c r="AF213" s="9">
        <v>0.91</v>
      </c>
      <c r="AG213" s="17">
        <v>428.2903225806452</v>
      </c>
      <c r="AH213" s="23">
        <v>462.19354838709677</v>
      </c>
      <c r="AI213" s="63">
        <f t="shared" si="347"/>
        <v>724.516129032258</v>
      </c>
      <c r="AJ213" s="87">
        <v>0.51</v>
      </c>
      <c r="AK213" s="26">
        <f t="shared" si="348"/>
        <v>1598.2903225806454</v>
      </c>
      <c r="AL213" s="92"/>
      <c r="AM213" s="87">
        <v>0.4</v>
      </c>
      <c r="AN213" s="13"/>
      <c r="AO213" s="15"/>
      <c r="AP213" s="15"/>
      <c r="AQ213" s="91"/>
    </row>
    <row r="214" spans="1:43" ht="12.75">
      <c r="A214" s="147">
        <v>38322</v>
      </c>
      <c r="B214" s="20">
        <v>0.01</v>
      </c>
      <c r="C214" s="9"/>
      <c r="D214" s="2"/>
      <c r="E214" s="33">
        <v>0.26</v>
      </c>
      <c r="F214" s="9"/>
      <c r="G214" s="34"/>
      <c r="H214" s="9">
        <v>0.8</v>
      </c>
      <c r="I214" s="9"/>
      <c r="J214" s="21"/>
      <c r="K214" s="28"/>
      <c r="L214" s="9">
        <v>0.31</v>
      </c>
      <c r="M214" s="19"/>
      <c r="N214" s="22">
        <v>0.003</v>
      </c>
      <c r="O214" s="14"/>
      <c r="P214" s="1"/>
      <c r="Q214" s="46">
        <v>0.359</v>
      </c>
      <c r="R214" s="73"/>
      <c r="S214" s="32"/>
      <c r="T214" s="14">
        <v>0.912</v>
      </c>
      <c r="U214" s="14"/>
      <c r="V214" s="19"/>
      <c r="W214" s="18"/>
      <c r="X214" s="87">
        <v>0.4</v>
      </c>
      <c r="Y214" s="19"/>
      <c r="Z214" s="20">
        <v>0.14</v>
      </c>
      <c r="AA214" s="9"/>
      <c r="AB214" s="15"/>
      <c r="AC214" s="33">
        <v>0.61</v>
      </c>
      <c r="AD214" s="9"/>
      <c r="AE214" s="32"/>
      <c r="AF214" s="9">
        <v>0.91</v>
      </c>
      <c r="AG214" s="9"/>
      <c r="AH214" s="19"/>
      <c r="AI214" s="18"/>
      <c r="AJ214" s="87">
        <v>0.51</v>
      </c>
      <c r="AK214" s="19"/>
      <c r="AL214" s="92"/>
      <c r="AM214" s="87">
        <v>0.39</v>
      </c>
      <c r="AN214" s="13"/>
      <c r="AO214" s="15"/>
      <c r="AP214" s="15"/>
      <c r="AQ214" s="91"/>
    </row>
    <row r="215" spans="1:43" ht="12.75">
      <c r="A215" s="147">
        <v>38292</v>
      </c>
      <c r="B215" s="20">
        <v>0.01</v>
      </c>
      <c r="C215" s="9"/>
      <c r="D215" s="2"/>
      <c r="E215" s="33">
        <v>0.26</v>
      </c>
      <c r="F215" s="9"/>
      <c r="G215" s="34"/>
      <c r="H215" s="9">
        <v>0.87</v>
      </c>
      <c r="I215" s="9"/>
      <c r="J215" s="21"/>
      <c r="K215" s="28"/>
      <c r="L215" s="9">
        <v>0.21</v>
      </c>
      <c r="M215" s="19"/>
      <c r="N215" s="22">
        <v>0.002</v>
      </c>
      <c r="O215" s="14"/>
      <c r="P215" s="1"/>
      <c r="Q215" s="46">
        <v>0.344</v>
      </c>
      <c r="R215" s="73"/>
      <c r="S215" s="32"/>
      <c r="T215" s="14">
        <v>0.917</v>
      </c>
      <c r="U215" s="14"/>
      <c r="V215" s="19"/>
      <c r="W215" s="18"/>
      <c r="X215" s="87">
        <v>0.4</v>
      </c>
      <c r="Y215" s="19"/>
      <c r="Z215" s="20">
        <v>0.13</v>
      </c>
      <c r="AA215" s="9"/>
      <c r="AB215" s="15"/>
      <c r="AC215" s="33">
        <v>0.61</v>
      </c>
      <c r="AD215" s="9"/>
      <c r="AE215" s="32"/>
      <c r="AF215" s="9">
        <v>0.89</v>
      </c>
      <c r="AG215" s="9"/>
      <c r="AH215" s="19"/>
      <c r="AI215" s="18"/>
      <c r="AJ215" s="87">
        <v>0.51</v>
      </c>
      <c r="AK215" s="19"/>
      <c r="AL215" s="92"/>
      <c r="AM215" s="87">
        <v>0.38</v>
      </c>
      <c r="AN215" s="13"/>
      <c r="AO215" s="15"/>
      <c r="AP215" s="15"/>
      <c r="AQ215" s="91"/>
    </row>
    <row r="216" spans="1:43" ht="12.75">
      <c r="A216" s="147">
        <v>38261</v>
      </c>
      <c r="B216" s="20">
        <v>0.01</v>
      </c>
      <c r="C216" s="9"/>
      <c r="D216" s="2"/>
      <c r="E216" s="33">
        <v>0.26</v>
      </c>
      <c r="F216" s="9"/>
      <c r="G216" s="34"/>
      <c r="H216" s="9">
        <v>0.71</v>
      </c>
      <c r="I216" s="9"/>
      <c r="J216" s="21"/>
      <c r="K216" s="28"/>
      <c r="L216" s="9">
        <v>0.31</v>
      </c>
      <c r="M216" s="19"/>
      <c r="N216" s="22">
        <v>0.002</v>
      </c>
      <c r="O216" s="14"/>
      <c r="P216" s="1"/>
      <c r="Q216" s="46">
        <v>0.311</v>
      </c>
      <c r="R216" s="73"/>
      <c r="S216" s="32"/>
      <c r="T216" s="14">
        <v>0.891</v>
      </c>
      <c r="U216" s="14"/>
      <c r="V216" s="19"/>
      <c r="W216" s="18"/>
      <c r="X216" s="87">
        <v>0.4</v>
      </c>
      <c r="Y216" s="19"/>
      <c r="Z216" s="20">
        <v>0.13</v>
      </c>
      <c r="AA216" s="9"/>
      <c r="AB216" s="15"/>
      <c r="AC216" s="33">
        <v>0.6</v>
      </c>
      <c r="AD216" s="9"/>
      <c r="AE216" s="32"/>
      <c r="AF216" s="9">
        <v>0.91</v>
      </c>
      <c r="AG216" s="9"/>
      <c r="AH216" s="19"/>
      <c r="AI216" s="18"/>
      <c r="AJ216" s="87">
        <v>0.51</v>
      </c>
      <c r="AK216" s="19"/>
      <c r="AL216" s="92"/>
      <c r="AM216" s="87">
        <v>0.39</v>
      </c>
      <c r="AN216" s="13"/>
      <c r="AO216" s="15"/>
      <c r="AP216" s="15"/>
      <c r="AQ216" s="91"/>
    </row>
    <row r="217" spans="1:43" ht="12.75">
      <c r="A217" s="147">
        <v>38231</v>
      </c>
      <c r="B217" s="20">
        <v>0.01</v>
      </c>
      <c r="C217" s="9"/>
      <c r="D217" s="2"/>
      <c r="E217" s="33">
        <v>0.27</v>
      </c>
      <c r="F217" s="9"/>
      <c r="G217" s="34"/>
      <c r="H217" s="9">
        <v>0.67</v>
      </c>
      <c r="I217" s="9"/>
      <c r="J217" s="21"/>
      <c r="K217" s="28"/>
      <c r="L217" s="9">
        <v>0.27</v>
      </c>
      <c r="M217" s="19"/>
      <c r="N217" s="22">
        <v>0.002</v>
      </c>
      <c r="O217" s="14"/>
      <c r="P217" s="1"/>
      <c r="Q217" s="46">
        <v>0.309</v>
      </c>
      <c r="R217" s="73"/>
      <c r="S217" s="32"/>
      <c r="T217" s="14">
        <v>0.888</v>
      </c>
      <c r="U217" s="14"/>
      <c r="V217" s="19"/>
      <c r="W217" s="18"/>
      <c r="X217" s="87">
        <v>0.4</v>
      </c>
      <c r="Y217" s="19"/>
      <c r="Z217" s="20">
        <v>0.13</v>
      </c>
      <c r="AA217" s="9"/>
      <c r="AB217" s="15"/>
      <c r="AC217" s="33">
        <v>0.64</v>
      </c>
      <c r="AD217" s="9"/>
      <c r="AE217" s="32"/>
      <c r="AF217" s="9">
        <v>0.93</v>
      </c>
      <c r="AG217" s="9"/>
      <c r="AH217" s="19"/>
      <c r="AI217" s="18"/>
      <c r="AJ217" s="87">
        <v>0.51</v>
      </c>
      <c r="AK217" s="19"/>
      <c r="AL217" s="92"/>
      <c r="AM217" s="87">
        <v>0.38</v>
      </c>
      <c r="AN217" s="13"/>
      <c r="AO217" s="15"/>
      <c r="AP217" s="15"/>
      <c r="AQ217" s="91"/>
    </row>
    <row r="218" spans="1:43" ht="12.75">
      <c r="A218" s="147">
        <v>38200</v>
      </c>
      <c r="B218" s="20">
        <v>0</v>
      </c>
      <c r="C218" s="9"/>
      <c r="D218" s="2"/>
      <c r="E218" s="33">
        <v>0.28</v>
      </c>
      <c r="F218" s="9"/>
      <c r="G218" s="34"/>
      <c r="H218" s="9">
        <v>0.6</v>
      </c>
      <c r="I218" s="9"/>
      <c r="J218" s="21"/>
      <c r="K218" s="28"/>
      <c r="L218" s="9">
        <v>0.26</v>
      </c>
      <c r="M218" s="19"/>
      <c r="N218" s="22">
        <v>0.002</v>
      </c>
      <c r="O218" s="14"/>
      <c r="P218" s="1"/>
      <c r="Q218" s="46">
        <v>0.313</v>
      </c>
      <c r="R218" s="73"/>
      <c r="S218" s="32"/>
      <c r="T218" s="14">
        <v>0.873</v>
      </c>
      <c r="U218" s="14"/>
      <c r="V218" s="19"/>
      <c r="W218" s="18"/>
      <c r="X218" s="87">
        <v>0.39</v>
      </c>
      <c r="Y218" s="19"/>
      <c r="Z218" s="20">
        <v>0.13</v>
      </c>
      <c r="AA218" s="9"/>
      <c r="AB218" s="15"/>
      <c r="AC218" s="33">
        <v>0.64</v>
      </c>
      <c r="AD218" s="9"/>
      <c r="AE218" s="32"/>
      <c r="AF218" s="9">
        <v>0.93</v>
      </c>
      <c r="AG218" s="9"/>
      <c r="AH218" s="19"/>
      <c r="AI218" s="18"/>
      <c r="AJ218" s="87">
        <v>0.51</v>
      </c>
      <c r="AK218" s="19"/>
      <c r="AL218" s="92"/>
      <c r="AM218" s="87">
        <v>0.38</v>
      </c>
      <c r="AN218" s="13"/>
      <c r="AO218" s="15"/>
      <c r="AP218" s="15"/>
      <c r="AQ218" s="91"/>
    </row>
    <row r="219" spans="1:43" ht="12.75">
      <c r="A219" s="147">
        <v>38169</v>
      </c>
      <c r="B219" s="20">
        <v>0</v>
      </c>
      <c r="C219" s="9"/>
      <c r="D219" s="2"/>
      <c r="E219" s="33">
        <v>0.28</v>
      </c>
      <c r="F219" s="9"/>
      <c r="G219" s="34"/>
      <c r="H219" s="9">
        <v>0.63</v>
      </c>
      <c r="I219" s="9"/>
      <c r="J219" s="21"/>
      <c r="K219" s="28"/>
      <c r="L219" s="9">
        <v>0.23</v>
      </c>
      <c r="M219" s="19"/>
      <c r="N219" s="22">
        <v>0.002</v>
      </c>
      <c r="O219" s="14"/>
      <c r="P219" s="1"/>
      <c r="Q219" s="46">
        <v>0.33</v>
      </c>
      <c r="R219" s="73"/>
      <c r="S219" s="32"/>
      <c r="T219" s="14">
        <v>0.894</v>
      </c>
      <c r="U219" s="14"/>
      <c r="V219" s="19"/>
      <c r="W219" s="18"/>
      <c r="X219" s="87">
        <v>0.4</v>
      </c>
      <c r="Y219" s="19"/>
      <c r="Z219" s="20">
        <v>0.13</v>
      </c>
      <c r="AA219" s="9"/>
      <c r="AB219" s="15"/>
      <c r="AC219" s="33">
        <v>0.63</v>
      </c>
      <c r="AD219" s="9"/>
      <c r="AE219" s="32"/>
      <c r="AF219" s="9">
        <v>0.93</v>
      </c>
      <c r="AG219" s="9"/>
      <c r="AH219" s="19"/>
      <c r="AI219" s="18"/>
      <c r="AJ219" s="87">
        <v>0.51</v>
      </c>
      <c r="AK219" s="19"/>
      <c r="AL219" s="92"/>
      <c r="AM219" s="87">
        <v>0.38</v>
      </c>
      <c r="AN219" s="13"/>
      <c r="AO219" s="15"/>
      <c r="AP219" s="15"/>
      <c r="AQ219" s="91"/>
    </row>
    <row r="220" spans="1:43" ht="12.75">
      <c r="A220" s="147">
        <v>38139</v>
      </c>
      <c r="B220" s="20">
        <v>0</v>
      </c>
      <c r="C220" s="9"/>
      <c r="D220" s="2"/>
      <c r="E220" s="33">
        <v>0.29</v>
      </c>
      <c r="F220" s="9"/>
      <c r="G220" s="34"/>
      <c r="H220" s="9">
        <v>0.48</v>
      </c>
      <c r="I220" s="9"/>
      <c r="J220" s="21"/>
      <c r="K220" s="28"/>
      <c r="L220" s="9">
        <v>0.25</v>
      </c>
      <c r="M220" s="19"/>
      <c r="N220" s="22">
        <v>0.002</v>
      </c>
      <c r="O220" s="14"/>
      <c r="P220" s="1"/>
      <c r="Q220" s="46">
        <v>0.347</v>
      </c>
      <c r="R220" s="73"/>
      <c r="S220" s="32"/>
      <c r="T220" s="14">
        <v>0.87</v>
      </c>
      <c r="U220" s="14"/>
      <c r="V220" s="19"/>
      <c r="W220" s="18"/>
      <c r="X220" s="87">
        <v>0.4</v>
      </c>
      <c r="Y220" s="19"/>
      <c r="Z220" s="20">
        <v>0.13</v>
      </c>
      <c r="AA220" s="9"/>
      <c r="AB220" s="15"/>
      <c r="AC220" s="33">
        <v>0.64</v>
      </c>
      <c r="AD220" s="9"/>
      <c r="AE220" s="32"/>
      <c r="AF220" s="9">
        <v>0.93</v>
      </c>
      <c r="AG220" s="9"/>
      <c r="AH220" s="19"/>
      <c r="AI220" s="18"/>
      <c r="AJ220" s="87">
        <v>0.47</v>
      </c>
      <c r="AK220" s="19"/>
      <c r="AL220" s="92"/>
      <c r="AM220" s="87">
        <v>0.38</v>
      </c>
      <c r="AN220" s="13"/>
      <c r="AO220" s="15"/>
      <c r="AP220" s="15"/>
      <c r="AQ220" s="91"/>
    </row>
    <row r="221" spans="1:43" ht="12.75">
      <c r="A221" s="147">
        <v>38108</v>
      </c>
      <c r="B221" s="20">
        <v>0</v>
      </c>
      <c r="C221" s="9"/>
      <c r="D221" s="2"/>
      <c r="E221" s="33">
        <v>0.27</v>
      </c>
      <c r="F221" s="9"/>
      <c r="G221" s="34"/>
      <c r="H221" s="9">
        <v>0.55</v>
      </c>
      <c r="I221" s="9"/>
      <c r="J221" s="21"/>
      <c r="K221" s="28"/>
      <c r="L221" s="9">
        <v>0.21</v>
      </c>
      <c r="M221" s="19"/>
      <c r="N221" s="22">
        <v>0.002</v>
      </c>
      <c r="O221" s="14"/>
      <c r="P221" s="1"/>
      <c r="Q221" s="46">
        <v>0.356</v>
      </c>
      <c r="R221" s="73"/>
      <c r="S221" s="32"/>
      <c r="T221" s="14">
        <v>0.869</v>
      </c>
      <c r="U221" s="14"/>
      <c r="V221" s="19"/>
      <c r="W221" s="18"/>
      <c r="X221" s="87">
        <v>0.4</v>
      </c>
      <c r="Y221" s="19"/>
      <c r="Z221" s="20">
        <v>0.12</v>
      </c>
      <c r="AA221" s="9"/>
      <c r="AB221" s="15"/>
      <c r="AC221" s="33">
        <v>0.63</v>
      </c>
      <c r="AD221" s="9"/>
      <c r="AE221" s="32"/>
      <c r="AF221" s="9">
        <v>0.93</v>
      </c>
      <c r="AG221" s="9"/>
      <c r="AH221" s="19"/>
      <c r="AI221" s="18"/>
      <c r="AJ221" s="87">
        <v>0.48</v>
      </c>
      <c r="AK221" s="19"/>
      <c r="AL221" s="92"/>
      <c r="AM221" s="87">
        <v>0.38</v>
      </c>
      <c r="AN221" s="13"/>
      <c r="AO221" s="15"/>
      <c r="AP221" s="15"/>
      <c r="AQ221" s="91"/>
    </row>
    <row r="222" spans="1:43" ht="12.75">
      <c r="A222" s="147">
        <v>38078</v>
      </c>
      <c r="B222" s="20">
        <v>0</v>
      </c>
      <c r="C222" s="9"/>
      <c r="D222" s="2"/>
      <c r="E222" s="33">
        <v>0.26</v>
      </c>
      <c r="F222" s="9"/>
      <c r="G222" s="34"/>
      <c r="H222" s="9">
        <v>0.55</v>
      </c>
      <c r="I222" s="9"/>
      <c r="J222" s="21"/>
      <c r="K222" s="28"/>
      <c r="L222" s="9">
        <v>0.22</v>
      </c>
      <c r="M222" s="19"/>
      <c r="N222" s="22">
        <v>0.002</v>
      </c>
      <c r="O222" s="14"/>
      <c r="P222" s="1"/>
      <c r="Q222" s="46">
        <v>0.347</v>
      </c>
      <c r="R222" s="73"/>
      <c r="S222" s="32"/>
      <c r="T222" s="14">
        <v>0.864</v>
      </c>
      <c r="U222" s="14"/>
      <c r="V222" s="19"/>
      <c r="W222" s="18"/>
      <c r="X222" s="87">
        <v>0.4</v>
      </c>
      <c r="Y222" s="19"/>
      <c r="Z222" s="20">
        <v>0.13</v>
      </c>
      <c r="AA222" s="9"/>
      <c r="AB222" s="15"/>
      <c r="AC222" s="33">
        <v>0.77</v>
      </c>
      <c r="AD222" s="9"/>
      <c r="AE222" s="32"/>
      <c r="AF222" s="9">
        <v>0.99</v>
      </c>
      <c r="AG222" s="9"/>
      <c r="AH222" s="19"/>
      <c r="AI222" s="18"/>
      <c r="AJ222" s="87">
        <v>0.47</v>
      </c>
      <c r="AK222" s="19"/>
      <c r="AL222" s="92"/>
      <c r="AM222" s="87">
        <v>0.37</v>
      </c>
      <c r="AN222" s="13"/>
      <c r="AO222" s="15"/>
      <c r="AP222" s="15"/>
      <c r="AQ222" s="91"/>
    </row>
    <row r="223" spans="1:43" ht="12.75">
      <c r="A223" s="147">
        <v>38047</v>
      </c>
      <c r="B223" s="20">
        <v>0</v>
      </c>
      <c r="C223" s="9"/>
      <c r="D223" s="2"/>
      <c r="E223" s="33">
        <v>0.27</v>
      </c>
      <c r="F223" s="9"/>
      <c r="G223" s="34"/>
      <c r="H223" s="9">
        <v>0.51</v>
      </c>
      <c r="I223" s="9"/>
      <c r="J223" s="21"/>
      <c r="K223" s="28"/>
      <c r="L223" s="9">
        <v>0.22</v>
      </c>
      <c r="M223" s="19"/>
      <c r="N223" s="22">
        <v>0.002</v>
      </c>
      <c r="O223" s="14"/>
      <c r="P223" s="1"/>
      <c r="Q223" s="46">
        <v>0.349</v>
      </c>
      <c r="R223" s="73"/>
      <c r="S223" s="32"/>
      <c r="T223" s="14">
        <v>0.859</v>
      </c>
      <c r="U223" s="14"/>
      <c r="V223" s="19"/>
      <c r="W223" s="18"/>
      <c r="X223" s="87">
        <v>0.4</v>
      </c>
      <c r="Y223" s="19"/>
      <c r="Z223" s="20">
        <v>0.15</v>
      </c>
      <c r="AA223" s="9"/>
      <c r="AB223" s="15"/>
      <c r="AC223" s="33">
        <v>0.73</v>
      </c>
      <c r="AD223" s="9"/>
      <c r="AE223" s="32"/>
      <c r="AF223" s="9">
        <v>0.98</v>
      </c>
      <c r="AG223" s="9"/>
      <c r="AH223" s="19"/>
      <c r="AI223" s="18"/>
      <c r="AJ223" s="87">
        <v>0.53</v>
      </c>
      <c r="AK223" s="19"/>
      <c r="AL223" s="92"/>
      <c r="AM223" s="87">
        <v>0.38</v>
      </c>
      <c r="AN223" s="13"/>
      <c r="AO223" s="15"/>
      <c r="AP223" s="15"/>
      <c r="AQ223" s="91"/>
    </row>
    <row r="224" spans="1:43" ht="12.75">
      <c r="A224" s="147">
        <v>38018</v>
      </c>
      <c r="B224" s="20">
        <v>0</v>
      </c>
      <c r="C224" s="9"/>
      <c r="D224" s="2"/>
      <c r="E224" s="33">
        <v>0.28</v>
      </c>
      <c r="F224" s="9"/>
      <c r="G224" s="34"/>
      <c r="H224" s="9">
        <v>0.65</v>
      </c>
      <c r="I224" s="9"/>
      <c r="J224" s="21"/>
      <c r="K224" s="28"/>
      <c r="L224" s="9">
        <v>0.21</v>
      </c>
      <c r="M224" s="19"/>
      <c r="N224" s="22">
        <v>0.002</v>
      </c>
      <c r="O224" s="14"/>
      <c r="P224" s="1"/>
      <c r="Q224" s="46">
        <v>0.348</v>
      </c>
      <c r="R224" s="73"/>
      <c r="S224" s="32"/>
      <c r="T224" s="14">
        <v>0.862</v>
      </c>
      <c r="U224" s="14"/>
      <c r="V224" s="19"/>
      <c r="W224" s="18"/>
      <c r="X224" s="87">
        <v>0.4</v>
      </c>
      <c r="Y224" s="19"/>
      <c r="Z224" s="20">
        <v>0.15</v>
      </c>
      <c r="AA224" s="9"/>
      <c r="AB224" s="15"/>
      <c r="AC224" s="33">
        <v>0.73</v>
      </c>
      <c r="AD224" s="9"/>
      <c r="AE224" s="32"/>
      <c r="AF224" s="9">
        <v>0.98</v>
      </c>
      <c r="AG224" s="9"/>
      <c r="AH224" s="19"/>
      <c r="AI224" s="18"/>
      <c r="AJ224" s="87">
        <v>0.53</v>
      </c>
      <c r="AK224" s="19"/>
      <c r="AL224" s="92"/>
      <c r="AM224" s="87">
        <v>0.37</v>
      </c>
      <c r="AN224" s="13"/>
      <c r="AO224" s="15"/>
      <c r="AP224" s="15"/>
      <c r="AQ224" s="91"/>
    </row>
    <row r="225" spans="1:43" ht="12.75">
      <c r="A225" s="147">
        <v>37987</v>
      </c>
      <c r="B225" s="20">
        <v>0</v>
      </c>
      <c r="C225" s="9"/>
      <c r="D225" s="2"/>
      <c r="E225" s="33">
        <v>0.29</v>
      </c>
      <c r="F225" s="9"/>
      <c r="G225" s="34"/>
      <c r="H225" s="9">
        <v>0.57</v>
      </c>
      <c r="I225" s="9"/>
      <c r="J225" s="21"/>
      <c r="K225" s="28"/>
      <c r="L225" s="9">
        <v>0.26</v>
      </c>
      <c r="M225" s="19"/>
      <c r="N225" s="22">
        <v>0.002</v>
      </c>
      <c r="O225" s="14"/>
      <c r="P225" s="1"/>
      <c r="Q225" s="46">
        <v>0.355</v>
      </c>
      <c r="R225" s="73"/>
      <c r="S225" s="32"/>
      <c r="T225" s="14">
        <v>0.875</v>
      </c>
      <c r="U225" s="14"/>
      <c r="V225" s="19"/>
      <c r="W225" s="18"/>
      <c r="X225" s="87">
        <v>0.4</v>
      </c>
      <c r="Y225" s="19"/>
      <c r="Z225" s="20">
        <v>0.17</v>
      </c>
      <c r="AA225" s="9"/>
      <c r="AB225" s="15"/>
      <c r="AC225" s="33">
        <v>0.75</v>
      </c>
      <c r="AD225" s="9"/>
      <c r="AE225" s="32"/>
      <c r="AF225" s="9">
        <v>0.99</v>
      </c>
      <c r="AG225" s="9"/>
      <c r="AH225" s="19"/>
      <c r="AI225" s="18"/>
      <c r="AJ225" s="87">
        <v>0.53</v>
      </c>
      <c r="AK225" s="19"/>
      <c r="AL225" s="92"/>
      <c r="AM225" s="87">
        <v>0.39</v>
      </c>
      <c r="AN225" s="13"/>
      <c r="AO225" s="15"/>
      <c r="AP225" s="15"/>
      <c r="AQ225" s="91"/>
    </row>
    <row r="226" spans="1:43" ht="12.75">
      <c r="A226" s="147">
        <v>37956</v>
      </c>
      <c r="B226" s="20">
        <v>0</v>
      </c>
      <c r="C226" s="9"/>
      <c r="D226" s="2"/>
      <c r="E226" s="33">
        <v>0.27</v>
      </c>
      <c r="F226" s="9"/>
      <c r="G226" s="34"/>
      <c r="H226" s="9">
        <v>0.56</v>
      </c>
      <c r="I226" s="9"/>
      <c r="J226" s="21"/>
      <c r="K226" s="28"/>
      <c r="L226" s="9">
        <v>0.24</v>
      </c>
      <c r="M226" s="19"/>
      <c r="N226" s="22">
        <v>0.002</v>
      </c>
      <c r="O226" s="14"/>
      <c r="P226" s="1"/>
      <c r="Q226" s="46">
        <v>0.328</v>
      </c>
      <c r="R226" s="73"/>
      <c r="S226" s="32"/>
      <c r="T226" s="14">
        <v>0.86</v>
      </c>
      <c r="U226" s="14"/>
      <c r="V226" s="19"/>
      <c r="W226" s="18"/>
      <c r="X226" s="87">
        <v>0.39</v>
      </c>
      <c r="Y226" s="19"/>
      <c r="Z226" s="20">
        <v>0.16</v>
      </c>
      <c r="AA226" s="9"/>
      <c r="AB226" s="15"/>
      <c r="AC226" s="33">
        <v>0.73</v>
      </c>
      <c r="AD226" s="9"/>
      <c r="AE226" s="32"/>
      <c r="AF226" s="9">
        <v>0.98</v>
      </c>
      <c r="AG226" s="9"/>
      <c r="AH226" s="19"/>
      <c r="AI226" s="18"/>
      <c r="AJ226" s="87">
        <v>0.54</v>
      </c>
      <c r="AK226" s="19"/>
      <c r="AL226" s="92"/>
      <c r="AM226" s="87">
        <v>0.37</v>
      </c>
      <c r="AN226" s="13"/>
      <c r="AO226" s="15"/>
      <c r="AP226" s="15"/>
      <c r="AQ226" s="91"/>
    </row>
    <row r="227" spans="1:43" ht="12.75">
      <c r="A227" s="147">
        <v>37926</v>
      </c>
      <c r="B227" s="20">
        <v>0</v>
      </c>
      <c r="C227" s="9"/>
      <c r="D227" s="2"/>
      <c r="E227" s="33">
        <v>0.24</v>
      </c>
      <c r="F227" s="9"/>
      <c r="G227" s="34"/>
      <c r="H227" s="9">
        <v>0.54</v>
      </c>
      <c r="I227" s="9"/>
      <c r="J227" s="21"/>
      <c r="K227" s="28"/>
      <c r="L227" s="9">
        <v>0.23</v>
      </c>
      <c r="M227" s="19"/>
      <c r="N227" s="22">
        <v>0.002</v>
      </c>
      <c r="O227" s="14"/>
      <c r="P227" s="1"/>
      <c r="Q227" s="46">
        <v>0.318</v>
      </c>
      <c r="R227" s="73"/>
      <c r="S227" s="32"/>
      <c r="T227" s="14">
        <v>0.867</v>
      </c>
      <c r="U227" s="14"/>
      <c r="V227" s="19"/>
      <c r="W227" s="18"/>
      <c r="X227" s="87">
        <v>0.39</v>
      </c>
      <c r="Y227" s="19"/>
      <c r="Z227" s="20">
        <v>0.28</v>
      </c>
      <c r="AA227" s="9"/>
      <c r="AB227" s="15"/>
      <c r="AC227" s="33">
        <v>0.6</v>
      </c>
      <c r="AD227" s="9"/>
      <c r="AE227" s="32"/>
      <c r="AF227" s="9">
        <v>0.98</v>
      </c>
      <c r="AG227" s="9"/>
      <c r="AH227" s="19"/>
      <c r="AI227" s="18"/>
      <c r="AJ227" s="87">
        <v>0.51</v>
      </c>
      <c r="AK227" s="19"/>
      <c r="AL227" s="92"/>
      <c r="AM227" s="87">
        <v>0.37</v>
      </c>
      <c r="AN227" s="13"/>
      <c r="AO227" s="15"/>
      <c r="AP227" s="15"/>
      <c r="AQ227" s="91"/>
    </row>
    <row r="228" spans="1:43" ht="12.75">
      <c r="A228" s="147">
        <v>37895</v>
      </c>
      <c r="B228" s="20">
        <v>0</v>
      </c>
      <c r="C228" s="9"/>
      <c r="D228" s="2"/>
      <c r="E228" s="33">
        <v>0.25</v>
      </c>
      <c r="F228" s="9"/>
      <c r="G228" s="34"/>
      <c r="H228" s="9">
        <v>0.31</v>
      </c>
      <c r="I228" s="9"/>
      <c r="J228" s="21"/>
      <c r="K228" s="28"/>
      <c r="L228" s="9">
        <v>0.22</v>
      </c>
      <c r="M228" s="19"/>
      <c r="N228" s="22">
        <v>0.002</v>
      </c>
      <c r="O228" s="14"/>
      <c r="P228" s="1"/>
      <c r="Q228" s="46">
        <v>0.289</v>
      </c>
      <c r="R228" s="73"/>
      <c r="S228" s="32"/>
      <c r="T228" s="14">
        <v>0.836</v>
      </c>
      <c r="U228" s="14"/>
      <c r="V228" s="19"/>
      <c r="W228" s="18"/>
      <c r="X228" s="87">
        <v>0.37</v>
      </c>
      <c r="Y228" s="19"/>
      <c r="Z228" s="20">
        <v>0.27</v>
      </c>
      <c r="AA228" s="9"/>
      <c r="AB228" s="15"/>
      <c r="AC228" s="33">
        <v>0.43</v>
      </c>
      <c r="AD228" s="9"/>
      <c r="AE228" s="32"/>
      <c r="AF228" s="9">
        <v>1</v>
      </c>
      <c r="AG228" s="9"/>
      <c r="AH228" s="19"/>
      <c r="AI228" s="18"/>
      <c r="AJ228" s="87">
        <v>0.55</v>
      </c>
      <c r="AK228" s="19"/>
      <c r="AL228" s="92"/>
      <c r="AM228" s="87">
        <v>0.36</v>
      </c>
      <c r="AN228" s="13"/>
      <c r="AO228" s="15"/>
      <c r="AP228" s="15"/>
      <c r="AQ228" s="91"/>
    </row>
    <row r="229" spans="1:43" ht="12.75">
      <c r="A229" s="147">
        <v>37865</v>
      </c>
      <c r="B229" s="20">
        <v>0</v>
      </c>
      <c r="C229" s="9"/>
      <c r="D229" s="2"/>
      <c r="E229" s="33">
        <v>0.24</v>
      </c>
      <c r="F229" s="9"/>
      <c r="G229" s="34"/>
      <c r="H229" s="9">
        <v>0.34</v>
      </c>
      <c r="I229" s="9"/>
      <c r="J229" s="21"/>
      <c r="K229" s="28"/>
      <c r="L229" s="9">
        <v>0.16</v>
      </c>
      <c r="M229" s="19"/>
      <c r="N229" s="22">
        <v>0.001</v>
      </c>
      <c r="O229" s="14"/>
      <c r="P229" s="1"/>
      <c r="Q229" s="46">
        <v>0.252</v>
      </c>
      <c r="R229" s="73"/>
      <c r="S229" s="32"/>
      <c r="T229" s="14">
        <v>0.811</v>
      </c>
      <c r="U229" s="14"/>
      <c r="V229" s="19"/>
      <c r="W229" s="18"/>
      <c r="X229" s="87">
        <v>0.36</v>
      </c>
      <c r="Y229" s="19"/>
      <c r="Z229" s="20">
        <v>0.28</v>
      </c>
      <c r="AA229" s="9"/>
      <c r="AB229" s="15"/>
      <c r="AC229" s="33">
        <v>0.54</v>
      </c>
      <c r="AD229" s="9"/>
      <c r="AE229" s="32"/>
      <c r="AF229" s="9">
        <v>1</v>
      </c>
      <c r="AG229" s="9"/>
      <c r="AH229" s="19"/>
      <c r="AI229" s="18"/>
      <c r="AJ229" s="87">
        <v>0.52</v>
      </c>
      <c r="AK229" s="19"/>
      <c r="AL229" s="92"/>
      <c r="AM229" s="87">
        <v>0.33</v>
      </c>
      <c r="AN229" s="13"/>
      <c r="AO229" s="15"/>
      <c r="AP229" s="15"/>
      <c r="AQ229" s="91"/>
    </row>
    <row r="230" spans="1:43" ht="12.75">
      <c r="A230" s="147">
        <v>37834</v>
      </c>
      <c r="B230" s="20">
        <v>0</v>
      </c>
      <c r="C230" s="9"/>
      <c r="D230" s="2"/>
      <c r="E230" s="33">
        <v>0.26</v>
      </c>
      <c r="F230" s="9"/>
      <c r="G230" s="34"/>
      <c r="H230" s="9">
        <v>0.29</v>
      </c>
      <c r="I230" s="9"/>
      <c r="J230" s="21"/>
      <c r="K230" s="28"/>
      <c r="L230" s="9">
        <v>0.16</v>
      </c>
      <c r="M230" s="19"/>
      <c r="N230" s="22">
        <v>0.001</v>
      </c>
      <c r="O230" s="14"/>
      <c r="P230" s="1"/>
      <c r="Q230" s="46">
        <v>0.251</v>
      </c>
      <c r="R230" s="73"/>
      <c r="S230" s="32"/>
      <c r="T230" s="14">
        <v>0.817</v>
      </c>
      <c r="U230" s="14"/>
      <c r="V230" s="19"/>
      <c r="W230" s="18"/>
      <c r="X230" s="87">
        <v>0.36</v>
      </c>
      <c r="Y230" s="19"/>
      <c r="Z230" s="20">
        <v>0.36</v>
      </c>
      <c r="AA230" s="9"/>
      <c r="AB230" s="15"/>
      <c r="AC230" s="33">
        <v>0.58</v>
      </c>
      <c r="AD230" s="9"/>
      <c r="AE230" s="32"/>
      <c r="AF230" s="9">
        <v>1</v>
      </c>
      <c r="AG230" s="9"/>
      <c r="AH230" s="19"/>
      <c r="AI230" s="18"/>
      <c r="AJ230" s="87">
        <v>0.54</v>
      </c>
      <c r="AK230" s="19"/>
      <c r="AL230" s="92"/>
      <c r="AM230" s="87">
        <v>0.34</v>
      </c>
      <c r="AN230" s="13"/>
      <c r="AO230" s="15"/>
      <c r="AP230" s="15"/>
      <c r="AQ230" s="91"/>
    </row>
    <row r="231" spans="1:43" ht="12.75">
      <c r="A231" s="147">
        <v>37803</v>
      </c>
      <c r="B231" s="20">
        <v>0</v>
      </c>
      <c r="C231" s="9"/>
      <c r="D231" s="2"/>
      <c r="E231" s="33">
        <v>0.27</v>
      </c>
      <c r="F231" s="9"/>
      <c r="G231" s="34"/>
      <c r="H231" s="9">
        <v>0.36</v>
      </c>
      <c r="I231" s="9"/>
      <c r="J231" s="21"/>
      <c r="K231" s="28"/>
      <c r="L231" s="9">
        <v>0.15</v>
      </c>
      <c r="M231" s="19"/>
      <c r="N231" s="22">
        <v>0.001</v>
      </c>
      <c r="O231" s="14"/>
      <c r="P231" s="1"/>
      <c r="Q231" s="46">
        <v>0.248</v>
      </c>
      <c r="R231" s="73"/>
      <c r="S231" s="32"/>
      <c r="T231" s="14">
        <v>0.803</v>
      </c>
      <c r="U231" s="14"/>
      <c r="V231" s="19"/>
      <c r="W231" s="18"/>
      <c r="X231" s="87">
        <v>0.35</v>
      </c>
      <c r="Y231" s="19"/>
      <c r="Z231" s="20">
        <v>0.34</v>
      </c>
      <c r="AA231" s="9"/>
      <c r="AB231" s="15"/>
      <c r="AC231" s="33">
        <v>0.68</v>
      </c>
      <c r="AD231" s="9"/>
      <c r="AE231" s="32"/>
      <c r="AF231" s="9">
        <v>1</v>
      </c>
      <c r="AG231" s="9"/>
      <c r="AH231" s="19"/>
      <c r="AI231" s="18"/>
      <c r="AJ231" s="87">
        <v>0.59</v>
      </c>
      <c r="AK231" s="19"/>
      <c r="AL231" s="92"/>
      <c r="AM231" s="87">
        <v>0.33</v>
      </c>
      <c r="AN231" s="13"/>
      <c r="AO231" s="15"/>
      <c r="AP231" s="15"/>
      <c r="AQ231" s="91"/>
    </row>
    <row r="232" spans="1:43" ht="12.75">
      <c r="A232" s="147">
        <v>37773</v>
      </c>
      <c r="B232" s="20">
        <v>0</v>
      </c>
      <c r="C232" s="9"/>
      <c r="D232" s="2"/>
      <c r="E232" s="33">
        <v>0.27</v>
      </c>
      <c r="F232" s="9"/>
      <c r="G232" s="34"/>
      <c r="H232" s="9">
        <v>0.37</v>
      </c>
      <c r="I232" s="9"/>
      <c r="J232" s="21"/>
      <c r="K232" s="28"/>
      <c r="L232" s="9">
        <v>0.17</v>
      </c>
      <c r="M232" s="19"/>
      <c r="N232" s="22">
        <v>0.001</v>
      </c>
      <c r="O232" s="14"/>
      <c r="P232" s="1"/>
      <c r="Q232" s="46">
        <v>0.254</v>
      </c>
      <c r="R232" s="73"/>
      <c r="S232" s="32"/>
      <c r="T232" s="14">
        <v>0.773</v>
      </c>
      <c r="U232" s="14"/>
      <c r="V232" s="19"/>
      <c r="W232" s="18"/>
      <c r="X232" s="87">
        <v>0.34</v>
      </c>
      <c r="Y232" s="19"/>
      <c r="Z232" s="20">
        <v>0.33</v>
      </c>
      <c r="AA232" s="9"/>
      <c r="AB232" s="15"/>
      <c r="AC232" s="20">
        <v>0.67</v>
      </c>
      <c r="AD232" s="9"/>
      <c r="AF232" s="20">
        <v>1</v>
      </c>
      <c r="AG232" s="9"/>
      <c r="AH232" s="19"/>
      <c r="AI232" s="18"/>
      <c r="AJ232" s="87">
        <v>0.6</v>
      </c>
      <c r="AK232" s="19"/>
      <c r="AL232" s="92"/>
      <c r="AM232" s="87">
        <v>0.33</v>
      </c>
      <c r="AN232" s="13"/>
      <c r="AO232" s="15"/>
      <c r="AP232" s="15"/>
      <c r="AQ232" s="91"/>
    </row>
    <row r="233" spans="1:43" ht="12.75">
      <c r="A233" s="147">
        <v>37742</v>
      </c>
      <c r="B233" s="20">
        <v>0</v>
      </c>
      <c r="C233" s="9"/>
      <c r="D233" s="2"/>
      <c r="E233" s="33">
        <v>0.28</v>
      </c>
      <c r="F233" s="9"/>
      <c r="G233" s="34"/>
      <c r="H233" s="9">
        <v>0.19</v>
      </c>
      <c r="I233" s="9"/>
      <c r="J233" s="21"/>
      <c r="K233" s="28"/>
      <c r="L233" s="9">
        <v>0.17</v>
      </c>
      <c r="M233" s="19"/>
      <c r="N233" s="22">
        <v>0.001</v>
      </c>
      <c r="O233" s="14"/>
      <c r="P233" s="1"/>
      <c r="Q233" s="46">
        <v>0.254</v>
      </c>
      <c r="R233" s="73"/>
      <c r="S233" s="32"/>
      <c r="T233" s="14">
        <v>0.774</v>
      </c>
      <c r="U233" s="14"/>
      <c r="V233" s="19"/>
      <c r="W233" s="18"/>
      <c r="X233" s="87">
        <v>0.34</v>
      </c>
      <c r="Y233" s="19"/>
      <c r="Z233" s="20">
        <v>0.31</v>
      </c>
      <c r="AA233" s="9"/>
      <c r="AB233" s="15"/>
      <c r="AC233" s="20">
        <v>0.65</v>
      </c>
      <c r="AD233" s="9"/>
      <c r="AE233" s="32"/>
      <c r="AF233" s="20">
        <v>0.99</v>
      </c>
      <c r="AG233" s="9"/>
      <c r="AH233" s="19"/>
      <c r="AI233" s="18"/>
      <c r="AJ233" s="87">
        <v>0.59</v>
      </c>
      <c r="AK233" s="19"/>
      <c r="AL233" s="92"/>
      <c r="AM233" s="87">
        <v>0.33</v>
      </c>
      <c r="AN233" s="13"/>
      <c r="AO233" s="15"/>
      <c r="AP233" s="15"/>
      <c r="AQ233" s="91"/>
    </row>
    <row r="234" spans="1:43" ht="12.75">
      <c r="A234" s="147">
        <v>37712</v>
      </c>
      <c r="B234" s="20">
        <v>0</v>
      </c>
      <c r="C234" s="9"/>
      <c r="D234" s="2"/>
      <c r="E234" s="33">
        <v>0.27</v>
      </c>
      <c r="F234" s="9"/>
      <c r="G234" s="34"/>
      <c r="H234" s="9">
        <v>0.36</v>
      </c>
      <c r="I234" s="9"/>
      <c r="J234" s="21"/>
      <c r="K234" s="28"/>
      <c r="L234" s="9">
        <v>0.13</v>
      </c>
      <c r="M234" s="19"/>
      <c r="N234" s="22">
        <v>0.001</v>
      </c>
      <c r="O234" s="14"/>
      <c r="P234" s="1"/>
      <c r="Q234" s="46">
        <v>0.261</v>
      </c>
      <c r="R234" s="73"/>
      <c r="S234" s="32"/>
      <c r="T234" s="14">
        <v>0.753</v>
      </c>
      <c r="U234" s="14"/>
      <c r="V234" s="19"/>
      <c r="W234" s="18"/>
      <c r="X234" s="87">
        <v>0.34</v>
      </c>
      <c r="Y234" s="19"/>
      <c r="Z234" s="20">
        <v>0.31</v>
      </c>
      <c r="AA234" s="9"/>
      <c r="AB234" s="15"/>
      <c r="AC234" s="20">
        <v>0.63</v>
      </c>
      <c r="AD234" s="9"/>
      <c r="AE234" s="32"/>
      <c r="AF234" s="20">
        <v>1</v>
      </c>
      <c r="AG234" s="9"/>
      <c r="AH234" s="19"/>
      <c r="AI234" s="18"/>
      <c r="AJ234" s="87">
        <v>0.58</v>
      </c>
      <c r="AK234" s="19"/>
      <c r="AL234" s="92"/>
      <c r="AM234" s="87">
        <v>0.32</v>
      </c>
      <c r="AN234" s="13"/>
      <c r="AO234" s="15"/>
      <c r="AP234" s="15"/>
      <c r="AQ234" s="91"/>
    </row>
    <row r="235" spans="1:43" ht="12.75">
      <c r="A235" s="147">
        <v>37681</v>
      </c>
      <c r="B235" s="20"/>
      <c r="C235" s="9"/>
      <c r="D235" s="2"/>
      <c r="E235" s="33"/>
      <c r="F235" s="9"/>
      <c r="G235" s="34"/>
      <c r="H235" s="9"/>
      <c r="I235" s="9"/>
      <c r="J235" s="21"/>
      <c r="K235" s="28"/>
      <c r="L235" s="9">
        <v>0.17</v>
      </c>
      <c r="M235" s="19"/>
      <c r="N235" s="22">
        <v>0</v>
      </c>
      <c r="O235" s="14"/>
      <c r="P235" s="1"/>
      <c r="Q235" s="46">
        <v>0.263</v>
      </c>
      <c r="R235" s="73"/>
      <c r="S235" s="32"/>
      <c r="T235" s="14">
        <v>0.742</v>
      </c>
      <c r="U235" s="14"/>
      <c r="V235" s="19"/>
      <c r="W235" s="18"/>
      <c r="X235" s="87">
        <v>0.33</v>
      </c>
      <c r="Y235" s="19"/>
      <c r="Z235" s="20"/>
      <c r="AA235" s="9"/>
      <c r="AB235" s="15"/>
      <c r="AC235" s="20"/>
      <c r="AD235" s="9"/>
      <c r="AE235" s="32"/>
      <c r="AF235" s="20"/>
      <c r="AG235" s="9"/>
      <c r="AH235" s="19"/>
      <c r="AI235" s="18"/>
      <c r="AJ235" s="87">
        <v>0.58</v>
      </c>
      <c r="AK235" s="19"/>
      <c r="AL235" s="92"/>
      <c r="AM235" s="87">
        <v>0.32</v>
      </c>
      <c r="AN235" s="13"/>
      <c r="AO235" s="15"/>
      <c r="AP235" s="15"/>
      <c r="AQ235" s="91"/>
    </row>
    <row r="236" spans="1:43" ht="12.75">
      <c r="A236" s="147">
        <v>37653</v>
      </c>
      <c r="B236" s="20">
        <v>0</v>
      </c>
      <c r="C236" s="9"/>
      <c r="D236" s="2"/>
      <c r="E236" s="33">
        <v>0.3</v>
      </c>
      <c r="F236" s="9"/>
      <c r="G236" s="34"/>
      <c r="H236" s="9">
        <v>0.31</v>
      </c>
      <c r="I236" s="9"/>
      <c r="J236" s="21"/>
      <c r="K236" s="28"/>
      <c r="L236" s="9"/>
      <c r="M236" s="19"/>
      <c r="N236" s="22">
        <v>0</v>
      </c>
      <c r="O236" s="14"/>
      <c r="P236" s="1"/>
      <c r="Q236" s="46">
        <v>0.267</v>
      </c>
      <c r="R236" s="73"/>
      <c r="S236" s="32"/>
      <c r="T236" s="14">
        <v>0.745</v>
      </c>
      <c r="U236" s="14"/>
      <c r="V236" s="19"/>
      <c r="W236" s="18"/>
      <c r="X236" s="87"/>
      <c r="Y236" s="19"/>
      <c r="Z236" s="20">
        <v>0.31</v>
      </c>
      <c r="AA236" s="9"/>
      <c r="AB236" s="15"/>
      <c r="AC236" s="20">
        <v>0.63</v>
      </c>
      <c r="AD236" s="9"/>
      <c r="AE236" s="32"/>
      <c r="AF236" s="20">
        <v>1</v>
      </c>
      <c r="AG236" s="9"/>
      <c r="AH236" s="19"/>
      <c r="AI236" s="18"/>
      <c r="AJ236" s="87"/>
      <c r="AK236" s="19"/>
      <c r="AL236" s="92"/>
      <c r="AM236" s="87"/>
      <c r="AN236" s="13"/>
      <c r="AO236" s="15"/>
      <c r="AP236" s="15"/>
      <c r="AQ236" s="91"/>
    </row>
    <row r="237" spans="1:43" ht="12.75">
      <c r="A237" s="147">
        <v>37622</v>
      </c>
      <c r="B237" s="20">
        <v>0</v>
      </c>
      <c r="C237" s="9"/>
      <c r="D237" s="2"/>
      <c r="E237" s="33">
        <v>0.32</v>
      </c>
      <c r="F237" s="9"/>
      <c r="G237" s="34"/>
      <c r="H237" s="9">
        <v>0.48</v>
      </c>
      <c r="I237" s="9"/>
      <c r="J237" s="21"/>
      <c r="K237" s="28"/>
      <c r="L237" s="9">
        <v>0.17</v>
      </c>
      <c r="M237" s="19"/>
      <c r="N237" s="22">
        <v>0</v>
      </c>
      <c r="O237" s="14"/>
      <c r="P237" s="1"/>
      <c r="Q237" s="46">
        <v>0.275</v>
      </c>
      <c r="R237" s="73"/>
      <c r="S237" s="32"/>
      <c r="T237" s="14">
        <v>0.732</v>
      </c>
      <c r="U237" s="14"/>
      <c r="V237" s="19"/>
      <c r="W237" s="18"/>
      <c r="X237" s="87">
        <v>0.33</v>
      </c>
      <c r="Y237" s="19"/>
      <c r="Z237" s="20">
        <v>0.33</v>
      </c>
      <c r="AA237" s="9"/>
      <c r="AB237" s="15"/>
      <c r="AC237" s="20">
        <v>0.65</v>
      </c>
      <c r="AD237" s="9"/>
      <c r="AE237" s="32"/>
      <c r="AF237" s="20">
        <v>1</v>
      </c>
      <c r="AG237" s="9"/>
      <c r="AH237" s="19"/>
      <c r="AI237" s="18"/>
      <c r="AJ237" s="87">
        <v>0.57</v>
      </c>
      <c r="AK237" s="19"/>
      <c r="AL237" s="92"/>
      <c r="AM237" s="87">
        <v>0.32</v>
      </c>
      <c r="AN237" s="13"/>
      <c r="AO237" s="15"/>
      <c r="AP237" s="15"/>
      <c r="AQ237" s="91"/>
    </row>
    <row r="238" spans="1:43" ht="12.75">
      <c r="A238" s="147">
        <v>37591</v>
      </c>
      <c r="B238" s="20">
        <v>0</v>
      </c>
      <c r="C238" s="9"/>
      <c r="D238" s="2"/>
      <c r="E238" s="33">
        <v>0.32</v>
      </c>
      <c r="F238" s="9"/>
      <c r="G238" s="34"/>
      <c r="H238" s="9">
        <v>0.53</v>
      </c>
      <c r="I238" s="9"/>
      <c r="J238" s="21"/>
      <c r="K238" s="28"/>
      <c r="L238" s="9">
        <v>0.22</v>
      </c>
      <c r="M238" s="19"/>
      <c r="N238" s="22">
        <v>0</v>
      </c>
      <c r="O238" s="14"/>
      <c r="P238" s="1"/>
      <c r="Q238" s="46">
        <v>0.295</v>
      </c>
      <c r="R238" s="73"/>
      <c r="S238" s="32"/>
      <c r="T238" s="14">
        <v>0.72</v>
      </c>
      <c r="U238" s="14"/>
      <c r="V238" s="19"/>
      <c r="W238" s="18"/>
      <c r="X238" s="87">
        <v>0.33</v>
      </c>
      <c r="Y238" s="19"/>
      <c r="Z238" s="20">
        <v>0.33</v>
      </c>
      <c r="AA238" s="9"/>
      <c r="AB238" s="15"/>
      <c r="AC238" s="20">
        <v>0.65</v>
      </c>
      <c r="AD238" s="9"/>
      <c r="AE238" s="32"/>
      <c r="AF238" s="20">
        <v>0.99</v>
      </c>
      <c r="AG238" s="9"/>
      <c r="AH238" s="19"/>
      <c r="AI238" s="18"/>
      <c r="AJ238" s="87">
        <v>0.59</v>
      </c>
      <c r="AK238" s="19"/>
      <c r="AL238" s="92"/>
      <c r="AM238" s="87">
        <v>0.33</v>
      </c>
      <c r="AN238" s="13"/>
      <c r="AO238" s="15"/>
      <c r="AP238" s="15"/>
      <c r="AQ238" s="91"/>
    </row>
    <row r="239" spans="1:43" ht="12.75">
      <c r="A239" s="147">
        <v>37561</v>
      </c>
      <c r="B239" s="20">
        <v>0</v>
      </c>
      <c r="C239" s="9"/>
      <c r="D239" s="2"/>
      <c r="E239" s="33">
        <v>0.34</v>
      </c>
      <c r="F239" s="9"/>
      <c r="G239" s="34"/>
      <c r="H239" s="9">
        <v>0.48</v>
      </c>
      <c r="I239" s="9"/>
      <c r="J239" s="21"/>
      <c r="K239" s="28"/>
      <c r="L239" s="9">
        <v>0.23</v>
      </c>
      <c r="M239" s="19"/>
      <c r="N239" s="22">
        <v>0</v>
      </c>
      <c r="O239" s="14"/>
      <c r="P239" s="1"/>
      <c r="Q239" s="46">
        <v>0.291</v>
      </c>
      <c r="R239" s="73"/>
      <c r="S239" s="32"/>
      <c r="T239" s="14">
        <v>0.761</v>
      </c>
      <c r="U239" s="14"/>
      <c r="V239" s="19"/>
      <c r="W239" s="18"/>
      <c r="X239" s="87">
        <v>0.35</v>
      </c>
      <c r="Y239" s="19"/>
      <c r="Z239" s="20">
        <v>0.32</v>
      </c>
      <c r="AA239" s="9"/>
      <c r="AB239" s="15"/>
      <c r="AC239" s="20">
        <v>0.64</v>
      </c>
      <c r="AD239" s="9"/>
      <c r="AE239" s="32"/>
      <c r="AF239" s="20">
        <v>0.98</v>
      </c>
      <c r="AG239" s="9"/>
      <c r="AH239" s="19"/>
      <c r="AI239" s="18"/>
      <c r="AJ239" s="87">
        <v>0.59</v>
      </c>
      <c r="AK239" s="19"/>
      <c r="AL239" s="92"/>
      <c r="AM239" s="87">
        <v>0.34</v>
      </c>
      <c r="AN239" s="13"/>
      <c r="AO239" s="15"/>
      <c r="AP239" s="15"/>
      <c r="AQ239" s="91"/>
    </row>
    <row r="240" spans="1:43" ht="12.75">
      <c r="A240" s="147">
        <v>37530</v>
      </c>
      <c r="B240" s="20">
        <v>0</v>
      </c>
      <c r="C240" s="9"/>
      <c r="D240" s="2"/>
      <c r="E240" s="33">
        <v>0.31</v>
      </c>
      <c r="F240" s="9"/>
      <c r="G240" s="34"/>
      <c r="H240" s="9">
        <v>0.44</v>
      </c>
      <c r="I240" s="9"/>
      <c r="J240" s="21"/>
      <c r="K240" s="28"/>
      <c r="L240" s="9">
        <v>0.23</v>
      </c>
      <c r="M240" s="19"/>
      <c r="N240" s="22">
        <v>0</v>
      </c>
      <c r="O240" s="14"/>
      <c r="P240" s="1"/>
      <c r="Q240" s="46">
        <v>0.298</v>
      </c>
      <c r="R240" s="73"/>
      <c r="S240" s="32"/>
      <c r="T240" s="14">
        <v>0.796</v>
      </c>
      <c r="U240" s="14"/>
      <c r="V240" s="19"/>
      <c r="W240" s="18"/>
      <c r="X240" s="87">
        <v>0.38</v>
      </c>
      <c r="Y240" s="19"/>
      <c r="Z240" s="20">
        <v>0.33</v>
      </c>
      <c r="AA240" s="9"/>
      <c r="AB240" s="15"/>
      <c r="AC240" s="20">
        <v>0.59</v>
      </c>
      <c r="AD240" s="9"/>
      <c r="AE240" s="32"/>
      <c r="AF240" s="20">
        <v>1</v>
      </c>
      <c r="AG240" s="9"/>
      <c r="AH240" s="19"/>
      <c r="AI240" s="18"/>
      <c r="AJ240" s="87">
        <v>0.58</v>
      </c>
      <c r="AK240" s="19"/>
      <c r="AL240" s="92"/>
      <c r="AM240" s="87">
        <v>0.37</v>
      </c>
      <c r="AN240" s="13"/>
      <c r="AO240" s="15"/>
      <c r="AP240" s="15"/>
      <c r="AQ240" s="91"/>
    </row>
    <row r="241" spans="1:43" ht="12.75">
      <c r="A241" s="147">
        <v>37500</v>
      </c>
      <c r="B241" s="20">
        <v>0</v>
      </c>
      <c r="C241" s="9"/>
      <c r="D241" s="2"/>
      <c r="E241" s="33">
        <v>0.32</v>
      </c>
      <c r="F241" s="9"/>
      <c r="G241" s="34"/>
      <c r="H241" s="9">
        <v>0.43</v>
      </c>
      <c r="I241" s="9"/>
      <c r="J241" s="21"/>
      <c r="K241" s="28"/>
      <c r="L241" s="9">
        <v>0.21</v>
      </c>
      <c r="M241" s="19"/>
      <c r="N241" s="22">
        <v>0</v>
      </c>
      <c r="O241" s="14"/>
      <c r="P241" s="1"/>
      <c r="Q241" s="46">
        <v>0.303</v>
      </c>
      <c r="R241" s="73"/>
      <c r="S241" s="32"/>
      <c r="T241" s="14">
        <v>0.797</v>
      </c>
      <c r="U241" s="14"/>
      <c r="V241" s="19"/>
      <c r="W241" s="18"/>
      <c r="X241" s="87">
        <v>0.39</v>
      </c>
      <c r="Y241" s="19"/>
      <c r="Z241" s="20">
        <v>0.31</v>
      </c>
      <c r="AA241" s="9"/>
      <c r="AB241" s="15"/>
      <c r="AC241" s="20">
        <v>0.65</v>
      </c>
      <c r="AD241" s="9"/>
      <c r="AE241" s="32"/>
      <c r="AF241" s="20">
        <v>0.99</v>
      </c>
      <c r="AG241" s="9"/>
      <c r="AH241" s="19"/>
      <c r="AI241" s="18"/>
      <c r="AJ241" s="87">
        <v>0.57</v>
      </c>
      <c r="AK241" s="19"/>
      <c r="AL241" s="92"/>
      <c r="AM241" s="87">
        <v>0.37</v>
      </c>
      <c r="AN241" s="13"/>
      <c r="AO241" s="15"/>
      <c r="AP241" s="15"/>
      <c r="AQ241" s="91"/>
    </row>
    <row r="242" spans="1:43" ht="12.75">
      <c r="A242" s="147">
        <v>37469</v>
      </c>
      <c r="B242" s="20">
        <v>0</v>
      </c>
      <c r="C242" s="9"/>
      <c r="D242" s="2"/>
      <c r="E242" s="33">
        <v>0.35</v>
      </c>
      <c r="F242" s="9"/>
      <c r="G242" s="34"/>
      <c r="H242" s="9">
        <v>0.43</v>
      </c>
      <c r="I242" s="9"/>
      <c r="J242" s="21"/>
      <c r="K242" s="28"/>
      <c r="L242" s="9">
        <v>0.2</v>
      </c>
      <c r="M242" s="19"/>
      <c r="N242" s="22">
        <v>0</v>
      </c>
      <c r="O242" s="14"/>
      <c r="P242" s="1"/>
      <c r="Q242" s="46">
        <v>0.316</v>
      </c>
      <c r="R242" s="73"/>
      <c r="S242" s="32"/>
      <c r="T242" s="14">
        <v>0.796</v>
      </c>
      <c r="U242" s="14"/>
      <c r="V242" s="19"/>
      <c r="W242" s="18"/>
      <c r="X242" s="87">
        <v>0.39</v>
      </c>
      <c r="Y242" s="19"/>
      <c r="Z242" s="20">
        <v>0.31</v>
      </c>
      <c r="AA242" s="9"/>
      <c r="AB242" s="15"/>
      <c r="AC242" s="20">
        <v>0.69</v>
      </c>
      <c r="AD242" s="9"/>
      <c r="AE242" s="32"/>
      <c r="AF242" s="20">
        <v>0.99</v>
      </c>
      <c r="AG242" s="9"/>
      <c r="AH242" s="19"/>
      <c r="AI242" s="18"/>
      <c r="AJ242" s="87">
        <v>0.57</v>
      </c>
      <c r="AK242" s="19"/>
      <c r="AL242" s="92"/>
      <c r="AM242" s="87">
        <v>0.37</v>
      </c>
      <c r="AN242" s="13"/>
      <c r="AO242" s="15"/>
      <c r="AP242" s="15"/>
      <c r="AQ242" s="91"/>
    </row>
    <row r="243" spans="1:43" ht="12.75">
      <c r="A243" s="147">
        <v>37438</v>
      </c>
      <c r="B243" s="20">
        <v>0</v>
      </c>
      <c r="C243" s="9"/>
      <c r="D243" s="2"/>
      <c r="E243" s="33">
        <v>0.35</v>
      </c>
      <c r="F243" s="9"/>
      <c r="G243" s="34"/>
      <c r="H243" s="9">
        <v>0.49</v>
      </c>
      <c r="I243" s="9"/>
      <c r="J243" s="21"/>
      <c r="K243" s="28"/>
      <c r="L243" s="9">
        <v>0.21</v>
      </c>
      <c r="M243" s="19"/>
      <c r="N243" s="22">
        <v>0</v>
      </c>
      <c r="O243" s="14"/>
      <c r="P243" s="1"/>
      <c r="Q243" s="46">
        <v>0.325</v>
      </c>
      <c r="R243" s="73"/>
      <c r="S243" s="32"/>
      <c r="T243" s="14">
        <v>0.797</v>
      </c>
      <c r="U243" s="14"/>
      <c r="V243" s="19"/>
      <c r="W243" s="18"/>
      <c r="X243" s="87">
        <v>0.39</v>
      </c>
      <c r="Y243" s="19"/>
      <c r="Z243" s="20">
        <v>0.29</v>
      </c>
      <c r="AA243" s="9"/>
      <c r="AB243" s="15"/>
      <c r="AC243" s="20">
        <v>0.65</v>
      </c>
      <c r="AD243" s="9"/>
      <c r="AE243" s="32"/>
      <c r="AF243" s="20">
        <v>1</v>
      </c>
      <c r="AG243" s="9"/>
      <c r="AH243" s="19"/>
      <c r="AI243" s="18"/>
      <c r="AJ243" s="87">
        <v>0.58</v>
      </c>
      <c r="AK243" s="19"/>
      <c r="AL243" s="92"/>
      <c r="AM243" s="87">
        <v>0.37</v>
      </c>
      <c r="AN243" s="13"/>
      <c r="AO243" s="15"/>
      <c r="AP243" s="15"/>
      <c r="AQ243" s="91"/>
    </row>
    <row r="244" spans="1:43" ht="12.75">
      <c r="A244" s="147">
        <v>37408</v>
      </c>
      <c r="B244" s="20">
        <v>0</v>
      </c>
      <c r="C244" s="9"/>
      <c r="D244" s="2"/>
      <c r="E244" s="33">
        <v>0.35</v>
      </c>
      <c r="F244" s="9"/>
      <c r="G244" s="34"/>
      <c r="H244" s="9">
        <v>0.45</v>
      </c>
      <c r="I244" s="9"/>
      <c r="J244" s="21"/>
      <c r="K244" s="28"/>
      <c r="L244" s="9">
        <v>0.23</v>
      </c>
      <c r="M244" s="19"/>
      <c r="N244" s="22">
        <v>0</v>
      </c>
      <c r="O244" s="14"/>
      <c r="P244" s="1"/>
      <c r="Q244" s="46">
        <v>0.328</v>
      </c>
      <c r="R244" s="73"/>
      <c r="S244" s="32"/>
      <c r="T244" s="14">
        <v>0.805</v>
      </c>
      <c r="U244" s="14"/>
      <c r="V244" s="19"/>
      <c r="W244" s="18"/>
      <c r="X244" s="87">
        <v>0.42</v>
      </c>
      <c r="Y244" s="19"/>
      <c r="Z244" s="20">
        <v>0.2</v>
      </c>
      <c r="AA244" s="9"/>
      <c r="AB244" s="15"/>
      <c r="AC244" s="20">
        <v>0.65</v>
      </c>
      <c r="AD244" s="9"/>
      <c r="AE244" s="32"/>
      <c r="AF244" s="20">
        <v>0.99</v>
      </c>
      <c r="AG244" s="9"/>
      <c r="AH244" s="19"/>
      <c r="AI244" s="18"/>
      <c r="AJ244" s="87">
        <v>0.57</v>
      </c>
      <c r="AK244" s="19"/>
      <c r="AL244" s="92"/>
      <c r="AM244" s="87">
        <v>0.4</v>
      </c>
      <c r="AN244" s="13"/>
      <c r="AO244" s="15"/>
      <c r="AP244" s="15"/>
      <c r="AQ244" s="91"/>
    </row>
    <row r="245" spans="1:43" ht="12.75">
      <c r="A245" s="147">
        <v>37377</v>
      </c>
      <c r="B245" s="20">
        <v>0</v>
      </c>
      <c r="C245" s="9"/>
      <c r="D245" s="2"/>
      <c r="E245" s="33">
        <v>0.35</v>
      </c>
      <c r="F245" s="9"/>
      <c r="G245" s="34"/>
      <c r="H245" s="9">
        <v>0.86</v>
      </c>
      <c r="I245" s="9"/>
      <c r="J245" s="21"/>
      <c r="K245" s="28"/>
      <c r="L245" s="9">
        <v>0.21</v>
      </c>
      <c r="M245" s="19"/>
      <c r="N245" s="22">
        <v>0</v>
      </c>
      <c r="O245" s="14"/>
      <c r="P245" s="1"/>
      <c r="Q245" s="46">
        <v>0.346</v>
      </c>
      <c r="R245" s="73"/>
      <c r="S245" s="32"/>
      <c r="T245" s="14">
        <v>0.832</v>
      </c>
      <c r="U245" s="14"/>
      <c r="V245" s="19"/>
      <c r="W245" s="18"/>
      <c r="X245" s="87">
        <v>0.44</v>
      </c>
      <c r="Y245" s="19"/>
      <c r="Z245" s="20">
        <v>0.14</v>
      </c>
      <c r="AA245" s="9"/>
      <c r="AB245" s="15"/>
      <c r="AC245" s="20">
        <v>0.65</v>
      </c>
      <c r="AD245" s="9"/>
      <c r="AE245" s="32"/>
      <c r="AF245" s="20">
        <v>1</v>
      </c>
      <c r="AG245" s="9"/>
      <c r="AH245" s="19"/>
      <c r="AI245" s="18"/>
      <c r="AJ245" s="87">
        <v>0.52</v>
      </c>
      <c r="AK245" s="19"/>
      <c r="AL245" s="92"/>
      <c r="AM245" s="87">
        <v>0.41</v>
      </c>
      <c r="AN245" s="13"/>
      <c r="AO245" s="15"/>
      <c r="AP245" s="15"/>
      <c r="AQ245" s="91"/>
    </row>
    <row r="246" spans="1:43" ht="12.75">
      <c r="A246" s="147">
        <v>37347</v>
      </c>
      <c r="B246" s="20">
        <v>0</v>
      </c>
      <c r="C246" s="9"/>
      <c r="D246" s="2"/>
      <c r="E246" s="33">
        <v>0.32</v>
      </c>
      <c r="F246" s="9"/>
      <c r="G246" s="34"/>
      <c r="H246" s="9">
        <v>0.84</v>
      </c>
      <c r="I246" s="9"/>
      <c r="J246" s="21"/>
      <c r="K246" s="28"/>
      <c r="L246" s="9">
        <v>0.33</v>
      </c>
      <c r="M246" s="19"/>
      <c r="N246" s="22">
        <v>0</v>
      </c>
      <c r="O246" s="14"/>
      <c r="P246" s="1"/>
      <c r="Q246" s="46">
        <v>0.473</v>
      </c>
      <c r="R246" s="73"/>
      <c r="S246" s="32"/>
      <c r="T246" s="14">
        <v>0.887</v>
      </c>
      <c r="U246" s="14"/>
      <c r="V246" s="19"/>
      <c r="W246" s="18"/>
      <c r="X246" s="87">
        <v>0.49</v>
      </c>
      <c r="Y246" s="19"/>
      <c r="Z246" s="20">
        <v>0.12</v>
      </c>
      <c r="AA246" s="9"/>
      <c r="AB246" s="15"/>
      <c r="AC246" s="20">
        <v>0.65</v>
      </c>
      <c r="AD246" s="9"/>
      <c r="AE246" s="32"/>
      <c r="AF246" s="20">
        <v>0.99</v>
      </c>
      <c r="AG246" s="9"/>
      <c r="AH246" s="19"/>
      <c r="AI246" s="18"/>
      <c r="AJ246" s="87">
        <v>0.49</v>
      </c>
      <c r="AK246" s="19"/>
      <c r="AL246" s="92"/>
      <c r="AM246" s="87">
        <v>0.47</v>
      </c>
      <c r="AN246" s="13"/>
      <c r="AO246" s="15"/>
      <c r="AP246" s="15"/>
      <c r="AQ246" s="91"/>
    </row>
    <row r="247" spans="1:43" ht="12.75">
      <c r="A247" s="147">
        <v>37316</v>
      </c>
      <c r="B247" s="20">
        <v>0</v>
      </c>
      <c r="C247" s="9"/>
      <c r="D247" s="2"/>
      <c r="E247" s="33">
        <v>0.33</v>
      </c>
      <c r="F247" s="9"/>
      <c r="G247" s="34"/>
      <c r="H247" s="9">
        <v>0.74</v>
      </c>
      <c r="I247" s="9"/>
      <c r="J247" s="21"/>
      <c r="K247" s="28"/>
      <c r="L247" s="9">
        <v>0.32</v>
      </c>
      <c r="M247" s="19"/>
      <c r="N247" s="22">
        <v>0</v>
      </c>
      <c r="O247" s="14"/>
      <c r="P247" s="1"/>
      <c r="Q247" s="46">
        <v>0.481</v>
      </c>
      <c r="R247" s="73"/>
      <c r="S247" s="32"/>
      <c r="T247" s="14">
        <v>0.903</v>
      </c>
      <c r="U247" s="14"/>
      <c r="V247" s="19"/>
      <c r="W247" s="18"/>
      <c r="X247" s="87">
        <v>0.5</v>
      </c>
      <c r="Y247" s="19"/>
      <c r="Z247" s="20">
        <v>0.12</v>
      </c>
      <c r="AA247" s="9"/>
      <c r="AB247" s="15"/>
      <c r="AC247" s="20">
        <v>0.63</v>
      </c>
      <c r="AD247" s="9"/>
      <c r="AE247" s="32"/>
      <c r="AF247" s="20">
        <v>0.97</v>
      </c>
      <c r="AG247" s="9"/>
      <c r="AH247" s="19"/>
      <c r="AI247" s="18"/>
      <c r="AJ247" s="87">
        <v>0.48</v>
      </c>
      <c r="AK247" s="19"/>
      <c r="AL247" s="92"/>
      <c r="AM247" s="87">
        <v>0.47</v>
      </c>
      <c r="AN247" s="13"/>
      <c r="AO247" s="15"/>
      <c r="AP247" s="15"/>
      <c r="AQ247" s="91"/>
    </row>
    <row r="248" spans="1:43" ht="12.75">
      <c r="A248" s="147">
        <v>37288</v>
      </c>
      <c r="B248" s="20">
        <v>0</v>
      </c>
      <c r="C248" s="9"/>
      <c r="D248" s="2"/>
      <c r="E248" s="33">
        <v>0.28</v>
      </c>
      <c r="F248" s="9"/>
      <c r="G248" s="34"/>
      <c r="H248" s="9">
        <v>0.74</v>
      </c>
      <c r="I248" s="9"/>
      <c r="J248" s="21"/>
      <c r="K248" s="28"/>
      <c r="L248" s="9">
        <v>0.3</v>
      </c>
      <c r="M248" s="19"/>
      <c r="N248" s="22">
        <v>0</v>
      </c>
      <c r="O248" s="14"/>
      <c r="P248" s="47"/>
      <c r="Q248" s="73">
        <v>0.463</v>
      </c>
      <c r="R248" s="73"/>
      <c r="S248" s="32"/>
      <c r="T248" s="14">
        <v>0.904</v>
      </c>
      <c r="U248" s="14"/>
      <c r="V248" s="19"/>
      <c r="W248" s="18"/>
      <c r="X248" s="87">
        <v>0.49</v>
      </c>
      <c r="Y248" s="19"/>
      <c r="Z248" s="20">
        <v>0.1</v>
      </c>
      <c r="AA248" s="9"/>
      <c r="AB248" s="15"/>
      <c r="AC248" s="20">
        <v>0.56</v>
      </c>
      <c r="AD248" s="9"/>
      <c r="AE248" s="19"/>
      <c r="AF248" s="9">
        <v>0.88</v>
      </c>
      <c r="AG248" s="9"/>
      <c r="AH248" s="19"/>
      <c r="AI248" s="18"/>
      <c r="AJ248" s="87">
        <v>0.47</v>
      </c>
      <c r="AK248" s="19"/>
      <c r="AL248" s="92"/>
      <c r="AM248" s="87">
        <v>0.46</v>
      </c>
      <c r="AN248" s="13"/>
      <c r="AO248" s="15"/>
      <c r="AP248" s="15"/>
      <c r="AQ248" s="91"/>
    </row>
    <row r="249" spans="1:43" ht="12.75">
      <c r="A249" s="147">
        <v>37257</v>
      </c>
      <c r="B249" s="20">
        <v>0</v>
      </c>
      <c r="C249" s="9"/>
      <c r="D249" s="2"/>
      <c r="E249" s="33">
        <v>0.22</v>
      </c>
      <c r="F249" s="9"/>
      <c r="G249" s="34"/>
      <c r="H249" s="9">
        <v>0.73</v>
      </c>
      <c r="I249" s="9"/>
      <c r="J249" s="21"/>
      <c r="K249" s="28"/>
      <c r="L249" s="9">
        <v>0.28</v>
      </c>
      <c r="M249" s="19"/>
      <c r="N249" s="22">
        <v>0</v>
      </c>
      <c r="O249" s="14"/>
      <c r="P249" s="47"/>
      <c r="Q249" s="73">
        <v>0.45</v>
      </c>
      <c r="R249" s="73"/>
      <c r="S249" s="32"/>
      <c r="T249" s="14">
        <v>0.904</v>
      </c>
      <c r="U249" s="14"/>
      <c r="V249" s="19"/>
      <c r="W249" s="18"/>
      <c r="X249" s="87">
        <v>0.49</v>
      </c>
      <c r="Y249" s="19"/>
      <c r="Z249" s="20">
        <v>0.07</v>
      </c>
      <c r="AA249" s="9"/>
      <c r="AB249" s="15"/>
      <c r="AC249" s="20">
        <v>0.56</v>
      </c>
      <c r="AD249" s="9"/>
      <c r="AE249" s="19"/>
      <c r="AF249" s="9">
        <v>0.89</v>
      </c>
      <c r="AG249" s="9"/>
      <c r="AH249" s="19"/>
      <c r="AI249" s="18"/>
      <c r="AJ249" s="87">
        <v>0.42</v>
      </c>
      <c r="AK249" s="19"/>
      <c r="AL249" s="92"/>
      <c r="AM249" s="87">
        <v>0.46</v>
      </c>
      <c r="AN249" s="13"/>
      <c r="AO249" s="15"/>
      <c r="AP249" s="15"/>
      <c r="AQ249" s="91"/>
    </row>
    <row r="250" spans="1:43" ht="12.75">
      <c r="A250" s="147">
        <v>37226</v>
      </c>
      <c r="B250" s="20">
        <v>0</v>
      </c>
      <c r="C250" s="9"/>
      <c r="D250" s="2"/>
      <c r="E250" s="33">
        <v>0.21</v>
      </c>
      <c r="F250" s="9"/>
      <c r="G250" s="34"/>
      <c r="H250" s="9">
        <v>0.7</v>
      </c>
      <c r="I250" s="9"/>
      <c r="J250" s="21"/>
      <c r="K250" s="28"/>
      <c r="L250" s="9">
        <v>0.26</v>
      </c>
      <c r="M250" s="19"/>
      <c r="N250" s="22">
        <v>0</v>
      </c>
      <c r="O250" s="14"/>
      <c r="P250" s="47"/>
      <c r="Q250" s="73">
        <v>0.424</v>
      </c>
      <c r="R250" s="73"/>
      <c r="S250" s="32"/>
      <c r="T250" s="14">
        <v>0.884</v>
      </c>
      <c r="U250" s="14"/>
      <c r="V250" s="19"/>
      <c r="W250" s="18"/>
      <c r="X250" s="87">
        <v>0.48</v>
      </c>
      <c r="Y250" s="19"/>
      <c r="Z250" s="20">
        <v>0.06</v>
      </c>
      <c r="AA250" s="9"/>
      <c r="AB250" s="15"/>
      <c r="AC250" s="20">
        <v>0.4</v>
      </c>
      <c r="AD250" s="9"/>
      <c r="AE250" s="19"/>
      <c r="AF250" s="9">
        <v>0.86</v>
      </c>
      <c r="AG250" s="9"/>
      <c r="AH250" s="19"/>
      <c r="AI250" s="18"/>
      <c r="AJ250" s="87">
        <v>0.41</v>
      </c>
      <c r="AK250" s="19"/>
      <c r="AL250" s="92"/>
      <c r="AM250" s="87">
        <v>0.44</v>
      </c>
      <c r="AN250" s="13"/>
      <c r="AO250" s="15"/>
      <c r="AP250" s="15"/>
      <c r="AQ250" s="91"/>
    </row>
    <row r="251" spans="1:43" ht="12.75">
      <c r="A251" s="147">
        <v>37196</v>
      </c>
      <c r="B251" s="20">
        <v>0</v>
      </c>
      <c r="C251" s="9"/>
      <c r="D251" s="2"/>
      <c r="E251" s="33">
        <v>0.2</v>
      </c>
      <c r="F251" s="9"/>
      <c r="G251" s="34"/>
      <c r="H251" s="9">
        <v>0.69</v>
      </c>
      <c r="I251" s="9"/>
      <c r="J251" s="21"/>
      <c r="K251" s="28"/>
      <c r="L251" s="9">
        <v>0.28</v>
      </c>
      <c r="M251" s="19"/>
      <c r="N251" s="22">
        <v>0</v>
      </c>
      <c r="O251" s="14"/>
      <c r="P251" s="47"/>
      <c r="Q251" s="73">
        <v>0.4</v>
      </c>
      <c r="R251" s="73"/>
      <c r="S251" s="32"/>
      <c r="T251" s="14">
        <v>0.883</v>
      </c>
      <c r="U251" s="14"/>
      <c r="V251" s="19"/>
      <c r="W251" s="18"/>
      <c r="X251" s="87">
        <v>0.46</v>
      </c>
      <c r="Y251" s="19"/>
      <c r="Z251" s="20">
        <v>0.04</v>
      </c>
      <c r="AA251" s="9"/>
      <c r="AB251" s="15"/>
      <c r="AC251" s="20">
        <v>0.37</v>
      </c>
      <c r="AD251" s="9"/>
      <c r="AE251" s="19"/>
      <c r="AF251" s="9">
        <v>0.88</v>
      </c>
      <c r="AG251" s="9"/>
      <c r="AH251" s="19"/>
      <c r="AI251" s="18"/>
      <c r="AJ251" s="87">
        <v>0.38</v>
      </c>
      <c r="AK251" s="19"/>
      <c r="AL251" s="92"/>
      <c r="AM251" s="87">
        <v>0.44</v>
      </c>
      <c r="AN251" s="13"/>
      <c r="AO251" s="15"/>
      <c r="AP251" s="15"/>
      <c r="AQ251" s="91"/>
    </row>
    <row r="252" spans="1:43" ht="12.75">
      <c r="A252" s="147">
        <v>37165</v>
      </c>
      <c r="B252" s="20">
        <v>0</v>
      </c>
      <c r="C252" s="9"/>
      <c r="D252" s="2"/>
      <c r="E252" s="33">
        <v>0.18</v>
      </c>
      <c r="F252" s="9"/>
      <c r="G252" s="34"/>
      <c r="H252" s="9">
        <v>0.68</v>
      </c>
      <c r="I252" s="9"/>
      <c r="J252" s="21"/>
      <c r="K252" s="28"/>
      <c r="L252" s="9">
        <v>0.3</v>
      </c>
      <c r="M252" s="19"/>
      <c r="N252" s="22">
        <v>0</v>
      </c>
      <c r="O252" s="14"/>
      <c r="P252" s="47"/>
      <c r="Q252" s="73">
        <v>0.357</v>
      </c>
      <c r="R252" s="73"/>
      <c r="S252" s="32"/>
      <c r="T252" s="14">
        <v>0.877</v>
      </c>
      <c r="U252" s="14"/>
      <c r="V252" s="19"/>
      <c r="W252" s="18"/>
      <c r="X252" s="87">
        <v>0.45</v>
      </c>
      <c r="Y252" s="19"/>
      <c r="Z252" s="20">
        <v>0.05</v>
      </c>
      <c r="AA252" s="9"/>
      <c r="AB252" s="15"/>
      <c r="AC252" s="20">
        <v>0.28</v>
      </c>
      <c r="AD252" s="9"/>
      <c r="AE252" s="19"/>
      <c r="AF252" s="9">
        <v>0.7</v>
      </c>
      <c r="AG252" s="9"/>
      <c r="AH252" s="19"/>
      <c r="AI252" s="18"/>
      <c r="AJ252" s="87">
        <v>0.35</v>
      </c>
      <c r="AK252" s="19"/>
      <c r="AL252" s="92"/>
      <c r="AM252" s="87">
        <v>0.43</v>
      </c>
      <c r="AN252" s="13"/>
      <c r="AO252" s="15"/>
      <c r="AP252" s="15"/>
      <c r="AQ252" s="91"/>
    </row>
    <row r="253" spans="1:43" ht="12.75">
      <c r="A253" s="147">
        <v>37135</v>
      </c>
      <c r="B253" s="20">
        <v>0</v>
      </c>
      <c r="C253" s="9"/>
      <c r="D253" s="2"/>
      <c r="E253" s="33">
        <v>0.18</v>
      </c>
      <c r="F253" s="9"/>
      <c r="G253" s="34"/>
      <c r="H253" s="9">
        <v>0.68</v>
      </c>
      <c r="I253" s="9"/>
      <c r="J253" s="21"/>
      <c r="K253" s="28"/>
      <c r="L253" s="9">
        <v>0.3</v>
      </c>
      <c r="M253" s="19"/>
      <c r="N253" s="22">
        <v>0</v>
      </c>
      <c r="O253" s="14"/>
      <c r="P253" s="47"/>
      <c r="Q253" s="73">
        <v>0.316</v>
      </c>
      <c r="R253" s="73"/>
      <c r="S253" s="32"/>
      <c r="T253" s="14">
        <v>0.857</v>
      </c>
      <c r="U253" s="14"/>
      <c r="V253" s="19"/>
      <c r="W253" s="18"/>
      <c r="X253" s="87">
        <v>0.44</v>
      </c>
      <c r="Y253" s="19"/>
      <c r="Z253" s="20">
        <v>0.09</v>
      </c>
      <c r="AA253" s="9"/>
      <c r="AB253" s="15"/>
      <c r="AC253" s="20">
        <v>0.54</v>
      </c>
      <c r="AD253" s="9"/>
      <c r="AE253" s="19"/>
      <c r="AF253" s="9">
        <v>0.84</v>
      </c>
      <c r="AG253" s="9"/>
      <c r="AH253" s="19"/>
      <c r="AI253" s="18"/>
      <c r="AJ253" s="87">
        <v>0.28</v>
      </c>
      <c r="AK253" s="19"/>
      <c r="AL253" s="92"/>
      <c r="AM253" s="87">
        <v>0.41</v>
      </c>
      <c r="AN253" s="13"/>
      <c r="AO253" s="15"/>
      <c r="AP253" s="15"/>
      <c r="AQ253" s="91"/>
    </row>
    <row r="254" spans="1:43" ht="12.75">
      <c r="A254" s="147">
        <v>37104</v>
      </c>
      <c r="B254" s="20">
        <v>0</v>
      </c>
      <c r="C254" s="9"/>
      <c r="D254" s="2"/>
      <c r="E254" s="33">
        <v>0.09</v>
      </c>
      <c r="F254" s="9"/>
      <c r="G254" s="34"/>
      <c r="H254" s="9">
        <v>0.41</v>
      </c>
      <c r="I254" s="9"/>
      <c r="J254" s="21"/>
      <c r="K254" s="28"/>
      <c r="L254" s="9">
        <v>0.3</v>
      </c>
      <c r="M254" s="19"/>
      <c r="N254" s="22">
        <v>0</v>
      </c>
      <c r="O254" s="14"/>
      <c r="P254" s="47"/>
      <c r="Q254" s="73">
        <v>0.297</v>
      </c>
      <c r="R254" s="73"/>
      <c r="S254" s="32"/>
      <c r="T254" s="14">
        <v>0.841</v>
      </c>
      <c r="U254" s="14"/>
      <c r="V254" s="19"/>
      <c r="W254" s="18"/>
      <c r="X254" s="87">
        <v>0.43</v>
      </c>
      <c r="Y254" s="19"/>
      <c r="Z254" s="20">
        <v>0.09</v>
      </c>
      <c r="AA254" s="9"/>
      <c r="AB254" s="15"/>
      <c r="AC254" s="20">
        <v>0.52</v>
      </c>
      <c r="AD254" s="9"/>
      <c r="AE254" s="19"/>
      <c r="AF254" s="9">
        <v>0.82</v>
      </c>
      <c r="AG254" s="9"/>
      <c r="AH254" s="19"/>
      <c r="AI254" s="18"/>
      <c r="AJ254" s="87">
        <v>0.4</v>
      </c>
      <c r="AK254" s="19"/>
      <c r="AL254" s="92"/>
      <c r="AM254" s="87">
        <v>0.41</v>
      </c>
      <c r="AN254" s="13"/>
      <c r="AO254" s="15"/>
      <c r="AP254" s="15"/>
      <c r="AQ254" s="91"/>
    </row>
    <row r="255" spans="1:43" ht="12.75">
      <c r="A255" s="147">
        <v>37073</v>
      </c>
      <c r="B255" s="20">
        <v>0</v>
      </c>
      <c r="C255" s="9"/>
      <c r="D255" s="2"/>
      <c r="E255" s="33">
        <v>0.08</v>
      </c>
      <c r="F255" s="9"/>
      <c r="G255" s="34"/>
      <c r="H255" s="9">
        <v>0.4</v>
      </c>
      <c r="I255" s="9"/>
      <c r="J255" s="21"/>
      <c r="K255" s="28"/>
      <c r="L255" s="9">
        <v>0.18</v>
      </c>
      <c r="M255" s="19"/>
      <c r="N255" s="22">
        <v>0</v>
      </c>
      <c r="O255" s="14"/>
      <c r="P255" s="47"/>
      <c r="Q255" s="73">
        <v>0.292</v>
      </c>
      <c r="R255" s="73"/>
      <c r="S255" s="32"/>
      <c r="T255" s="14">
        <v>0.811</v>
      </c>
      <c r="U255" s="14"/>
      <c r="V255" s="19"/>
      <c r="W255" s="18"/>
      <c r="X255" s="87">
        <v>0.41</v>
      </c>
      <c r="Y255" s="19"/>
      <c r="Z255" s="20">
        <v>0.09</v>
      </c>
      <c r="AA255" s="9"/>
      <c r="AB255" s="15"/>
      <c r="AC255" s="20">
        <v>0.58</v>
      </c>
      <c r="AD255" s="9"/>
      <c r="AE255" s="19"/>
      <c r="AF255" s="9">
        <v>0.75</v>
      </c>
      <c r="AG255" s="9"/>
      <c r="AH255" s="19"/>
      <c r="AI255" s="18"/>
      <c r="AJ255" s="87">
        <v>0.39</v>
      </c>
      <c r="AK255" s="19"/>
      <c r="AL255" s="92"/>
      <c r="AM255" s="87">
        <v>0.37</v>
      </c>
      <c r="AN255" s="13"/>
      <c r="AO255" s="15"/>
      <c r="AP255" s="15"/>
      <c r="AQ255" s="91"/>
    </row>
    <row r="256" spans="1:43" ht="12.75">
      <c r="A256" s="147">
        <v>37043</v>
      </c>
      <c r="B256" s="20">
        <v>0</v>
      </c>
      <c r="C256" s="9"/>
      <c r="D256" s="2"/>
      <c r="E256" s="33">
        <v>0.09</v>
      </c>
      <c r="F256" s="9"/>
      <c r="G256" s="34"/>
      <c r="H256" s="9">
        <v>0.38</v>
      </c>
      <c r="I256" s="9"/>
      <c r="J256" s="21"/>
      <c r="K256" s="28"/>
      <c r="L256" s="9">
        <v>0.17</v>
      </c>
      <c r="M256" s="19"/>
      <c r="N256" s="22">
        <v>0</v>
      </c>
      <c r="O256" s="14"/>
      <c r="P256" s="47"/>
      <c r="Q256" s="73">
        <v>0.226</v>
      </c>
      <c r="R256" s="73"/>
      <c r="S256" s="32"/>
      <c r="T256" s="14">
        <v>0.828</v>
      </c>
      <c r="U256" s="14"/>
      <c r="V256" s="19"/>
      <c r="W256" s="18"/>
      <c r="X256" s="87">
        <v>0.41</v>
      </c>
      <c r="Y256" s="19"/>
      <c r="Z256" s="20">
        <v>0.1</v>
      </c>
      <c r="AA256" s="9"/>
      <c r="AB256" s="15"/>
      <c r="AC256" s="20">
        <v>0.63</v>
      </c>
      <c r="AD256" s="9"/>
      <c r="AE256" s="19"/>
      <c r="AF256" s="9">
        <v>0.56</v>
      </c>
      <c r="AG256" s="9"/>
      <c r="AH256" s="19"/>
      <c r="AI256" s="18"/>
      <c r="AJ256" s="87">
        <v>0.38</v>
      </c>
      <c r="AK256" s="19"/>
      <c r="AL256" s="92"/>
      <c r="AM256" s="87">
        <v>0.37</v>
      </c>
      <c r="AN256" s="13"/>
      <c r="AO256" s="15"/>
      <c r="AP256" s="15"/>
      <c r="AQ256" s="91"/>
    </row>
    <row r="257" spans="1:43" ht="12.75">
      <c r="A257" s="147">
        <v>37012</v>
      </c>
      <c r="B257" s="20">
        <v>0</v>
      </c>
      <c r="C257" s="9"/>
      <c r="D257" s="2"/>
      <c r="E257" s="33">
        <v>0.07</v>
      </c>
      <c r="F257" s="9"/>
      <c r="G257" s="34"/>
      <c r="H257" s="9">
        <v>0.31</v>
      </c>
      <c r="I257" s="9"/>
      <c r="J257" s="21"/>
      <c r="K257" s="28"/>
      <c r="L257" s="9">
        <v>0.16</v>
      </c>
      <c r="M257" s="19"/>
      <c r="N257" s="22">
        <v>0</v>
      </c>
      <c r="O257" s="14"/>
      <c r="P257" s="47"/>
      <c r="Q257" s="73">
        <v>0.238</v>
      </c>
      <c r="R257" s="73"/>
      <c r="S257" s="32"/>
      <c r="T257" s="14">
        <v>0.773</v>
      </c>
      <c r="U257" s="14"/>
      <c r="V257" s="19"/>
      <c r="W257" s="18"/>
      <c r="X257" s="87">
        <v>0.39</v>
      </c>
      <c r="Y257" s="19"/>
      <c r="Z257" s="20">
        <v>0.09</v>
      </c>
      <c r="AA257" s="9"/>
      <c r="AB257" s="15"/>
      <c r="AC257" s="20">
        <v>0.63</v>
      </c>
      <c r="AD257" s="9"/>
      <c r="AE257" s="19"/>
      <c r="AF257" s="9">
        <v>0.53</v>
      </c>
      <c r="AG257" s="9"/>
      <c r="AH257" s="19"/>
      <c r="AI257" s="18"/>
      <c r="AJ257" s="87">
        <v>0.34</v>
      </c>
      <c r="AK257" s="19"/>
      <c r="AL257" s="92"/>
      <c r="AM257" s="87">
        <v>0.35</v>
      </c>
      <c r="AN257" s="13"/>
      <c r="AO257" s="15"/>
      <c r="AP257" s="15"/>
      <c r="AQ257" s="91"/>
    </row>
    <row r="258" spans="1:43" ht="12.75">
      <c r="A258" s="147">
        <v>36982</v>
      </c>
      <c r="B258" s="20">
        <v>0</v>
      </c>
      <c r="C258" s="9"/>
      <c r="D258" s="2"/>
      <c r="E258" s="33">
        <v>0.04</v>
      </c>
      <c r="F258" s="9"/>
      <c r="G258" s="34"/>
      <c r="H258" s="9">
        <v>0.22</v>
      </c>
      <c r="I258" s="9"/>
      <c r="J258" s="21"/>
      <c r="K258" s="28"/>
      <c r="L258" s="9">
        <v>0.13</v>
      </c>
      <c r="M258" s="19"/>
      <c r="N258" s="22">
        <v>0</v>
      </c>
      <c r="O258" s="14"/>
      <c r="P258" s="47"/>
      <c r="Q258" s="73">
        <v>0.208</v>
      </c>
      <c r="R258" s="73"/>
      <c r="S258" s="32"/>
      <c r="T258" s="14">
        <v>0.752</v>
      </c>
      <c r="U258" s="14"/>
      <c r="V258" s="19"/>
      <c r="W258" s="18"/>
      <c r="X258" s="87">
        <v>0.37</v>
      </c>
      <c r="Y258" s="19"/>
      <c r="Z258" s="20">
        <v>0.1</v>
      </c>
      <c r="AA258" s="9"/>
      <c r="AB258" s="15"/>
      <c r="AC258" s="20">
        <v>0.63</v>
      </c>
      <c r="AD258" s="9"/>
      <c r="AE258" s="19"/>
      <c r="AF258" s="9">
        <v>0.75</v>
      </c>
      <c r="AG258" s="9"/>
      <c r="AH258" s="19"/>
      <c r="AI258" s="18"/>
      <c r="AJ258" s="87">
        <v>0.32</v>
      </c>
      <c r="AK258" s="19"/>
      <c r="AL258" s="92"/>
      <c r="AM258" s="87">
        <v>0.33</v>
      </c>
      <c r="AN258" s="13"/>
      <c r="AO258" s="15"/>
      <c r="AP258" s="15"/>
      <c r="AQ258" s="91"/>
    </row>
    <row r="259" spans="1:43" ht="12.75">
      <c r="A259" s="147">
        <v>36951</v>
      </c>
      <c r="B259" s="20">
        <v>0</v>
      </c>
      <c r="C259" s="9"/>
      <c r="D259" s="2"/>
      <c r="E259" s="33">
        <v>0.04</v>
      </c>
      <c r="F259" s="9"/>
      <c r="G259" s="34"/>
      <c r="H259" s="9">
        <v>0.25</v>
      </c>
      <c r="I259" s="9"/>
      <c r="J259" s="21"/>
      <c r="K259" s="28"/>
      <c r="L259" s="9">
        <v>0.09</v>
      </c>
      <c r="M259" s="19"/>
      <c r="N259" s="22">
        <v>0</v>
      </c>
      <c r="O259" s="14"/>
      <c r="P259" s="47"/>
      <c r="Q259" s="73">
        <v>0.143</v>
      </c>
      <c r="R259" s="73"/>
      <c r="S259" s="32"/>
      <c r="T259" s="14">
        <v>0.629</v>
      </c>
      <c r="U259" s="14"/>
      <c r="V259" s="19"/>
      <c r="W259" s="18"/>
      <c r="X259" s="87">
        <v>0.3</v>
      </c>
      <c r="Y259" s="19"/>
      <c r="Z259" s="20">
        <v>0.09</v>
      </c>
      <c r="AA259" s="9"/>
      <c r="AB259" s="15"/>
      <c r="AC259" s="20">
        <v>0.64</v>
      </c>
      <c r="AD259" s="9"/>
      <c r="AE259" s="19"/>
      <c r="AF259" s="9">
        <v>0.68</v>
      </c>
      <c r="AG259" s="9"/>
      <c r="AH259" s="19"/>
      <c r="AI259" s="18"/>
      <c r="AJ259" s="87">
        <v>0.39</v>
      </c>
      <c r="AK259" s="19"/>
      <c r="AL259" s="92"/>
      <c r="AM259" s="87">
        <v>0.27</v>
      </c>
      <c r="AN259" s="13"/>
      <c r="AO259" s="15"/>
      <c r="AP259" s="15"/>
      <c r="AQ259" s="91"/>
    </row>
    <row r="260" spans="1:43" ht="12.75">
      <c r="A260" s="147">
        <v>36923</v>
      </c>
      <c r="B260" s="20">
        <v>0</v>
      </c>
      <c r="C260" s="9"/>
      <c r="D260" s="2"/>
      <c r="E260" s="33">
        <v>0.03</v>
      </c>
      <c r="F260" s="9"/>
      <c r="G260" s="34"/>
      <c r="H260" s="9">
        <v>0.29</v>
      </c>
      <c r="I260" s="9"/>
      <c r="J260" s="21"/>
      <c r="K260" s="28"/>
      <c r="L260" s="9">
        <v>0.11</v>
      </c>
      <c r="M260" s="19"/>
      <c r="N260" s="22">
        <v>0</v>
      </c>
      <c r="O260" s="14"/>
      <c r="P260" s="47"/>
      <c r="Q260" s="73">
        <v>0.147</v>
      </c>
      <c r="R260" s="73"/>
      <c r="S260" s="32"/>
      <c r="T260" s="14">
        <v>0.617</v>
      </c>
      <c r="U260" s="14"/>
      <c r="V260" s="19"/>
      <c r="W260" s="18"/>
      <c r="X260" s="87">
        <v>0.3</v>
      </c>
      <c r="Y260" s="19"/>
      <c r="Z260" s="20">
        <v>0.09</v>
      </c>
      <c r="AA260" s="9"/>
      <c r="AB260" s="15"/>
      <c r="AC260" s="20">
        <v>0.65</v>
      </c>
      <c r="AD260" s="9"/>
      <c r="AE260" s="19"/>
      <c r="AF260" s="9">
        <v>0.74</v>
      </c>
      <c r="AG260" s="9"/>
      <c r="AH260" s="19"/>
      <c r="AI260" s="18"/>
      <c r="AJ260" s="87">
        <v>0.37</v>
      </c>
      <c r="AK260" s="19"/>
      <c r="AL260" s="92"/>
      <c r="AM260" s="87">
        <v>0.27</v>
      </c>
      <c r="AN260" s="13"/>
      <c r="AO260" s="15"/>
      <c r="AP260" s="15"/>
      <c r="AQ260" s="91"/>
    </row>
    <row r="261" spans="1:43" ht="12.75">
      <c r="A261" s="147">
        <v>36892</v>
      </c>
      <c r="B261" s="20">
        <v>0</v>
      </c>
      <c r="C261" s="9"/>
      <c r="D261" s="2"/>
      <c r="E261" s="33">
        <v>0.03</v>
      </c>
      <c r="F261" s="9"/>
      <c r="G261" s="34"/>
      <c r="H261" s="9">
        <v>0.29</v>
      </c>
      <c r="I261" s="9"/>
      <c r="J261" s="21"/>
      <c r="K261" s="28"/>
      <c r="L261" s="9">
        <v>0.12</v>
      </c>
      <c r="M261" s="19"/>
      <c r="N261" s="22">
        <v>0</v>
      </c>
      <c r="O261" s="14"/>
      <c r="P261" s="47"/>
      <c r="Q261" s="73">
        <v>0.145</v>
      </c>
      <c r="R261" s="73"/>
      <c r="S261" s="32"/>
      <c r="T261" s="14">
        <v>0.654</v>
      </c>
      <c r="U261" s="14"/>
      <c r="V261" s="19"/>
      <c r="W261" s="18"/>
      <c r="X261" s="87">
        <v>0.32</v>
      </c>
      <c r="Y261" s="19"/>
      <c r="Z261" s="20">
        <v>0.08</v>
      </c>
      <c r="AA261" s="9"/>
      <c r="AB261" s="15"/>
      <c r="AC261" s="20">
        <v>0.64</v>
      </c>
      <c r="AD261" s="9"/>
      <c r="AE261" s="19"/>
      <c r="AF261" s="9">
        <v>0.73</v>
      </c>
      <c r="AG261" s="9"/>
      <c r="AH261" s="19"/>
      <c r="AI261" s="18"/>
      <c r="AJ261" s="87">
        <v>0.39</v>
      </c>
      <c r="AK261" s="19"/>
      <c r="AL261" s="92"/>
      <c r="AM261" s="87">
        <v>0.29</v>
      </c>
      <c r="AN261" s="13"/>
      <c r="AO261" s="15"/>
      <c r="AP261" s="15"/>
      <c r="AQ261" s="91"/>
    </row>
    <row r="262" spans="1:43" ht="12.75">
      <c r="A262" s="147">
        <v>36861</v>
      </c>
      <c r="B262" s="20">
        <v>0</v>
      </c>
      <c r="C262" s="9"/>
      <c r="D262" s="2"/>
      <c r="E262" s="33">
        <v>0.03</v>
      </c>
      <c r="F262" s="9"/>
      <c r="G262" s="34"/>
      <c r="H262" s="9">
        <v>0.29</v>
      </c>
      <c r="I262" s="9"/>
      <c r="J262" s="21"/>
      <c r="K262" s="28"/>
      <c r="L262" s="9">
        <v>0.12</v>
      </c>
      <c r="M262" s="19"/>
      <c r="N262" s="22">
        <v>0</v>
      </c>
      <c r="O262" s="14"/>
      <c r="P262" s="47"/>
      <c r="Q262" s="73">
        <v>0.14</v>
      </c>
      <c r="R262" s="73"/>
      <c r="S262" s="32"/>
      <c r="T262" s="14">
        <v>0.685</v>
      </c>
      <c r="U262" s="14"/>
      <c r="V262" s="19"/>
      <c r="W262" s="18"/>
      <c r="X262" s="87">
        <v>0.33</v>
      </c>
      <c r="Y262" s="19"/>
      <c r="Z262" s="20">
        <v>0.1</v>
      </c>
      <c r="AA262" s="9"/>
      <c r="AB262" s="15"/>
      <c r="AC262" s="20">
        <v>0.64</v>
      </c>
      <c r="AD262" s="9"/>
      <c r="AE262" s="19"/>
      <c r="AF262" s="9">
        <v>0.68</v>
      </c>
      <c r="AG262" s="9"/>
      <c r="AH262" s="19"/>
      <c r="AI262" s="18"/>
      <c r="AJ262" s="87">
        <v>0.38</v>
      </c>
      <c r="AK262" s="19"/>
      <c r="AL262" s="92"/>
      <c r="AM262" s="87">
        <v>0.3</v>
      </c>
      <c r="AN262" s="13"/>
      <c r="AO262" s="15"/>
      <c r="AP262" s="15"/>
      <c r="AQ262" s="91"/>
    </row>
    <row r="263" spans="1:43" ht="12.75">
      <c r="A263" s="147">
        <v>36831</v>
      </c>
      <c r="B263" s="20">
        <v>0</v>
      </c>
      <c r="C263" s="9"/>
      <c r="D263" s="2"/>
      <c r="E263" s="33">
        <v>0.03</v>
      </c>
      <c r="F263" s="9"/>
      <c r="G263" s="34"/>
      <c r="H263" s="9">
        <v>0.28</v>
      </c>
      <c r="I263" s="9"/>
      <c r="J263" s="21"/>
      <c r="K263" s="28"/>
      <c r="L263" s="9">
        <v>0.12</v>
      </c>
      <c r="M263" s="19"/>
      <c r="N263" s="22">
        <v>0</v>
      </c>
      <c r="O263" s="14"/>
      <c r="P263" s="47"/>
      <c r="Q263" s="73">
        <v>0.067</v>
      </c>
      <c r="R263" s="73"/>
      <c r="S263" s="32"/>
      <c r="T263" s="14">
        <v>0.634</v>
      </c>
      <c r="U263" s="14"/>
      <c r="V263" s="19"/>
      <c r="W263" s="18"/>
      <c r="X263" s="87">
        <v>0.3</v>
      </c>
      <c r="Y263" s="19"/>
      <c r="Z263" s="20">
        <v>0.09</v>
      </c>
      <c r="AA263" s="9"/>
      <c r="AB263" s="15"/>
      <c r="AC263" s="20">
        <v>0.76</v>
      </c>
      <c r="AD263" s="9"/>
      <c r="AE263" s="19"/>
      <c r="AF263" s="9">
        <v>0.52</v>
      </c>
      <c r="AG263" s="9"/>
      <c r="AH263" s="19"/>
      <c r="AI263" s="18"/>
      <c r="AJ263" s="87">
        <v>0.38</v>
      </c>
      <c r="AK263" s="19"/>
      <c r="AL263" s="92"/>
      <c r="AM263" s="87">
        <v>0.27</v>
      </c>
      <c r="AN263" s="13"/>
      <c r="AO263" s="15"/>
      <c r="AP263" s="15"/>
      <c r="AQ263" s="91"/>
    </row>
    <row r="264" spans="1:43" ht="12.75">
      <c r="A264" s="147">
        <v>36800</v>
      </c>
      <c r="B264" s="20">
        <v>0</v>
      </c>
      <c r="C264" s="9"/>
      <c r="D264" s="2"/>
      <c r="E264" s="33">
        <v>0.02</v>
      </c>
      <c r="F264" s="9"/>
      <c r="G264" s="34"/>
      <c r="H264" s="9">
        <v>0.43</v>
      </c>
      <c r="I264" s="9"/>
      <c r="J264" s="21"/>
      <c r="K264" s="28"/>
      <c r="L264" s="9">
        <v>0.11</v>
      </c>
      <c r="M264" s="19"/>
      <c r="N264" s="22">
        <v>0</v>
      </c>
      <c r="O264" s="14"/>
      <c r="P264" s="47"/>
      <c r="Q264" s="46">
        <v>0.085</v>
      </c>
      <c r="R264" s="73"/>
      <c r="S264" s="32"/>
      <c r="T264" s="35">
        <v>0.645</v>
      </c>
      <c r="U264" s="14"/>
      <c r="V264" s="19"/>
      <c r="W264" s="18"/>
      <c r="X264" s="87">
        <v>0.3</v>
      </c>
      <c r="Y264" s="19"/>
      <c r="Z264" s="20">
        <v>0.07</v>
      </c>
      <c r="AA264" s="9"/>
      <c r="AB264" s="15"/>
      <c r="AC264" s="20">
        <v>0.67</v>
      </c>
      <c r="AD264" s="9"/>
      <c r="AE264" s="19"/>
      <c r="AF264" s="9">
        <v>0.52</v>
      </c>
      <c r="AG264" s="9"/>
      <c r="AH264" s="19"/>
      <c r="AI264" s="18"/>
      <c r="AJ264" s="87">
        <v>0.36</v>
      </c>
      <c r="AK264" s="19"/>
      <c r="AL264" s="92"/>
      <c r="AM264" s="87">
        <v>0.27</v>
      </c>
      <c r="AN264" s="13"/>
      <c r="AO264" s="15"/>
      <c r="AP264" s="15"/>
      <c r="AQ264" s="91"/>
    </row>
    <row r="265" spans="1:43" ht="12.75">
      <c r="A265" s="147">
        <v>36770</v>
      </c>
      <c r="B265" s="20">
        <v>0</v>
      </c>
      <c r="C265" s="9"/>
      <c r="D265" s="2"/>
      <c r="E265" s="33">
        <v>0.02</v>
      </c>
      <c r="F265" s="9"/>
      <c r="G265" s="34"/>
      <c r="H265" s="9">
        <v>0.47</v>
      </c>
      <c r="I265" s="9"/>
      <c r="J265" s="21"/>
      <c r="K265" s="28"/>
      <c r="L265" s="9">
        <v>0.17</v>
      </c>
      <c r="M265" s="19"/>
      <c r="N265" s="22">
        <v>0</v>
      </c>
      <c r="O265" s="14"/>
      <c r="P265" s="47"/>
      <c r="Q265" s="46">
        <v>0.057</v>
      </c>
      <c r="R265" s="73"/>
      <c r="S265" s="32"/>
      <c r="T265" s="35">
        <v>0.604</v>
      </c>
      <c r="U265" s="14"/>
      <c r="V265" s="19"/>
      <c r="W265" s="18"/>
      <c r="X265" s="87">
        <v>0.0028000000000000004</v>
      </c>
      <c r="Y265" s="19"/>
      <c r="Z265" s="20"/>
      <c r="AA265" s="9"/>
      <c r="AB265" s="15"/>
      <c r="AC265" s="20"/>
      <c r="AD265" s="9"/>
      <c r="AE265" s="19"/>
      <c r="AF265" s="9"/>
      <c r="AG265" s="9"/>
      <c r="AH265" s="19"/>
      <c r="AI265" s="18"/>
      <c r="AJ265" s="87">
        <v>0.0032</v>
      </c>
      <c r="AK265" s="19"/>
      <c r="AL265" s="92"/>
      <c r="AM265" s="87">
        <v>0.0026</v>
      </c>
      <c r="AN265" s="13"/>
      <c r="AO265" s="15"/>
      <c r="AP265" s="15"/>
      <c r="AQ265" s="91"/>
    </row>
    <row r="266" spans="1:43" ht="12.75">
      <c r="A266" s="147">
        <v>36739</v>
      </c>
      <c r="B266" s="20">
        <v>0</v>
      </c>
      <c r="C266" s="9"/>
      <c r="D266" s="2"/>
      <c r="E266" s="33">
        <v>0.02</v>
      </c>
      <c r="F266" s="9"/>
      <c r="G266" s="34"/>
      <c r="H266" s="9">
        <v>0.47</v>
      </c>
      <c r="I266" s="9"/>
      <c r="J266" s="21"/>
      <c r="K266" s="28"/>
      <c r="L266" s="9">
        <v>0.19</v>
      </c>
      <c r="M266" s="19"/>
      <c r="N266" s="22">
        <v>0</v>
      </c>
      <c r="O266" s="14"/>
      <c r="P266" s="47"/>
      <c r="Q266" s="46">
        <v>0.068</v>
      </c>
      <c r="R266" s="73"/>
      <c r="S266" s="32"/>
      <c r="T266" s="35">
        <v>0.596</v>
      </c>
      <c r="U266" s="14"/>
      <c r="V266" s="19"/>
      <c r="W266" s="18"/>
      <c r="X266" s="87">
        <v>0.0027</v>
      </c>
      <c r="Y266" s="19"/>
      <c r="Z266" s="20">
        <v>0.04</v>
      </c>
      <c r="AA266" s="9"/>
      <c r="AB266" s="15"/>
      <c r="AC266" s="20">
        <v>0.43</v>
      </c>
      <c r="AD266" s="9"/>
      <c r="AE266" s="19"/>
      <c r="AF266" s="9">
        <v>0.65</v>
      </c>
      <c r="AG266" s="9"/>
      <c r="AH266" s="19"/>
      <c r="AI266" s="18"/>
      <c r="AJ266" s="87">
        <v>0.003</v>
      </c>
      <c r="AK266" s="19"/>
      <c r="AL266" s="92"/>
      <c r="AM266" s="87">
        <v>0.0027</v>
      </c>
      <c r="AN266" s="13"/>
      <c r="AO266" s="15"/>
      <c r="AP266" s="15"/>
      <c r="AQ266" s="91"/>
    </row>
    <row r="267" spans="1:43" ht="12.75">
      <c r="A267" s="147">
        <v>36708</v>
      </c>
      <c r="B267" s="18"/>
      <c r="C267" s="15"/>
      <c r="D267" s="15"/>
      <c r="E267" s="31"/>
      <c r="G267" s="32"/>
      <c r="H267" s="15"/>
      <c r="I267" s="9"/>
      <c r="J267" s="21"/>
      <c r="K267" s="28"/>
      <c r="L267" s="9">
        <v>0</v>
      </c>
      <c r="M267" s="19"/>
      <c r="N267" s="22">
        <v>0</v>
      </c>
      <c r="O267" s="14"/>
      <c r="P267" s="47"/>
      <c r="Q267" s="46">
        <v>0.058</v>
      </c>
      <c r="R267" s="73"/>
      <c r="S267" s="32"/>
      <c r="T267" s="35">
        <v>0.587</v>
      </c>
      <c r="U267" s="14"/>
      <c r="V267" s="19"/>
      <c r="W267" s="18"/>
      <c r="X267" s="87">
        <v>0</v>
      </c>
      <c r="Y267" s="19"/>
      <c r="Z267" s="28"/>
      <c r="AA267" s="2"/>
      <c r="AB267" s="2"/>
      <c r="AC267" s="28"/>
      <c r="AD267" s="2"/>
      <c r="AE267" s="21"/>
      <c r="AF267" s="2"/>
      <c r="AG267" s="2"/>
      <c r="AH267" s="19"/>
      <c r="AI267" s="18"/>
      <c r="AJ267" s="87">
        <v>0</v>
      </c>
      <c r="AK267" s="19"/>
      <c r="AL267" s="92"/>
      <c r="AM267" s="87">
        <v>0</v>
      </c>
      <c r="AN267" s="13"/>
      <c r="AO267" s="15"/>
      <c r="AP267" s="15"/>
      <c r="AQ267" s="91"/>
    </row>
    <row r="268" spans="1:43" ht="13.5" thickBot="1">
      <c r="A268" s="148">
        <v>36678</v>
      </c>
      <c r="B268" s="120"/>
      <c r="C268" s="121"/>
      <c r="D268" s="122"/>
      <c r="E268" s="123"/>
      <c r="F268" s="121"/>
      <c r="G268" s="124"/>
      <c r="H268" s="122"/>
      <c r="I268" s="122"/>
      <c r="J268" s="125"/>
      <c r="K268" s="126"/>
      <c r="L268" s="121">
        <v>0</v>
      </c>
      <c r="M268" s="127"/>
      <c r="N268" s="128">
        <v>0</v>
      </c>
      <c r="O268" s="129"/>
      <c r="P268" s="130"/>
      <c r="Q268" s="131">
        <v>0.058</v>
      </c>
      <c r="R268" s="132"/>
      <c r="S268" s="130"/>
      <c r="T268" s="133">
        <v>0.606</v>
      </c>
      <c r="U268" s="129"/>
      <c r="V268" s="134"/>
      <c r="W268" s="135"/>
      <c r="X268" s="121">
        <v>0</v>
      </c>
      <c r="Y268" s="127"/>
      <c r="Z268" s="135"/>
      <c r="AA268" s="136"/>
      <c r="AB268" s="134"/>
      <c r="AC268" s="135"/>
      <c r="AD268" s="136"/>
      <c r="AE268" s="134"/>
      <c r="AF268" s="136"/>
      <c r="AG268" s="136"/>
      <c r="AH268" s="127"/>
      <c r="AI268" s="138"/>
      <c r="AJ268" s="139">
        <v>0</v>
      </c>
      <c r="AK268" s="127"/>
      <c r="AL268" s="140"/>
      <c r="AM268" s="141">
        <v>0</v>
      </c>
      <c r="AN268" s="142"/>
      <c r="AO268" s="143"/>
      <c r="AP268" s="143"/>
      <c r="AQ268" s="144"/>
    </row>
    <row r="269" spans="3:34" ht="15">
      <c r="C269" s="98"/>
      <c r="D269" s="99"/>
      <c r="E269" s="99"/>
      <c r="F269" s="99"/>
      <c r="O269" s="11"/>
      <c r="R269" s="4"/>
      <c r="U269" s="4"/>
      <c r="AA269" s="118"/>
      <c r="AB269" s="118"/>
      <c r="AD269" s="118"/>
      <c r="AE269" s="118"/>
      <c r="AG269" s="118"/>
      <c r="AH269" s="118"/>
    </row>
  </sheetData>
  <sheetProtection/>
  <mergeCells count="17">
    <mergeCell ref="A3:A5"/>
    <mergeCell ref="Z4:AB4"/>
    <mergeCell ref="AC4:AE4"/>
    <mergeCell ref="AF4:AH4"/>
    <mergeCell ref="B4:D4"/>
    <mergeCell ref="E4:G4"/>
    <mergeCell ref="N4:P4"/>
    <mergeCell ref="AI4:AK4"/>
    <mergeCell ref="Z3:AK3"/>
    <mergeCell ref="AL3:AQ3"/>
    <mergeCell ref="B3:M3"/>
    <mergeCell ref="K4:M4"/>
    <mergeCell ref="W4:Y4"/>
    <mergeCell ref="N3:Y3"/>
    <mergeCell ref="Q4:S4"/>
    <mergeCell ref="T4:V4"/>
    <mergeCell ref="H4:J4"/>
  </mergeCells>
  <printOptions/>
  <pageMargins left="0.75" right="0.75" top="1" bottom="1" header="0.5" footer="0.5"/>
  <pageSetup horizontalDpi="600" verticalDpi="600" orientation="portrait" r:id="rId3"/>
  <ignoredErrors>
    <ignoredError sqref="AM165 AM166:AM184" formula="1"/>
  </ignoredErrors>
  <legacyDrawing r:id="rId2"/>
</worksheet>
</file>

<file path=xl/worksheets/sheet3.xml><?xml version="1.0" encoding="utf-8"?>
<worksheet xmlns="http://schemas.openxmlformats.org/spreadsheetml/2006/main" xmlns:r="http://schemas.openxmlformats.org/officeDocument/2006/relationships">
  <dimension ref="A1:D5"/>
  <sheetViews>
    <sheetView zoomScalePageLayoutView="0" workbookViewId="0" topLeftCell="A1">
      <selection activeCell="A6" sqref="A6"/>
    </sheetView>
  </sheetViews>
  <sheetFormatPr defaultColWidth="9.140625" defaultRowHeight="12.75"/>
  <cols>
    <col min="2" max="2" width="16.140625" style="0" bestFit="1" customWidth="1"/>
    <col min="3" max="3" width="10.00390625" style="0" bestFit="1" customWidth="1"/>
    <col min="4" max="4" width="8.57421875" style="0" bestFit="1" customWidth="1"/>
  </cols>
  <sheetData>
    <row r="1" spans="1:4" ht="15.75">
      <c r="A1" s="153" t="s">
        <v>30</v>
      </c>
      <c r="B1" s="119"/>
      <c r="C1" s="119"/>
      <c r="D1" s="149"/>
    </row>
    <row r="2" spans="1:4" ht="12.75">
      <c r="A2" s="149" t="s">
        <v>42</v>
      </c>
      <c r="B2" s="155" t="s">
        <v>32</v>
      </c>
      <c r="C2" s="155" t="s">
        <v>20</v>
      </c>
      <c r="D2" s="155" t="s">
        <v>21</v>
      </c>
    </row>
    <row r="3" spans="1:4" ht="12.75">
      <c r="A3" s="152" t="s">
        <v>46</v>
      </c>
      <c r="B3" s="154" t="s">
        <v>33</v>
      </c>
      <c r="C3" s="154" t="s">
        <v>38</v>
      </c>
      <c r="D3" s="154" t="s">
        <v>36</v>
      </c>
    </row>
    <row r="4" spans="1:4" ht="12.75">
      <c r="A4" s="152" t="s">
        <v>31</v>
      </c>
      <c r="B4" s="154" t="s">
        <v>34</v>
      </c>
      <c r="C4" s="154" t="s">
        <v>39</v>
      </c>
      <c r="D4" s="154" t="s">
        <v>37</v>
      </c>
    </row>
    <row r="5" spans="1:4" ht="12.75">
      <c r="A5" s="156" t="s">
        <v>47</v>
      </c>
      <c r="B5" s="154" t="s">
        <v>35</v>
      </c>
      <c r="C5" s="154" t="s">
        <v>40</v>
      </c>
      <c r="D5" s="154" t="s">
        <v>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Maine Public Utilities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Lotte Schlegel</dc:creator>
  <cp:keywords/>
  <dc:description/>
  <cp:lastModifiedBy>Rolnick, Matthew</cp:lastModifiedBy>
  <cp:lastPrinted>2016-09-19T19:00:55Z</cp:lastPrinted>
  <dcterms:created xsi:type="dcterms:W3CDTF">2007-03-19T19:38:53Z</dcterms:created>
  <dcterms:modified xsi:type="dcterms:W3CDTF">2022-01-20T17:56:32Z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{B4796284-75C0-4DE9-9749-E3FEBE74B608}</vt:lpwstr>
  </property>
</Properties>
</file>