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werContractsAdmin\Electric Supply\NUG Auctions - SOP\SOP auction 2023\"/>
    </mc:Choice>
  </mc:AlternateContent>
  <xr:revisionPtr revIDLastSave="0" documentId="8_{B3DF29F6-09F9-4BFB-BFB6-81953ACD37B7}" xr6:coauthVersionLast="47" xr6:coauthVersionMax="47" xr10:uidLastSave="{00000000-0000-0000-0000-000000000000}"/>
  <bookViews>
    <workbookView xWindow="25080" yWindow="-120" windowWidth="25440" windowHeight="15390" xr2:uid="{F0B1A672-5222-4251-B7D3-762916B93B76}"/>
  </bookViews>
  <sheets>
    <sheet name="Gene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C33" i="1" l="1"/>
  <c r="D33" i="1"/>
  <c r="C32" i="1" l="1"/>
  <c r="D32" i="1"/>
  <c r="C31" i="1" l="1"/>
  <c r="D31" i="1"/>
  <c r="D30" i="1" l="1"/>
  <c r="C30" i="1"/>
  <c r="C29" i="1" l="1"/>
  <c r="D29" i="1"/>
  <c r="C28" i="1" l="1"/>
  <c r="D28" i="1"/>
  <c r="C27" i="1" l="1"/>
  <c r="D27" i="1"/>
  <c r="C26" i="1" l="1"/>
  <c r="D26" i="1"/>
  <c r="C25" i="1" l="1"/>
  <c r="D25" i="1"/>
  <c r="C24" i="1" l="1"/>
  <c r="D24" i="1"/>
  <c r="C23" i="1" l="1"/>
  <c r="D23" i="1"/>
  <c r="D22" i="1" l="1"/>
  <c r="C22" i="1"/>
  <c r="D21" i="1" l="1"/>
  <c r="C21" i="1"/>
  <c r="D20" i="1" l="1"/>
  <c r="C20" i="1"/>
  <c r="G32" i="1" l="1"/>
  <c r="G31" i="1"/>
  <c r="I31" i="1" s="1"/>
  <c r="I32" i="1" l="1"/>
  <c r="D19" i="1"/>
  <c r="C19" i="1"/>
  <c r="D18" i="1" l="1"/>
  <c r="C18" i="1"/>
  <c r="D17" i="1" l="1"/>
  <c r="C17" i="1"/>
  <c r="D16" i="1" l="1"/>
  <c r="C16" i="1"/>
  <c r="D15" i="1" l="1"/>
  <c r="C15" i="1"/>
  <c r="D14" i="1" l="1"/>
  <c r="C14" i="1"/>
  <c r="D13" i="1" l="1"/>
  <c r="C13" i="1"/>
  <c r="D12" i="1" l="1"/>
  <c r="C12" i="1"/>
  <c r="D11" i="1" l="1"/>
  <c r="C11" i="1"/>
  <c r="D10" i="1" l="1"/>
  <c r="C10" i="1"/>
  <c r="C9" i="1" l="1"/>
  <c r="D9" i="1"/>
  <c r="D8" i="1" l="1"/>
  <c r="C8" i="1"/>
  <c r="D7" i="1" l="1"/>
  <c r="C7" i="1"/>
  <c r="C6" i="1" l="1"/>
  <c r="D6" i="1"/>
  <c r="G5" i="1" l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3" i="1"/>
  <c r="I33" i="1" s="1"/>
  <c r="G34" i="1"/>
  <c r="I34" i="1" s="1"/>
</calcChain>
</file>

<file path=xl/sharedStrings.xml><?xml version="1.0" encoding="utf-8"?>
<sst xmlns="http://schemas.openxmlformats.org/spreadsheetml/2006/main" count="42" uniqueCount="25">
  <si>
    <t>Wind</t>
  </si>
  <si>
    <t>kWh credit NEB program Generation output by month for the period January 2021 through June 2023</t>
  </si>
  <si>
    <t>Standard Offer Data Request</t>
  </si>
  <si>
    <t>Month</t>
  </si>
  <si>
    <t>year</t>
  </si>
  <si>
    <t>Solar</t>
  </si>
  <si>
    <t>CHCP</t>
  </si>
  <si>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</si>
  <si>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</si>
  <si>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</si>
  <si>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</si>
  <si>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</si>
  <si>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</si>
  <si>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</si>
  <si>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</si>
  <si>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</si>
  <si>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</si>
  <si>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</si>
  <si>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</si>
  <si>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March</t>
  </si>
  <si>
    <t>total</t>
  </si>
  <si>
    <t>variance</t>
  </si>
  <si>
    <t>monthly output based on end read date</t>
  </si>
  <si>
    <t>Other*</t>
  </si>
  <si>
    <t>* Biomass and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</si>
</sst>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12">
    <cellStyle name="Comma" xfId="1" builtinId="3"/>
    <cellStyle name="Comma 3" xfId="6" xr:uid="{4B3AB789-1DDB-48C0-94E3-07B1234BD09F}"/>
    <cellStyle name="Comma 3 3" xfId="10" xr:uid="{0B40AF4B-AE34-41E8-9CA8-C487E7215807}"/>
    <cellStyle name="Normal" xfId="0" builtinId="0"/>
    <cellStyle name="Normal 10" xfId="4" xr:uid="{405F5411-BBC4-4D38-B76E-2B20E7DE01F5}"/>
    <cellStyle name="Normal 2" xfId="2" xr:uid="{94C6AFD3-6D6A-42FB-A3F7-EC65710E577E}"/>
    <cellStyle name="Normal 2 2" xfId="5" xr:uid="{7124C9CF-6F16-464C-AAD1-9920A27C1EF5}"/>
    <cellStyle name="Normal 2 3" xfId="11" xr:uid="{179DD831-4B53-4125-97DD-D016333A2D2E}"/>
    <cellStyle name="Normal 2 4" xfId="8" xr:uid="{E3BBEAEC-639E-4785-8015-5703066D1266}"/>
    <cellStyle name="Normal 3" xfId="7" xr:uid="{55CC506B-3013-44CB-A1F6-432E143FC5C8}"/>
    <cellStyle name="Normal 3 2" xfId="9" xr:uid="{7E59C520-2A73-4759-BC4D-C8C2377A31B5}"/>
    <cellStyle name="Normal 5 2" xfId="3" xr:uid="{DFE38CD1-1FEA-4AAD-8B75-9C945F24F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974C-C9A4-443E-8938-78477F9D9876}">
  <dimension ref="A1:K36"/>
  <sheetViews>
    <sheetView tabSelected="1" workbookViewId="0">
      <selection activeCell="G5" sqref="G5"/>
    </sheetView>
  </sheetViews>
  <sheetFormatPr defaultRowHeight="15" x14ac:dyDescent="0.25"/>
  <cols>
    <col min="1" max="1" width="14.28515625" customWidth="1"/>
    <col min="3" max="3" width="16.28515625" bestFit="1" customWidth="1"/>
    <col min="4" max="4" width="13.7109375" bestFit="1" customWidth="1"/>
    <col min="5" max="5" width="12.5703125" bestFit="1" customWidth="1"/>
    <col min="6" max="6" width="13.7109375" bestFit="1" customWidth="1"/>
    <col min="7" max="7" width="15" customWidth="1"/>
    <col min="8" max="8" width="12.5703125" hidden="1" customWidth="1"/>
    <col min="9" max="9" width="0" hidden="1" customWidth="1"/>
  </cols>
  <sheetData>
    <row r="1" spans="1:11" x14ac:dyDescent="0.25">
      <c r="A1" t="s">
        <v>2</v>
      </c>
    </row>
    <row r="2" spans="1:11" x14ac:dyDescent="0.25">
      <c r="A2" t="s">
        <v>1</v>
      </c>
    </row>
    <row r="3" spans="1:11" x14ac:dyDescent="0.25">
      <c r="A3" t="s">
        <v>22</v>
      </c>
    </row>
    <row r="4" spans="1:11" x14ac:dyDescent="0.25">
      <c r="A4" t="s">
        <v>3</v>
      </c>
      <c r="B4" t="s">
        <v>4</v>
      </c>
      <c r="C4" t="s">
        <v>5</v>
      </c>
      <c r="D4" t="s">
        <v>0</v>
      </c>
      <c r="E4" t="s">
        <v>6</v>
      </c>
      <c r="F4" t="s">
        <v>23</v>
      </c>
      <c r="G4" t="s">
        <v>20</v>
      </c>
      <c r="I4" t="s">
        <v>21</v>
      </c>
    </row>
    <row r="5" spans="1:11" x14ac:dyDescent="0.25">
      <c r="A5" t="s">
        <v>7</v>
      </c>
      <c r="B5">
        <v>2021</v>
      </c>
      <c r="C5" s="1">
        <v>1776239</v>
      </c>
      <c r="D5" s="1">
        <v>5388</v>
      </c>
      <c r="E5" s="1">
        <v>13120</v>
      </c>
      <c r="F5" s="1">
        <v>19571</v>
      </c>
      <c r="G5" s="1">
        <f>SUM(C5:F5)</f>
        <v>1814318</v>
      </c>
      <c r="H5" s="1">
        <v>1814318</v>
      </c>
      <c r="I5" s="2">
        <f>+H5-G5</f>
        <v>0</v>
      </c>
    </row>
    <row r="6" spans="1:11" x14ac:dyDescent="0.25">
      <c r="A6" t="s">
        <v>8</v>
      </c>
      <c r="B6">
        <v>2021</v>
      </c>
      <c r="C6" s="1">
        <f>3703622+13645+2102</f>
        <v>3719369</v>
      </c>
      <c r="D6" s="1">
        <f>1636+5168+4122</f>
        <v>10926</v>
      </c>
      <c r="E6" s="1">
        <v>6400</v>
      </c>
      <c r="F6" s="1">
        <v>6571</v>
      </c>
      <c r="G6" s="1">
        <f t="shared" ref="G6:G34" si="0">SUM(C6:F6)</f>
        <v>3743266</v>
      </c>
      <c r="H6" s="1">
        <v>3743266</v>
      </c>
      <c r="I6" s="2">
        <f t="shared" ref="I6:I34" si="1">+H6-G6</f>
        <v>0</v>
      </c>
    </row>
    <row r="7" spans="1:11" x14ac:dyDescent="0.25">
      <c r="A7" t="s">
        <v>9</v>
      </c>
      <c r="B7">
        <v>2021</v>
      </c>
      <c r="C7" s="1">
        <f>21536+2652+5439842</f>
        <v>5464030</v>
      </c>
      <c r="D7" s="1">
        <f>1710+6522+3774</f>
        <v>12006</v>
      </c>
      <c r="E7" s="1">
        <v>7200</v>
      </c>
      <c r="F7" s="1">
        <v>14516</v>
      </c>
      <c r="G7" s="1">
        <f t="shared" si="0"/>
        <v>5497752</v>
      </c>
      <c r="H7" s="1">
        <v>5497752</v>
      </c>
      <c r="I7" s="2">
        <f t="shared" si="1"/>
        <v>0</v>
      </c>
    </row>
    <row r="8" spans="1:11" x14ac:dyDescent="0.25">
      <c r="A8" t="s">
        <v>10</v>
      </c>
      <c r="B8">
        <v>2021</v>
      </c>
      <c r="C8" s="1">
        <f>2794+19987+5655558</f>
        <v>5678339</v>
      </c>
      <c r="D8" s="1">
        <f>1578+5457+4545</f>
        <v>11580</v>
      </c>
      <c r="E8" s="1">
        <v>640</v>
      </c>
      <c r="F8" s="1">
        <v>16901</v>
      </c>
      <c r="G8" s="1">
        <f t="shared" si="0"/>
        <v>5707460</v>
      </c>
      <c r="H8" s="1">
        <v>5707460</v>
      </c>
      <c r="I8" s="2">
        <f t="shared" si="1"/>
        <v>0</v>
      </c>
    </row>
    <row r="9" spans="1:11" x14ac:dyDescent="0.25">
      <c r="A9" t="s">
        <v>11</v>
      </c>
      <c r="B9">
        <v>2021</v>
      </c>
      <c r="C9" s="1">
        <f>21971+2529+6803416</f>
        <v>6827916</v>
      </c>
      <c r="D9" s="1">
        <f>4598+1186+8581</f>
        <v>14365</v>
      </c>
      <c r="E9" s="1">
        <v>1760</v>
      </c>
      <c r="F9" s="1">
        <v>2324</v>
      </c>
      <c r="G9" s="1">
        <f t="shared" si="0"/>
        <v>6846365</v>
      </c>
      <c r="H9" s="1">
        <v>6846365</v>
      </c>
      <c r="I9" s="2">
        <f t="shared" si="1"/>
        <v>0</v>
      </c>
      <c r="K9" s="2"/>
    </row>
    <row r="10" spans="1:11" x14ac:dyDescent="0.25">
      <c r="A10" t="s">
        <v>12</v>
      </c>
      <c r="B10">
        <v>2021</v>
      </c>
      <c r="C10" s="1">
        <f>2779+20217+6981567</f>
        <v>7004563</v>
      </c>
      <c r="D10" s="1">
        <f>4072+1189+4888</f>
        <v>10149</v>
      </c>
      <c r="E10" s="1">
        <v>160</v>
      </c>
      <c r="F10" s="1">
        <v>7429</v>
      </c>
      <c r="G10" s="1">
        <f t="shared" si="0"/>
        <v>7022301</v>
      </c>
      <c r="H10" s="1">
        <v>7022301</v>
      </c>
      <c r="I10" s="2">
        <f t="shared" si="1"/>
        <v>0</v>
      </c>
    </row>
    <row r="11" spans="1:11" x14ac:dyDescent="0.25">
      <c r="A11" t="s">
        <v>13</v>
      </c>
      <c r="B11">
        <v>2021</v>
      </c>
      <c r="C11" s="1">
        <f>2930+18872+8795814</f>
        <v>8817616</v>
      </c>
      <c r="D11" s="1">
        <f>3065+989+99448</f>
        <v>103502</v>
      </c>
      <c r="E11" s="1">
        <v>480</v>
      </c>
      <c r="F11" s="1">
        <v>413</v>
      </c>
      <c r="G11" s="1">
        <f t="shared" si="0"/>
        <v>8922011</v>
      </c>
      <c r="H11" s="1">
        <v>8922011</v>
      </c>
      <c r="I11" s="2">
        <f t="shared" si="1"/>
        <v>0</v>
      </c>
    </row>
    <row r="12" spans="1:11" x14ac:dyDescent="0.25">
      <c r="A12" t="s">
        <v>14</v>
      </c>
      <c r="B12">
        <v>2021</v>
      </c>
      <c r="C12" s="1">
        <f>2657+19047+7530106</f>
        <v>7551810</v>
      </c>
      <c r="D12" s="1">
        <f>3368+962+9475</f>
        <v>13805</v>
      </c>
      <c r="E12" s="1">
        <v>7840</v>
      </c>
      <c r="F12" s="1">
        <v>5391</v>
      </c>
      <c r="G12" s="1">
        <f t="shared" si="0"/>
        <v>7578846</v>
      </c>
      <c r="H12" s="1">
        <v>7578846</v>
      </c>
      <c r="I12" s="2">
        <f t="shared" si="1"/>
        <v>0</v>
      </c>
    </row>
    <row r="13" spans="1:11" x14ac:dyDescent="0.25">
      <c r="A13" t="s">
        <v>15</v>
      </c>
      <c r="B13">
        <v>2021</v>
      </c>
      <c r="C13" s="1">
        <f>1444+15651+6144101</f>
        <v>6161196</v>
      </c>
      <c r="D13" s="1">
        <f>693+3511+3334</f>
        <v>7538</v>
      </c>
      <c r="E13" s="1">
        <v>0</v>
      </c>
      <c r="F13" s="1">
        <v>623</v>
      </c>
      <c r="G13" s="1">
        <f t="shared" si="0"/>
        <v>6169357</v>
      </c>
      <c r="H13" s="1">
        <v>6169357</v>
      </c>
      <c r="I13" s="2">
        <f t="shared" si="1"/>
        <v>0</v>
      </c>
    </row>
    <row r="14" spans="1:11" x14ac:dyDescent="0.25">
      <c r="A14" t="s">
        <v>16</v>
      </c>
      <c r="B14">
        <v>2021</v>
      </c>
      <c r="C14" s="1">
        <f>1388+11328+5114029</f>
        <v>5126745</v>
      </c>
      <c r="D14" s="1">
        <f>639+3362+6142</f>
        <v>10143</v>
      </c>
      <c r="E14" s="1">
        <v>10240</v>
      </c>
      <c r="F14" s="1">
        <v>9143</v>
      </c>
      <c r="G14" s="1">
        <f t="shared" si="0"/>
        <v>5156271</v>
      </c>
      <c r="H14" s="1">
        <v>5156271</v>
      </c>
      <c r="I14" s="2">
        <f t="shared" si="1"/>
        <v>0</v>
      </c>
    </row>
    <row r="15" spans="1:11" x14ac:dyDescent="0.25">
      <c r="A15" t="s">
        <v>17</v>
      </c>
      <c r="B15">
        <v>2021</v>
      </c>
      <c r="C15" s="1">
        <f>683+8804+3676929</f>
        <v>3686416</v>
      </c>
      <c r="D15" s="1">
        <f>616+3326+2810</f>
        <v>6752</v>
      </c>
      <c r="E15" s="1">
        <v>15040</v>
      </c>
      <c r="F15" s="1">
        <v>29136</v>
      </c>
      <c r="G15" s="1">
        <f t="shared" si="0"/>
        <v>3737344</v>
      </c>
      <c r="H15" s="1">
        <v>3737344</v>
      </c>
      <c r="I15" s="2">
        <f t="shared" si="1"/>
        <v>0</v>
      </c>
    </row>
    <row r="16" spans="1:11" x14ac:dyDescent="0.25">
      <c r="A16" t="s">
        <v>18</v>
      </c>
      <c r="B16">
        <v>2021</v>
      </c>
      <c r="C16" s="1">
        <f>317+4450+2394592</f>
        <v>2399359</v>
      </c>
      <c r="D16" s="1">
        <f>2254+376+2020</f>
        <v>4650</v>
      </c>
      <c r="E16" s="1">
        <v>7200</v>
      </c>
      <c r="F16" s="1">
        <v>16077</v>
      </c>
      <c r="G16" s="1">
        <f t="shared" si="0"/>
        <v>2427286</v>
      </c>
      <c r="H16" s="1">
        <v>2427286</v>
      </c>
      <c r="I16" s="2">
        <f t="shared" si="1"/>
        <v>0</v>
      </c>
    </row>
    <row r="17" spans="1:11" x14ac:dyDescent="0.25">
      <c r="A17" t="s">
        <v>7</v>
      </c>
      <c r="B17">
        <v>2022</v>
      </c>
      <c r="C17" s="1">
        <f>698+7829+4151466</f>
        <v>4159993</v>
      </c>
      <c r="D17" s="1">
        <f>186+1324+2499</f>
        <v>4009</v>
      </c>
      <c r="E17" s="1">
        <v>7840</v>
      </c>
      <c r="F17" s="1">
        <v>15724</v>
      </c>
      <c r="G17" s="1">
        <f t="shared" si="0"/>
        <v>4187566</v>
      </c>
      <c r="H17" s="1">
        <v>4187566</v>
      </c>
      <c r="I17" s="2">
        <f t="shared" si="1"/>
        <v>0</v>
      </c>
    </row>
    <row r="18" spans="1:11" x14ac:dyDescent="0.25">
      <c r="A18" t="s">
        <v>8</v>
      </c>
      <c r="B18">
        <v>2022</v>
      </c>
      <c r="C18" s="1">
        <f>1769+14087+7320623</f>
        <v>7336479</v>
      </c>
      <c r="D18" s="1">
        <f>386+1604+3257</f>
        <v>5247</v>
      </c>
      <c r="E18" s="1">
        <v>5440</v>
      </c>
      <c r="F18" s="1">
        <v>14987</v>
      </c>
      <c r="G18" s="1">
        <f t="shared" si="0"/>
        <v>7362153</v>
      </c>
      <c r="H18" s="1">
        <v>7362153</v>
      </c>
      <c r="I18" s="2">
        <f t="shared" si="1"/>
        <v>0</v>
      </c>
    </row>
    <row r="19" spans="1:11" x14ac:dyDescent="0.25">
      <c r="A19" t="s">
        <v>19</v>
      </c>
      <c r="B19">
        <v>2022</v>
      </c>
      <c r="C19" s="1">
        <f>4088+21272+11530802</f>
        <v>11556162</v>
      </c>
      <c r="D19" s="1">
        <f>2262+755+4851</f>
        <v>7868</v>
      </c>
      <c r="E19" s="1">
        <v>13440</v>
      </c>
      <c r="F19" s="1">
        <v>35685</v>
      </c>
      <c r="G19" s="1">
        <f>SUM(C19:F19)</f>
        <v>11613155</v>
      </c>
      <c r="H19" s="1">
        <v>11613155</v>
      </c>
      <c r="I19" s="2">
        <f>+H19-G19</f>
        <v>0</v>
      </c>
    </row>
    <row r="20" spans="1:11" x14ac:dyDescent="0.25">
      <c r="A20" t="s">
        <v>10</v>
      </c>
      <c r="B20">
        <v>2022</v>
      </c>
      <c r="C20" s="1">
        <f>2768+24902+13364797</f>
        <v>13392467</v>
      </c>
      <c r="D20" s="1">
        <f>2284+461+4309</f>
        <v>7054</v>
      </c>
      <c r="E20" s="1">
        <v>16160</v>
      </c>
      <c r="F20" s="1">
        <v>15536</v>
      </c>
      <c r="G20" s="1">
        <f t="shared" si="0"/>
        <v>13431217</v>
      </c>
      <c r="H20" s="1">
        <v>13431217</v>
      </c>
      <c r="I20" s="2">
        <f t="shared" si="1"/>
        <v>0</v>
      </c>
    </row>
    <row r="21" spans="1:11" x14ac:dyDescent="0.25">
      <c r="A21" t="s">
        <v>11</v>
      </c>
      <c r="B21">
        <v>2022</v>
      </c>
      <c r="C21" s="1">
        <f>3431+27842+14148426</f>
        <v>14179699</v>
      </c>
      <c r="D21" s="1">
        <f>456+2179+2873</f>
        <v>5508</v>
      </c>
      <c r="E21" s="1">
        <v>10400</v>
      </c>
      <c r="F21" s="1">
        <v>137414</v>
      </c>
      <c r="G21" s="1">
        <f t="shared" si="0"/>
        <v>14333021</v>
      </c>
      <c r="H21" s="1">
        <v>14333021</v>
      </c>
      <c r="I21" s="2">
        <f t="shared" si="1"/>
        <v>0</v>
      </c>
    </row>
    <row r="22" spans="1:11" x14ac:dyDescent="0.25">
      <c r="A22" t="s">
        <v>12</v>
      </c>
      <c r="B22">
        <v>2022</v>
      </c>
      <c r="C22" s="1">
        <f>5056+27897+18126840</f>
        <v>18159793</v>
      </c>
      <c r="D22" s="1">
        <f>2076+607+5533</f>
        <v>8216</v>
      </c>
      <c r="E22" s="1">
        <v>960</v>
      </c>
      <c r="F22" s="1">
        <v>197116</v>
      </c>
      <c r="G22" s="1">
        <f t="shared" si="0"/>
        <v>18366085</v>
      </c>
      <c r="H22" s="1">
        <v>18366085</v>
      </c>
      <c r="I22" s="2">
        <f t="shared" si="1"/>
        <v>0</v>
      </c>
    </row>
    <row r="23" spans="1:11" x14ac:dyDescent="0.25">
      <c r="A23" t="s">
        <v>13</v>
      </c>
      <c r="B23">
        <v>2022</v>
      </c>
      <c r="C23" s="1">
        <f>3428+26467+18497785</f>
        <v>18527680</v>
      </c>
      <c r="D23" s="1">
        <f>205+167+2920</f>
        <v>3292</v>
      </c>
      <c r="E23" s="1">
        <v>800</v>
      </c>
      <c r="F23" s="1">
        <v>162888</v>
      </c>
      <c r="G23" s="1">
        <f t="shared" si="0"/>
        <v>18694660</v>
      </c>
      <c r="H23" s="1">
        <v>18694660</v>
      </c>
      <c r="I23" s="2">
        <f t="shared" si="1"/>
        <v>0</v>
      </c>
    </row>
    <row r="24" spans="1:11" x14ac:dyDescent="0.25">
      <c r="A24" t="s">
        <v>14</v>
      </c>
      <c r="B24">
        <v>2022</v>
      </c>
      <c r="C24" s="1">
        <f>1888+24438+16949758</f>
        <v>16976084</v>
      </c>
      <c r="D24" s="1">
        <f>277+1913+1931</f>
        <v>4121</v>
      </c>
      <c r="E24" s="1">
        <v>12480</v>
      </c>
      <c r="F24" s="1">
        <v>58198</v>
      </c>
      <c r="G24" s="1">
        <f t="shared" si="0"/>
        <v>17050883</v>
      </c>
      <c r="H24" s="1">
        <v>17050883</v>
      </c>
      <c r="I24" s="2">
        <f t="shared" si="1"/>
        <v>0</v>
      </c>
    </row>
    <row r="25" spans="1:11" x14ac:dyDescent="0.25">
      <c r="A25" t="s">
        <v>15</v>
      </c>
      <c r="B25">
        <v>2022</v>
      </c>
      <c r="C25" s="1">
        <f>1900+19960+15483378</f>
        <v>15505238</v>
      </c>
      <c r="D25" s="1">
        <f>267+2088+2174</f>
        <v>4529</v>
      </c>
      <c r="E25" s="1">
        <v>7520</v>
      </c>
      <c r="F25" s="1">
        <v>3369</v>
      </c>
      <c r="G25" s="1">
        <f t="shared" si="0"/>
        <v>15520656</v>
      </c>
      <c r="H25" s="1">
        <v>15520656</v>
      </c>
      <c r="I25" s="2">
        <f t="shared" si="1"/>
        <v>0</v>
      </c>
    </row>
    <row r="26" spans="1:11" x14ac:dyDescent="0.25">
      <c r="A26" t="s">
        <v>16</v>
      </c>
      <c r="B26">
        <v>2022</v>
      </c>
      <c r="C26" s="1">
        <f>1954+16089+12197022</f>
        <v>12215065</v>
      </c>
      <c r="D26" s="1">
        <f>491+2094+4934</f>
        <v>7519</v>
      </c>
      <c r="E26" s="1">
        <v>880</v>
      </c>
      <c r="F26" s="1">
        <v>2187</v>
      </c>
      <c r="G26" s="1">
        <f t="shared" si="0"/>
        <v>12225651</v>
      </c>
      <c r="H26" s="1">
        <v>12225651</v>
      </c>
      <c r="I26" s="2">
        <f t="shared" si="1"/>
        <v>0</v>
      </c>
    </row>
    <row r="27" spans="1:11" x14ac:dyDescent="0.25">
      <c r="A27" t="s">
        <v>17</v>
      </c>
      <c r="B27">
        <v>2022</v>
      </c>
      <c r="C27" s="1">
        <f>143+4250+9424775</f>
        <v>9429168</v>
      </c>
      <c r="D27" s="1">
        <f>1595+8728+2833</f>
        <v>13156</v>
      </c>
      <c r="E27" s="1">
        <v>3600</v>
      </c>
      <c r="F27" s="1">
        <v>19356</v>
      </c>
      <c r="G27" s="1">
        <f t="shared" si="0"/>
        <v>9465280</v>
      </c>
      <c r="H27" s="1">
        <v>9465280</v>
      </c>
      <c r="I27" s="2">
        <f t="shared" si="1"/>
        <v>0</v>
      </c>
    </row>
    <row r="28" spans="1:11" x14ac:dyDescent="0.25">
      <c r="A28" t="s">
        <v>18</v>
      </c>
      <c r="B28">
        <v>2022</v>
      </c>
      <c r="C28" s="1">
        <f>476+4428+7077737</f>
        <v>7082641</v>
      </c>
      <c r="D28" s="1">
        <f>425+1873+3841</f>
        <v>6139</v>
      </c>
      <c r="E28" s="1">
        <v>5360</v>
      </c>
      <c r="F28" s="1">
        <v>39810</v>
      </c>
      <c r="G28" s="1">
        <f t="shared" si="0"/>
        <v>7133950</v>
      </c>
      <c r="H28" s="1">
        <v>7133950</v>
      </c>
      <c r="I28" s="2">
        <f t="shared" si="1"/>
        <v>0</v>
      </c>
    </row>
    <row r="29" spans="1:11" x14ac:dyDescent="0.25">
      <c r="A29" t="s">
        <v>7</v>
      </c>
      <c r="B29">
        <v>2023</v>
      </c>
      <c r="C29" s="1">
        <f>609+6755+8060297+648</f>
        <v>8068309</v>
      </c>
      <c r="D29" s="1">
        <f>458+2155+1595</f>
        <v>4208</v>
      </c>
      <c r="E29" s="1">
        <v>5920</v>
      </c>
      <c r="F29" s="1">
        <v>25884</v>
      </c>
      <c r="G29" s="1">
        <f t="shared" si="0"/>
        <v>8104321</v>
      </c>
      <c r="H29" s="1">
        <v>8104321</v>
      </c>
      <c r="I29" s="2">
        <f t="shared" si="1"/>
        <v>0</v>
      </c>
    </row>
    <row r="30" spans="1:11" x14ac:dyDescent="0.25">
      <c r="A30" t="s">
        <v>8</v>
      </c>
      <c r="B30">
        <v>2023</v>
      </c>
      <c r="C30" s="1">
        <f>1123+10660+12887185</f>
        <v>12898968</v>
      </c>
      <c r="D30" s="1">
        <f>748+3133+2286</f>
        <v>6167</v>
      </c>
      <c r="E30" s="1">
        <v>5680</v>
      </c>
      <c r="F30" s="1">
        <v>1024</v>
      </c>
      <c r="G30" s="1">
        <f t="shared" si="0"/>
        <v>12911839</v>
      </c>
      <c r="H30" s="1">
        <v>12911839</v>
      </c>
      <c r="I30" s="2">
        <f t="shared" si="1"/>
        <v>0</v>
      </c>
    </row>
    <row r="31" spans="1:11" x14ac:dyDescent="0.25">
      <c r="A31" t="s">
        <v>19</v>
      </c>
      <c r="B31">
        <v>2023</v>
      </c>
      <c r="C31" s="1">
        <f>2276+19245+21895071+40</f>
        <v>21916632</v>
      </c>
      <c r="D31" s="1">
        <f>5435+1304+3003</f>
        <v>9742</v>
      </c>
      <c r="E31" s="1">
        <v>6640</v>
      </c>
      <c r="F31" s="1">
        <v>33350</v>
      </c>
      <c r="G31" s="1">
        <f t="shared" si="0"/>
        <v>21966364</v>
      </c>
      <c r="H31" s="1">
        <v>21966364</v>
      </c>
      <c r="I31" s="2">
        <f t="shared" si="1"/>
        <v>0</v>
      </c>
    </row>
    <row r="32" spans="1:11" x14ac:dyDescent="0.25">
      <c r="A32" t="s">
        <v>10</v>
      </c>
      <c r="B32">
        <v>2023</v>
      </c>
      <c r="C32" s="1">
        <f>2506+21204+22353902</f>
        <v>22377612</v>
      </c>
      <c r="D32" s="1">
        <f>1170+5033+2780</f>
        <v>8983</v>
      </c>
      <c r="E32" s="1">
        <v>2640</v>
      </c>
      <c r="F32" s="1">
        <v>17128</v>
      </c>
      <c r="G32" s="1">
        <f t="shared" si="0"/>
        <v>22406363</v>
      </c>
      <c r="H32" s="1">
        <v>22406363</v>
      </c>
      <c r="I32" s="2">
        <f t="shared" si="1"/>
        <v>0</v>
      </c>
      <c r="K32" s="2"/>
    </row>
    <row r="33" spans="1:9" x14ac:dyDescent="0.25">
      <c r="A33" t="s">
        <v>11</v>
      </c>
      <c r="B33">
        <v>2023</v>
      </c>
      <c r="C33" s="1">
        <f>2652+26293+30438427</f>
        <v>30467372</v>
      </c>
      <c r="D33" s="1">
        <f>1088+5518+3614</f>
        <v>10220</v>
      </c>
      <c r="E33" s="1">
        <v>0</v>
      </c>
      <c r="F33" s="1">
        <v>1532</v>
      </c>
      <c r="G33" s="1">
        <f t="shared" si="0"/>
        <v>30479124</v>
      </c>
      <c r="H33" s="1">
        <v>30479124</v>
      </c>
      <c r="I33" s="2">
        <f t="shared" si="1"/>
        <v>0</v>
      </c>
    </row>
    <row r="34" spans="1:9" x14ac:dyDescent="0.25">
      <c r="A34" t="s">
        <v>12</v>
      </c>
      <c r="B34">
        <v>2023</v>
      </c>
      <c r="C34" s="1">
        <f>1086+19979+28431133</f>
        <v>28452198</v>
      </c>
      <c r="D34" s="1">
        <f>421+3864+1935</f>
        <v>6220</v>
      </c>
      <c r="E34" s="1">
        <v>160</v>
      </c>
      <c r="F34" s="1">
        <v>772</v>
      </c>
      <c r="G34" s="1">
        <f t="shared" si="0"/>
        <v>28459350</v>
      </c>
      <c r="H34" s="1">
        <v>28459350</v>
      </c>
      <c r="I34" s="2">
        <f t="shared" si="1"/>
        <v>0</v>
      </c>
    </row>
    <row r="36" spans="1:9" x14ac:dyDescent="0.25">
      <c r="A36" t="s">
        <v>24</v>
      </c>
    </row>
  </sheetData>
  <phoneticPr fontId="6" type="noConversion"/>
  <pageMargins left="0.7" right="0.7" top="0.75" bottom="0.75" header="0.3" footer="0.3"/>
  <pageSetup orientation="portrait" r:id="rId1"/>
  <headerFooter>
    <oddFooter>&amp;C&amp;"Calibri"&amp;11&amp;K000000_x000D_&amp;1#&amp;"Calibri"&amp;12&amp;K008000Internal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Generation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Diana</dc:creator>
  <cp:lastModifiedBy>Clary, Susan E.</cp:lastModifiedBy>
  <dcterms:created xsi:type="dcterms:W3CDTF">2023-08-29T12:30:50Z</dcterms:created>
  <dcterms:modified xsi:type="dcterms:W3CDTF">2023-08-29T18:44:56Z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2023-08-29T18:44:20Z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e0db9fc9-da75-4467-8962-20d19af2d5fc</vt:lpwstr>
  </property>
  <property fmtid="{D5CDD505-2E9C-101B-9397-08002B2CF9AE}" pid="8" name="MSIP_Label_019c027e-33b7-45fc-a572-8ffa5d09ec36_ContentBits">
    <vt:lpwstr>2</vt:lpwstr>
  </property>
</Properties>
</file>