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benedict_cracolici_maine_gov/Documents/Documents/Standard Offer Procurements/2025 SO for 2026 term/CMP Data Files/"/>
    </mc:Choice>
  </mc:AlternateContent>
  <xr:revisionPtr revIDLastSave="0" documentId="13_ncr:1_{3A5C65D4-054F-4F1E-AF5B-B23B9A4AEA22}" xr6:coauthVersionLast="47" xr6:coauthVersionMax="47" xr10:uidLastSave="{00000000-0000-0000-0000-000000000000}"/>
  <bookViews>
    <workbookView xWindow="59955" yWindow="5010" windowWidth="16200" windowHeight="9210" xr2:uid="{F0B1A672-5222-4251-B7D3-762916B93B76}"/>
  </bookViews>
  <sheets>
    <sheet name="Generation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9" i="2"/>
  <c r="F20" i="2"/>
  <c r="F21" i="2"/>
  <c r="F17" i="2"/>
  <c r="E21" i="2" l="1"/>
  <c r="G21" i="2" s="1"/>
  <c r="E6" i="2"/>
  <c r="G6" i="2" s="1"/>
  <c r="G64" i="1" l="1"/>
  <c r="G63" i="1"/>
  <c r="G62" i="1"/>
  <c r="G61" i="1"/>
  <c r="G60" i="1"/>
  <c r="G59" i="1"/>
  <c r="G58" i="1"/>
  <c r="G57" i="1"/>
  <c r="G56" i="1"/>
  <c r="G55" i="1"/>
  <c r="G54" i="1"/>
  <c r="G53" i="1"/>
  <c r="E7" i="2" l="1"/>
  <c r="G7" i="2" s="1"/>
  <c r="E8" i="2"/>
  <c r="G8" i="2" s="1"/>
  <c r="E9" i="2"/>
  <c r="G9" i="2" s="1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5" i="2"/>
  <c r="G5" i="2" s="1"/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C22" i="1" l="1"/>
  <c r="D22" i="1"/>
  <c r="C21" i="1" l="1"/>
  <c r="D21" i="1"/>
  <c r="C20" i="1" l="1"/>
  <c r="D20" i="1"/>
  <c r="C19" i="1" l="1"/>
  <c r="D19" i="1"/>
  <c r="D18" i="1" l="1"/>
  <c r="C18" i="1"/>
  <c r="C17" i="1" l="1"/>
  <c r="D17" i="1"/>
  <c r="C16" i="1" l="1"/>
  <c r="D16" i="1"/>
  <c r="C15" i="1" l="1"/>
  <c r="D15" i="1"/>
  <c r="C14" i="1" l="1"/>
  <c r="D14" i="1"/>
  <c r="C13" i="1" l="1"/>
  <c r="D13" i="1"/>
  <c r="C12" i="1" l="1"/>
  <c r="D12" i="1"/>
  <c r="C11" i="1" l="1"/>
  <c r="D11" i="1"/>
  <c r="D10" i="1" l="1"/>
  <c r="C10" i="1"/>
  <c r="D9" i="1" l="1"/>
  <c r="C9" i="1"/>
  <c r="D8" i="1" l="1"/>
  <c r="C8" i="1"/>
  <c r="G20" i="1" l="1"/>
  <c r="G19" i="1"/>
  <c r="I19" i="1" s="1"/>
  <c r="I20" i="1" l="1"/>
  <c r="D7" i="1"/>
  <c r="C7" i="1"/>
  <c r="D6" i="1" l="1"/>
  <c r="C6" i="1"/>
  <c r="D5" i="1" l="1"/>
  <c r="C5" i="1"/>
  <c r="G5" i="1" l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21" i="1"/>
  <c r="I21" i="1" s="1"/>
  <c r="G22" i="1"/>
  <c r="I22" i="1" s="1"/>
</calcChain>
</file>

<file path=xl/sharedStrings.xml><?xml version="1.0" encoding="utf-8"?>
<sst xmlns="http://schemas.openxmlformats.org/spreadsheetml/2006/main" count="97" uniqueCount="40">
  <si>
    <t>Wind</t>
  </si>
  <si>
    <t>Standard Offer Data Request</t>
  </si>
  <si>
    <t>Month</t>
  </si>
  <si>
    <t>year</t>
  </si>
  <si>
    <t>Solar</t>
  </si>
  <si>
    <t>CHCP</t>
  </si>
  <si>
    <t>January</t>
  </si>
  <si>
    <t>February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</si>
  <si>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</si>
  <si>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</si>
  <si>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</si>
  <si>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</si>
  <si>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</si>
  <si>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</si>
  <si>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</si>
  <si>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</si>
  <si>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</si>
  <si>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March</t>
  </si>
  <si>
    <t>total</t>
  </si>
  <si>
    <t>variance</t>
  </si>
  <si>
    <t>monthly output based on end read date</t>
  </si>
  <si>
    <t>Other*</t>
  </si>
  <si>
    <t>* Biomass and Hydro</t>
  </si>
  <si>
    <t>Wind, CHCP, and Other - no new resources expected, used data from same month prior year.</t>
  </si>
  <si>
    <t>total on line est</t>
  </si>
  <si>
    <t>prior year</t>
  </si>
  <si>
    <t>sept</t>
  </si>
  <si>
    <t>2024-2025</t>
  </si>
  <si>
    <t>inc</t>
  </si>
  <si>
    <t>Solar - percent increase of what is projected to come on line times to same month actual</t>
  </si>
  <si>
    <t>kWh credit NEB program Generation output by month for the period January 2022 through July 2025</t>
  </si>
  <si>
    <t>Estimates for August 2025 to December 2026:</t>
  </si>
  <si>
    <t>Aug</t>
  </si>
  <si>
    <t>Oct</t>
  </si>
  <si>
    <t>Nov</t>
  </si>
  <si>
    <t>Dec</t>
  </si>
  <si>
    <t>Jan</t>
  </si>
  <si>
    <t>Feb</t>
  </si>
  <si>
    <t>Mar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</si>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</sst>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17" fontId="0" fillId="0" borderId="0" xfId="0" applyNumberFormat="1"/>
    <xf numFmtId="9" fontId="0" fillId="0" borderId="0" xfId="12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center"/>
    </xf>
    <xf numFmtId="165" fontId="0" fillId="0" borderId="0" xfId="0" applyNumberFormat="1"/>
  </cellXfs>
  <cellStyles count="13">
    <cellStyle name="Comma" xfId="1" builtinId="3"/>
    <cellStyle name="Comma 3" xfId="6" xr:uid="{4B3AB789-1DDB-48C0-94E3-07B1234BD09F}"/>
    <cellStyle name="Comma 3 3" xfId="10" xr:uid="{0B40AF4B-AE34-41E8-9CA8-C487E7215807}"/>
    <cellStyle name="Normal" xfId="0" builtinId="0"/>
    <cellStyle name="Normal 10" xfId="4" xr:uid="{405F5411-BBC4-4D38-B76E-2B20E7DE01F5}"/>
    <cellStyle name="Normal 2" xfId="2" xr:uid="{94C6AFD3-6D6A-42FB-A3F7-EC65710E577E}"/>
    <cellStyle name="Normal 2 2" xfId="5" xr:uid="{7124C9CF-6F16-464C-AAD1-9920A27C1EF5}"/>
    <cellStyle name="Normal 2 3" xfId="11" xr:uid="{179DD831-4B53-4125-97DD-D016333A2D2E}"/>
    <cellStyle name="Normal 2 4" xfId="8" xr:uid="{E3BBEAEC-639E-4785-8015-5703066D1266}"/>
    <cellStyle name="Normal 3" xfId="7" xr:uid="{55CC506B-3013-44CB-A1F6-432E143FC5C8}"/>
    <cellStyle name="Normal 3 2" xfId="9" xr:uid="{7E59C520-2A73-4759-BC4D-C8C2377A31B5}"/>
    <cellStyle name="Normal 5 2" xfId="3" xr:uid="{DFE38CD1-1FEA-4AAD-8B75-9C945F24FD81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974C-C9A4-443E-8938-78477F9D9876}">
  <dimension ref="A1:K72"/>
  <sheetViews>
    <sheetView tabSelected="1" workbookViewId="0">
      <pane ySplit="4" topLeftCell="A35" activePane="bottomLeft" state="frozen"/>
      <selection pane="bottomLeft" activeCell="O42" sqref="O42"/>
    </sheetView>
  </sheetViews>
  <sheetFormatPr defaultRowHeight="14.4" x14ac:dyDescent="0.3"/>
  <cols>
    <col min="1" max="1" width="14.33203125" customWidth="1"/>
    <col min="3" max="3" width="16.33203125" bestFit="1" customWidth="1"/>
    <col min="4" max="4" width="13.6640625" bestFit="1" customWidth="1"/>
    <col min="5" max="5" width="12.5546875" bestFit="1" customWidth="1"/>
    <col min="6" max="6" width="13.6640625" bestFit="1" customWidth="1"/>
    <col min="7" max="7" width="15" customWidth="1"/>
    <col min="8" max="8" width="12.5546875" hidden="1" customWidth="1"/>
    <col min="9" max="9" width="0" hidden="1" customWidth="1"/>
  </cols>
  <sheetData>
    <row r="1" spans="1:9" x14ac:dyDescent="0.3">
      <c r="A1" t="s">
        <v>1</v>
      </c>
    </row>
    <row r="2" spans="1:9" x14ac:dyDescent="0.3">
      <c r="A2" t="s">
        <v>30</v>
      </c>
    </row>
    <row r="3" spans="1:9" x14ac:dyDescent="0.3">
      <c r="A3" t="s">
        <v>20</v>
      </c>
    </row>
    <row r="4" spans="1:9" x14ac:dyDescent="0.3">
      <c r="A4" t="s">
        <v>2</v>
      </c>
      <c r="B4" t="s">
        <v>3</v>
      </c>
      <c r="C4" t="s">
        <v>4</v>
      </c>
      <c r="D4" t="s">
        <v>0</v>
      </c>
      <c r="E4" t="s">
        <v>5</v>
      </c>
      <c r="F4" t="s">
        <v>21</v>
      </c>
      <c r="G4" t="s">
        <v>18</v>
      </c>
      <c r="I4" t="s">
        <v>19</v>
      </c>
    </row>
    <row r="5" spans="1:9" x14ac:dyDescent="0.3">
      <c r="A5" t="s">
        <v>6</v>
      </c>
      <c r="B5">
        <v>2022</v>
      </c>
      <c r="C5" s="1">
        <f>698+7829+4151466</f>
        <v>4159993</v>
      </c>
      <c r="D5" s="1">
        <f>186+1324+2499</f>
        <v>4009</v>
      </c>
      <c r="E5" s="1">
        <v>7840</v>
      </c>
      <c r="F5" s="1">
        <v>15724</v>
      </c>
      <c r="G5" s="1">
        <f t="shared" ref="G5:G52" si="0">SUM(C5:F5)</f>
        <v>4187566</v>
      </c>
      <c r="H5" s="1">
        <v>4187566</v>
      </c>
      <c r="I5" s="2">
        <f t="shared" ref="I5:I22" si="1">+H5-G5</f>
        <v>0</v>
      </c>
    </row>
    <row r="6" spans="1:9" x14ac:dyDescent="0.3">
      <c r="A6" t="s">
        <v>7</v>
      </c>
      <c r="B6">
        <v>2022</v>
      </c>
      <c r="C6" s="1">
        <f>1769+14087+7320623</f>
        <v>7336479</v>
      </c>
      <c r="D6" s="1">
        <f>386+1604+3257</f>
        <v>5247</v>
      </c>
      <c r="E6" s="1">
        <v>5440</v>
      </c>
      <c r="F6" s="1">
        <v>14987</v>
      </c>
      <c r="G6" s="1">
        <f t="shared" si="0"/>
        <v>7362153</v>
      </c>
      <c r="H6" s="1">
        <v>7362153</v>
      </c>
      <c r="I6" s="2">
        <f t="shared" si="1"/>
        <v>0</v>
      </c>
    </row>
    <row r="7" spans="1:9" x14ac:dyDescent="0.3">
      <c r="A7" t="s">
        <v>17</v>
      </c>
      <c r="B7">
        <v>2022</v>
      </c>
      <c r="C7" s="1">
        <f>4088+21272+11530802</f>
        <v>11556162</v>
      </c>
      <c r="D7" s="1">
        <f>2262+755+4851</f>
        <v>7868</v>
      </c>
      <c r="E7" s="1">
        <v>13440</v>
      </c>
      <c r="F7" s="1">
        <v>35685</v>
      </c>
      <c r="G7" s="1">
        <f>SUM(C7:F7)</f>
        <v>11613155</v>
      </c>
      <c r="H7" s="1">
        <v>11613155</v>
      </c>
      <c r="I7" s="2">
        <f>+H7-G7</f>
        <v>0</v>
      </c>
    </row>
    <row r="8" spans="1:9" x14ac:dyDescent="0.3">
      <c r="A8" t="s">
        <v>8</v>
      </c>
      <c r="B8">
        <v>2022</v>
      </c>
      <c r="C8" s="1">
        <f>2768+24902+13364797</f>
        <v>13392467</v>
      </c>
      <c r="D8" s="1">
        <f>2284+461+4309</f>
        <v>7054</v>
      </c>
      <c r="E8" s="1">
        <v>16160</v>
      </c>
      <c r="F8" s="1">
        <v>15536</v>
      </c>
      <c r="G8" s="1">
        <f t="shared" si="0"/>
        <v>13431217</v>
      </c>
      <c r="H8" s="1">
        <v>13431217</v>
      </c>
      <c r="I8" s="2">
        <f t="shared" si="1"/>
        <v>0</v>
      </c>
    </row>
    <row r="9" spans="1:9" x14ac:dyDescent="0.3">
      <c r="A9" t="s">
        <v>9</v>
      </c>
      <c r="B9">
        <v>2022</v>
      </c>
      <c r="C9" s="1">
        <f>3431+27842+14148426</f>
        <v>14179699</v>
      </c>
      <c r="D9" s="1">
        <f>456+2179+2873</f>
        <v>5508</v>
      </c>
      <c r="E9" s="1">
        <v>10400</v>
      </c>
      <c r="F9" s="1">
        <v>137414</v>
      </c>
      <c r="G9" s="1">
        <f t="shared" si="0"/>
        <v>14333021</v>
      </c>
      <c r="H9" s="1">
        <v>14333021</v>
      </c>
      <c r="I9" s="2">
        <f t="shared" si="1"/>
        <v>0</v>
      </c>
    </row>
    <row r="10" spans="1:9" x14ac:dyDescent="0.3">
      <c r="A10" t="s">
        <v>10</v>
      </c>
      <c r="B10">
        <v>2022</v>
      </c>
      <c r="C10" s="1">
        <f>5056+27897+18126840</f>
        <v>18159793</v>
      </c>
      <c r="D10" s="1">
        <f>2076+607+5533</f>
        <v>8216</v>
      </c>
      <c r="E10" s="1">
        <v>960</v>
      </c>
      <c r="F10" s="1">
        <v>197116</v>
      </c>
      <c r="G10" s="1">
        <f t="shared" si="0"/>
        <v>18366085</v>
      </c>
      <c r="H10" s="1">
        <v>18366085</v>
      </c>
      <c r="I10" s="2">
        <f t="shared" si="1"/>
        <v>0</v>
      </c>
    </row>
    <row r="11" spans="1:9" x14ac:dyDescent="0.3">
      <c r="A11" t="s">
        <v>11</v>
      </c>
      <c r="B11">
        <v>2022</v>
      </c>
      <c r="C11" s="1">
        <f>3428+26467+18497785</f>
        <v>18527680</v>
      </c>
      <c r="D11" s="1">
        <f>205+167+2920</f>
        <v>3292</v>
      </c>
      <c r="E11" s="1">
        <v>800</v>
      </c>
      <c r="F11" s="1">
        <v>162888</v>
      </c>
      <c r="G11" s="1">
        <f t="shared" si="0"/>
        <v>18694660</v>
      </c>
      <c r="H11" s="1">
        <v>18694660</v>
      </c>
      <c r="I11" s="2">
        <f t="shared" si="1"/>
        <v>0</v>
      </c>
    </row>
    <row r="12" spans="1:9" x14ac:dyDescent="0.3">
      <c r="A12" t="s">
        <v>12</v>
      </c>
      <c r="B12">
        <v>2022</v>
      </c>
      <c r="C12" s="1">
        <f>1888+24438+16949758</f>
        <v>16976084</v>
      </c>
      <c r="D12" s="1">
        <f>277+1913+1931</f>
        <v>4121</v>
      </c>
      <c r="E12" s="1">
        <v>12480</v>
      </c>
      <c r="F12" s="1">
        <v>58198</v>
      </c>
      <c r="G12" s="1">
        <f t="shared" si="0"/>
        <v>17050883</v>
      </c>
      <c r="H12" s="1">
        <v>17050883</v>
      </c>
      <c r="I12" s="2">
        <f t="shared" si="1"/>
        <v>0</v>
      </c>
    </row>
    <row r="13" spans="1:9" x14ac:dyDescent="0.3">
      <c r="A13" t="s">
        <v>13</v>
      </c>
      <c r="B13">
        <v>2022</v>
      </c>
      <c r="C13" s="1">
        <f>1900+19960+15483378</f>
        <v>15505238</v>
      </c>
      <c r="D13" s="1">
        <f>267+2088+2174</f>
        <v>4529</v>
      </c>
      <c r="E13" s="1">
        <v>7520</v>
      </c>
      <c r="F13" s="1">
        <v>3369</v>
      </c>
      <c r="G13" s="1">
        <f t="shared" si="0"/>
        <v>15520656</v>
      </c>
      <c r="H13" s="1">
        <v>15520656</v>
      </c>
      <c r="I13" s="2">
        <f t="shared" si="1"/>
        <v>0</v>
      </c>
    </row>
    <row r="14" spans="1:9" x14ac:dyDescent="0.3">
      <c r="A14" t="s">
        <v>14</v>
      </c>
      <c r="B14">
        <v>2022</v>
      </c>
      <c r="C14" s="1">
        <f>1954+16089+12197022</f>
        <v>12215065</v>
      </c>
      <c r="D14" s="1">
        <f>491+2094+4934</f>
        <v>7519</v>
      </c>
      <c r="E14" s="1">
        <v>880</v>
      </c>
      <c r="F14" s="1">
        <v>2187</v>
      </c>
      <c r="G14" s="1">
        <f t="shared" si="0"/>
        <v>12225651</v>
      </c>
      <c r="H14" s="1">
        <v>12225651</v>
      </c>
      <c r="I14" s="2">
        <f t="shared" si="1"/>
        <v>0</v>
      </c>
    </row>
    <row r="15" spans="1:9" x14ac:dyDescent="0.3">
      <c r="A15" t="s">
        <v>15</v>
      </c>
      <c r="B15">
        <v>2022</v>
      </c>
      <c r="C15" s="1">
        <f>143+4250+9424775</f>
        <v>9429168</v>
      </c>
      <c r="D15" s="1">
        <f>1595+8728+2833</f>
        <v>13156</v>
      </c>
      <c r="E15" s="1">
        <v>3600</v>
      </c>
      <c r="F15" s="1">
        <v>19356</v>
      </c>
      <c r="G15" s="1">
        <f t="shared" si="0"/>
        <v>9465280</v>
      </c>
      <c r="H15" s="1">
        <v>9465280</v>
      </c>
      <c r="I15" s="2">
        <f t="shared" si="1"/>
        <v>0</v>
      </c>
    </row>
    <row r="16" spans="1:9" x14ac:dyDescent="0.3">
      <c r="A16" t="s">
        <v>16</v>
      </c>
      <c r="B16">
        <v>2022</v>
      </c>
      <c r="C16" s="1">
        <f>476+4428+7077737</f>
        <v>7082641</v>
      </c>
      <c r="D16" s="1">
        <f>425+1873+3841</f>
        <v>6139</v>
      </c>
      <c r="E16" s="1">
        <v>5360</v>
      </c>
      <c r="F16" s="1">
        <v>39810</v>
      </c>
      <c r="G16" s="1">
        <f t="shared" si="0"/>
        <v>7133950</v>
      </c>
      <c r="H16" s="1">
        <v>7133950</v>
      </c>
      <c r="I16" s="2">
        <f t="shared" si="1"/>
        <v>0</v>
      </c>
    </row>
    <row r="17" spans="1:11" x14ac:dyDescent="0.3">
      <c r="A17" t="s">
        <v>6</v>
      </c>
      <c r="B17">
        <v>2023</v>
      </c>
      <c r="C17" s="1">
        <f>609+6755+8060297+648</f>
        <v>8068309</v>
      </c>
      <c r="D17" s="1">
        <f>458+2155+1595</f>
        <v>4208</v>
      </c>
      <c r="E17" s="1">
        <v>5920</v>
      </c>
      <c r="F17" s="1">
        <v>25884</v>
      </c>
      <c r="G17" s="1">
        <f t="shared" si="0"/>
        <v>8104321</v>
      </c>
      <c r="H17" s="1">
        <v>8104321</v>
      </c>
      <c r="I17" s="2">
        <f t="shared" si="1"/>
        <v>0</v>
      </c>
    </row>
    <row r="18" spans="1:11" x14ac:dyDescent="0.3">
      <c r="A18" t="s">
        <v>7</v>
      </c>
      <c r="B18">
        <v>2023</v>
      </c>
      <c r="C18" s="1">
        <f>1123+10660+12887185</f>
        <v>12898968</v>
      </c>
      <c r="D18" s="1">
        <f>748+3133+2286</f>
        <v>6167</v>
      </c>
      <c r="E18" s="1">
        <v>5680</v>
      </c>
      <c r="F18" s="1">
        <v>1024</v>
      </c>
      <c r="G18" s="1">
        <f t="shared" si="0"/>
        <v>12911839</v>
      </c>
      <c r="H18" s="1">
        <v>12911839</v>
      </c>
      <c r="I18" s="2">
        <f t="shared" si="1"/>
        <v>0</v>
      </c>
    </row>
    <row r="19" spans="1:11" x14ac:dyDescent="0.3">
      <c r="A19" t="s">
        <v>17</v>
      </c>
      <c r="B19">
        <v>2023</v>
      </c>
      <c r="C19" s="1">
        <f>2276+19245+21895071+40</f>
        <v>21916632</v>
      </c>
      <c r="D19" s="1">
        <f>5435+1304+3003</f>
        <v>9742</v>
      </c>
      <c r="E19" s="1">
        <v>6640</v>
      </c>
      <c r="F19" s="1">
        <v>33350</v>
      </c>
      <c r="G19" s="1">
        <f t="shared" si="0"/>
        <v>21966364</v>
      </c>
      <c r="H19" s="1">
        <v>21966364</v>
      </c>
      <c r="I19" s="2">
        <f t="shared" si="1"/>
        <v>0</v>
      </c>
    </row>
    <row r="20" spans="1:11" x14ac:dyDescent="0.3">
      <c r="A20" t="s">
        <v>8</v>
      </c>
      <c r="B20">
        <v>2023</v>
      </c>
      <c r="C20" s="1">
        <f>2506+21204+22353902</f>
        <v>22377612</v>
      </c>
      <c r="D20" s="1">
        <f>1170+5033+2780</f>
        <v>8983</v>
      </c>
      <c r="E20" s="1">
        <v>2640</v>
      </c>
      <c r="F20" s="1">
        <v>17128</v>
      </c>
      <c r="G20" s="1">
        <f t="shared" si="0"/>
        <v>22406363</v>
      </c>
      <c r="H20" s="1">
        <v>22406363</v>
      </c>
      <c r="I20" s="2">
        <f t="shared" si="1"/>
        <v>0</v>
      </c>
      <c r="K20" s="2"/>
    </row>
    <row r="21" spans="1:11" x14ac:dyDescent="0.3">
      <c r="A21" t="s">
        <v>9</v>
      </c>
      <c r="B21">
        <v>2023</v>
      </c>
      <c r="C21" s="1">
        <f>2652+26293+30438427</f>
        <v>30467372</v>
      </c>
      <c r="D21" s="1">
        <f>1088+5518+3614</f>
        <v>10220</v>
      </c>
      <c r="E21" s="1">
        <v>0</v>
      </c>
      <c r="F21" s="1">
        <v>1532</v>
      </c>
      <c r="G21" s="1">
        <f t="shared" si="0"/>
        <v>30479124</v>
      </c>
      <c r="H21" s="1">
        <v>30479124</v>
      </c>
      <c r="I21" s="2">
        <f t="shared" si="1"/>
        <v>0</v>
      </c>
    </row>
    <row r="22" spans="1:11" x14ac:dyDescent="0.3">
      <c r="A22" t="s">
        <v>10</v>
      </c>
      <c r="B22">
        <v>2023</v>
      </c>
      <c r="C22" s="1">
        <f>1086+19979+28431133</f>
        <v>28452198</v>
      </c>
      <c r="D22" s="1">
        <f>421+3864+1935</f>
        <v>6220</v>
      </c>
      <c r="E22" s="1">
        <v>160</v>
      </c>
      <c r="F22" s="1">
        <v>772</v>
      </c>
      <c r="G22" s="1">
        <f t="shared" si="0"/>
        <v>28459350</v>
      </c>
      <c r="H22" s="1">
        <v>28459350</v>
      </c>
      <c r="I22" s="2">
        <f t="shared" si="1"/>
        <v>0</v>
      </c>
    </row>
    <row r="23" spans="1:11" x14ac:dyDescent="0.3">
      <c r="A23" t="s">
        <v>11</v>
      </c>
      <c r="B23">
        <v>2023</v>
      </c>
      <c r="C23" s="1">
        <v>31929580</v>
      </c>
      <c r="D23" s="1">
        <v>5970</v>
      </c>
      <c r="E23" s="1">
        <v>80</v>
      </c>
      <c r="F23" s="1">
        <v>1</v>
      </c>
      <c r="G23" s="1">
        <f t="shared" si="0"/>
        <v>31935631</v>
      </c>
      <c r="H23" s="1"/>
      <c r="I23" s="2"/>
    </row>
    <row r="24" spans="1:11" x14ac:dyDescent="0.3">
      <c r="A24" t="s">
        <v>12</v>
      </c>
      <c r="B24">
        <v>2023</v>
      </c>
      <c r="C24" s="1">
        <v>32375613</v>
      </c>
      <c r="D24" s="1">
        <v>8218</v>
      </c>
      <c r="E24" s="1">
        <v>2720</v>
      </c>
      <c r="F24" s="1">
        <v>5917</v>
      </c>
      <c r="G24" s="1">
        <f t="shared" si="0"/>
        <v>32392468</v>
      </c>
      <c r="H24" s="1"/>
      <c r="I24" s="2"/>
    </row>
    <row r="25" spans="1:11" x14ac:dyDescent="0.3">
      <c r="A25" t="s">
        <v>13</v>
      </c>
      <c r="B25">
        <v>2023</v>
      </c>
      <c r="C25" s="1">
        <v>25845394</v>
      </c>
      <c r="D25" s="1">
        <v>6772</v>
      </c>
      <c r="E25" s="1">
        <v>5680</v>
      </c>
      <c r="F25" s="1">
        <v>518</v>
      </c>
      <c r="G25" s="1">
        <f t="shared" si="0"/>
        <v>25858364</v>
      </c>
      <c r="H25" s="1"/>
      <c r="I25" s="2"/>
    </row>
    <row r="26" spans="1:11" x14ac:dyDescent="0.3">
      <c r="A26" t="s">
        <v>14</v>
      </c>
      <c r="B26">
        <v>2023</v>
      </c>
      <c r="C26" s="1">
        <v>15983353</v>
      </c>
      <c r="D26" s="1">
        <v>5204</v>
      </c>
      <c r="E26" s="1">
        <v>8640</v>
      </c>
      <c r="F26" s="1">
        <v>30500</v>
      </c>
      <c r="G26" s="1">
        <f t="shared" si="0"/>
        <v>16027697</v>
      </c>
      <c r="H26" s="1"/>
      <c r="I26" s="2"/>
    </row>
    <row r="27" spans="1:11" x14ac:dyDescent="0.3">
      <c r="A27" t="s">
        <v>15</v>
      </c>
      <c r="B27">
        <v>2023</v>
      </c>
      <c r="C27" s="1">
        <v>15503977</v>
      </c>
      <c r="D27" s="1">
        <v>6567</v>
      </c>
      <c r="E27" s="1">
        <v>5360</v>
      </c>
      <c r="F27" s="1">
        <v>31668</v>
      </c>
      <c r="G27" s="1">
        <f t="shared" si="0"/>
        <v>15547572</v>
      </c>
      <c r="H27" s="1"/>
      <c r="I27" s="2"/>
    </row>
    <row r="28" spans="1:11" x14ac:dyDescent="0.3">
      <c r="A28" t="s">
        <v>16</v>
      </c>
      <c r="B28">
        <v>2023</v>
      </c>
      <c r="C28" s="1">
        <v>11954735</v>
      </c>
      <c r="D28" s="1">
        <v>4001</v>
      </c>
      <c r="E28" s="1">
        <v>7520</v>
      </c>
      <c r="F28" s="1">
        <v>26332</v>
      </c>
      <c r="G28" s="1">
        <f t="shared" si="0"/>
        <v>11992588</v>
      </c>
      <c r="H28" s="1"/>
      <c r="I28" s="2"/>
    </row>
    <row r="29" spans="1:11" x14ac:dyDescent="0.3">
      <c r="A29" t="s">
        <v>6</v>
      </c>
      <c r="B29">
        <v>2024</v>
      </c>
      <c r="C29" s="1">
        <v>15628978</v>
      </c>
      <c r="D29" s="1">
        <v>4797</v>
      </c>
      <c r="E29" s="1">
        <v>7760</v>
      </c>
      <c r="F29" s="1">
        <v>40736</v>
      </c>
      <c r="G29" s="1">
        <f t="shared" si="0"/>
        <v>15682271</v>
      </c>
      <c r="H29" s="1"/>
      <c r="I29" s="2"/>
    </row>
    <row r="30" spans="1:11" x14ac:dyDescent="0.3">
      <c r="A30" t="s">
        <v>7</v>
      </c>
      <c r="B30">
        <v>2024</v>
      </c>
      <c r="C30" s="1">
        <v>31816575</v>
      </c>
      <c r="D30" s="1">
        <v>8034</v>
      </c>
      <c r="E30" s="1">
        <v>7040</v>
      </c>
      <c r="F30" s="1">
        <v>20188</v>
      </c>
      <c r="G30" s="1">
        <f t="shared" si="0"/>
        <v>31851837</v>
      </c>
      <c r="H30" s="1"/>
      <c r="I30" s="2"/>
    </row>
    <row r="31" spans="1:11" x14ac:dyDescent="0.3">
      <c r="A31" t="s">
        <v>17</v>
      </c>
      <c r="B31">
        <v>2024</v>
      </c>
      <c r="C31" s="1">
        <v>29753753</v>
      </c>
      <c r="D31" s="1">
        <v>7514</v>
      </c>
      <c r="E31" s="1">
        <v>6880</v>
      </c>
      <c r="F31" s="1">
        <v>35182</v>
      </c>
      <c r="G31" s="1">
        <f t="shared" si="0"/>
        <v>29803329</v>
      </c>
      <c r="H31" s="1"/>
      <c r="I31" s="2"/>
    </row>
    <row r="32" spans="1:11" x14ac:dyDescent="0.3">
      <c r="A32" t="s">
        <v>8</v>
      </c>
      <c r="B32">
        <v>2024</v>
      </c>
      <c r="C32" s="1">
        <v>40392251</v>
      </c>
      <c r="D32" s="1">
        <v>10161</v>
      </c>
      <c r="E32" s="1">
        <v>2160</v>
      </c>
      <c r="F32" s="1">
        <v>35877</v>
      </c>
      <c r="G32" s="1">
        <f t="shared" si="0"/>
        <v>40440449</v>
      </c>
      <c r="H32" s="1"/>
      <c r="I32" s="2"/>
    </row>
    <row r="33" spans="1:9" x14ac:dyDescent="0.3">
      <c r="A33" t="s">
        <v>9</v>
      </c>
      <c r="B33">
        <v>2024</v>
      </c>
      <c r="C33" s="1">
        <v>51784514</v>
      </c>
      <c r="D33" s="1">
        <v>11256</v>
      </c>
      <c r="E33" s="1">
        <v>0</v>
      </c>
      <c r="F33" s="1">
        <v>28573</v>
      </c>
      <c r="G33" s="1">
        <f t="shared" si="0"/>
        <v>51824343</v>
      </c>
      <c r="H33" s="1"/>
      <c r="I33" s="2"/>
    </row>
    <row r="34" spans="1:9" x14ac:dyDescent="0.3">
      <c r="A34" t="s">
        <v>10</v>
      </c>
      <c r="B34">
        <v>2024</v>
      </c>
      <c r="C34" s="1">
        <v>46936165</v>
      </c>
      <c r="D34" s="1">
        <v>7963</v>
      </c>
      <c r="E34" s="1">
        <v>80</v>
      </c>
      <c r="F34" s="1">
        <v>31122</v>
      </c>
      <c r="G34" s="1">
        <f t="shared" si="0"/>
        <v>46975330</v>
      </c>
      <c r="H34" s="1"/>
      <c r="I34" s="2"/>
    </row>
    <row r="35" spans="1:9" x14ac:dyDescent="0.3">
      <c r="A35" t="s">
        <v>11</v>
      </c>
      <c r="B35">
        <v>2024</v>
      </c>
      <c r="C35" s="1">
        <v>50101981</v>
      </c>
      <c r="D35" s="1">
        <v>6714</v>
      </c>
      <c r="E35" s="1">
        <v>80</v>
      </c>
      <c r="F35" s="1">
        <v>20632</v>
      </c>
      <c r="G35" s="1">
        <f t="shared" si="0"/>
        <v>50129407</v>
      </c>
      <c r="H35" s="1"/>
      <c r="I35" s="2"/>
    </row>
    <row r="36" spans="1:9" x14ac:dyDescent="0.3">
      <c r="A36" t="s">
        <v>12</v>
      </c>
      <c r="B36">
        <v>2024</v>
      </c>
      <c r="C36" s="1">
        <v>51294597</v>
      </c>
      <c r="D36" s="1">
        <v>10630</v>
      </c>
      <c r="E36" s="1">
        <v>0</v>
      </c>
      <c r="F36" s="1">
        <v>1684</v>
      </c>
      <c r="G36" s="1">
        <f t="shared" si="0"/>
        <v>51306911</v>
      </c>
      <c r="H36" s="1"/>
      <c r="I36" s="2"/>
    </row>
    <row r="37" spans="1:9" x14ac:dyDescent="0.3">
      <c r="A37" t="s">
        <v>13</v>
      </c>
      <c r="B37">
        <v>2024</v>
      </c>
      <c r="C37" s="8">
        <v>39186828</v>
      </c>
      <c r="D37" s="8">
        <v>1419</v>
      </c>
      <c r="E37" s="8">
        <v>2080</v>
      </c>
      <c r="F37" s="8">
        <v>4263</v>
      </c>
      <c r="G37" s="8">
        <f t="shared" si="0"/>
        <v>39194590</v>
      </c>
      <c r="H37" s="1"/>
      <c r="I37" s="2"/>
    </row>
    <row r="38" spans="1:9" x14ac:dyDescent="0.3">
      <c r="A38" t="s">
        <v>14</v>
      </c>
      <c r="B38">
        <v>2024</v>
      </c>
      <c r="C38" s="8">
        <v>34005132</v>
      </c>
      <c r="D38" s="8">
        <v>1756</v>
      </c>
      <c r="E38" s="8">
        <v>2880</v>
      </c>
      <c r="F38" s="8">
        <v>1340</v>
      </c>
      <c r="G38" s="8">
        <f t="shared" si="0"/>
        <v>34011108</v>
      </c>
      <c r="H38" s="1"/>
      <c r="I38" s="2"/>
    </row>
    <row r="39" spans="1:9" x14ac:dyDescent="0.3">
      <c r="A39" t="s">
        <v>15</v>
      </c>
      <c r="B39">
        <v>2024</v>
      </c>
      <c r="C39" s="8">
        <v>25527185</v>
      </c>
      <c r="D39" s="8">
        <v>1521</v>
      </c>
      <c r="E39" s="8">
        <v>8320</v>
      </c>
      <c r="F39" s="8">
        <v>3256</v>
      </c>
      <c r="G39" s="8">
        <f t="shared" si="0"/>
        <v>25540282</v>
      </c>
      <c r="H39" s="1"/>
      <c r="I39" s="2"/>
    </row>
    <row r="40" spans="1:9" x14ac:dyDescent="0.3">
      <c r="A40" t="s">
        <v>16</v>
      </c>
      <c r="B40">
        <v>2024</v>
      </c>
      <c r="C40" s="8">
        <v>26363824</v>
      </c>
      <c r="D40" s="8">
        <v>1821</v>
      </c>
      <c r="E40" s="8">
        <v>7280</v>
      </c>
      <c r="F40" s="8">
        <v>13496</v>
      </c>
      <c r="G40" s="8">
        <f t="shared" si="0"/>
        <v>26386421</v>
      </c>
      <c r="H40" s="1"/>
      <c r="I40" s="2"/>
    </row>
    <row r="41" spans="1:9" x14ac:dyDescent="0.3">
      <c r="A41" t="s">
        <v>6</v>
      </c>
      <c r="B41">
        <v>2025</v>
      </c>
      <c r="C41" s="8">
        <v>27203007</v>
      </c>
      <c r="D41" s="8">
        <v>1954</v>
      </c>
      <c r="E41" s="8">
        <v>7200</v>
      </c>
      <c r="F41" s="8">
        <v>7057</v>
      </c>
      <c r="G41" s="8">
        <f t="shared" si="0"/>
        <v>27219218</v>
      </c>
      <c r="H41" s="1"/>
      <c r="I41" s="2"/>
    </row>
    <row r="42" spans="1:9" x14ac:dyDescent="0.3">
      <c r="A42" t="s">
        <v>7</v>
      </c>
      <c r="B42">
        <v>2025</v>
      </c>
      <c r="C42" s="8">
        <v>38772716</v>
      </c>
      <c r="D42" s="8">
        <v>2415</v>
      </c>
      <c r="E42" s="8">
        <v>6480</v>
      </c>
      <c r="F42" s="8">
        <v>10950</v>
      </c>
      <c r="G42" s="8">
        <f t="shared" si="0"/>
        <v>38792561</v>
      </c>
      <c r="H42" s="1"/>
      <c r="I42" s="2"/>
    </row>
    <row r="43" spans="1:9" x14ac:dyDescent="0.3">
      <c r="A43" t="s">
        <v>17</v>
      </c>
      <c r="B43">
        <v>2025</v>
      </c>
      <c r="C43" s="8">
        <v>57786291</v>
      </c>
      <c r="D43" s="8">
        <v>2213</v>
      </c>
      <c r="E43" s="8">
        <v>6080</v>
      </c>
      <c r="F43" s="8">
        <v>52103</v>
      </c>
      <c r="G43" s="8">
        <f t="shared" si="0"/>
        <v>57846687</v>
      </c>
      <c r="H43" s="1"/>
      <c r="I43" s="2"/>
    </row>
    <row r="44" spans="1:9" x14ac:dyDescent="0.3">
      <c r="A44" t="s">
        <v>8</v>
      </c>
      <c r="B44">
        <v>2025</v>
      </c>
      <c r="C44" s="8">
        <v>65300941</v>
      </c>
      <c r="D44" s="8">
        <v>2342</v>
      </c>
      <c r="E44" s="9">
        <v>0</v>
      </c>
      <c r="F44" s="8">
        <v>52393</v>
      </c>
      <c r="G44" s="8">
        <f t="shared" si="0"/>
        <v>65355676</v>
      </c>
      <c r="H44" s="1"/>
      <c r="I44" s="2"/>
    </row>
    <row r="45" spans="1:9" x14ac:dyDescent="0.3">
      <c r="A45" t="s">
        <v>9</v>
      </c>
      <c r="B45">
        <v>2025</v>
      </c>
      <c r="C45" s="8">
        <v>67519029</v>
      </c>
      <c r="D45" s="8">
        <v>1862</v>
      </c>
      <c r="E45" s="8">
        <v>0</v>
      </c>
      <c r="F45" s="8">
        <v>39923</v>
      </c>
      <c r="G45" s="8">
        <f t="shared" si="0"/>
        <v>67560814</v>
      </c>
      <c r="H45" s="1"/>
      <c r="I45" s="2"/>
    </row>
    <row r="46" spans="1:9" x14ac:dyDescent="0.3">
      <c r="A46" t="s">
        <v>10</v>
      </c>
      <c r="B46">
        <v>2025</v>
      </c>
      <c r="C46" s="8">
        <v>74608223</v>
      </c>
      <c r="D46" s="8">
        <v>1750</v>
      </c>
      <c r="E46" s="8">
        <v>0</v>
      </c>
      <c r="F46" s="8">
        <v>17033</v>
      </c>
      <c r="G46" s="8">
        <f t="shared" si="0"/>
        <v>74627006</v>
      </c>
      <c r="H46" s="1"/>
      <c r="I46" s="2"/>
    </row>
    <row r="47" spans="1:9" x14ac:dyDescent="0.3">
      <c r="A47" t="s">
        <v>11</v>
      </c>
      <c r="B47">
        <v>2025</v>
      </c>
      <c r="C47" s="8">
        <v>84048929</v>
      </c>
      <c r="D47" s="8">
        <v>1350</v>
      </c>
      <c r="E47" s="8">
        <v>0</v>
      </c>
      <c r="F47" s="8">
        <v>4759</v>
      </c>
      <c r="G47" s="8">
        <f t="shared" si="0"/>
        <v>84055038</v>
      </c>
      <c r="H47" s="1"/>
      <c r="I47" s="2"/>
    </row>
    <row r="48" spans="1:9" x14ac:dyDescent="0.3">
      <c r="A48" s="3" t="s">
        <v>12</v>
      </c>
      <c r="B48" s="3">
        <v>2025</v>
      </c>
      <c r="C48" s="4">
        <v>73758119.477859512</v>
      </c>
      <c r="D48" s="4">
        <v>10630</v>
      </c>
      <c r="E48" s="4">
        <v>0</v>
      </c>
      <c r="F48" s="4">
        <v>1684</v>
      </c>
      <c r="G48" s="4">
        <f t="shared" si="0"/>
        <v>73770433.477859512</v>
      </c>
      <c r="H48" s="1"/>
      <c r="I48" s="2"/>
    </row>
    <row r="49" spans="1:9" x14ac:dyDescent="0.3">
      <c r="A49" s="3" t="s">
        <v>13</v>
      </c>
      <c r="B49" s="3">
        <v>2025</v>
      </c>
      <c r="C49" s="4">
        <v>55067069.751869716</v>
      </c>
      <c r="D49" s="4">
        <v>1419</v>
      </c>
      <c r="E49" s="4">
        <v>2080</v>
      </c>
      <c r="F49" s="4">
        <v>4263</v>
      </c>
      <c r="G49" s="4">
        <f t="shared" si="0"/>
        <v>55074831.751869716</v>
      </c>
      <c r="H49" s="1"/>
      <c r="I49" s="2"/>
    </row>
    <row r="50" spans="1:9" x14ac:dyDescent="0.3">
      <c r="A50" s="3" t="s">
        <v>14</v>
      </c>
      <c r="B50" s="3">
        <v>2025</v>
      </c>
      <c r="C50" s="4">
        <v>46005491.842313498</v>
      </c>
      <c r="D50" s="4">
        <v>1756</v>
      </c>
      <c r="E50" s="4">
        <v>2880</v>
      </c>
      <c r="F50" s="4">
        <v>1340</v>
      </c>
      <c r="G50" s="4">
        <f t="shared" si="0"/>
        <v>46011467.842313498</v>
      </c>
      <c r="H50" s="1"/>
      <c r="I50" s="2"/>
    </row>
    <row r="51" spans="1:9" x14ac:dyDescent="0.3">
      <c r="A51" s="3" t="s">
        <v>15</v>
      </c>
      <c r="B51" s="3">
        <v>2025</v>
      </c>
      <c r="C51" s="4">
        <v>31842877.275067713</v>
      </c>
      <c r="D51" s="4">
        <v>1521</v>
      </c>
      <c r="E51" s="4">
        <v>8320</v>
      </c>
      <c r="F51" s="4">
        <v>3256</v>
      </c>
      <c r="G51" s="4">
        <f t="shared" si="0"/>
        <v>31855974.275067713</v>
      </c>
      <c r="H51" s="1"/>
      <c r="I51" s="2"/>
    </row>
    <row r="52" spans="1:9" x14ac:dyDescent="0.3">
      <c r="A52" s="3" t="s">
        <v>16</v>
      </c>
      <c r="B52" s="3">
        <v>2025</v>
      </c>
      <c r="C52" s="4">
        <v>29650128.389511306</v>
      </c>
      <c r="D52" s="4">
        <v>1821</v>
      </c>
      <c r="E52" s="4">
        <v>7280</v>
      </c>
      <c r="F52" s="4">
        <v>13496</v>
      </c>
      <c r="G52" s="4">
        <f t="shared" si="0"/>
        <v>29672725.389511306</v>
      </c>
      <c r="H52" s="1"/>
      <c r="I52" s="2"/>
    </row>
    <row r="53" spans="1:9" x14ac:dyDescent="0.3">
      <c r="A53" s="3" t="s">
        <v>6</v>
      </c>
      <c r="B53" s="3">
        <v>2026</v>
      </c>
      <c r="C53" s="4">
        <v>30787720.611671224</v>
      </c>
      <c r="D53" s="4">
        <v>1954</v>
      </c>
      <c r="E53" s="4">
        <v>7200</v>
      </c>
      <c r="F53" s="4">
        <v>7057</v>
      </c>
      <c r="G53" s="4">
        <f t="shared" ref="G53:G64" si="2">SUM(C53:F53)</f>
        <v>30803931.611671224</v>
      </c>
      <c r="H53" s="1"/>
      <c r="I53" s="2"/>
    </row>
    <row r="54" spans="1:9" x14ac:dyDescent="0.3">
      <c r="A54" s="3" t="s">
        <v>7</v>
      </c>
      <c r="B54" s="3">
        <v>2026</v>
      </c>
      <c r="C54" s="4">
        <v>44221497.473851204</v>
      </c>
      <c r="D54" s="4">
        <v>2415</v>
      </c>
      <c r="E54" s="4">
        <v>6480</v>
      </c>
      <c r="F54" s="4">
        <v>10950</v>
      </c>
      <c r="G54" s="4">
        <f t="shared" si="2"/>
        <v>44241342.473851204</v>
      </c>
      <c r="H54" s="1"/>
      <c r="I54" s="2"/>
    </row>
    <row r="55" spans="1:9" x14ac:dyDescent="0.3">
      <c r="A55" s="3" t="s">
        <v>17</v>
      </c>
      <c r="B55" s="3">
        <v>2026</v>
      </c>
      <c r="C55" s="4">
        <v>66227540.508589722</v>
      </c>
      <c r="D55" s="4">
        <v>2213</v>
      </c>
      <c r="E55" s="4">
        <v>6080</v>
      </c>
      <c r="F55" s="4">
        <v>52103</v>
      </c>
      <c r="G55" s="4">
        <f t="shared" si="2"/>
        <v>66287936.508589722</v>
      </c>
      <c r="H55" s="1"/>
      <c r="I55" s="2"/>
    </row>
    <row r="56" spans="1:9" x14ac:dyDescent="0.3">
      <c r="A56" s="3" t="s">
        <v>8</v>
      </c>
      <c r="B56" s="3">
        <v>2026</v>
      </c>
      <c r="C56" s="4">
        <v>75196907.114061728</v>
      </c>
      <c r="D56" s="4">
        <v>2342</v>
      </c>
      <c r="E56" s="4">
        <v>0</v>
      </c>
      <c r="F56" s="4">
        <v>52393</v>
      </c>
      <c r="G56" s="4">
        <f t="shared" si="2"/>
        <v>75251642.114061728</v>
      </c>
      <c r="H56" s="1"/>
      <c r="I56" s="2"/>
    </row>
    <row r="57" spans="1:9" x14ac:dyDescent="0.3">
      <c r="A57" s="3" t="s">
        <v>9</v>
      </c>
      <c r="B57" s="3">
        <v>2026</v>
      </c>
      <c r="C57" s="4">
        <v>77834737.882319868</v>
      </c>
      <c r="D57" s="4">
        <v>1862</v>
      </c>
      <c r="E57" s="4">
        <v>0</v>
      </c>
      <c r="F57" s="4">
        <v>39923</v>
      </c>
      <c r="G57" s="4">
        <f t="shared" si="2"/>
        <v>77876522.882319868</v>
      </c>
      <c r="H57" s="1"/>
      <c r="I57" s="2"/>
    </row>
    <row r="58" spans="1:9" x14ac:dyDescent="0.3">
      <c r="A58" s="3" t="s">
        <v>10</v>
      </c>
      <c r="B58" s="3">
        <v>2026</v>
      </c>
      <c r="C58" s="4">
        <v>85787904.636581525</v>
      </c>
      <c r="D58" s="4">
        <v>1750</v>
      </c>
      <c r="E58" s="4">
        <v>0</v>
      </c>
      <c r="F58" s="4">
        <v>17033</v>
      </c>
      <c r="G58" s="4">
        <f t="shared" si="2"/>
        <v>85806687.636581525</v>
      </c>
      <c r="H58" s="1"/>
      <c r="I58" s="2"/>
    </row>
    <row r="59" spans="1:9" x14ac:dyDescent="0.3">
      <c r="A59" s="3" t="s">
        <v>11</v>
      </c>
      <c r="B59" s="3">
        <v>2026</v>
      </c>
      <c r="C59" s="4">
        <v>97107296.827275947</v>
      </c>
      <c r="D59" s="4">
        <v>1350</v>
      </c>
      <c r="E59" s="4">
        <v>0</v>
      </c>
      <c r="F59" s="4">
        <v>4759</v>
      </c>
      <c r="G59" s="4">
        <f t="shared" si="2"/>
        <v>97113405.827275947</v>
      </c>
      <c r="H59" s="1"/>
      <c r="I59" s="2"/>
    </row>
    <row r="60" spans="1:9" x14ac:dyDescent="0.3">
      <c r="A60" s="3" t="s">
        <v>12</v>
      </c>
      <c r="B60" s="3">
        <v>2026</v>
      </c>
      <c r="C60" s="4">
        <v>68236503.928355604</v>
      </c>
      <c r="D60" s="4">
        <v>10630</v>
      </c>
      <c r="E60" s="4">
        <v>0</v>
      </c>
      <c r="F60" s="4">
        <v>1684</v>
      </c>
      <c r="G60" s="4">
        <f t="shared" si="2"/>
        <v>68248817.928355604</v>
      </c>
      <c r="H60" s="1"/>
      <c r="I60" s="2"/>
    </row>
    <row r="61" spans="1:9" x14ac:dyDescent="0.3">
      <c r="A61" s="3" t="s">
        <v>13</v>
      </c>
      <c r="B61" s="3">
        <v>2026</v>
      </c>
      <c r="C61" s="4">
        <v>51954871.738923185</v>
      </c>
      <c r="D61" s="4">
        <v>1419</v>
      </c>
      <c r="E61" s="4">
        <v>2080</v>
      </c>
      <c r="F61" s="4">
        <v>4263</v>
      </c>
      <c r="G61" s="4">
        <f t="shared" si="2"/>
        <v>51962633.738923185</v>
      </c>
      <c r="H61" s="1"/>
      <c r="I61" s="2"/>
    </row>
    <row r="62" spans="1:9" x14ac:dyDescent="0.3">
      <c r="A62" s="3" t="s">
        <v>14</v>
      </c>
      <c r="B62" s="3">
        <v>2026</v>
      </c>
      <c r="C62" s="4">
        <v>44937163.440882482</v>
      </c>
      <c r="D62" s="4">
        <v>1756</v>
      </c>
      <c r="E62" s="4">
        <v>2880</v>
      </c>
      <c r="F62" s="4">
        <v>1340</v>
      </c>
      <c r="G62" s="4">
        <f t="shared" si="2"/>
        <v>44943139.440882482</v>
      </c>
      <c r="H62" s="1"/>
      <c r="I62" s="2"/>
    </row>
    <row r="63" spans="1:9" x14ac:dyDescent="0.3">
      <c r="A63" s="3" t="s">
        <v>15</v>
      </c>
      <c r="B63" s="3">
        <v>2026</v>
      </c>
      <c r="C63" s="4">
        <v>33625748.919333763</v>
      </c>
      <c r="D63" s="4">
        <v>1521</v>
      </c>
      <c r="E63" s="4">
        <v>8320</v>
      </c>
      <c r="F63" s="4">
        <v>3256</v>
      </c>
      <c r="G63" s="4">
        <f t="shared" si="2"/>
        <v>33638845.919333763</v>
      </c>
      <c r="H63" s="1"/>
      <c r="I63" s="2"/>
    </row>
    <row r="64" spans="1:9" x14ac:dyDescent="0.3">
      <c r="A64" s="3" t="s">
        <v>16</v>
      </c>
      <c r="B64" s="3">
        <v>2026</v>
      </c>
      <c r="C64" s="4">
        <v>34619197.53522253</v>
      </c>
      <c r="D64" s="4">
        <v>1821</v>
      </c>
      <c r="E64" s="4">
        <v>7280</v>
      </c>
      <c r="F64" s="4">
        <v>13496</v>
      </c>
      <c r="G64" s="4">
        <f t="shared" si="2"/>
        <v>34641794.53522253</v>
      </c>
      <c r="H64" s="1"/>
      <c r="I64" s="2"/>
    </row>
    <row r="65" spans="1:9" x14ac:dyDescent="0.3">
      <c r="C65" s="1"/>
      <c r="D65" s="1"/>
      <c r="E65" s="1"/>
      <c r="F65" s="1"/>
      <c r="G65" s="1"/>
      <c r="H65" s="1"/>
      <c r="I65" s="2"/>
    </row>
    <row r="66" spans="1:9" x14ac:dyDescent="0.3">
      <c r="C66" s="1"/>
      <c r="D66" s="1"/>
      <c r="E66" s="1"/>
      <c r="F66" s="1"/>
      <c r="G66" s="1"/>
      <c r="H66" s="1"/>
      <c r="I66" s="2"/>
    </row>
    <row r="68" spans="1:9" x14ac:dyDescent="0.3">
      <c r="A68" t="s">
        <v>22</v>
      </c>
    </row>
    <row r="70" spans="1:9" x14ac:dyDescent="0.3">
      <c r="A70" s="3" t="s">
        <v>31</v>
      </c>
      <c r="B70" s="3"/>
      <c r="C70" s="3"/>
      <c r="D70" s="3"/>
    </row>
    <row r="71" spans="1:9" x14ac:dyDescent="0.3">
      <c r="A71" s="3" t="s">
        <v>29</v>
      </c>
      <c r="B71" s="3"/>
      <c r="C71" s="3"/>
      <c r="D71" s="3"/>
      <c r="E71" s="3"/>
      <c r="F71" s="3"/>
    </row>
    <row r="72" spans="1:9" x14ac:dyDescent="0.3">
      <c r="A72" s="3" t="s">
        <v>23</v>
      </c>
      <c r="B72" s="3"/>
      <c r="C72" s="3"/>
      <c r="D72" s="3"/>
      <c r="E72" s="3"/>
      <c r="F72" s="3"/>
    </row>
  </sheetData>
  <phoneticPr fontId="6" type="noConversion"/>
  <pageMargins left="0.7" right="0.7" top="0.75" bottom="0.75" header="0.3" footer="0.3"/>
  <pageSetup orientation="portrait" r:id="rId1"/>
  <headerFooter>
    <oddFooter>&amp;C&amp;"Calibri"&amp;11&amp;K000000_x000D_&amp;1#&amp;"Calibri"&amp;12&amp;K008000Internal Use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A3C3-4EA0-4DAD-A8DE-79C3C400A72D}">
  <dimension ref="A3:G26"/>
  <sheetViews>
    <sheetView workbookViewId="0">
      <selection activeCell="K25" sqref="K25"/>
    </sheetView>
  </sheetViews>
  <sheetFormatPr defaultRowHeight="14.4" x14ac:dyDescent="0.3"/>
  <cols>
    <col min="2" max="2" width="9.6640625" bestFit="1" customWidth="1"/>
    <col min="7" max="7" width="10.88671875" bestFit="1" customWidth="1"/>
  </cols>
  <sheetData>
    <row r="3" spans="1:7" x14ac:dyDescent="0.3">
      <c r="B3" t="s">
        <v>27</v>
      </c>
      <c r="C3" t="s">
        <v>39</v>
      </c>
    </row>
    <row r="4" spans="1:7" x14ac:dyDescent="0.3">
      <c r="B4" t="s">
        <v>25</v>
      </c>
      <c r="C4" t="s">
        <v>24</v>
      </c>
      <c r="E4" t="s">
        <v>28</v>
      </c>
    </row>
    <row r="5" spans="1:7" x14ac:dyDescent="0.3">
      <c r="A5" s="5" t="s">
        <v>32</v>
      </c>
      <c r="B5">
        <v>346.42399999999998</v>
      </c>
      <c r="C5" s="10">
        <v>498.13400000000001</v>
      </c>
      <c r="E5" s="6">
        <f>+C5/B5</f>
        <v>1.4379315520864606</v>
      </c>
      <c r="F5">
        <v>51294597</v>
      </c>
      <c r="G5" s="7">
        <f>+F5*E5</f>
        <v>73758119.477859512</v>
      </c>
    </row>
    <row r="6" spans="1:7" x14ac:dyDescent="0.3">
      <c r="A6" t="s">
        <v>26</v>
      </c>
      <c r="B6" s="10">
        <v>359.01299999999998</v>
      </c>
      <c r="C6" s="10">
        <v>504.50099999999998</v>
      </c>
      <c r="E6" s="6">
        <f t="shared" ref="E6:E20" si="0">+C6/B6</f>
        <v>1.4052443783372748</v>
      </c>
      <c r="F6">
        <v>39186828</v>
      </c>
      <c r="G6" s="7">
        <f t="shared" ref="G6:G20" si="1">+F6*E6</f>
        <v>55067069.751869716</v>
      </c>
    </row>
    <row r="7" spans="1:7" x14ac:dyDescent="0.3">
      <c r="A7" s="5" t="s">
        <v>33</v>
      </c>
      <c r="B7" s="10">
        <v>377.61</v>
      </c>
      <c r="C7" s="10">
        <v>510.86799999999999</v>
      </c>
      <c r="E7" s="6">
        <f t="shared" si="0"/>
        <v>1.3528984931543127</v>
      </c>
      <c r="F7">
        <v>34005132</v>
      </c>
      <c r="G7" s="7">
        <f t="shared" si="1"/>
        <v>46005491.842313498</v>
      </c>
    </row>
    <row r="8" spans="1:7" x14ac:dyDescent="0.3">
      <c r="A8" t="s">
        <v>34</v>
      </c>
      <c r="B8" s="10">
        <v>414.64699999999999</v>
      </c>
      <c r="C8" s="10">
        <v>517.23500000000001</v>
      </c>
      <c r="E8" s="6">
        <f t="shared" si="0"/>
        <v>1.2474104479231733</v>
      </c>
      <c r="F8">
        <v>25527185</v>
      </c>
      <c r="G8" s="7">
        <f t="shared" si="1"/>
        <v>31842877.275067713</v>
      </c>
    </row>
    <row r="9" spans="1:7" x14ac:dyDescent="0.3">
      <c r="A9" s="5" t="s">
        <v>35</v>
      </c>
      <c r="B9" s="10">
        <v>465.56799999999998</v>
      </c>
      <c r="C9" s="10">
        <v>523.60199999999998</v>
      </c>
      <c r="E9" s="6">
        <f t="shared" si="0"/>
        <v>1.1246520379407519</v>
      </c>
      <c r="F9">
        <v>26363824</v>
      </c>
      <c r="G9" s="7">
        <f t="shared" si="1"/>
        <v>29650128.389511306</v>
      </c>
    </row>
    <row r="10" spans="1:7" x14ac:dyDescent="0.3">
      <c r="A10" t="s">
        <v>36</v>
      </c>
      <c r="B10" s="10">
        <v>468.26299999999998</v>
      </c>
      <c r="C10" s="10">
        <v>529.96900000000005</v>
      </c>
      <c r="E10" s="6">
        <f t="shared" si="0"/>
        <v>1.1317763735336768</v>
      </c>
      <c r="F10">
        <v>27203007</v>
      </c>
      <c r="G10" s="7">
        <f t="shared" si="1"/>
        <v>30787720.611671224</v>
      </c>
    </row>
    <row r="11" spans="1:7" x14ac:dyDescent="0.3">
      <c r="A11" s="5" t="s">
        <v>37</v>
      </c>
      <c r="B11" s="10">
        <v>470.25099999999998</v>
      </c>
      <c r="C11" s="10">
        <v>536.33600000000001</v>
      </c>
      <c r="E11" s="6">
        <f t="shared" si="0"/>
        <v>1.1405313332667024</v>
      </c>
      <c r="F11">
        <v>38772716</v>
      </c>
      <c r="G11" s="7">
        <f t="shared" si="1"/>
        <v>44221497.473851204</v>
      </c>
    </row>
    <row r="12" spans="1:7" x14ac:dyDescent="0.3">
      <c r="A12" t="s">
        <v>38</v>
      </c>
      <c r="B12" s="10">
        <v>473.53100000000001</v>
      </c>
      <c r="C12" s="10">
        <v>542.70299999999997</v>
      </c>
      <c r="E12" s="6">
        <f t="shared" si="0"/>
        <v>1.1460770255801627</v>
      </c>
      <c r="F12">
        <v>57786291</v>
      </c>
      <c r="G12" s="7">
        <f>+F12*E12</f>
        <v>66227540.508589722</v>
      </c>
    </row>
    <row r="13" spans="1:7" x14ac:dyDescent="0.3">
      <c r="A13" s="5" t="s">
        <v>8</v>
      </c>
      <c r="B13" s="10">
        <v>476.81200000000001</v>
      </c>
      <c r="C13" s="10">
        <v>549.07000000000005</v>
      </c>
      <c r="E13" s="6">
        <f t="shared" si="0"/>
        <v>1.1515440047649808</v>
      </c>
      <c r="F13">
        <v>65300941</v>
      </c>
      <c r="G13" s="7">
        <f t="shared" si="1"/>
        <v>75196907.114061728</v>
      </c>
    </row>
    <row r="14" spans="1:7" x14ac:dyDescent="0.3">
      <c r="A14" t="s">
        <v>9</v>
      </c>
      <c r="B14" s="10">
        <v>481.82299999999998</v>
      </c>
      <c r="C14" s="10">
        <v>555.43700000000001</v>
      </c>
      <c r="E14" s="6">
        <f t="shared" si="0"/>
        <v>1.1527822457624481</v>
      </c>
      <c r="F14">
        <v>67519029</v>
      </c>
      <c r="G14" s="7">
        <f t="shared" si="1"/>
        <v>77834737.882319868</v>
      </c>
    </row>
    <row r="15" spans="1:7" x14ac:dyDescent="0.3">
      <c r="A15" s="5" t="s">
        <v>10</v>
      </c>
      <c r="B15" s="10">
        <v>488.59100000000001</v>
      </c>
      <c r="C15" s="10">
        <v>561.80399999999997</v>
      </c>
      <c r="E15" s="6">
        <f t="shared" si="0"/>
        <v>1.1498451670210872</v>
      </c>
      <c r="F15">
        <v>74608223</v>
      </c>
      <c r="G15" s="7">
        <f t="shared" si="1"/>
        <v>85787904.636581525</v>
      </c>
    </row>
    <row r="16" spans="1:7" x14ac:dyDescent="0.3">
      <c r="A16" t="s">
        <v>11</v>
      </c>
      <c r="B16" s="10">
        <v>491.767</v>
      </c>
      <c r="C16" s="10">
        <v>568.17100000000005</v>
      </c>
      <c r="E16" s="6">
        <f t="shared" si="0"/>
        <v>1.1553662608511757</v>
      </c>
      <c r="F16">
        <v>84048929</v>
      </c>
      <c r="G16" s="7">
        <f t="shared" si="1"/>
        <v>97107296.827275947</v>
      </c>
    </row>
    <row r="17" spans="1:7" x14ac:dyDescent="0.3">
      <c r="A17" s="5" t="s">
        <v>32</v>
      </c>
      <c r="B17">
        <v>498.13400000000001</v>
      </c>
      <c r="C17" s="10">
        <v>574.53800000000001</v>
      </c>
      <c r="E17" s="6">
        <f t="shared" si="0"/>
        <v>1.1533804157114351</v>
      </c>
      <c r="F17">
        <f>F5*E17</f>
        <v>59162183.611610532</v>
      </c>
      <c r="G17" s="7">
        <f t="shared" si="1"/>
        <v>68236503.928355604</v>
      </c>
    </row>
    <row r="18" spans="1:7" x14ac:dyDescent="0.3">
      <c r="A18" t="s">
        <v>26</v>
      </c>
      <c r="B18">
        <v>504.50099999999998</v>
      </c>
      <c r="C18" s="10">
        <v>580.90499999999997</v>
      </c>
      <c r="E18" s="6">
        <f t="shared" si="0"/>
        <v>1.1514446948568982</v>
      </c>
      <c r="F18">
        <f t="shared" ref="F18:F21" si="2">F6*E18</f>
        <v>45121465.208869755</v>
      </c>
      <c r="G18" s="7">
        <f t="shared" si="1"/>
        <v>51954871.738923185</v>
      </c>
    </row>
    <row r="19" spans="1:7" x14ac:dyDescent="0.3">
      <c r="A19" s="5" t="s">
        <v>33</v>
      </c>
      <c r="B19">
        <v>510.86799999999999</v>
      </c>
      <c r="C19" s="10">
        <v>587.27200000000005</v>
      </c>
      <c r="E19" s="6">
        <f t="shared" si="0"/>
        <v>1.1495572241753251</v>
      </c>
      <c r="F19">
        <f t="shared" si="2"/>
        <v>39090845.149635524</v>
      </c>
      <c r="G19" s="7">
        <f t="shared" si="1"/>
        <v>44937163.440882482</v>
      </c>
    </row>
    <row r="20" spans="1:7" x14ac:dyDescent="0.3">
      <c r="A20" t="s">
        <v>34</v>
      </c>
      <c r="B20">
        <v>517.23500000000001</v>
      </c>
      <c r="C20" s="10">
        <v>593.63900000000001</v>
      </c>
      <c r="E20" s="6">
        <f t="shared" si="0"/>
        <v>1.1477162218334025</v>
      </c>
      <c r="F20">
        <f t="shared" si="2"/>
        <v>29297964.322242305</v>
      </c>
      <c r="G20" s="7">
        <f t="shared" si="1"/>
        <v>33625748.919333763</v>
      </c>
    </row>
    <row r="21" spans="1:7" x14ac:dyDescent="0.3">
      <c r="A21" s="5" t="s">
        <v>35</v>
      </c>
      <c r="B21">
        <v>523.60199999999998</v>
      </c>
      <c r="C21" s="10">
        <v>600.00599999999997</v>
      </c>
      <c r="E21" s="6">
        <f t="shared" ref="E21" si="3">+C21/B21</f>
        <v>1.1459199926661854</v>
      </c>
      <c r="F21">
        <f t="shared" si="2"/>
        <v>30210833.004732601</v>
      </c>
      <c r="G21" s="7">
        <f t="shared" ref="G21" si="4">+F21*E21</f>
        <v>34619197.53522253</v>
      </c>
    </row>
    <row r="23" spans="1:7" x14ac:dyDescent="0.3">
      <c r="A23" s="5"/>
    </row>
    <row r="26" spans="1:7" x14ac:dyDescent="0.3">
      <c r="A26" s="5"/>
    </row>
  </sheetData>
  <phoneticPr fontId="6" type="noConversion"/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Generation</vt:lpstr>
      <vt:lpstr>Sheet1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Morgan, Diana</dc:creator>
  <cp:lastModifiedBy>Cracolici, Benedict</cp:lastModifiedBy>
  <dcterms:created xsi:type="dcterms:W3CDTF">2023-08-29T12:30:50Z</dcterms:created>
  <dcterms:modified xsi:type="dcterms:W3CDTF">2025-09-02T19:43:21Z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2023-08-29T18:44:20Z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e0db9fc9-da75-4467-8962-20d19af2d5fc</vt:lpwstr>
  </property>
  <property fmtid="{D5CDD505-2E9C-101B-9397-08002B2CF9AE}" pid="8" name="MSIP_Label_019c027e-33b7-45fc-a572-8ffa5d09ec36_ContentBits">
    <vt:lpwstr>2</vt:lpwstr>
  </property>
</Properties>
</file>