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cobsengineering.sharepoint.com/sites/CPE2X95600/Shared Documents/PIDP Grant Application/Working Files/BCA Memo/"/>
    </mc:Choice>
  </mc:AlternateContent>
  <xr:revisionPtr revIDLastSave="0" documentId="8_{9A6798F0-0853-4940-BD8A-F5CCC0184DE9}" xr6:coauthVersionLast="47" xr6:coauthVersionMax="47" xr10:uidLastSave="{00000000-0000-0000-0000-000000000000}"/>
  <bookViews>
    <workbookView xWindow="-11700" yWindow="-16350" windowWidth="29040" windowHeight="15840" tabRatio="732" xr2:uid="{55EF0318-79AD-40A7-8BA0-55E1D8EDA29E}"/>
  </bookViews>
  <sheets>
    <sheet name="BCA Calcs &gt;&gt;" sheetId="7" r:id="rId1"/>
    <sheet name="Portland IMT" sheetId="3" r:id="rId2"/>
    <sheet name="EastPort" sheetId="6" r:id="rId3"/>
    <sheet name="SearsPort" sheetId="5" r:id="rId4"/>
    <sheet name="Inputs &gt;&gt;" sheetId="8" r:id="rId5"/>
    <sheet name="BCA Inputs" sheetId="10" r:id="rId6"/>
    <sheet name="Historical Data" sheetId="9" r:id="rId7"/>
    <sheet name="Discount" sheetId="11" r:id="rId8"/>
    <sheet name="Table_3._Energy_Prices_by_Secto" sheetId="12" r:id="rId9"/>
    <sheet name="ref2023.0206a" sheetId="23" r:id="rId10"/>
    <sheet name="Portland Ops Analysis &gt;&gt;" sheetId="20" r:id="rId11"/>
    <sheet name="CAP #" sheetId="16" r:id="rId12"/>
    <sheet name="Reefer capacity AVG  No X " sheetId="17" r:id="rId13"/>
    <sheet name="Reefer capacity AVG " sheetId="18" r:id="rId14"/>
    <sheet name="IMT Reefer Container Data" sheetId="19" r:id="rId15"/>
    <sheet name="Vsl operating cost" sheetId="21" r:id="rId16"/>
    <sheet name="Deviation " sheetId="22" r:id="rId17"/>
  </sheets>
  <externalReferences>
    <externalReference r:id="rId18"/>
    <externalReference r:id="rId19"/>
    <externalReference r:id="rId20"/>
  </externalReferences>
  <definedNames>
    <definedName name="___mds_first_cell___" localSheetId="13">'[1]Budget by month'!$B$1</definedName>
    <definedName name="___mds_first_cell___" localSheetId="12">'[1]Budget by month'!$B$1</definedName>
    <definedName name="___mds_first_cell___">'[2]Budget by month'!$B$1</definedName>
    <definedName name="___mds_view_data___" localSheetId="13">'[1]Budget by month'!$D$11:$P$30</definedName>
    <definedName name="___mds_view_data___" localSheetId="12">'[1]Budget by month'!$D$11:$P$30</definedName>
    <definedName name="___mds_view_data___">'[2]Budget by month'!$D$11:$P$30</definedName>
    <definedName name="DataSources" localSheetId="0">#REF!</definedName>
    <definedName name="DataSources" localSheetId="5">#REF!</definedName>
    <definedName name="DataSources" localSheetId="7">#REF!</definedName>
    <definedName name="DataSources" localSheetId="2">#REF!</definedName>
    <definedName name="DataSources" localSheetId="6">#REF!</definedName>
    <definedName name="DataSources" localSheetId="4">#REF!</definedName>
    <definedName name="DataSources" localSheetId="1">#REF!</definedName>
    <definedName name="DataSources" localSheetId="10">#REF!</definedName>
    <definedName name="DataSources" localSheetId="3">#REF!</definedName>
    <definedName name="DataSources">#REF!</definedName>
    <definedName name="filename" localSheetId="0">#REF!</definedName>
    <definedName name="filename" localSheetId="5">#REF!</definedName>
    <definedName name="filename" localSheetId="7">#REF!</definedName>
    <definedName name="filename" localSheetId="2">#REF!</definedName>
    <definedName name="filename" localSheetId="6">#REF!</definedName>
    <definedName name="filename" localSheetId="4">#REF!</definedName>
    <definedName name="filename" localSheetId="1">#REF!</definedName>
    <definedName name="filename" localSheetId="10">#REF!</definedName>
    <definedName name="filename" localSheetId="3">#REF!</definedName>
    <definedName name="filename">#REF!</definedName>
    <definedName name="nKMtoMile" localSheetId="0">#REF!</definedName>
    <definedName name="nKMtoMile" localSheetId="5">#REF!</definedName>
    <definedName name="nKMtoMile" localSheetId="7">#REF!</definedName>
    <definedName name="nKMtoMile" localSheetId="2">#REF!</definedName>
    <definedName name="nKMtoMile" localSheetId="6">#REF!</definedName>
    <definedName name="nKMtoMile" localSheetId="4">#REF!</definedName>
    <definedName name="nKMtoMile" localSheetId="1">#REF!</definedName>
    <definedName name="nKMtoMile" localSheetId="10">#REF!</definedName>
    <definedName name="nKMtoMile" localSheetId="3">#REF!</definedName>
    <definedName name="nKMtoMile">#REF!</definedName>
    <definedName name="nOne" localSheetId="0">#REF!</definedName>
    <definedName name="nOne" localSheetId="5">#REF!</definedName>
    <definedName name="nOne" localSheetId="7">#REF!</definedName>
    <definedName name="nOne" localSheetId="2">#REF!</definedName>
    <definedName name="nOne" localSheetId="6">#REF!</definedName>
    <definedName name="nOne" localSheetId="4">#REF!</definedName>
    <definedName name="nOne" localSheetId="1">#REF!</definedName>
    <definedName name="nOne" localSheetId="3">#REF!</definedName>
    <definedName name="nOne">#REF!</definedName>
    <definedName name="nOnek" localSheetId="0">#REF!</definedName>
    <definedName name="nOnek" localSheetId="5">#REF!</definedName>
    <definedName name="nOnek" localSheetId="7">#REF!</definedName>
    <definedName name="nOnek" localSheetId="2">#REF!</definedName>
    <definedName name="nOnek" localSheetId="6">#REF!</definedName>
    <definedName name="nOnek" localSheetId="4">#REF!</definedName>
    <definedName name="nOnek" localSheetId="1">#REF!</definedName>
    <definedName name="nOnek" localSheetId="3">#REF!</definedName>
    <definedName name="nOnek">#REF!</definedName>
    <definedName name="nOneM" localSheetId="0">#REF!</definedName>
    <definedName name="nOneM" localSheetId="5">#REF!</definedName>
    <definedName name="nOneM" localSheetId="7">#REF!</definedName>
    <definedName name="nOneM" localSheetId="2">#REF!</definedName>
    <definedName name="nOneM" localSheetId="6">#REF!</definedName>
    <definedName name="nOneM" localSheetId="4">#REF!</definedName>
    <definedName name="nOneM" localSheetId="1">#REF!</definedName>
    <definedName name="nOneM" localSheetId="3">#REF!</definedName>
    <definedName name="nOneM">#REF!</definedName>
    <definedName name="nSixty" localSheetId="0">#REF!</definedName>
    <definedName name="nSixty" localSheetId="5">#REF!</definedName>
    <definedName name="nSixty" localSheetId="7">#REF!</definedName>
    <definedName name="nSixty" localSheetId="2">#REF!</definedName>
    <definedName name="nSixty" localSheetId="6">#REF!</definedName>
    <definedName name="nSixty" localSheetId="4">#REF!</definedName>
    <definedName name="nSixty" localSheetId="1">#REF!</definedName>
    <definedName name="nSixty" localSheetId="3">#REF!</definedName>
    <definedName name="nSixty">#REF!</definedName>
    <definedName name="nThirteen" localSheetId="0">#REF!</definedName>
    <definedName name="nThirteen" localSheetId="5">#REF!</definedName>
    <definedName name="nThirteen" localSheetId="7">#REF!</definedName>
    <definedName name="nThirteen" localSheetId="2">#REF!</definedName>
    <definedName name="nThirteen" localSheetId="6">#REF!</definedName>
    <definedName name="nThirteen" localSheetId="4">#REF!</definedName>
    <definedName name="nThirteen" localSheetId="1">#REF!</definedName>
    <definedName name="nThirteen" localSheetId="3">#REF!</definedName>
    <definedName name="nThirteen">#REF!</definedName>
    <definedName name="nTwelve" localSheetId="0">#REF!</definedName>
    <definedName name="nTwelve" localSheetId="5">#REF!</definedName>
    <definedName name="nTwelve" localSheetId="7">#REF!</definedName>
    <definedName name="nTwelve" localSheetId="2">#REF!</definedName>
    <definedName name="nTwelve" localSheetId="6">#REF!</definedName>
    <definedName name="nTwelve" localSheetId="4">#REF!</definedName>
    <definedName name="nTwelve" localSheetId="1">#REF!</definedName>
    <definedName name="nTwelve" localSheetId="3">#REF!</definedName>
    <definedName name="nTwelve">#REF!</definedName>
    <definedName name="nTwentyFour" localSheetId="0">#REF!</definedName>
    <definedName name="nTwentyFour" localSheetId="5">#REF!</definedName>
    <definedName name="nTwentyFour" localSheetId="7">#REF!</definedName>
    <definedName name="nTwentyFour" localSheetId="2">#REF!</definedName>
    <definedName name="nTwentyFour" localSheetId="6">#REF!</definedName>
    <definedName name="nTwentyFour" localSheetId="4">#REF!</definedName>
    <definedName name="nTwentyFour" localSheetId="1">#REF!</definedName>
    <definedName name="nTwentyFour" localSheetId="3">#REF!</definedName>
    <definedName name="nTwentyFour">#REF!</definedName>
    <definedName name="nZero" localSheetId="0">#REF!</definedName>
    <definedName name="nZero" localSheetId="5">#REF!</definedName>
    <definedName name="nZero" localSheetId="7">#REF!</definedName>
    <definedName name="nZero" localSheetId="2">#REF!</definedName>
    <definedName name="nZero" localSheetId="6">#REF!</definedName>
    <definedName name="nZero" localSheetId="4">#REF!</definedName>
    <definedName name="nZero" localSheetId="1">#REF!</definedName>
    <definedName name="nZero" localSheetId="3">#REF!</definedName>
    <definedName name="nZero">#REF!</definedName>
    <definedName name="_xlnm.Print_Area" localSheetId="13">'Reefer capacity AVG '!$A$1:$L$77</definedName>
    <definedName name="_xlnm.Print_Area" localSheetId="12">'Reefer capacity AVG  No X '!$A$1:$L$77</definedName>
    <definedName name="Sources" localSheetId="0">#REF!</definedName>
    <definedName name="Sources" localSheetId="5">#REF!</definedName>
    <definedName name="Sources" localSheetId="7">#REF!</definedName>
    <definedName name="Sources" localSheetId="2">#REF!</definedName>
    <definedName name="Sources" localSheetId="6">#REF!</definedName>
    <definedName name="Sources" localSheetId="4">#REF!</definedName>
    <definedName name="Sources" localSheetId="1">#REF!</definedName>
    <definedName name="Sources" localSheetId="3">#REF!</definedName>
    <definedName name="Sources">#REF!</definedName>
    <definedName name="strBlank" localSheetId="0">#REF!</definedName>
    <definedName name="strBlank" localSheetId="5">#REF!</definedName>
    <definedName name="strBlank" localSheetId="7">#REF!</definedName>
    <definedName name="strBlank" localSheetId="2">#REF!</definedName>
    <definedName name="strBlank" localSheetId="6">#REF!</definedName>
    <definedName name="strBlank" localSheetId="4">#REF!</definedName>
    <definedName name="strBlank" localSheetId="1">#REF!</definedName>
    <definedName name="strBlank" localSheetId="3">#REF!</definedName>
    <definedName name="strBlan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0" l="1"/>
  <c r="B1" i="6"/>
  <c r="I16" i="6"/>
  <c r="J16" i="6"/>
  <c r="K16" i="6"/>
  <c r="L16" i="6"/>
  <c r="AG16" i="6"/>
  <c r="AH16" i="6"/>
  <c r="AH31" i="3"/>
  <c r="AH44" i="3" s="1"/>
  <c r="AH12" i="3"/>
  <c r="AH28" i="3"/>
  <c r="AH11" i="3"/>
  <c r="AH17" i="3"/>
  <c r="AH15" i="3"/>
  <c r="AE28" i="3"/>
  <c r="AF28" i="3"/>
  <c r="B1" i="5"/>
  <c r="B35" i="19"/>
  <c r="H19" i="19"/>
  <c r="F59" i="10"/>
  <c r="F61" i="10"/>
  <c r="F70" i="10"/>
  <c r="P17" i="9"/>
  <c r="K17" i="9"/>
  <c r="L17" i="9"/>
  <c r="M17" i="9"/>
  <c r="N17" i="9"/>
  <c r="O17" i="9"/>
  <c r="J17" i="9"/>
  <c r="B1" i="10"/>
  <c r="G20" i="17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H15" i="5"/>
  <c r="H16" i="5" s="1"/>
  <c r="I15" i="5"/>
  <c r="I16" i="5" s="1"/>
  <c r="J15" i="5"/>
  <c r="J16" i="5" s="1"/>
  <c r="K15" i="5"/>
  <c r="K16" i="5" s="1"/>
  <c r="L15" i="5"/>
  <c r="L16" i="5" s="1"/>
  <c r="M15" i="5"/>
  <c r="M16" i="5" s="1"/>
  <c r="G15" i="5"/>
  <c r="G16" i="5" s="1"/>
  <c r="AH41" i="3" l="1"/>
  <c r="AH13" i="3"/>
  <c r="F62" i="10"/>
  <c r="F63" i="10" s="1"/>
  <c r="E30" i="6"/>
  <c r="E67" i="3" l="1"/>
  <c r="K32" i="21"/>
  <c r="K31" i="21"/>
  <c r="B29" i="21"/>
  <c r="B40" i="21"/>
  <c r="G31" i="3"/>
  <c r="G44" i="3" s="1"/>
  <c r="H31" i="3"/>
  <c r="H44" i="3" s="1"/>
  <c r="I31" i="3"/>
  <c r="I44" i="3" s="1"/>
  <c r="J31" i="3"/>
  <c r="J44" i="3" s="1"/>
  <c r="K31" i="3"/>
  <c r="K44" i="3" s="1"/>
  <c r="L31" i="3"/>
  <c r="L44" i="3" s="1"/>
  <c r="AF31" i="3"/>
  <c r="AF44" i="3" s="1"/>
  <c r="AG31" i="3"/>
  <c r="AG44" i="3" s="1"/>
  <c r="F31" i="10"/>
  <c r="AH22" i="3" s="1"/>
  <c r="N21" i="5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N20" i="5"/>
  <c r="O20" i="5" s="1"/>
  <c r="P20" i="5" s="1"/>
  <c r="Q20" i="5" s="1"/>
  <c r="R20" i="5" s="1"/>
  <c r="S20" i="5" s="1"/>
  <c r="H33" i="3"/>
  <c r="I33" i="3"/>
  <c r="G33" i="3"/>
  <c r="H11" i="3"/>
  <c r="H41" i="3" s="1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G11" i="3"/>
  <c r="R84" i="10"/>
  <c r="H84" i="10"/>
  <c r="I84" i="10"/>
  <c r="J84" i="10"/>
  <c r="K84" i="10"/>
  <c r="L84" i="10"/>
  <c r="M84" i="10"/>
  <c r="N84" i="10"/>
  <c r="O84" i="10"/>
  <c r="P84" i="10"/>
  <c r="Q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B33" i="19"/>
  <c r="I22" i="19" s="1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G28" i="3"/>
  <c r="AG12" i="3"/>
  <c r="I29" i="5"/>
  <c r="I15" i="1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D13" i="22"/>
  <c r="L8" i="22"/>
  <c r="K8" i="22"/>
  <c r="M8" i="22" s="1"/>
  <c r="N8" i="22" s="1"/>
  <c r="J8" i="22"/>
  <c r="J13" i="22" s="1"/>
  <c r="K13" i="22" s="1"/>
  <c r="M13" i="22" s="1"/>
  <c r="N13" i="22" s="1"/>
  <c r="D8" i="22"/>
  <c r="F8" i="22" s="1"/>
  <c r="C8" i="22"/>
  <c r="L7" i="22"/>
  <c r="K7" i="22"/>
  <c r="M7" i="22" s="1"/>
  <c r="N7" i="22" s="1"/>
  <c r="J7" i="22"/>
  <c r="J12" i="22" s="1"/>
  <c r="K12" i="22" s="1"/>
  <c r="M12" i="22" s="1"/>
  <c r="N12" i="22" s="1"/>
  <c r="D7" i="22"/>
  <c r="D12" i="22" s="1"/>
  <c r="C7" i="22"/>
  <c r="I6" i="22"/>
  <c r="M4" i="22"/>
  <c r="N4" i="22" s="1"/>
  <c r="F4" i="22"/>
  <c r="G4" i="22" s="1"/>
  <c r="M3" i="22"/>
  <c r="N3" i="22" s="1"/>
  <c r="G3" i="22"/>
  <c r="F3" i="22"/>
  <c r="I2" i="22"/>
  <c r="B30" i="21"/>
  <c r="F29" i="21"/>
  <c r="B27" i="21"/>
  <c r="B1" i="20"/>
  <c r="C2" i="20"/>
  <c r="C3" i="20"/>
  <c r="G13" i="3" l="1"/>
  <c r="G18" i="3" s="1"/>
  <c r="G41" i="3"/>
  <c r="AG41" i="3"/>
  <c r="AH18" i="3"/>
  <c r="T20" i="5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F13" i="22"/>
  <c r="G13" i="22" s="1"/>
  <c r="F30" i="10"/>
  <c r="AH23" i="3" s="1"/>
  <c r="AH25" i="3" s="1"/>
  <c r="AG13" i="3"/>
  <c r="AG18" i="3" s="1"/>
  <c r="B41" i="21"/>
  <c r="H13" i="3"/>
  <c r="H18" i="3" s="1"/>
  <c r="AA22" i="3"/>
  <c r="Z22" i="3"/>
  <c r="R22" i="3"/>
  <c r="J22" i="3"/>
  <c r="AG22" i="3"/>
  <c r="Y22" i="3"/>
  <c r="Q22" i="3"/>
  <c r="I22" i="3"/>
  <c r="L22" i="3"/>
  <c r="K22" i="3"/>
  <c r="AF22" i="3"/>
  <c r="X22" i="3"/>
  <c r="P22" i="3"/>
  <c r="H22" i="3"/>
  <c r="S22" i="3"/>
  <c r="AE22" i="3"/>
  <c r="W22" i="3"/>
  <c r="O22" i="3"/>
  <c r="G22" i="3"/>
  <c r="AB22" i="3"/>
  <c r="T22" i="3"/>
  <c r="AD22" i="3"/>
  <c r="V22" i="3"/>
  <c r="N22" i="3"/>
  <c r="AC22" i="3"/>
  <c r="U22" i="3"/>
  <c r="M22" i="3"/>
  <c r="G8" i="22"/>
  <c r="F7" i="22"/>
  <c r="B42" i="21"/>
  <c r="F41" i="21"/>
  <c r="F19" i="16"/>
  <c r="F18" i="16"/>
  <c r="F17" i="16"/>
  <c r="F16" i="16"/>
  <c r="D6" i="16"/>
  <c r="E6" i="16"/>
  <c r="F6" i="16"/>
  <c r="G6" i="16"/>
  <c r="H6" i="16"/>
  <c r="D9" i="16"/>
  <c r="E9" i="16"/>
  <c r="F9" i="16"/>
  <c r="G9" i="16"/>
  <c r="H9" i="16"/>
  <c r="D10" i="16"/>
  <c r="E10" i="16"/>
  <c r="F10" i="16"/>
  <c r="G10" i="16"/>
  <c r="H10" i="16"/>
  <c r="D11" i="16"/>
  <c r="E11" i="16"/>
  <c r="F11" i="16"/>
  <c r="G11" i="16"/>
  <c r="H11" i="16"/>
  <c r="D12" i="16"/>
  <c r="D23" i="16" s="1"/>
  <c r="E12" i="16"/>
  <c r="F12" i="16"/>
  <c r="F23" i="16" s="1"/>
  <c r="G12" i="16"/>
  <c r="H12" i="16"/>
  <c r="H23" i="16" s="1"/>
  <c r="D13" i="16"/>
  <c r="D24" i="16" s="1"/>
  <c r="D29" i="16" s="1"/>
  <c r="E13" i="16"/>
  <c r="E24" i="16" s="1"/>
  <c r="E29" i="16" s="1"/>
  <c r="F13" i="16"/>
  <c r="F24" i="16" s="1"/>
  <c r="F29" i="16" s="1"/>
  <c r="G13" i="16"/>
  <c r="G24" i="16" s="1"/>
  <c r="G29" i="16" s="1"/>
  <c r="H13" i="16"/>
  <c r="H24" i="16" s="1"/>
  <c r="B7" i="18" s="1"/>
  <c r="C13" i="16"/>
  <c r="C12" i="16"/>
  <c r="C11" i="16"/>
  <c r="C10" i="16"/>
  <c r="C9" i="16"/>
  <c r="C6" i="16"/>
  <c r="D4" i="16"/>
  <c r="E4" i="16"/>
  <c r="F4" i="16"/>
  <c r="G4" i="16"/>
  <c r="H4" i="16"/>
  <c r="C4" i="16"/>
  <c r="E3" i="16"/>
  <c r="F3" i="16"/>
  <c r="G3" i="16"/>
  <c r="H3" i="16"/>
  <c r="D3" i="16"/>
  <c r="C3" i="16"/>
  <c r="G31" i="19"/>
  <c r="F31" i="19"/>
  <c r="E31" i="19"/>
  <c r="D31" i="19"/>
  <c r="C31" i="19"/>
  <c r="B31" i="19"/>
  <c r="G30" i="19"/>
  <c r="F30" i="19"/>
  <c r="E30" i="19"/>
  <c r="D30" i="19"/>
  <c r="C30" i="19"/>
  <c r="B30" i="19"/>
  <c r="G27" i="19"/>
  <c r="F27" i="19"/>
  <c r="G24" i="19"/>
  <c r="F24" i="19"/>
  <c r="I4" i="16"/>
  <c r="G21" i="19"/>
  <c r="G28" i="19" s="1"/>
  <c r="F21" i="19"/>
  <c r="F28" i="19" s="1"/>
  <c r="E21" i="19"/>
  <c r="E27" i="19" s="1"/>
  <c r="D21" i="19"/>
  <c r="D27" i="19" s="1"/>
  <c r="C21" i="19"/>
  <c r="C27" i="19" s="1"/>
  <c r="B21" i="19"/>
  <c r="B27" i="19" s="1"/>
  <c r="G20" i="19"/>
  <c r="F20" i="19"/>
  <c r="E20" i="19"/>
  <c r="D20" i="19"/>
  <c r="C20" i="19"/>
  <c r="B20" i="19"/>
  <c r="H8" i="19"/>
  <c r="G8" i="19"/>
  <c r="F8" i="19"/>
  <c r="E8" i="19"/>
  <c r="D8" i="19"/>
  <c r="H5" i="19"/>
  <c r="G5" i="19"/>
  <c r="F5" i="19"/>
  <c r="E5" i="19"/>
  <c r="D5" i="19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D70" i="18"/>
  <c r="C70" i="18"/>
  <c r="B70" i="18"/>
  <c r="E61" i="18"/>
  <c r="D61" i="18"/>
  <c r="C61" i="18"/>
  <c r="B61" i="18"/>
  <c r="E57" i="18"/>
  <c r="D57" i="18"/>
  <c r="C57" i="18"/>
  <c r="B57" i="18"/>
  <c r="AB53" i="18"/>
  <c r="AB52" i="18" s="1"/>
  <c r="AA53" i="18"/>
  <c r="AA52" i="18" s="1"/>
  <c r="Z53" i="18"/>
  <c r="Y53" i="18"/>
  <c r="X53" i="18"/>
  <c r="W53" i="18"/>
  <c r="V53" i="18"/>
  <c r="U53" i="18"/>
  <c r="U52" i="18" s="1"/>
  <c r="T53" i="18"/>
  <c r="T52" i="18" s="1"/>
  <c r="S53" i="18"/>
  <c r="S52" i="18" s="1"/>
  <c r="R53" i="18"/>
  <c r="Q53" i="18"/>
  <c r="P53" i="18"/>
  <c r="O53" i="18"/>
  <c r="N53" i="18"/>
  <c r="M53" i="18"/>
  <c r="M52" i="18" s="1"/>
  <c r="L53" i="18"/>
  <c r="L52" i="18" s="1"/>
  <c r="K53" i="18"/>
  <c r="K52" i="18" s="1"/>
  <c r="J53" i="18"/>
  <c r="I53" i="18"/>
  <c r="H53" i="18"/>
  <c r="G53" i="18"/>
  <c r="D53" i="18"/>
  <c r="D52" i="18" s="1"/>
  <c r="C53" i="18"/>
  <c r="C52" i="18" s="1"/>
  <c r="B53" i="18"/>
  <c r="Z52" i="18"/>
  <c r="Y52" i="18"/>
  <c r="X52" i="18"/>
  <c r="W52" i="18"/>
  <c r="V52" i="18"/>
  <c r="R52" i="18"/>
  <c r="Q52" i="18"/>
  <c r="P52" i="18"/>
  <c r="O52" i="18"/>
  <c r="N52" i="18"/>
  <c r="J52" i="18"/>
  <c r="I52" i="18"/>
  <c r="H52" i="18"/>
  <c r="G52" i="18"/>
  <c r="B52" i="18"/>
  <c r="R46" i="18"/>
  <c r="O46" i="18"/>
  <c r="D46" i="18"/>
  <c r="W41" i="18"/>
  <c r="AA41" i="18" s="1"/>
  <c r="V41" i="18"/>
  <c r="Z41" i="18" s="1"/>
  <c r="N41" i="18"/>
  <c r="R41" i="18" s="1"/>
  <c r="I41" i="18"/>
  <c r="M41" i="18" s="1"/>
  <c r="Q41" i="18" s="1"/>
  <c r="U41" i="18" s="1"/>
  <c r="Y41" i="18" s="1"/>
  <c r="H41" i="18"/>
  <c r="L41" i="18" s="1"/>
  <c r="P41" i="18" s="1"/>
  <c r="T41" i="18" s="1"/>
  <c r="X41" i="18" s="1"/>
  <c r="AB41" i="18" s="1"/>
  <c r="G41" i="18"/>
  <c r="K41" i="18" s="1"/>
  <c r="O41" i="18" s="1"/>
  <c r="S41" i="18" s="1"/>
  <c r="F41" i="18"/>
  <c r="J41" i="18" s="1"/>
  <c r="U40" i="18"/>
  <c r="Y40" i="18" s="1"/>
  <c r="R40" i="18"/>
  <c r="V40" i="18" s="1"/>
  <c r="Z40" i="18" s="1"/>
  <c r="M40" i="18"/>
  <c r="Q40" i="18" s="1"/>
  <c r="I40" i="18"/>
  <c r="H40" i="18"/>
  <c r="L40" i="18" s="1"/>
  <c r="P40" i="18" s="1"/>
  <c r="T40" i="18" s="1"/>
  <c r="X40" i="18" s="1"/>
  <c r="AB40" i="18" s="1"/>
  <c r="G40" i="18"/>
  <c r="K40" i="18" s="1"/>
  <c r="O40" i="18" s="1"/>
  <c r="S40" i="18" s="1"/>
  <c r="W40" i="18" s="1"/>
  <c r="AA40" i="18" s="1"/>
  <c r="F40" i="18"/>
  <c r="J40" i="18" s="1"/>
  <c r="N40" i="18" s="1"/>
  <c r="U39" i="18"/>
  <c r="Y39" i="18" s="1"/>
  <c r="J39" i="18"/>
  <c r="N39" i="18" s="1"/>
  <c r="R39" i="18" s="1"/>
  <c r="V39" i="18" s="1"/>
  <c r="Z39" i="18" s="1"/>
  <c r="I39" i="18"/>
  <c r="M39" i="18" s="1"/>
  <c r="Q39" i="18" s="1"/>
  <c r="H39" i="18"/>
  <c r="L39" i="18" s="1"/>
  <c r="P39" i="18" s="1"/>
  <c r="T39" i="18" s="1"/>
  <c r="X39" i="18" s="1"/>
  <c r="AB39" i="18" s="1"/>
  <c r="G39" i="18"/>
  <c r="K39" i="18" s="1"/>
  <c r="O39" i="18" s="1"/>
  <c r="S39" i="18" s="1"/>
  <c r="W39" i="18" s="1"/>
  <c r="AA39" i="18" s="1"/>
  <c r="F39" i="18"/>
  <c r="J37" i="18"/>
  <c r="N37" i="18" s="1"/>
  <c r="R37" i="18" s="1"/>
  <c r="I37" i="18"/>
  <c r="H37" i="18"/>
  <c r="G37" i="18"/>
  <c r="K37" i="18" s="1"/>
  <c r="F37" i="18"/>
  <c r="AB27" i="18"/>
  <c r="AB46" i="18" s="1"/>
  <c r="AA27" i="18"/>
  <c r="AA46" i="18" s="1"/>
  <c r="Z27" i="18"/>
  <c r="Z46" i="18" s="1"/>
  <c r="Y27" i="18"/>
  <c r="Y46" i="18" s="1"/>
  <c r="X27" i="18"/>
  <c r="X46" i="18" s="1"/>
  <c r="W27" i="18"/>
  <c r="W46" i="18" s="1"/>
  <c r="V27" i="18"/>
  <c r="V46" i="18" s="1"/>
  <c r="U27" i="18"/>
  <c r="U46" i="18" s="1"/>
  <c r="T27" i="18"/>
  <c r="T46" i="18" s="1"/>
  <c r="S27" i="18"/>
  <c r="S46" i="18" s="1"/>
  <c r="R27" i="18"/>
  <c r="Q27" i="18"/>
  <c r="Q46" i="18" s="1"/>
  <c r="P27" i="18"/>
  <c r="P46" i="18" s="1"/>
  <c r="O27" i="18"/>
  <c r="N27" i="18"/>
  <c r="N46" i="18" s="1"/>
  <c r="M27" i="18"/>
  <c r="M46" i="18" s="1"/>
  <c r="L27" i="18"/>
  <c r="L46" i="18" s="1"/>
  <c r="K27" i="18"/>
  <c r="K46" i="18" s="1"/>
  <c r="J27" i="18"/>
  <c r="J46" i="18" s="1"/>
  <c r="I27" i="18"/>
  <c r="I46" i="18" s="1"/>
  <c r="H27" i="18"/>
  <c r="H46" i="18" s="1"/>
  <c r="G27" i="18"/>
  <c r="G46" i="18" s="1"/>
  <c r="F27" i="18"/>
  <c r="F46" i="18" s="1"/>
  <c r="E27" i="18"/>
  <c r="E46" i="18" s="1"/>
  <c r="D27" i="18"/>
  <c r="C27" i="18"/>
  <c r="C46" i="18" s="1"/>
  <c r="B27" i="18"/>
  <c r="B46" i="18" s="1"/>
  <c r="F24" i="18"/>
  <c r="E24" i="18"/>
  <c r="D24" i="18"/>
  <c r="C24" i="18"/>
  <c r="B24" i="18"/>
  <c r="I23" i="18"/>
  <c r="G23" i="18"/>
  <c r="D23" i="18"/>
  <c r="C23" i="18"/>
  <c r="B23" i="18"/>
  <c r="D22" i="18"/>
  <c r="C22" i="18"/>
  <c r="B22" i="18"/>
  <c r="G21" i="18"/>
  <c r="G22" i="18" s="1"/>
  <c r="F21" i="18"/>
  <c r="L20" i="18"/>
  <c r="L23" i="18" s="1"/>
  <c r="K20" i="18"/>
  <c r="K23" i="18" s="1"/>
  <c r="J20" i="18"/>
  <c r="N20" i="18" s="1"/>
  <c r="I20" i="18"/>
  <c r="M20" i="18" s="1"/>
  <c r="H20" i="18"/>
  <c r="H23" i="18" s="1"/>
  <c r="G20" i="18"/>
  <c r="F20" i="18"/>
  <c r="E19" i="18"/>
  <c r="C16" i="18"/>
  <c r="D16" i="18" s="1"/>
  <c r="E16" i="18" s="1"/>
  <c r="F16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C14" i="18"/>
  <c r="D14" i="18" s="1"/>
  <c r="E14" i="18" s="1"/>
  <c r="F14" i="18" s="1"/>
  <c r="G14" i="18" s="1"/>
  <c r="H14" i="18" s="1"/>
  <c r="I14" i="18" s="1"/>
  <c r="J14" i="18" s="1"/>
  <c r="K14" i="18" s="1"/>
  <c r="L14" i="18" s="1"/>
  <c r="M14" i="18" s="1"/>
  <c r="N14" i="18" s="1"/>
  <c r="O14" i="18" s="1"/>
  <c r="G13" i="18"/>
  <c r="E13" i="18"/>
  <c r="D13" i="18"/>
  <c r="C13" i="18"/>
  <c r="B13" i="18"/>
  <c r="M6" i="18"/>
  <c r="Q6" i="18" s="1"/>
  <c r="U6" i="18" s="1"/>
  <c r="Y6" i="18" s="1"/>
  <c r="I6" i="18"/>
  <c r="H6" i="18"/>
  <c r="L6" i="18" s="1"/>
  <c r="P6" i="18" s="1"/>
  <c r="T6" i="18" s="1"/>
  <c r="X6" i="18" s="1"/>
  <c r="AB6" i="18" s="1"/>
  <c r="G6" i="18"/>
  <c r="K6" i="18" s="1"/>
  <c r="O6" i="18" s="1"/>
  <c r="S6" i="18" s="1"/>
  <c r="W6" i="18" s="1"/>
  <c r="AA6" i="18" s="1"/>
  <c r="F6" i="18"/>
  <c r="J6" i="18" s="1"/>
  <c r="N6" i="18" s="1"/>
  <c r="R6" i="18" s="1"/>
  <c r="V6" i="18" s="1"/>
  <c r="Z6" i="18" s="1"/>
  <c r="G2" i="18"/>
  <c r="F2" i="18"/>
  <c r="F57" i="18" s="1"/>
  <c r="F1" i="18"/>
  <c r="G1" i="18" s="1"/>
  <c r="H1" i="18" s="1"/>
  <c r="I1" i="18" s="1"/>
  <c r="J1" i="18" s="1"/>
  <c r="K1" i="18" s="1"/>
  <c r="L1" i="18" s="1"/>
  <c r="M1" i="18" s="1"/>
  <c r="N1" i="18" s="1"/>
  <c r="O1" i="18" s="1"/>
  <c r="P1" i="18" s="1"/>
  <c r="Q1" i="18" s="1"/>
  <c r="R1" i="18" s="1"/>
  <c r="S1" i="18" s="1"/>
  <c r="T1" i="18" s="1"/>
  <c r="U1" i="18" s="1"/>
  <c r="V1" i="18" s="1"/>
  <c r="W1" i="18" s="1"/>
  <c r="X1" i="18" s="1"/>
  <c r="Y1" i="18" s="1"/>
  <c r="Z1" i="18" s="1"/>
  <c r="AA1" i="18" s="1"/>
  <c r="AB1" i="18" s="1"/>
  <c r="E1" i="18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70" i="17"/>
  <c r="E61" i="17"/>
  <c r="D61" i="17"/>
  <c r="C61" i="17"/>
  <c r="B61" i="17"/>
  <c r="E57" i="17"/>
  <c r="D57" i="17"/>
  <c r="C57" i="17"/>
  <c r="B57" i="17"/>
  <c r="AB53" i="17"/>
  <c r="AA53" i="17"/>
  <c r="Z53" i="17"/>
  <c r="Y53" i="17"/>
  <c r="Y52" i="17" s="1"/>
  <c r="X53" i="17"/>
  <c r="X52" i="17" s="1"/>
  <c r="W53" i="17"/>
  <c r="V53" i="17"/>
  <c r="V52" i="17" s="1"/>
  <c r="U53" i="17"/>
  <c r="U52" i="17" s="1"/>
  <c r="T53" i="17"/>
  <c r="S53" i="17"/>
  <c r="R53" i="17"/>
  <c r="Q53" i="17"/>
  <c r="P53" i="17"/>
  <c r="O53" i="17"/>
  <c r="N53" i="17"/>
  <c r="N52" i="17" s="1"/>
  <c r="M53" i="17"/>
  <c r="M52" i="17" s="1"/>
  <c r="L53" i="17"/>
  <c r="K53" i="17"/>
  <c r="J53" i="17"/>
  <c r="I53" i="17"/>
  <c r="I52" i="17" s="1"/>
  <c r="H53" i="17"/>
  <c r="G53" i="17"/>
  <c r="F53" i="17"/>
  <c r="F52" i="17" s="1"/>
  <c r="E53" i="17"/>
  <c r="E52" i="17" s="1"/>
  <c r="D53" i="17"/>
  <c r="C53" i="17"/>
  <c r="B53" i="17"/>
  <c r="AB52" i="17"/>
  <c r="AA52" i="17"/>
  <c r="Z52" i="17"/>
  <c r="W52" i="17"/>
  <c r="T52" i="17"/>
  <c r="S52" i="17"/>
  <c r="R52" i="17"/>
  <c r="Q52" i="17"/>
  <c r="P52" i="17"/>
  <c r="O52" i="17"/>
  <c r="L52" i="17"/>
  <c r="K52" i="17"/>
  <c r="J52" i="17"/>
  <c r="H52" i="17"/>
  <c r="G52" i="17"/>
  <c r="D52" i="17"/>
  <c r="C52" i="17"/>
  <c r="B52" i="17"/>
  <c r="V41" i="17"/>
  <c r="Z41" i="17" s="1"/>
  <c r="K41" i="17"/>
  <c r="O41" i="17" s="1"/>
  <c r="S41" i="17" s="1"/>
  <c r="W41" i="17" s="1"/>
  <c r="AA41" i="17" s="1"/>
  <c r="I41" i="17"/>
  <c r="M41" i="17" s="1"/>
  <c r="Q41" i="17" s="1"/>
  <c r="U41" i="17" s="1"/>
  <c r="Y41" i="17" s="1"/>
  <c r="H41" i="17"/>
  <c r="L41" i="17" s="1"/>
  <c r="P41" i="17" s="1"/>
  <c r="T41" i="17" s="1"/>
  <c r="X41" i="17" s="1"/>
  <c r="AB41" i="17" s="1"/>
  <c r="G41" i="17"/>
  <c r="F41" i="17"/>
  <c r="J41" i="17" s="1"/>
  <c r="N41" i="17" s="1"/>
  <c r="R41" i="17" s="1"/>
  <c r="X40" i="17"/>
  <c r="AB40" i="17" s="1"/>
  <c r="U40" i="17"/>
  <c r="Y40" i="17" s="1"/>
  <c r="M40" i="17"/>
  <c r="Q40" i="17" s="1"/>
  <c r="K40" i="17"/>
  <c r="O40" i="17" s="1"/>
  <c r="S40" i="17" s="1"/>
  <c r="W40" i="17" s="1"/>
  <c r="AA40" i="17" s="1"/>
  <c r="J40" i="17"/>
  <c r="N40" i="17" s="1"/>
  <c r="R40" i="17" s="1"/>
  <c r="V40" i="17" s="1"/>
  <c r="Z40" i="17" s="1"/>
  <c r="I40" i="17"/>
  <c r="H40" i="17"/>
  <c r="L40" i="17" s="1"/>
  <c r="P40" i="17" s="1"/>
  <c r="T40" i="17" s="1"/>
  <c r="G40" i="17"/>
  <c r="F40" i="17"/>
  <c r="V39" i="17"/>
  <c r="Z39" i="17" s="1"/>
  <c r="T39" i="17"/>
  <c r="X39" i="17" s="1"/>
  <c r="AB39" i="17" s="1"/>
  <c r="M39" i="17"/>
  <c r="Q39" i="17" s="1"/>
  <c r="U39" i="17" s="1"/>
  <c r="Y39" i="17" s="1"/>
  <c r="L39" i="17"/>
  <c r="P39" i="17" s="1"/>
  <c r="J39" i="17"/>
  <c r="N39" i="17" s="1"/>
  <c r="R39" i="17" s="1"/>
  <c r="I39" i="17"/>
  <c r="H39" i="17"/>
  <c r="G39" i="17"/>
  <c r="K39" i="17" s="1"/>
  <c r="O39" i="17" s="1"/>
  <c r="S39" i="17" s="1"/>
  <c r="W39" i="17" s="1"/>
  <c r="AA39" i="17" s="1"/>
  <c r="F39" i="17"/>
  <c r="K37" i="17"/>
  <c r="J37" i="17"/>
  <c r="N37" i="17" s="1"/>
  <c r="R37" i="17" s="1"/>
  <c r="I37" i="17"/>
  <c r="M37" i="17" s="1"/>
  <c r="H37" i="17"/>
  <c r="G37" i="17"/>
  <c r="F37" i="17"/>
  <c r="AB27" i="17"/>
  <c r="AB46" i="17" s="1"/>
  <c r="AA27" i="17"/>
  <c r="AA46" i="17" s="1"/>
  <c r="Z27" i="17"/>
  <c r="Z46" i="17" s="1"/>
  <c r="Y27" i="17"/>
  <c r="Y46" i="17" s="1"/>
  <c r="X27" i="17"/>
  <c r="X46" i="17" s="1"/>
  <c r="W27" i="17"/>
  <c r="W46" i="17" s="1"/>
  <c r="V27" i="17"/>
  <c r="V46" i="17" s="1"/>
  <c r="U27" i="17"/>
  <c r="U46" i="17" s="1"/>
  <c r="T27" i="17"/>
  <c r="T46" i="17" s="1"/>
  <c r="S27" i="17"/>
  <c r="S46" i="17" s="1"/>
  <c r="R27" i="17"/>
  <c r="R46" i="17" s="1"/>
  <c r="Q27" i="17"/>
  <c r="Q46" i="17" s="1"/>
  <c r="P27" i="17"/>
  <c r="P46" i="17" s="1"/>
  <c r="O27" i="17"/>
  <c r="O46" i="17" s="1"/>
  <c r="N27" i="17"/>
  <c r="N46" i="17" s="1"/>
  <c r="M27" i="17"/>
  <c r="M46" i="17" s="1"/>
  <c r="L27" i="17"/>
  <c r="L46" i="17" s="1"/>
  <c r="K27" i="17"/>
  <c r="K46" i="17" s="1"/>
  <c r="J27" i="17"/>
  <c r="J46" i="17" s="1"/>
  <c r="I27" i="17"/>
  <c r="I46" i="17" s="1"/>
  <c r="H27" i="17"/>
  <c r="H46" i="17" s="1"/>
  <c r="G27" i="17"/>
  <c r="G46" i="17" s="1"/>
  <c r="F27" i="17"/>
  <c r="F46" i="17" s="1"/>
  <c r="E27" i="17"/>
  <c r="E46" i="17" s="1"/>
  <c r="D27" i="17"/>
  <c r="D46" i="17" s="1"/>
  <c r="C27" i="17"/>
  <c r="C46" i="17" s="1"/>
  <c r="B27" i="17"/>
  <c r="B46" i="17" s="1"/>
  <c r="E24" i="17"/>
  <c r="D24" i="17"/>
  <c r="C24" i="17"/>
  <c r="B24" i="17"/>
  <c r="I23" i="17"/>
  <c r="E23" i="17"/>
  <c r="D23" i="17"/>
  <c r="D63" i="17" s="1"/>
  <c r="C23" i="17"/>
  <c r="B23" i="17"/>
  <c r="E22" i="17"/>
  <c r="D22" i="17"/>
  <c r="C22" i="17"/>
  <c r="B22" i="17"/>
  <c r="F21" i="17"/>
  <c r="F22" i="17" s="1"/>
  <c r="M20" i="17"/>
  <c r="M23" i="17" s="1"/>
  <c r="I20" i="17"/>
  <c r="H20" i="17"/>
  <c r="L20" i="17" s="1"/>
  <c r="F20" i="17"/>
  <c r="F23" i="17" s="1"/>
  <c r="C16" i="17"/>
  <c r="D16" i="17" s="1"/>
  <c r="C14" i="17"/>
  <c r="D14" i="17" s="1"/>
  <c r="E14" i="17" s="1"/>
  <c r="F14" i="17" s="1"/>
  <c r="G14" i="17" s="1"/>
  <c r="H14" i="17" s="1"/>
  <c r="I14" i="17" s="1"/>
  <c r="J14" i="17" s="1"/>
  <c r="E13" i="17"/>
  <c r="D13" i="17"/>
  <c r="C13" i="17"/>
  <c r="B13" i="17"/>
  <c r="M6" i="17"/>
  <c r="Q6" i="17" s="1"/>
  <c r="U6" i="17" s="1"/>
  <c r="Y6" i="17" s="1"/>
  <c r="I6" i="17"/>
  <c r="H6" i="17"/>
  <c r="L6" i="17" s="1"/>
  <c r="P6" i="17" s="1"/>
  <c r="T6" i="17" s="1"/>
  <c r="X6" i="17" s="1"/>
  <c r="AB6" i="17" s="1"/>
  <c r="G6" i="17"/>
  <c r="K6" i="17" s="1"/>
  <c r="O6" i="17" s="1"/>
  <c r="S6" i="17" s="1"/>
  <c r="W6" i="17" s="1"/>
  <c r="AA6" i="17" s="1"/>
  <c r="F6" i="17"/>
  <c r="J6" i="17" s="1"/>
  <c r="N6" i="17" s="1"/>
  <c r="R6" i="17" s="1"/>
  <c r="V6" i="17" s="1"/>
  <c r="Z6" i="17" s="1"/>
  <c r="F2" i="17"/>
  <c r="E1" i="17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S1" i="17" s="1"/>
  <c r="T1" i="17" s="1"/>
  <c r="U1" i="17" s="1"/>
  <c r="V1" i="17" s="1"/>
  <c r="W1" i="17" s="1"/>
  <c r="X1" i="17" s="1"/>
  <c r="Y1" i="17" s="1"/>
  <c r="Z1" i="17" s="1"/>
  <c r="AA1" i="17" s="1"/>
  <c r="AB1" i="17" s="1"/>
  <c r="M33" i="16"/>
  <c r="L33" i="16"/>
  <c r="K33" i="16"/>
  <c r="J33" i="16"/>
  <c r="I33" i="16"/>
  <c r="H33" i="16"/>
  <c r="G33" i="16"/>
  <c r="F33" i="16"/>
  <c r="E33" i="16"/>
  <c r="D33" i="16"/>
  <c r="C33" i="16"/>
  <c r="C24" i="16"/>
  <c r="C29" i="16" s="1"/>
  <c r="G23" i="16"/>
  <c r="E23" i="16"/>
  <c r="C23" i="16"/>
  <c r="C28" i="16" s="1"/>
  <c r="AH26" i="3" l="1"/>
  <c r="AH43" i="3"/>
  <c r="AH19" i="3"/>
  <c r="AH20" i="3"/>
  <c r="B8" i="17"/>
  <c r="B8" i="18"/>
  <c r="B26" i="18" s="1"/>
  <c r="B34" i="18" s="1"/>
  <c r="B35" i="18" s="1"/>
  <c r="AC23" i="3"/>
  <c r="AA23" i="3"/>
  <c r="L23" i="3"/>
  <c r="L25" i="3" s="1"/>
  <c r="L26" i="3" s="1"/>
  <c r="T23" i="3"/>
  <c r="H23" i="3"/>
  <c r="H25" i="3" s="1"/>
  <c r="H26" i="3" s="1"/>
  <c r="P23" i="3"/>
  <c r="G23" i="3"/>
  <c r="G25" i="3" s="1"/>
  <c r="G26" i="3" s="1"/>
  <c r="X23" i="3"/>
  <c r="O23" i="3"/>
  <c r="AF23" i="3"/>
  <c r="AF25" i="3" s="1"/>
  <c r="AF26" i="3" s="1"/>
  <c r="AG23" i="3"/>
  <c r="AG25" i="3" s="1"/>
  <c r="AG26" i="3" s="1"/>
  <c r="W23" i="3"/>
  <c r="J23" i="3"/>
  <c r="J25" i="3" s="1"/>
  <c r="J26" i="3" s="1"/>
  <c r="AE23" i="3"/>
  <c r="Q23" i="3"/>
  <c r="K23" i="3"/>
  <c r="K25" i="3" s="1"/>
  <c r="K26" i="3" s="1"/>
  <c r="M23" i="3"/>
  <c r="M25" i="3" s="1"/>
  <c r="M26" i="3" s="1"/>
  <c r="V23" i="3"/>
  <c r="Y23" i="3"/>
  <c r="R23" i="3"/>
  <c r="AB23" i="3"/>
  <c r="F42" i="21"/>
  <c r="F43" i="21" s="1"/>
  <c r="B32" i="21"/>
  <c r="B34" i="21" s="1"/>
  <c r="N23" i="3"/>
  <c r="S23" i="3"/>
  <c r="U23" i="3"/>
  <c r="I23" i="3"/>
  <c r="I25" i="3" s="1"/>
  <c r="I26" i="3" s="1"/>
  <c r="AD23" i="3"/>
  <c r="Z23" i="3"/>
  <c r="J22" i="19"/>
  <c r="K4" i="16" s="1"/>
  <c r="H29" i="16"/>
  <c r="B28" i="18"/>
  <c r="F32" i="10"/>
  <c r="AH24" i="3" s="1"/>
  <c r="AH40" i="3" s="1"/>
  <c r="H19" i="3"/>
  <c r="H38" i="3" s="1"/>
  <c r="H20" i="3"/>
  <c r="AG43" i="3"/>
  <c r="AG19" i="3"/>
  <c r="AG38" i="3" s="1"/>
  <c r="AG20" i="3"/>
  <c r="G19" i="3"/>
  <c r="G38" i="3" s="1"/>
  <c r="G20" i="3"/>
  <c r="G43" i="3"/>
  <c r="H43" i="3"/>
  <c r="F12" i="22"/>
  <c r="G12" i="22" s="1"/>
  <c r="G7" i="22"/>
  <c r="B7" i="17"/>
  <c r="B28" i="19"/>
  <c r="C28" i="19"/>
  <c r="B24" i="19"/>
  <c r="D28" i="19"/>
  <c r="C24" i="19"/>
  <c r="E28" i="19"/>
  <c r="D24" i="19"/>
  <c r="E24" i="19"/>
  <c r="N23" i="18"/>
  <c r="R20" i="18"/>
  <c r="P14" i="18"/>
  <c r="Q14" i="18" s="1"/>
  <c r="R14" i="18" s="1"/>
  <c r="S14" i="18" s="1"/>
  <c r="T14" i="18" s="1"/>
  <c r="U14" i="18" s="1"/>
  <c r="V14" i="18" s="1"/>
  <c r="W14" i="18" s="1"/>
  <c r="X14" i="18" s="1"/>
  <c r="Y14" i="18" s="1"/>
  <c r="Z14" i="18" s="1"/>
  <c r="AA14" i="18" s="1"/>
  <c r="AB14" i="18" s="1"/>
  <c r="S16" i="18"/>
  <c r="T16" i="18" s="1"/>
  <c r="U16" i="18" s="1"/>
  <c r="V16" i="18" s="1"/>
  <c r="W16" i="18" s="1"/>
  <c r="X16" i="18" s="1"/>
  <c r="Y16" i="18" s="1"/>
  <c r="Z16" i="18" s="1"/>
  <c r="AA16" i="18" s="1"/>
  <c r="AB16" i="18" s="1"/>
  <c r="H63" i="18"/>
  <c r="Q20" i="18"/>
  <c r="M23" i="18"/>
  <c r="G63" i="18"/>
  <c r="L37" i="18"/>
  <c r="G57" i="18"/>
  <c r="G61" i="18"/>
  <c r="E70" i="18"/>
  <c r="E53" i="18"/>
  <c r="E52" i="18" s="1"/>
  <c r="M37" i="18"/>
  <c r="H2" i="18"/>
  <c r="F19" i="18"/>
  <c r="J23" i="18"/>
  <c r="G24" i="18"/>
  <c r="V37" i="18"/>
  <c r="O37" i="18"/>
  <c r="B63" i="18"/>
  <c r="F61" i="18"/>
  <c r="B32" i="18"/>
  <c r="O20" i="18"/>
  <c r="H21" i="18"/>
  <c r="E22" i="18"/>
  <c r="C63" i="18"/>
  <c r="P20" i="18"/>
  <c r="D63" i="18"/>
  <c r="F13" i="18"/>
  <c r="E23" i="18"/>
  <c r="L23" i="17"/>
  <c r="P20" i="17"/>
  <c r="K14" i="17"/>
  <c r="L14" i="17" s="1"/>
  <c r="M14" i="17" s="1"/>
  <c r="N14" i="17" s="1"/>
  <c r="O14" i="17" s="1"/>
  <c r="P14" i="17" s="1"/>
  <c r="Q14" i="17" s="1"/>
  <c r="R14" i="17" s="1"/>
  <c r="E16" i="17"/>
  <c r="F16" i="17" s="1"/>
  <c r="G16" i="17" s="1"/>
  <c r="H16" i="17" s="1"/>
  <c r="I16" i="17" s="1"/>
  <c r="F57" i="17"/>
  <c r="F61" i="17"/>
  <c r="G2" i="17"/>
  <c r="G23" i="17"/>
  <c r="K20" i="17"/>
  <c r="H23" i="17"/>
  <c r="V37" i="17"/>
  <c r="Q20" i="17"/>
  <c r="O37" i="17"/>
  <c r="F63" i="17"/>
  <c r="G21" i="17"/>
  <c r="J20" i="17"/>
  <c r="Q37" i="17"/>
  <c r="L37" i="17"/>
  <c r="F13" i="17"/>
  <c r="C63" i="17"/>
  <c r="F24" i="17"/>
  <c r="B63" i="17"/>
  <c r="E63" i="17"/>
  <c r="D28" i="16"/>
  <c r="D30" i="16" s="1"/>
  <c r="D36" i="16" s="1"/>
  <c r="D25" i="16"/>
  <c r="G28" i="16"/>
  <c r="G30" i="16" s="1"/>
  <c r="G36" i="16" s="1"/>
  <c r="G25" i="16"/>
  <c r="C30" i="16"/>
  <c r="C36" i="16" s="1"/>
  <c r="E25" i="16"/>
  <c r="E28" i="16"/>
  <c r="E30" i="16" s="1"/>
  <c r="E36" i="16" s="1"/>
  <c r="F28" i="16"/>
  <c r="F30" i="16" s="1"/>
  <c r="F36" i="16" s="1"/>
  <c r="F25" i="16"/>
  <c r="H28" i="16"/>
  <c r="H30" i="16" s="1"/>
  <c r="H36" i="16" s="1"/>
  <c r="H25" i="16"/>
  <c r="C25" i="16"/>
  <c r="B26" i="17"/>
  <c r="B32" i="17" s="1"/>
  <c r="G29" i="3" l="1"/>
  <c r="AG29" i="3"/>
  <c r="AH29" i="3"/>
  <c r="AH42" i="3" s="1"/>
  <c r="H29" i="3"/>
  <c r="AH38" i="3"/>
  <c r="AH39" i="3"/>
  <c r="B45" i="18"/>
  <c r="I21" i="19"/>
  <c r="J3" i="16" s="1"/>
  <c r="J4" i="16"/>
  <c r="B12" i="18"/>
  <c r="B29" i="18"/>
  <c r="B44" i="18" s="1"/>
  <c r="G24" i="3"/>
  <c r="G40" i="3" s="1"/>
  <c r="AF24" i="3"/>
  <c r="AF40" i="3" s="1"/>
  <c r="L24" i="3"/>
  <c r="L40" i="3" s="1"/>
  <c r="V24" i="3"/>
  <c r="Z24" i="3"/>
  <c r="U24" i="3"/>
  <c r="Q24" i="3"/>
  <c r="P24" i="3"/>
  <c r="AG24" i="3"/>
  <c r="AG40" i="3" s="1"/>
  <c r="K24" i="3"/>
  <c r="K40" i="3" s="1"/>
  <c r="I24" i="3"/>
  <c r="I40" i="3" s="1"/>
  <c r="AB24" i="3"/>
  <c r="W24" i="3"/>
  <c r="AA24" i="3"/>
  <c r="X24" i="3"/>
  <c r="R24" i="3"/>
  <c r="M24" i="3"/>
  <c r="M40" i="3" s="1"/>
  <c r="AE24" i="3"/>
  <c r="S24" i="3"/>
  <c r="Y24" i="3"/>
  <c r="O24" i="3"/>
  <c r="N24" i="3"/>
  <c r="J24" i="3"/>
  <c r="J40" i="3" s="1"/>
  <c r="AC24" i="3"/>
  <c r="H24" i="3"/>
  <c r="H40" i="3" s="1"/>
  <c r="AD24" i="3"/>
  <c r="T24" i="3"/>
  <c r="H39" i="3"/>
  <c r="G39" i="3"/>
  <c r="AG39" i="3"/>
  <c r="B45" i="17"/>
  <c r="K22" i="19"/>
  <c r="L4" i="16" s="1"/>
  <c r="P37" i="18"/>
  <c r="E63" i="18"/>
  <c r="Z37" i="18"/>
  <c r="H22" i="18"/>
  <c r="I21" i="18"/>
  <c r="V20" i="18"/>
  <c r="R23" i="18"/>
  <c r="P23" i="18"/>
  <c r="T20" i="18"/>
  <c r="H57" i="18"/>
  <c r="H61" i="18"/>
  <c r="H24" i="18"/>
  <c r="I2" i="18"/>
  <c r="H13" i="18"/>
  <c r="O23" i="18"/>
  <c r="S20" i="18"/>
  <c r="Q37" i="18"/>
  <c r="S37" i="18"/>
  <c r="F70" i="18"/>
  <c r="F23" i="18"/>
  <c r="F53" i="18"/>
  <c r="F52" i="18" s="1"/>
  <c r="F22" i="18"/>
  <c r="Q23" i="18"/>
  <c r="U20" i="18"/>
  <c r="B43" i="18"/>
  <c r="B34" i="17"/>
  <c r="B35" i="17" s="1"/>
  <c r="U37" i="17"/>
  <c r="G22" i="17"/>
  <c r="H21" i="17"/>
  <c r="G57" i="17"/>
  <c r="G61" i="17"/>
  <c r="G24" i="17"/>
  <c r="G13" i="17"/>
  <c r="H2" i="17"/>
  <c r="J23" i="17"/>
  <c r="N20" i="17"/>
  <c r="Q23" i="17"/>
  <c r="U20" i="17"/>
  <c r="Z37" i="17"/>
  <c r="S14" i="17"/>
  <c r="S37" i="17"/>
  <c r="P37" i="17"/>
  <c r="K23" i="17"/>
  <c r="O20" i="17"/>
  <c r="J16" i="17"/>
  <c r="P23" i="17"/>
  <c r="T20" i="17"/>
  <c r="G63" i="17"/>
  <c r="B25" i="18" l="1"/>
  <c r="B49" i="18" s="1"/>
  <c r="B66" i="18" s="1"/>
  <c r="B58" i="18"/>
  <c r="B11" i="18"/>
  <c r="H21" i="19"/>
  <c r="I3" i="16" s="1"/>
  <c r="L22" i="19"/>
  <c r="M4" i="16" s="1"/>
  <c r="K21" i="19"/>
  <c r="L3" i="16" s="1"/>
  <c r="J21" i="19"/>
  <c r="K3" i="16" s="1"/>
  <c r="V23" i="18"/>
  <c r="Z20" i="18"/>
  <c r="Y20" i="18"/>
  <c r="U23" i="18"/>
  <c r="F63" i="18"/>
  <c r="I57" i="18"/>
  <c r="I61" i="18"/>
  <c r="I24" i="18"/>
  <c r="J2" i="18"/>
  <c r="I13" i="18"/>
  <c r="J21" i="18"/>
  <c r="I22" i="18"/>
  <c r="I63" i="18"/>
  <c r="T37" i="18"/>
  <c r="B30" i="18"/>
  <c r="W37" i="18"/>
  <c r="B62" i="18"/>
  <c r="B64" i="18" s="1"/>
  <c r="B47" i="18"/>
  <c r="B65" i="18" s="1"/>
  <c r="B48" i="18"/>
  <c r="T23" i="18"/>
  <c r="X20" i="18"/>
  <c r="U37" i="18"/>
  <c r="S23" i="18"/>
  <c r="W20" i="18"/>
  <c r="B29" i="17"/>
  <c r="B44" i="17" s="1"/>
  <c r="B12" i="17"/>
  <c r="B28" i="17"/>
  <c r="T23" i="17"/>
  <c r="X20" i="17"/>
  <c r="T37" i="17"/>
  <c r="Y37" i="17"/>
  <c r="O23" i="17"/>
  <c r="S20" i="17"/>
  <c r="T14" i="17"/>
  <c r="U23" i="17"/>
  <c r="Y20" i="17"/>
  <c r="Y23" i="17" s="1"/>
  <c r="N23" i="17"/>
  <c r="R20" i="17"/>
  <c r="H22" i="17"/>
  <c r="I21" i="17"/>
  <c r="K16" i="17"/>
  <c r="H63" i="17"/>
  <c r="H61" i="17"/>
  <c r="H57" i="17"/>
  <c r="H24" i="17"/>
  <c r="I2" i="17"/>
  <c r="H13" i="17"/>
  <c r="W37" i="17"/>
  <c r="B33" i="18" l="1"/>
  <c r="B54" i="18"/>
  <c r="B71" i="18" s="1"/>
  <c r="B72" i="18" s="1"/>
  <c r="B73" i="18" s="1"/>
  <c r="B74" i="18" s="1"/>
  <c r="B76" i="18" s="1"/>
  <c r="I31" i="19"/>
  <c r="J13" i="16" s="1"/>
  <c r="I30" i="19"/>
  <c r="J12" i="16" s="1"/>
  <c r="I24" i="19"/>
  <c r="J6" i="16" s="1"/>
  <c r="H31" i="19"/>
  <c r="I13" i="16" s="1"/>
  <c r="I24" i="16" s="1"/>
  <c r="C7" i="18" s="1"/>
  <c r="H30" i="19"/>
  <c r="I12" i="16" s="1"/>
  <c r="I23" i="16" s="1"/>
  <c r="H24" i="19"/>
  <c r="I6" i="16" s="1"/>
  <c r="J31" i="19"/>
  <c r="K13" i="16" s="1"/>
  <c r="J30" i="19"/>
  <c r="K12" i="16" s="1"/>
  <c r="J24" i="19"/>
  <c r="K6" i="16" s="1"/>
  <c r="K30" i="19"/>
  <c r="L12" i="16" s="1"/>
  <c r="K24" i="19"/>
  <c r="L6" i="16" s="1"/>
  <c r="K31" i="19"/>
  <c r="L13" i="16" s="1"/>
  <c r="M22" i="19"/>
  <c r="N4" i="16" s="1"/>
  <c r="L21" i="19"/>
  <c r="M3" i="16" s="1"/>
  <c r="J61" i="18"/>
  <c r="J24" i="18"/>
  <c r="J57" i="18"/>
  <c r="K2" i="18"/>
  <c r="J13" i="18"/>
  <c r="W23" i="18"/>
  <c r="AA20" i="18"/>
  <c r="X23" i="18"/>
  <c r="AB20" i="18"/>
  <c r="X37" i="18"/>
  <c r="J22" i="18"/>
  <c r="K21" i="18"/>
  <c r="J63" i="18"/>
  <c r="AA37" i="18"/>
  <c r="Y37" i="18"/>
  <c r="B55" i="18"/>
  <c r="Y23" i="18"/>
  <c r="Z23" i="18"/>
  <c r="B25" i="17"/>
  <c r="B43" i="17"/>
  <c r="B58" i="17"/>
  <c r="B11" i="17"/>
  <c r="R23" i="17"/>
  <c r="V20" i="17"/>
  <c r="L16" i="17"/>
  <c r="I57" i="17"/>
  <c r="I61" i="17"/>
  <c r="I24" i="17"/>
  <c r="J2" i="17"/>
  <c r="I13" i="17"/>
  <c r="X37" i="17"/>
  <c r="I22" i="17"/>
  <c r="J21" i="17"/>
  <c r="I63" i="17"/>
  <c r="AB20" i="17"/>
  <c r="AB23" i="17" s="1"/>
  <c r="X23" i="17"/>
  <c r="AA37" i="17"/>
  <c r="S23" i="17"/>
  <c r="W20" i="17"/>
  <c r="U14" i="17"/>
  <c r="C8" i="17" l="1"/>
  <c r="C8" i="18"/>
  <c r="C26" i="18" s="1"/>
  <c r="C28" i="18"/>
  <c r="C29" i="18"/>
  <c r="C44" i="18" s="1"/>
  <c r="I29" i="16"/>
  <c r="C7" i="17"/>
  <c r="L24" i="19"/>
  <c r="M6" i="16" s="1"/>
  <c r="L31" i="19"/>
  <c r="M13" i="16" s="1"/>
  <c r="L30" i="19"/>
  <c r="M12" i="16" s="1"/>
  <c r="N22" i="19"/>
  <c r="O4" i="16" s="1"/>
  <c r="M21" i="19"/>
  <c r="N3" i="16" s="1"/>
  <c r="AA23" i="18"/>
  <c r="AB23" i="18"/>
  <c r="K22" i="18"/>
  <c r="L21" i="18"/>
  <c r="K63" i="18"/>
  <c r="K57" i="18"/>
  <c r="K61" i="18"/>
  <c r="K24" i="18"/>
  <c r="L2" i="18"/>
  <c r="K13" i="18"/>
  <c r="AB37" i="18"/>
  <c r="B48" i="17"/>
  <c r="B62" i="17"/>
  <c r="B64" i="17" s="1"/>
  <c r="B47" i="17"/>
  <c r="B65" i="17" s="1"/>
  <c r="I25" i="16"/>
  <c r="I28" i="16"/>
  <c r="K23" i="16"/>
  <c r="B54" i="17"/>
  <c r="B49" i="17"/>
  <c r="B66" i="17" s="1"/>
  <c r="B33" i="17"/>
  <c r="B30" i="17"/>
  <c r="C26" i="17"/>
  <c r="J24" i="16"/>
  <c r="D7" i="18" s="1"/>
  <c r="J23" i="16"/>
  <c r="K24" i="16"/>
  <c r="E7" i="18" s="1"/>
  <c r="AB37" i="17"/>
  <c r="V14" i="17"/>
  <c r="W23" i="17"/>
  <c r="AA20" i="17"/>
  <c r="AA23" i="17" s="1"/>
  <c r="M16" i="17"/>
  <c r="J22" i="17"/>
  <c r="K21" i="17"/>
  <c r="J63" i="17"/>
  <c r="V23" i="17"/>
  <c r="Z20" i="17"/>
  <c r="Z23" i="17" s="1"/>
  <c r="J57" i="17"/>
  <c r="J61" i="17"/>
  <c r="J24" i="17"/>
  <c r="K2" i="17"/>
  <c r="J13" i="17"/>
  <c r="C12" i="18" l="1"/>
  <c r="C11" i="18" s="1"/>
  <c r="C45" i="18"/>
  <c r="C32" i="18"/>
  <c r="C34" i="18"/>
  <c r="C35" i="18" s="1"/>
  <c r="D8" i="17"/>
  <c r="D26" i="17" s="1"/>
  <c r="D8" i="18"/>
  <c r="D26" i="18" s="1"/>
  <c r="E28" i="18"/>
  <c r="E29" i="18"/>
  <c r="E44" i="18" s="1"/>
  <c r="E8" i="17"/>
  <c r="E8" i="18"/>
  <c r="E26" i="18" s="1"/>
  <c r="I30" i="16"/>
  <c r="I36" i="16" s="1"/>
  <c r="D29" i="18"/>
  <c r="D44" i="18" s="1"/>
  <c r="D28" i="18"/>
  <c r="C25" i="18"/>
  <c r="C43" i="18"/>
  <c r="J29" i="16"/>
  <c r="D7" i="17"/>
  <c r="K29" i="16"/>
  <c r="E7" i="17"/>
  <c r="E28" i="17" s="1"/>
  <c r="N21" i="19"/>
  <c r="O3" i="16" s="1"/>
  <c r="O22" i="19"/>
  <c r="P4" i="16" s="1"/>
  <c r="M24" i="19"/>
  <c r="N6" i="16" s="1"/>
  <c r="M31" i="19"/>
  <c r="N13" i="16" s="1"/>
  <c r="M30" i="19"/>
  <c r="N12" i="16" s="1"/>
  <c r="L57" i="18"/>
  <c r="L61" i="18"/>
  <c r="M2" i="18"/>
  <c r="L13" i="18"/>
  <c r="L24" i="18"/>
  <c r="L22" i="18"/>
  <c r="M21" i="18"/>
  <c r="L63" i="18"/>
  <c r="K28" i="16"/>
  <c r="K25" i="16"/>
  <c r="J25" i="16"/>
  <c r="J28" i="16"/>
  <c r="C45" i="17"/>
  <c r="C32" i="17"/>
  <c r="C34" i="17"/>
  <c r="C35" i="17" s="1"/>
  <c r="B55" i="17"/>
  <c r="B71" i="17"/>
  <c r="C12" i="17"/>
  <c r="C29" i="17"/>
  <c r="C44" i="17" s="1"/>
  <c r="C28" i="17"/>
  <c r="K57" i="17"/>
  <c r="K61" i="17"/>
  <c r="K24" i="17"/>
  <c r="L2" i="17"/>
  <c r="K13" i="17"/>
  <c r="L21" i="17"/>
  <c r="K22" i="17"/>
  <c r="K63" i="17"/>
  <c r="N16" i="17"/>
  <c r="W14" i="17"/>
  <c r="C58" i="18" l="1"/>
  <c r="D12" i="18"/>
  <c r="D58" i="18" s="1"/>
  <c r="E32" i="18"/>
  <c r="E45" i="18"/>
  <c r="E34" i="18"/>
  <c r="E35" i="18" s="1"/>
  <c r="E43" i="18"/>
  <c r="E25" i="18"/>
  <c r="E12" i="18"/>
  <c r="D45" i="18"/>
  <c r="D32" i="18"/>
  <c r="D34" i="18"/>
  <c r="D35" i="18" s="1"/>
  <c r="C62" i="18"/>
  <c r="C64" i="18" s="1"/>
  <c r="C47" i="18"/>
  <c r="C65" i="18" s="1"/>
  <c r="C48" i="18"/>
  <c r="C54" i="18"/>
  <c r="C49" i="18"/>
  <c r="C66" i="18" s="1"/>
  <c r="C30" i="18"/>
  <c r="C33" i="18"/>
  <c r="B72" i="17"/>
  <c r="B73" i="17" s="1"/>
  <c r="B74" i="17" s="1"/>
  <c r="B76" i="17" s="1"/>
  <c r="D25" i="18"/>
  <c r="D43" i="18"/>
  <c r="K30" i="16"/>
  <c r="K36" i="16" s="1"/>
  <c r="J30" i="16"/>
  <c r="J36" i="16" s="1"/>
  <c r="E29" i="17"/>
  <c r="E44" i="17" s="1"/>
  <c r="O21" i="19"/>
  <c r="P3" i="16" s="1"/>
  <c r="P22" i="19"/>
  <c r="Q4" i="16" s="1"/>
  <c r="N24" i="19"/>
  <c r="O6" i="16" s="1"/>
  <c r="N31" i="19"/>
  <c r="O13" i="16" s="1"/>
  <c r="N30" i="19"/>
  <c r="O12" i="16" s="1"/>
  <c r="M61" i="18"/>
  <c r="M57" i="18"/>
  <c r="M13" i="18"/>
  <c r="M24" i="18"/>
  <c r="N2" i="18"/>
  <c r="M22" i="18"/>
  <c r="N21" i="18"/>
  <c r="M63" i="18"/>
  <c r="D45" i="17"/>
  <c r="D32" i="17"/>
  <c r="D34" i="17"/>
  <c r="D35" i="17" s="1"/>
  <c r="C43" i="17"/>
  <c r="C25" i="17"/>
  <c r="L24" i="16"/>
  <c r="F7" i="18" s="1"/>
  <c r="D29" i="17"/>
  <c r="D44" i="17" s="1"/>
  <c r="D28" i="17"/>
  <c r="D12" i="17"/>
  <c r="C11" i="17"/>
  <c r="C58" i="17"/>
  <c r="E12" i="17"/>
  <c r="E26" i="17"/>
  <c r="L23" i="16"/>
  <c r="E43" i="17"/>
  <c r="L61" i="17"/>
  <c r="L24" i="17"/>
  <c r="L57" i="17"/>
  <c r="L13" i="17"/>
  <c r="M2" i="17"/>
  <c r="X14" i="17"/>
  <c r="M21" i="17"/>
  <c r="L22" i="17"/>
  <c r="L63" i="17"/>
  <c r="O16" i="17"/>
  <c r="D11" i="18" l="1"/>
  <c r="F28" i="18"/>
  <c r="F29" i="18"/>
  <c r="F44" i="18" s="1"/>
  <c r="E11" i="18"/>
  <c r="E58" i="18"/>
  <c r="E30" i="18"/>
  <c r="E54" i="18"/>
  <c r="E33" i="18"/>
  <c r="E49" i="18"/>
  <c r="E66" i="18" s="1"/>
  <c r="E48" i="18"/>
  <c r="E62" i="18"/>
  <c r="E64" i="18" s="1"/>
  <c r="E47" i="18"/>
  <c r="E65" i="18" s="1"/>
  <c r="F8" i="17"/>
  <c r="F26" i="17" s="1"/>
  <c r="F8" i="18"/>
  <c r="F26" i="18" s="1"/>
  <c r="C71" i="18"/>
  <c r="C72" i="18" s="1"/>
  <c r="C73" i="18" s="1"/>
  <c r="C74" i="18" s="1"/>
  <c r="C76" i="18" s="1"/>
  <c r="C55" i="18"/>
  <c r="D47" i="18"/>
  <c r="D65" i="18" s="1"/>
  <c r="D62" i="18"/>
  <c r="D64" i="18" s="1"/>
  <c r="D48" i="18"/>
  <c r="D54" i="18"/>
  <c r="D33" i="18"/>
  <c r="D49" i="18"/>
  <c r="D66" i="18" s="1"/>
  <c r="D30" i="18"/>
  <c r="E25" i="17"/>
  <c r="L29" i="16"/>
  <c r="F7" i="17"/>
  <c r="O31" i="19"/>
  <c r="P13" i="16" s="1"/>
  <c r="O30" i="19"/>
  <c r="P12" i="16" s="1"/>
  <c r="O24" i="19"/>
  <c r="P6" i="16" s="1"/>
  <c r="P21" i="19"/>
  <c r="Q3" i="16" s="1"/>
  <c r="Q22" i="19"/>
  <c r="R4" i="16" s="1"/>
  <c r="N22" i="18"/>
  <c r="O21" i="18"/>
  <c r="N63" i="18"/>
  <c r="N57" i="18"/>
  <c r="N61" i="18"/>
  <c r="N13" i="18"/>
  <c r="N24" i="18"/>
  <c r="O2" i="18"/>
  <c r="E34" i="17"/>
  <c r="E35" i="17" s="1"/>
  <c r="E45" i="17"/>
  <c r="E62" i="17" s="1"/>
  <c r="E64" i="17" s="1"/>
  <c r="E32" i="17"/>
  <c r="C33" i="17"/>
  <c r="C54" i="17"/>
  <c r="C30" i="17"/>
  <c r="C49" i="17"/>
  <c r="C66" i="17" s="1"/>
  <c r="D43" i="17"/>
  <c r="D25" i="17"/>
  <c r="E58" i="17"/>
  <c r="E11" i="17"/>
  <c r="C62" i="17"/>
  <c r="C64" i="17" s="1"/>
  <c r="C47" i="17"/>
  <c r="C65" i="17" s="1"/>
  <c r="C48" i="17"/>
  <c r="M24" i="16"/>
  <c r="G7" i="18" s="1"/>
  <c r="M23" i="16"/>
  <c r="L28" i="16"/>
  <c r="L25" i="16"/>
  <c r="D58" i="17"/>
  <c r="D11" i="17"/>
  <c r="M22" i="17"/>
  <c r="N21" i="17"/>
  <c r="M63" i="17"/>
  <c r="M61" i="17"/>
  <c r="M57" i="17"/>
  <c r="M13" i="17"/>
  <c r="M24" i="17"/>
  <c r="N2" i="17"/>
  <c r="P16" i="17"/>
  <c r="Y14" i="17"/>
  <c r="E71" i="18" l="1"/>
  <c r="E72" i="18" s="1"/>
  <c r="E73" i="18" s="1"/>
  <c r="E74" i="18" s="1"/>
  <c r="E76" i="18" s="1"/>
  <c r="E55" i="18"/>
  <c r="G8" i="17"/>
  <c r="G8" i="18"/>
  <c r="G26" i="18" s="1"/>
  <c r="G28" i="18"/>
  <c r="G29" i="18"/>
  <c r="G44" i="18" s="1"/>
  <c r="F12" i="18"/>
  <c r="F32" i="18"/>
  <c r="F34" i="18"/>
  <c r="F35" i="18" s="1"/>
  <c r="F45" i="18"/>
  <c r="F25" i="18"/>
  <c r="F43" i="18"/>
  <c r="D55" i="18"/>
  <c r="D71" i="18"/>
  <c r="D72" i="18" s="1"/>
  <c r="D73" i="18" s="1"/>
  <c r="D74" i="18" s="1"/>
  <c r="D76" i="18" s="1"/>
  <c r="E49" i="17"/>
  <c r="E66" i="17" s="1"/>
  <c r="E54" i="17"/>
  <c r="E71" i="17" s="1"/>
  <c r="E72" i="17" s="1"/>
  <c r="L30" i="16"/>
  <c r="L36" i="16" s="1"/>
  <c r="E30" i="17"/>
  <c r="E47" i="17"/>
  <c r="E65" i="17" s="1"/>
  <c r="E48" i="17"/>
  <c r="E33" i="17"/>
  <c r="M29" i="16"/>
  <c r="G7" i="17"/>
  <c r="R22" i="19"/>
  <c r="S4" i="16" s="1"/>
  <c r="Q21" i="19"/>
  <c r="R3" i="16" s="1"/>
  <c r="P31" i="19"/>
  <c r="Q13" i="16" s="1"/>
  <c r="P30" i="19"/>
  <c r="Q12" i="16" s="1"/>
  <c r="P24" i="19"/>
  <c r="Q6" i="16" s="1"/>
  <c r="O57" i="18"/>
  <c r="O61" i="18"/>
  <c r="O24" i="18"/>
  <c r="P2" i="18"/>
  <c r="O13" i="18"/>
  <c r="O22" i="18"/>
  <c r="P21" i="18"/>
  <c r="O63" i="18"/>
  <c r="C55" i="17"/>
  <c r="C71" i="17"/>
  <c r="C72" i="17" s="1"/>
  <c r="F29" i="17"/>
  <c r="F44" i="17" s="1"/>
  <c r="F28" i="17"/>
  <c r="F12" i="17"/>
  <c r="D30" i="17"/>
  <c r="D54" i="17"/>
  <c r="D49" i="17"/>
  <c r="D66" i="17" s="1"/>
  <c r="D33" i="17"/>
  <c r="D62" i="17"/>
  <c r="D64" i="17" s="1"/>
  <c r="D47" i="17"/>
  <c r="D65" i="17" s="1"/>
  <c r="D48" i="17"/>
  <c r="F45" i="17"/>
  <c r="F32" i="17"/>
  <c r="F34" i="17"/>
  <c r="F35" i="17" s="1"/>
  <c r="N23" i="16"/>
  <c r="N24" i="16"/>
  <c r="H7" i="18" s="1"/>
  <c r="M28" i="16"/>
  <c r="M25" i="16"/>
  <c r="Z14" i="17"/>
  <c r="Q16" i="17"/>
  <c r="N57" i="17"/>
  <c r="N61" i="17"/>
  <c r="N13" i="17"/>
  <c r="N24" i="17"/>
  <c r="O2" i="17"/>
  <c r="O21" i="17"/>
  <c r="N22" i="17"/>
  <c r="N63" i="17"/>
  <c r="G34" i="18" l="1"/>
  <c r="G35" i="18" s="1"/>
  <c r="G45" i="18"/>
  <c r="G32" i="18"/>
  <c r="G12" i="18"/>
  <c r="F48" i="18"/>
  <c r="F62" i="18"/>
  <c r="F64" i="18" s="1"/>
  <c r="F47" i="18"/>
  <c r="F65" i="18" s="1"/>
  <c r="G43" i="18"/>
  <c r="G25" i="18"/>
  <c r="H28" i="18"/>
  <c r="H29" i="18"/>
  <c r="H44" i="18" s="1"/>
  <c r="H8" i="17"/>
  <c r="H26" i="17" s="1"/>
  <c r="H32" i="17" s="1"/>
  <c r="H8" i="18"/>
  <c r="H26" i="18" s="1"/>
  <c r="F54" i="18"/>
  <c r="F30" i="18"/>
  <c r="F49" i="18"/>
  <c r="F66" i="18" s="1"/>
  <c r="F33" i="18"/>
  <c r="F58" i="18"/>
  <c r="F11" i="18"/>
  <c r="C73" i="17"/>
  <c r="C74" i="17" s="1"/>
  <c r="C76" i="17" s="1"/>
  <c r="E55" i="17"/>
  <c r="E73" i="17"/>
  <c r="E74" i="17" s="1"/>
  <c r="I12" i="3" s="1"/>
  <c r="N29" i="16"/>
  <c r="H7" i="17"/>
  <c r="M30" i="16"/>
  <c r="M36" i="16" s="1"/>
  <c r="Q31" i="19"/>
  <c r="R13" i="16" s="1"/>
  <c r="Q30" i="19"/>
  <c r="R12" i="16" s="1"/>
  <c r="Q24" i="19"/>
  <c r="R6" i="16" s="1"/>
  <c r="S22" i="19"/>
  <c r="T4" i="16" s="1"/>
  <c r="R21" i="19"/>
  <c r="S3" i="16" s="1"/>
  <c r="P57" i="18"/>
  <c r="P61" i="18"/>
  <c r="P24" i="18"/>
  <c r="Q2" i="18"/>
  <c r="P13" i="18"/>
  <c r="Q21" i="18"/>
  <c r="P22" i="18"/>
  <c r="P63" i="18"/>
  <c r="D71" i="17"/>
  <c r="D55" i="17"/>
  <c r="O24" i="16"/>
  <c r="I7" i="18" s="1"/>
  <c r="G12" i="17"/>
  <c r="G26" i="17"/>
  <c r="F25" i="17"/>
  <c r="F43" i="17"/>
  <c r="O23" i="16"/>
  <c r="F58" i="17"/>
  <c r="F11" i="17"/>
  <c r="N25" i="16"/>
  <c r="N28" i="16"/>
  <c r="G29" i="17"/>
  <c r="G44" i="17" s="1"/>
  <c r="G28" i="17"/>
  <c r="R16" i="17"/>
  <c r="O57" i="17"/>
  <c r="O61" i="17"/>
  <c r="O24" i="17"/>
  <c r="O13" i="17"/>
  <c r="P2" i="17"/>
  <c r="AA14" i="17"/>
  <c r="O22" i="17"/>
  <c r="P21" i="17"/>
  <c r="O63" i="17"/>
  <c r="I13" i="3" l="1"/>
  <c r="I18" i="3" s="1"/>
  <c r="I43" i="3" s="1"/>
  <c r="I41" i="3"/>
  <c r="H45" i="18"/>
  <c r="H32" i="18"/>
  <c r="H34" i="18"/>
  <c r="H35" i="18" s="1"/>
  <c r="I28" i="18"/>
  <c r="I29" i="18"/>
  <c r="I44" i="18" s="1"/>
  <c r="H25" i="18"/>
  <c r="H43" i="18"/>
  <c r="I8" i="17"/>
  <c r="I26" i="17" s="1"/>
  <c r="I8" i="18"/>
  <c r="I26" i="18" s="1"/>
  <c r="H12" i="18"/>
  <c r="G58" i="18"/>
  <c r="G11" i="18"/>
  <c r="G30" i="18"/>
  <c r="G54" i="18"/>
  <c r="G49" i="18"/>
  <c r="G66" i="18" s="1"/>
  <c r="G33" i="18"/>
  <c r="F71" i="18"/>
  <c r="F72" i="18" s="1"/>
  <c r="F73" i="18" s="1"/>
  <c r="F74" i="18" s="1"/>
  <c r="F76" i="18" s="1"/>
  <c r="F55" i="18"/>
  <c r="G48" i="18"/>
  <c r="G62" i="18"/>
  <c r="G64" i="18" s="1"/>
  <c r="G47" i="18"/>
  <c r="G65" i="18" s="1"/>
  <c r="N30" i="16"/>
  <c r="D72" i="17"/>
  <c r="D73" i="17" s="1"/>
  <c r="D74" i="17" s="1"/>
  <c r="D76" i="17" s="1"/>
  <c r="E76" i="17"/>
  <c r="O29" i="16"/>
  <c r="I7" i="17"/>
  <c r="T22" i="19"/>
  <c r="U4" i="16" s="1"/>
  <c r="S21" i="19"/>
  <c r="T3" i="16" s="1"/>
  <c r="R31" i="19"/>
  <c r="S13" i="16" s="1"/>
  <c r="R30" i="19"/>
  <c r="S12" i="16" s="1"/>
  <c r="R24" i="19"/>
  <c r="S6" i="16" s="1"/>
  <c r="R21" i="18"/>
  <c r="Q22" i="18"/>
  <c r="Q63" i="18"/>
  <c r="Q57" i="18"/>
  <c r="Q61" i="18"/>
  <c r="Q24" i="18"/>
  <c r="R2" i="18"/>
  <c r="Q13" i="18"/>
  <c r="H29" i="17"/>
  <c r="H44" i="17" s="1"/>
  <c r="H28" i="17"/>
  <c r="H12" i="17"/>
  <c r="P23" i="16"/>
  <c r="O28" i="16"/>
  <c r="O25" i="16"/>
  <c r="F30" i="17"/>
  <c r="F49" i="17"/>
  <c r="F66" i="17" s="1"/>
  <c r="F33" i="17"/>
  <c r="F54" i="17"/>
  <c r="F62" i="17"/>
  <c r="F64" i="17" s="1"/>
  <c r="F47" i="17"/>
  <c r="F65" i="17" s="1"/>
  <c r="F48" i="17"/>
  <c r="P24" i="16"/>
  <c r="J7" i="18" s="1"/>
  <c r="G32" i="17"/>
  <c r="G34" i="17"/>
  <c r="G35" i="17" s="1"/>
  <c r="G45" i="17"/>
  <c r="H45" i="17"/>
  <c r="H34" i="17"/>
  <c r="H35" i="17" s="1"/>
  <c r="G43" i="17"/>
  <c r="G25" i="17"/>
  <c r="G58" i="17"/>
  <c r="G11" i="17"/>
  <c r="AB14" i="17"/>
  <c r="P22" i="17"/>
  <c r="Q21" i="17"/>
  <c r="P63" i="17"/>
  <c r="P57" i="17"/>
  <c r="P61" i="17"/>
  <c r="Q2" i="17"/>
  <c r="P13" i="17"/>
  <c r="P24" i="17"/>
  <c r="S16" i="17"/>
  <c r="I19" i="3" l="1"/>
  <c r="I38" i="3" s="1"/>
  <c r="I20" i="3"/>
  <c r="I29" i="3" s="1"/>
  <c r="I12" i="18"/>
  <c r="I58" i="18" s="1"/>
  <c r="H58" i="18"/>
  <c r="H11" i="18"/>
  <c r="H54" i="18"/>
  <c r="H33" i="18"/>
  <c r="H30" i="18"/>
  <c r="H49" i="18"/>
  <c r="H66" i="18" s="1"/>
  <c r="I43" i="18"/>
  <c r="I25" i="18"/>
  <c r="J29" i="18"/>
  <c r="J44" i="18" s="1"/>
  <c r="J28" i="18"/>
  <c r="J8" i="17"/>
  <c r="J26" i="17" s="1"/>
  <c r="J8" i="18"/>
  <c r="J26" i="18" s="1"/>
  <c r="I34" i="18"/>
  <c r="I35" i="18" s="1"/>
  <c r="I32" i="18"/>
  <c r="I45" i="18"/>
  <c r="G71" i="18"/>
  <c r="G72" i="18" s="1"/>
  <c r="G73" i="18" s="1"/>
  <c r="G74" i="18" s="1"/>
  <c r="G76" i="18" s="1"/>
  <c r="G55" i="18"/>
  <c r="H62" i="18"/>
  <c r="H64" i="18" s="1"/>
  <c r="H47" i="18"/>
  <c r="H65" i="18" s="1"/>
  <c r="H48" i="18"/>
  <c r="O30" i="16"/>
  <c r="P29" i="16"/>
  <c r="J7" i="17"/>
  <c r="S30" i="19"/>
  <c r="T12" i="16" s="1"/>
  <c r="S24" i="19"/>
  <c r="T6" i="16" s="1"/>
  <c r="S31" i="19"/>
  <c r="T13" i="16" s="1"/>
  <c r="U22" i="19"/>
  <c r="V4" i="16" s="1"/>
  <c r="T21" i="19"/>
  <c r="U3" i="16" s="1"/>
  <c r="S21" i="18"/>
  <c r="R22" i="18"/>
  <c r="R63" i="18"/>
  <c r="R61" i="18"/>
  <c r="R57" i="18"/>
  <c r="R24" i="18"/>
  <c r="S2" i="18"/>
  <c r="R13" i="18"/>
  <c r="G49" i="17"/>
  <c r="G66" i="17" s="1"/>
  <c r="G54" i="17"/>
  <c r="G30" i="17"/>
  <c r="G33" i="17"/>
  <c r="F55" i="17"/>
  <c r="F71" i="17"/>
  <c r="F72" i="17" s="1"/>
  <c r="F73" i="17" s="1"/>
  <c r="F74" i="17" s="1"/>
  <c r="J12" i="3" s="1"/>
  <c r="H58" i="17"/>
  <c r="H11" i="17"/>
  <c r="Q23" i="16"/>
  <c r="H43" i="17"/>
  <c r="H25" i="17"/>
  <c r="G48" i="17"/>
  <c r="G47" i="17"/>
  <c r="G65" i="17" s="1"/>
  <c r="G62" i="17"/>
  <c r="G64" i="17" s="1"/>
  <c r="I34" i="17"/>
  <c r="I35" i="17" s="1"/>
  <c r="I45" i="17"/>
  <c r="I32" i="17"/>
  <c r="Q24" i="16"/>
  <c r="K7" i="18" s="1"/>
  <c r="I29" i="17"/>
  <c r="I44" i="17" s="1"/>
  <c r="I12" i="17"/>
  <c r="I28" i="17"/>
  <c r="P28" i="16"/>
  <c r="P25" i="16"/>
  <c r="T16" i="17"/>
  <c r="Q57" i="17"/>
  <c r="Q61" i="17"/>
  <c r="Q24" i="17"/>
  <c r="R2" i="17"/>
  <c r="Q13" i="17"/>
  <c r="Q22" i="17"/>
  <c r="R21" i="17"/>
  <c r="Q63" i="17"/>
  <c r="I39" i="3" l="1"/>
  <c r="J13" i="3"/>
  <c r="J18" i="3" s="1"/>
  <c r="J19" i="3" s="1"/>
  <c r="J38" i="3" s="1"/>
  <c r="J41" i="3"/>
  <c r="I11" i="18"/>
  <c r="K8" i="17"/>
  <c r="K26" i="17" s="1"/>
  <c r="K8" i="18"/>
  <c r="K26" i="18" s="1"/>
  <c r="J45" i="18"/>
  <c r="J32" i="18"/>
  <c r="J34" i="18"/>
  <c r="J35" i="18" s="1"/>
  <c r="J12" i="18"/>
  <c r="J43" i="18"/>
  <c r="J25" i="18"/>
  <c r="I30" i="18"/>
  <c r="I54" i="18"/>
  <c r="I33" i="18"/>
  <c r="I49" i="18"/>
  <c r="I66" i="18" s="1"/>
  <c r="K29" i="18"/>
  <c r="K44" i="18" s="1"/>
  <c r="K28" i="18"/>
  <c r="H55" i="18"/>
  <c r="H71" i="18"/>
  <c r="H72" i="18" s="1"/>
  <c r="H73" i="18" s="1"/>
  <c r="H74" i="18" s="1"/>
  <c r="H76" i="18" s="1"/>
  <c r="I62" i="18"/>
  <c r="I64" i="18" s="1"/>
  <c r="I47" i="18"/>
  <c r="I65" i="18" s="1"/>
  <c r="I48" i="18"/>
  <c r="P30" i="16"/>
  <c r="Q29" i="16"/>
  <c r="K7" i="17"/>
  <c r="F76" i="17"/>
  <c r="V22" i="19"/>
  <c r="W4" i="16" s="1"/>
  <c r="U21" i="19"/>
  <c r="V3" i="16" s="1"/>
  <c r="T24" i="19"/>
  <c r="U6" i="16" s="1"/>
  <c r="T31" i="19"/>
  <c r="U13" i="16" s="1"/>
  <c r="T30" i="19"/>
  <c r="U12" i="16" s="1"/>
  <c r="S57" i="18"/>
  <c r="S61" i="18"/>
  <c r="S24" i="18"/>
  <c r="T2" i="18"/>
  <c r="S13" i="18"/>
  <c r="S22" i="18"/>
  <c r="T21" i="18"/>
  <c r="S63" i="18"/>
  <c r="R23" i="16"/>
  <c r="I43" i="17"/>
  <c r="I25" i="17"/>
  <c r="I58" i="17"/>
  <c r="I11" i="17"/>
  <c r="H30" i="17"/>
  <c r="H49" i="17"/>
  <c r="H66" i="17" s="1"/>
  <c r="H54" i="17"/>
  <c r="H33" i="17"/>
  <c r="J45" i="17"/>
  <c r="J34" i="17"/>
  <c r="J35" i="17" s="1"/>
  <c r="J32" i="17"/>
  <c r="H62" i="17"/>
  <c r="H64" i="17" s="1"/>
  <c r="H48" i="17"/>
  <c r="H47" i="17"/>
  <c r="H65" i="17" s="1"/>
  <c r="Q28" i="16"/>
  <c r="Q25" i="16"/>
  <c r="J12" i="17"/>
  <c r="J29" i="17"/>
  <c r="J44" i="17" s="1"/>
  <c r="J28" i="17"/>
  <c r="R24" i="16"/>
  <c r="L7" i="18" s="1"/>
  <c r="G71" i="17"/>
  <c r="G72" i="17" s="1"/>
  <c r="G73" i="17" s="1"/>
  <c r="G74" i="17" s="1"/>
  <c r="K12" i="3" s="1"/>
  <c r="G55" i="17"/>
  <c r="R57" i="17"/>
  <c r="R61" i="17"/>
  <c r="R24" i="17"/>
  <c r="S2" i="17"/>
  <c r="R13" i="17"/>
  <c r="R22" i="17"/>
  <c r="S21" i="17"/>
  <c r="R63" i="17"/>
  <c r="U16" i="17"/>
  <c r="J20" i="3" l="1"/>
  <c r="J29" i="3" s="1"/>
  <c r="J42" i="3" s="1"/>
  <c r="K13" i="3"/>
  <c r="K18" i="3" s="1"/>
  <c r="K41" i="3"/>
  <c r="K12" i="18"/>
  <c r="K11" i="18" s="1"/>
  <c r="J58" i="18"/>
  <c r="J11" i="18"/>
  <c r="L8" i="17"/>
  <c r="L26" i="17" s="1"/>
  <c r="L8" i="18"/>
  <c r="L26" i="18" s="1"/>
  <c r="I71" i="18"/>
  <c r="I72" i="18" s="1"/>
  <c r="I73" i="18" s="1"/>
  <c r="I74" i="18" s="1"/>
  <c r="I76" i="18" s="1"/>
  <c r="I55" i="18"/>
  <c r="J49" i="18"/>
  <c r="J66" i="18" s="1"/>
  <c r="J54" i="18"/>
  <c r="J30" i="18"/>
  <c r="J33" i="18"/>
  <c r="K45" i="18"/>
  <c r="K32" i="18"/>
  <c r="K34" i="18"/>
  <c r="K35" i="18" s="1"/>
  <c r="L29" i="18"/>
  <c r="L44" i="18" s="1"/>
  <c r="L28" i="18"/>
  <c r="K43" i="18"/>
  <c r="K25" i="18"/>
  <c r="J62" i="18"/>
  <c r="J64" i="18" s="1"/>
  <c r="J47" i="18"/>
  <c r="J65" i="18" s="1"/>
  <c r="J48" i="18"/>
  <c r="J39" i="3"/>
  <c r="J43" i="3"/>
  <c r="Q30" i="16"/>
  <c r="R29" i="16"/>
  <c r="L7" i="17"/>
  <c r="G76" i="17"/>
  <c r="V21" i="19"/>
  <c r="W3" i="16" s="1"/>
  <c r="W22" i="19"/>
  <c r="X4" i="16" s="1"/>
  <c r="U24" i="19"/>
  <c r="V6" i="16" s="1"/>
  <c r="U31" i="19"/>
  <c r="V13" i="16" s="1"/>
  <c r="U30" i="19"/>
  <c r="V12" i="16" s="1"/>
  <c r="T22" i="18"/>
  <c r="U21" i="18"/>
  <c r="T63" i="18"/>
  <c r="T57" i="18"/>
  <c r="T61" i="18"/>
  <c r="T24" i="18"/>
  <c r="T13" i="18"/>
  <c r="U2" i="18"/>
  <c r="H71" i="17"/>
  <c r="H72" i="17" s="1"/>
  <c r="H73" i="17" s="1"/>
  <c r="H74" i="17" s="1"/>
  <c r="L12" i="3" s="1"/>
  <c r="H55" i="17"/>
  <c r="S23" i="16"/>
  <c r="J25" i="17"/>
  <c r="J43" i="17"/>
  <c r="I54" i="17"/>
  <c r="I30" i="17"/>
  <c r="I33" i="17"/>
  <c r="I49" i="17"/>
  <c r="I66" i="17" s="1"/>
  <c r="R28" i="16"/>
  <c r="R25" i="16"/>
  <c r="I62" i="17"/>
  <c r="I64" i="17" s="1"/>
  <c r="I48" i="17"/>
  <c r="I47" i="17"/>
  <c r="I65" i="17" s="1"/>
  <c r="S24" i="16"/>
  <c r="M7" i="18" s="1"/>
  <c r="J58" i="17"/>
  <c r="J11" i="17"/>
  <c r="K32" i="17"/>
  <c r="K34" i="17"/>
  <c r="K35" i="17" s="1"/>
  <c r="K45" i="17"/>
  <c r="K12" i="17"/>
  <c r="K29" i="17"/>
  <c r="K44" i="17" s="1"/>
  <c r="K28" i="17"/>
  <c r="S57" i="17"/>
  <c r="S61" i="17"/>
  <c r="S24" i="17"/>
  <c r="T2" i="17"/>
  <c r="S13" i="17"/>
  <c r="T21" i="17"/>
  <c r="S22" i="17"/>
  <c r="S63" i="17"/>
  <c r="V16" i="17"/>
  <c r="L13" i="3" l="1"/>
  <c r="L41" i="3"/>
  <c r="K58" i="18"/>
  <c r="L12" i="18"/>
  <c r="L11" i="18" s="1"/>
  <c r="K49" i="18"/>
  <c r="K66" i="18" s="1"/>
  <c r="K30" i="18"/>
  <c r="K54" i="18"/>
  <c r="K33" i="18"/>
  <c r="L45" i="18"/>
  <c r="L32" i="18"/>
  <c r="L34" i="18"/>
  <c r="L35" i="18" s="1"/>
  <c r="K62" i="18"/>
  <c r="K64" i="18" s="1"/>
  <c r="K47" i="18"/>
  <c r="K65" i="18" s="1"/>
  <c r="K48" i="18"/>
  <c r="M8" i="17"/>
  <c r="M8" i="18"/>
  <c r="M26" i="18" s="1"/>
  <c r="L43" i="18"/>
  <c r="L25" i="18"/>
  <c r="J71" i="18"/>
  <c r="J72" i="18" s="1"/>
  <c r="J73" i="18" s="1"/>
  <c r="J74" i="18" s="1"/>
  <c r="J76" i="18" s="1"/>
  <c r="J55" i="18"/>
  <c r="M28" i="18"/>
  <c r="M29" i="18"/>
  <c r="M44" i="18" s="1"/>
  <c r="K43" i="3"/>
  <c r="K20" i="3"/>
  <c r="K29" i="3" s="1"/>
  <c r="K19" i="3"/>
  <c r="K38" i="3" s="1"/>
  <c r="L18" i="3"/>
  <c r="R30" i="16"/>
  <c r="S29" i="16"/>
  <c r="M7" i="17"/>
  <c r="H76" i="17"/>
  <c r="V24" i="19"/>
  <c r="W6" i="16" s="1"/>
  <c r="V31" i="19"/>
  <c r="W13" i="16" s="1"/>
  <c r="V30" i="19"/>
  <c r="W12" i="16" s="1"/>
  <c r="W21" i="19"/>
  <c r="X3" i="16" s="1"/>
  <c r="X22" i="19"/>
  <c r="Y4" i="16" s="1"/>
  <c r="U61" i="18"/>
  <c r="U24" i="18"/>
  <c r="U13" i="18"/>
  <c r="U57" i="18"/>
  <c r="V2" i="18"/>
  <c r="U22" i="18"/>
  <c r="V21" i="18"/>
  <c r="U63" i="18"/>
  <c r="K58" i="17"/>
  <c r="K11" i="17"/>
  <c r="T24" i="16"/>
  <c r="N7" i="18" s="1"/>
  <c r="K25" i="17"/>
  <c r="K43" i="17"/>
  <c r="T23" i="16"/>
  <c r="L12" i="17"/>
  <c r="L29" i="17"/>
  <c r="L44" i="17" s="1"/>
  <c r="L28" i="17"/>
  <c r="I55" i="17"/>
  <c r="I71" i="17"/>
  <c r="I72" i="17" s="1"/>
  <c r="I73" i="17" s="1"/>
  <c r="I74" i="17" s="1"/>
  <c r="M12" i="3" s="1"/>
  <c r="L34" i="17"/>
  <c r="L35" i="17" s="1"/>
  <c r="L45" i="17"/>
  <c r="L32" i="17"/>
  <c r="J62" i="17"/>
  <c r="J64" i="17" s="1"/>
  <c r="J47" i="17"/>
  <c r="J65" i="17" s="1"/>
  <c r="J48" i="17"/>
  <c r="S28" i="16"/>
  <c r="S25" i="16"/>
  <c r="J54" i="17"/>
  <c r="J30" i="17"/>
  <c r="J49" i="17"/>
  <c r="J66" i="17" s="1"/>
  <c r="J33" i="17"/>
  <c r="U21" i="17"/>
  <c r="T22" i="17"/>
  <c r="T63" i="17"/>
  <c r="W16" i="17"/>
  <c r="T61" i="17"/>
  <c r="T57" i="17"/>
  <c r="T24" i="17"/>
  <c r="U2" i="17"/>
  <c r="T13" i="17"/>
  <c r="M13" i="3" l="1"/>
  <c r="M41" i="3"/>
  <c r="L58" i="18"/>
  <c r="L62" i="18"/>
  <c r="L64" i="18" s="1"/>
  <c r="L48" i="18"/>
  <c r="L47" i="18"/>
  <c r="L65" i="18" s="1"/>
  <c r="M12" i="18"/>
  <c r="M45" i="18"/>
  <c r="M32" i="18"/>
  <c r="M34" i="18"/>
  <c r="M35" i="18" s="1"/>
  <c r="N8" i="17"/>
  <c r="N26" i="17" s="1"/>
  <c r="N8" i="18"/>
  <c r="N26" i="18" s="1"/>
  <c r="K71" i="18"/>
  <c r="K72" i="18" s="1"/>
  <c r="K73" i="18" s="1"/>
  <c r="K74" i="18" s="1"/>
  <c r="K76" i="18" s="1"/>
  <c r="K55" i="18"/>
  <c r="L54" i="18"/>
  <c r="L49" i="18"/>
  <c r="L66" i="18" s="1"/>
  <c r="L30" i="18"/>
  <c r="L33" i="18"/>
  <c r="N29" i="18"/>
  <c r="N44" i="18" s="1"/>
  <c r="N28" i="18"/>
  <c r="M43" i="18"/>
  <c r="M25" i="18"/>
  <c r="L43" i="3"/>
  <c r="L20" i="3"/>
  <c r="L29" i="3" s="1"/>
  <c r="L19" i="3"/>
  <c r="L38" i="3" s="1"/>
  <c r="K39" i="3"/>
  <c r="M18" i="3"/>
  <c r="S30" i="16"/>
  <c r="T29" i="16"/>
  <c r="N7" i="17"/>
  <c r="I76" i="17"/>
  <c r="X21" i="19"/>
  <c r="Y3" i="16" s="1"/>
  <c r="Y22" i="19"/>
  <c r="Z4" i="16" s="1"/>
  <c r="W31" i="19"/>
  <c r="X13" i="16" s="1"/>
  <c r="W30" i="19"/>
  <c r="X12" i="16" s="1"/>
  <c r="W24" i="19"/>
  <c r="X6" i="16" s="1"/>
  <c r="V57" i="18"/>
  <c r="V61" i="18"/>
  <c r="V13" i="18"/>
  <c r="W2" i="18"/>
  <c r="V24" i="18"/>
  <c r="V22" i="18"/>
  <c r="W21" i="18"/>
  <c r="V63" i="18"/>
  <c r="L43" i="17"/>
  <c r="L25" i="17"/>
  <c r="M29" i="17"/>
  <c r="M44" i="17" s="1"/>
  <c r="M28" i="17"/>
  <c r="K33" i="17"/>
  <c r="K54" i="17"/>
  <c r="K30" i="17"/>
  <c r="K49" i="17"/>
  <c r="K66" i="17" s="1"/>
  <c r="M12" i="17"/>
  <c r="M26" i="17"/>
  <c r="K62" i="17"/>
  <c r="K64" i="17" s="1"/>
  <c r="K47" i="17"/>
  <c r="K65" i="17" s="1"/>
  <c r="K48" i="17"/>
  <c r="T28" i="16"/>
  <c r="T25" i="16"/>
  <c r="U24" i="16"/>
  <c r="O7" i="18" s="1"/>
  <c r="L58" i="17"/>
  <c r="L11" i="17"/>
  <c r="J71" i="17"/>
  <c r="J72" i="17" s="1"/>
  <c r="J73" i="17" s="1"/>
  <c r="J74" i="17" s="1"/>
  <c r="N12" i="3" s="1"/>
  <c r="J55" i="17"/>
  <c r="U23" i="16"/>
  <c r="U22" i="17"/>
  <c r="V21" i="17"/>
  <c r="U63" i="17"/>
  <c r="X16" i="17"/>
  <c r="U61" i="17"/>
  <c r="U57" i="17"/>
  <c r="U13" i="17"/>
  <c r="U24" i="17"/>
  <c r="V2" i="17"/>
  <c r="M62" i="18" l="1"/>
  <c r="M64" i="18" s="1"/>
  <c r="M47" i="18"/>
  <c r="M65" i="18" s="1"/>
  <c r="M48" i="18"/>
  <c r="M11" i="18"/>
  <c r="M58" i="18"/>
  <c r="O8" i="17"/>
  <c r="O26" i="17" s="1"/>
  <c r="O8" i="18"/>
  <c r="O26" i="18" s="1"/>
  <c r="L55" i="18"/>
  <c r="L71" i="18"/>
  <c r="L72" i="18" s="1"/>
  <c r="L73" i="18" s="1"/>
  <c r="L74" i="18" s="1"/>
  <c r="L76" i="18" s="1"/>
  <c r="N43" i="18"/>
  <c r="N25" i="18"/>
  <c r="N12" i="18"/>
  <c r="N45" i="18"/>
  <c r="N32" i="18"/>
  <c r="N34" i="18"/>
  <c r="N35" i="18" s="1"/>
  <c r="M49" i="18"/>
  <c r="M66" i="18" s="1"/>
  <c r="M30" i="18"/>
  <c r="M54" i="18"/>
  <c r="M33" i="18"/>
  <c r="O28" i="18"/>
  <c r="O29" i="18"/>
  <c r="O44" i="18" s="1"/>
  <c r="M43" i="3"/>
  <c r="M19" i="3"/>
  <c r="M38" i="3" s="1"/>
  <c r="M20" i="3"/>
  <c r="M29" i="3" s="1"/>
  <c r="L39" i="3"/>
  <c r="T30" i="16"/>
  <c r="U29" i="16"/>
  <c r="O7" i="17"/>
  <c r="J76" i="17"/>
  <c r="X31" i="19"/>
  <c r="Y13" i="16" s="1"/>
  <c r="X30" i="19"/>
  <c r="Y12" i="16" s="1"/>
  <c r="X24" i="19"/>
  <c r="Y6" i="16" s="1"/>
  <c r="Y21" i="19"/>
  <c r="Z3" i="16" s="1"/>
  <c r="Z22" i="19"/>
  <c r="AA4" i="16" s="1"/>
  <c r="W57" i="18"/>
  <c r="W24" i="18"/>
  <c r="W61" i="18"/>
  <c r="X2" i="18"/>
  <c r="W13" i="18"/>
  <c r="W22" i="18"/>
  <c r="X21" i="18"/>
  <c r="W63" i="18"/>
  <c r="N45" i="17"/>
  <c r="N32" i="17"/>
  <c r="N34" i="17"/>
  <c r="N35" i="17" s="1"/>
  <c r="V24" i="16"/>
  <c r="P7" i="18" s="1"/>
  <c r="M58" i="17"/>
  <c r="M11" i="17"/>
  <c r="M43" i="17"/>
  <c r="M25" i="17"/>
  <c r="V23" i="16"/>
  <c r="M45" i="17"/>
  <c r="M32" i="17"/>
  <c r="M34" i="17"/>
  <c r="M35" i="17" s="1"/>
  <c r="L62" i="17"/>
  <c r="L64" i="17" s="1"/>
  <c r="L48" i="17"/>
  <c r="L47" i="17"/>
  <c r="L65" i="17" s="1"/>
  <c r="N29" i="17"/>
  <c r="N44" i="17" s="1"/>
  <c r="N12" i="17"/>
  <c r="N28" i="17"/>
  <c r="U28" i="16"/>
  <c r="U25" i="16"/>
  <c r="K55" i="17"/>
  <c r="K71" i="17"/>
  <c r="K72" i="17" s="1"/>
  <c r="K73" i="17" s="1"/>
  <c r="K74" i="17" s="1"/>
  <c r="O12" i="3" s="1"/>
  <c r="L49" i="17"/>
  <c r="L66" i="17" s="1"/>
  <c r="L30" i="17"/>
  <c r="L54" i="17"/>
  <c r="L33" i="17"/>
  <c r="V57" i="17"/>
  <c r="V13" i="17"/>
  <c r="V24" i="17"/>
  <c r="V61" i="17"/>
  <c r="W2" i="17"/>
  <c r="Y16" i="17"/>
  <c r="W21" i="17"/>
  <c r="V22" i="17"/>
  <c r="V63" i="17"/>
  <c r="P29" i="18" l="1"/>
  <c r="P44" i="18" s="1"/>
  <c r="P28" i="18"/>
  <c r="M71" i="18"/>
  <c r="M72" i="18" s="1"/>
  <c r="M73" i="18" s="1"/>
  <c r="M74" i="18" s="1"/>
  <c r="M76" i="18" s="1"/>
  <c r="M55" i="18"/>
  <c r="N49" i="18"/>
  <c r="N66" i="18" s="1"/>
  <c r="N30" i="18"/>
  <c r="N54" i="18"/>
  <c r="N33" i="18"/>
  <c r="O45" i="18"/>
  <c r="O34" i="18"/>
  <c r="O35" i="18" s="1"/>
  <c r="O32" i="18"/>
  <c r="N62" i="18"/>
  <c r="N64" i="18" s="1"/>
  <c r="N47" i="18"/>
  <c r="N65" i="18" s="1"/>
  <c r="N48" i="18"/>
  <c r="N58" i="18"/>
  <c r="N11" i="18"/>
  <c r="O43" i="18"/>
  <c r="O25" i="18"/>
  <c r="O12" i="18"/>
  <c r="P8" i="17"/>
  <c r="P26" i="17" s="1"/>
  <c r="P8" i="18"/>
  <c r="P26" i="18" s="1"/>
  <c r="M39" i="3"/>
  <c r="U30" i="16"/>
  <c r="V29" i="16"/>
  <c r="P7" i="17"/>
  <c r="K76" i="17"/>
  <c r="Y31" i="19"/>
  <c r="Z13" i="16" s="1"/>
  <c r="Y30" i="19"/>
  <c r="Z12" i="16" s="1"/>
  <c r="Y24" i="19"/>
  <c r="Z6" i="16" s="1"/>
  <c r="AA22" i="19"/>
  <c r="AB4" i="16" s="1"/>
  <c r="Z21" i="19"/>
  <c r="AA3" i="16" s="1"/>
  <c r="Y21" i="18"/>
  <c r="X22" i="18"/>
  <c r="X63" i="18"/>
  <c r="X57" i="18"/>
  <c r="X61" i="18"/>
  <c r="X24" i="18"/>
  <c r="Y2" i="18"/>
  <c r="X13" i="18"/>
  <c r="M33" i="17"/>
  <c r="M49" i="17"/>
  <c r="M66" i="17" s="1"/>
  <c r="M30" i="17"/>
  <c r="M54" i="17"/>
  <c r="N25" i="17"/>
  <c r="N43" i="17"/>
  <c r="W24" i="16"/>
  <c r="Q7" i="18" s="1"/>
  <c r="M62" i="17"/>
  <c r="M64" i="17" s="1"/>
  <c r="M47" i="17"/>
  <c r="M65" i="17" s="1"/>
  <c r="M48" i="17"/>
  <c r="O12" i="17"/>
  <c r="O29" i="17"/>
  <c r="O44" i="17" s="1"/>
  <c r="O28" i="17"/>
  <c r="N58" i="17"/>
  <c r="N11" i="17"/>
  <c r="W23" i="16"/>
  <c r="V28" i="16"/>
  <c r="V25" i="16"/>
  <c r="O45" i="17"/>
  <c r="O34" i="17"/>
  <c r="O35" i="17" s="1"/>
  <c r="O32" i="17"/>
  <c r="L71" i="17"/>
  <c r="L72" i="17" s="1"/>
  <c r="L73" i="17" s="1"/>
  <c r="L74" i="17" s="1"/>
  <c r="P12" i="3" s="1"/>
  <c r="L55" i="17"/>
  <c r="W57" i="17"/>
  <c r="W61" i="17"/>
  <c r="W24" i="17"/>
  <c r="W13" i="17"/>
  <c r="X2" i="17"/>
  <c r="W22" i="17"/>
  <c r="X21" i="17"/>
  <c r="W63" i="17"/>
  <c r="Z16" i="17"/>
  <c r="Q8" i="17" l="1"/>
  <c r="Q8" i="18"/>
  <c r="Q26" i="18" s="1"/>
  <c r="P45" i="18"/>
  <c r="P32" i="18"/>
  <c r="P34" i="18"/>
  <c r="P35" i="18" s="1"/>
  <c r="O62" i="18"/>
  <c r="O64" i="18" s="1"/>
  <c r="O48" i="18"/>
  <c r="O47" i="18"/>
  <c r="O65" i="18" s="1"/>
  <c r="P25" i="18"/>
  <c r="P43" i="18"/>
  <c r="N55" i="18"/>
  <c r="N71" i="18"/>
  <c r="N72" i="18" s="1"/>
  <c r="N73" i="18" s="1"/>
  <c r="N74" i="18" s="1"/>
  <c r="N76" i="18" s="1"/>
  <c r="O11" i="18"/>
  <c r="O58" i="18"/>
  <c r="O30" i="18"/>
  <c r="O49" i="18"/>
  <c r="O66" i="18" s="1"/>
  <c r="O54" i="18"/>
  <c r="O33" i="18"/>
  <c r="Q29" i="18"/>
  <c r="Q44" i="18" s="1"/>
  <c r="Q28" i="18"/>
  <c r="P12" i="18"/>
  <c r="V30" i="16"/>
  <c r="W29" i="16"/>
  <c r="Q7" i="17"/>
  <c r="L76" i="17"/>
  <c r="AB22" i="19"/>
  <c r="AC4" i="16" s="1"/>
  <c r="AA21" i="19"/>
  <c r="AB3" i="16" s="1"/>
  <c r="Z31" i="19"/>
  <c r="AA13" i="16" s="1"/>
  <c r="Z30" i="19"/>
  <c r="AA12" i="16" s="1"/>
  <c r="Z24" i="19"/>
  <c r="AA6" i="16" s="1"/>
  <c r="Y57" i="18"/>
  <c r="Y61" i="18"/>
  <c r="Y24" i="18"/>
  <c r="Z2" i="18"/>
  <c r="Y13" i="18"/>
  <c r="Y22" i="18"/>
  <c r="Z21" i="18"/>
  <c r="Y63" i="18"/>
  <c r="W25" i="16"/>
  <c r="W28" i="16"/>
  <c r="Q26" i="17"/>
  <c r="O25" i="17"/>
  <c r="O43" i="17"/>
  <c r="P12" i="17"/>
  <c r="P29" i="17"/>
  <c r="P44" i="17" s="1"/>
  <c r="P28" i="17"/>
  <c r="N62" i="17"/>
  <c r="N64" i="17" s="1"/>
  <c r="N47" i="17"/>
  <c r="N65" i="17" s="1"/>
  <c r="N48" i="17"/>
  <c r="O58" i="17"/>
  <c r="O11" i="17"/>
  <c r="N49" i="17"/>
  <c r="N66" i="17" s="1"/>
  <c r="N54" i="17"/>
  <c r="N30" i="17"/>
  <c r="N33" i="17"/>
  <c r="X24" i="16"/>
  <c r="R7" i="18" s="1"/>
  <c r="M71" i="17"/>
  <c r="M72" i="17" s="1"/>
  <c r="M73" i="17" s="1"/>
  <c r="M74" i="17" s="1"/>
  <c r="Q12" i="3" s="1"/>
  <c r="M55" i="17"/>
  <c r="X23" i="16"/>
  <c r="P32" i="17"/>
  <c r="P45" i="17"/>
  <c r="P34" i="17"/>
  <c r="P35" i="17" s="1"/>
  <c r="X57" i="17"/>
  <c r="X61" i="17"/>
  <c r="X24" i="17"/>
  <c r="Y2" i="17"/>
  <c r="X13" i="17"/>
  <c r="X22" i="17"/>
  <c r="Y21" i="17"/>
  <c r="X63" i="17"/>
  <c r="AA16" i="17"/>
  <c r="R8" i="17" l="1"/>
  <c r="R26" i="17" s="1"/>
  <c r="R8" i="18"/>
  <c r="R26" i="18" s="1"/>
  <c r="P58" i="18"/>
  <c r="P11" i="18"/>
  <c r="R29" i="18"/>
  <c r="R44" i="18" s="1"/>
  <c r="R28" i="18"/>
  <c r="Q12" i="18"/>
  <c r="P62" i="18"/>
  <c r="P64" i="18" s="1"/>
  <c r="P47" i="18"/>
  <c r="P65" i="18" s="1"/>
  <c r="P48" i="18"/>
  <c r="Q25" i="18"/>
  <c r="Q43" i="18"/>
  <c r="O71" i="18"/>
  <c r="O72" i="18" s="1"/>
  <c r="O73" i="18" s="1"/>
  <c r="O74" i="18" s="1"/>
  <c r="O76" i="18" s="1"/>
  <c r="O55" i="18"/>
  <c r="P49" i="18"/>
  <c r="P66" i="18" s="1"/>
  <c r="P54" i="18"/>
  <c r="P30" i="18"/>
  <c r="P33" i="18"/>
  <c r="Q45" i="18"/>
  <c r="Q32" i="18"/>
  <c r="Q34" i="18"/>
  <c r="Q35" i="18" s="1"/>
  <c r="W30" i="16"/>
  <c r="X29" i="16"/>
  <c r="R7" i="17"/>
  <c r="M76" i="17"/>
  <c r="AC22" i="19"/>
  <c r="AD4" i="16" s="1"/>
  <c r="AB21" i="19"/>
  <c r="AC3" i="16" s="1"/>
  <c r="AA30" i="19"/>
  <c r="AB12" i="16" s="1"/>
  <c r="AA24" i="19"/>
  <c r="AB6" i="16" s="1"/>
  <c r="AA31" i="19"/>
  <c r="AB13" i="16" s="1"/>
  <c r="AA21" i="18"/>
  <c r="Z22" i="18"/>
  <c r="Z63" i="18"/>
  <c r="Z61" i="18"/>
  <c r="Z24" i="18"/>
  <c r="AA2" i="18"/>
  <c r="Z57" i="18"/>
  <c r="Z13" i="18"/>
  <c r="O30" i="17"/>
  <c r="O49" i="17"/>
  <c r="O66" i="17" s="1"/>
  <c r="O54" i="17"/>
  <c r="O33" i="17"/>
  <c r="Q12" i="17"/>
  <c r="Q29" i="17"/>
  <c r="Q44" i="17" s="1"/>
  <c r="Q28" i="17"/>
  <c r="P11" i="17"/>
  <c r="P58" i="17"/>
  <c r="O62" i="17"/>
  <c r="O64" i="17" s="1"/>
  <c r="O47" i="17"/>
  <c r="O65" i="17" s="1"/>
  <c r="O48" i="17"/>
  <c r="X25" i="16"/>
  <c r="X28" i="16"/>
  <c r="N55" i="17"/>
  <c r="N71" i="17"/>
  <c r="N72" i="17" s="1"/>
  <c r="N73" i="17" s="1"/>
  <c r="N74" i="17" s="1"/>
  <c r="R12" i="3" s="1"/>
  <c r="Y23" i="16"/>
  <c r="Y24" i="16"/>
  <c r="S7" i="18" s="1"/>
  <c r="P43" i="17"/>
  <c r="P25" i="17"/>
  <c r="Q34" i="17"/>
  <c r="Q35" i="17" s="1"/>
  <c r="Q32" i="17"/>
  <c r="Q45" i="17"/>
  <c r="Y22" i="17"/>
  <c r="Z21" i="17"/>
  <c r="Y63" i="17"/>
  <c r="Y57" i="17"/>
  <c r="Y61" i="17"/>
  <c r="Y24" i="17"/>
  <c r="Z2" i="17"/>
  <c r="Y13" i="17"/>
  <c r="AB16" i="17"/>
  <c r="R12" i="18" l="1"/>
  <c r="R11" i="18" s="1"/>
  <c r="Q58" i="18"/>
  <c r="Q11" i="18"/>
  <c r="S8" i="17"/>
  <c r="S26" i="17" s="1"/>
  <c r="S8" i="18"/>
  <c r="S26" i="18" s="1"/>
  <c r="Q62" i="18"/>
  <c r="Q64" i="18" s="1"/>
  <c r="Q48" i="18"/>
  <c r="Q47" i="18"/>
  <c r="Q65" i="18" s="1"/>
  <c r="Q30" i="18"/>
  <c r="Q49" i="18"/>
  <c r="Q66" i="18" s="1"/>
  <c r="Q54" i="18"/>
  <c r="Q33" i="18"/>
  <c r="R43" i="18"/>
  <c r="R25" i="18"/>
  <c r="S29" i="18"/>
  <c r="S44" i="18" s="1"/>
  <c r="S28" i="18"/>
  <c r="R32" i="18"/>
  <c r="R34" i="18"/>
  <c r="R35" i="18" s="1"/>
  <c r="R45" i="18"/>
  <c r="P71" i="18"/>
  <c r="P72" i="18" s="1"/>
  <c r="P73" i="18" s="1"/>
  <c r="P74" i="18" s="1"/>
  <c r="P76" i="18" s="1"/>
  <c r="P55" i="18"/>
  <c r="X30" i="16"/>
  <c r="Y29" i="16"/>
  <c r="S7" i="17"/>
  <c r="N76" i="17"/>
  <c r="AD22" i="19"/>
  <c r="AE4" i="16" s="1"/>
  <c r="AC21" i="19"/>
  <c r="AD3" i="16" s="1"/>
  <c r="AB24" i="19"/>
  <c r="AC6" i="16" s="1"/>
  <c r="AB31" i="19"/>
  <c r="AC13" i="16" s="1"/>
  <c r="AB30" i="19"/>
  <c r="AC12" i="16" s="1"/>
  <c r="AA57" i="18"/>
  <c r="AA61" i="18"/>
  <c r="AA24" i="18"/>
  <c r="AB2" i="18"/>
  <c r="AA13" i="18"/>
  <c r="AA22" i="18"/>
  <c r="AB21" i="18"/>
  <c r="AA63" i="18"/>
  <c r="R12" i="17"/>
  <c r="R29" i="17"/>
  <c r="R44" i="17" s="1"/>
  <c r="R28" i="17"/>
  <c r="Z24" i="16"/>
  <c r="T7" i="18" s="1"/>
  <c r="Y28" i="16"/>
  <c r="Y25" i="16"/>
  <c r="P30" i="17"/>
  <c r="P49" i="17"/>
  <c r="P66" i="17" s="1"/>
  <c r="P54" i="17"/>
  <c r="P33" i="17"/>
  <c r="R45" i="17"/>
  <c r="R34" i="17"/>
  <c r="R35" i="17" s="1"/>
  <c r="R32" i="17"/>
  <c r="Q25" i="17"/>
  <c r="Q43" i="17"/>
  <c r="P62" i="17"/>
  <c r="P64" i="17" s="1"/>
  <c r="P47" i="17"/>
  <c r="P65" i="17" s="1"/>
  <c r="P48" i="17"/>
  <c r="Z23" i="16"/>
  <c r="Q58" i="17"/>
  <c r="Q11" i="17"/>
  <c r="O71" i="17"/>
  <c r="O72" i="17" s="1"/>
  <c r="O73" i="17" s="1"/>
  <c r="O74" i="17" s="1"/>
  <c r="S12" i="3" s="1"/>
  <c r="O55" i="17"/>
  <c r="Z22" i="17"/>
  <c r="AA21" i="17"/>
  <c r="Z63" i="17"/>
  <c r="Z57" i="17"/>
  <c r="Z61" i="17"/>
  <c r="Z24" i="17"/>
  <c r="AA2" i="17"/>
  <c r="Z13" i="17"/>
  <c r="R58" i="18" l="1"/>
  <c r="R49" i="18"/>
  <c r="R66" i="18" s="1"/>
  <c r="R54" i="18"/>
  <c r="R30" i="18"/>
  <c r="R33" i="18"/>
  <c r="R62" i="18"/>
  <c r="R64" i="18" s="1"/>
  <c r="R48" i="18"/>
  <c r="R47" i="18"/>
  <c r="R65" i="18" s="1"/>
  <c r="T8" i="17"/>
  <c r="T26" i="17" s="1"/>
  <c r="T8" i="18"/>
  <c r="T26" i="18" s="1"/>
  <c r="S43" i="18"/>
  <c r="S25" i="18"/>
  <c r="Q55" i="18"/>
  <c r="Q71" i="18"/>
  <c r="Q72" i="18" s="1"/>
  <c r="Q73" i="18" s="1"/>
  <c r="Q74" i="18" s="1"/>
  <c r="Q76" i="18" s="1"/>
  <c r="S45" i="18"/>
  <c r="S34" i="18"/>
  <c r="S35" i="18" s="1"/>
  <c r="S32" i="18"/>
  <c r="S12" i="18"/>
  <c r="T29" i="18"/>
  <c r="T44" i="18" s="1"/>
  <c r="T28" i="18"/>
  <c r="Y30" i="16"/>
  <c r="Z29" i="16"/>
  <c r="T7" i="17"/>
  <c r="O76" i="17"/>
  <c r="AE22" i="19"/>
  <c r="AF4" i="16" s="1"/>
  <c r="AD21" i="19"/>
  <c r="AE3" i="16" s="1"/>
  <c r="AC24" i="19"/>
  <c r="AD6" i="16" s="1"/>
  <c r="AC31" i="19"/>
  <c r="AD13" i="16" s="1"/>
  <c r="AC30" i="19"/>
  <c r="AD12" i="16" s="1"/>
  <c r="AB57" i="18"/>
  <c r="AB61" i="18"/>
  <c r="AB13" i="18"/>
  <c r="AB24" i="18"/>
  <c r="AB22" i="18"/>
  <c r="AB63" i="18"/>
  <c r="Q30" i="17"/>
  <c r="Q49" i="17"/>
  <c r="Q66" i="17" s="1"/>
  <c r="Q54" i="17"/>
  <c r="Q33" i="17"/>
  <c r="Q62" i="17"/>
  <c r="Q64" i="17" s="1"/>
  <c r="Q48" i="17"/>
  <c r="Q47" i="17"/>
  <c r="Q65" i="17" s="1"/>
  <c r="S32" i="17"/>
  <c r="S45" i="17"/>
  <c r="S34" i="17"/>
  <c r="S35" i="17" s="1"/>
  <c r="P71" i="17"/>
  <c r="P72" i="17" s="1"/>
  <c r="P73" i="17" s="1"/>
  <c r="P74" i="17" s="1"/>
  <c r="T12" i="3" s="1"/>
  <c r="P55" i="17"/>
  <c r="R25" i="17"/>
  <c r="R43" i="17"/>
  <c r="S12" i="17"/>
  <c r="S29" i="17"/>
  <c r="S44" i="17" s="1"/>
  <c r="S28" i="17"/>
  <c r="AA23" i="16"/>
  <c r="R11" i="17"/>
  <c r="R58" i="17"/>
  <c r="Z28" i="16"/>
  <c r="Z25" i="16"/>
  <c r="AA24" i="16"/>
  <c r="U7" i="18" s="1"/>
  <c r="AA57" i="17"/>
  <c r="AA61" i="17"/>
  <c r="AA24" i="17"/>
  <c r="AB2" i="17"/>
  <c r="AA13" i="17"/>
  <c r="AB21" i="17"/>
  <c r="AA22" i="17"/>
  <c r="AA63" i="17"/>
  <c r="T12" i="18" l="1"/>
  <c r="T58" i="18" s="1"/>
  <c r="S49" i="18"/>
  <c r="S66" i="18" s="1"/>
  <c r="S54" i="18"/>
  <c r="S30" i="18"/>
  <c r="S33" i="18"/>
  <c r="S58" i="18"/>
  <c r="S11" i="18"/>
  <c r="S62" i="18"/>
  <c r="S64" i="18" s="1"/>
  <c r="S48" i="18"/>
  <c r="S47" i="18"/>
  <c r="S65" i="18" s="1"/>
  <c r="U8" i="17"/>
  <c r="U8" i="18"/>
  <c r="U26" i="18" s="1"/>
  <c r="R71" i="18"/>
  <c r="R72" i="18" s="1"/>
  <c r="R73" i="18" s="1"/>
  <c r="R74" i="18" s="1"/>
  <c r="R76" i="18" s="1"/>
  <c r="R55" i="18"/>
  <c r="U28" i="18"/>
  <c r="U29" i="18"/>
  <c r="U44" i="18" s="1"/>
  <c r="T43" i="18"/>
  <c r="T25" i="18"/>
  <c r="T45" i="18"/>
  <c r="T34" i="18"/>
  <c r="T35" i="18" s="1"/>
  <c r="T32" i="18"/>
  <c r="Z30" i="16"/>
  <c r="AA29" i="16"/>
  <c r="U7" i="17"/>
  <c r="P76" i="17"/>
  <c r="AE21" i="19"/>
  <c r="AF3" i="16" s="1"/>
  <c r="AF22" i="19"/>
  <c r="AG4" i="16" s="1"/>
  <c r="AD24" i="19"/>
  <c r="AE6" i="16" s="1"/>
  <c r="AD31" i="19"/>
  <c r="AE13" i="16" s="1"/>
  <c r="AD30" i="19"/>
  <c r="AE12" i="16" s="1"/>
  <c r="AA28" i="16"/>
  <c r="AA25" i="16"/>
  <c r="T45" i="17"/>
  <c r="T32" i="17"/>
  <c r="T34" i="17"/>
  <c r="T35" i="17" s="1"/>
  <c r="S25" i="17"/>
  <c r="S43" i="17"/>
  <c r="R62" i="17"/>
  <c r="R64" i="17" s="1"/>
  <c r="R48" i="17"/>
  <c r="R47" i="17"/>
  <c r="R65" i="17" s="1"/>
  <c r="S11" i="17"/>
  <c r="S58" i="17"/>
  <c r="T12" i="17"/>
  <c r="T29" i="17"/>
  <c r="T44" i="17" s="1"/>
  <c r="T28" i="17"/>
  <c r="AB23" i="16"/>
  <c r="AB24" i="16"/>
  <c r="V7" i="18" s="1"/>
  <c r="Q55" i="17"/>
  <c r="Q71" i="17"/>
  <c r="Q72" i="17" s="1"/>
  <c r="Q73" i="17" s="1"/>
  <c r="Q74" i="17" s="1"/>
  <c r="R54" i="17"/>
  <c r="R30" i="17"/>
  <c r="R49" i="17"/>
  <c r="R66" i="17" s="1"/>
  <c r="R33" i="17"/>
  <c r="AB22" i="17"/>
  <c r="AB63" i="17"/>
  <c r="AB61" i="17"/>
  <c r="AB24" i="17"/>
  <c r="AB57" i="17"/>
  <c r="AB13" i="17"/>
  <c r="T11" i="18" l="1"/>
  <c r="T54" i="18"/>
  <c r="T30" i="18"/>
  <c r="T49" i="18"/>
  <c r="T66" i="18" s="1"/>
  <c r="T33" i="18"/>
  <c r="T62" i="18"/>
  <c r="T64" i="18" s="1"/>
  <c r="T48" i="18"/>
  <c r="T47" i="18"/>
  <c r="T65" i="18" s="1"/>
  <c r="U45" i="18"/>
  <c r="U32" i="18"/>
  <c r="U34" i="18"/>
  <c r="U35" i="18" s="1"/>
  <c r="V28" i="18"/>
  <c r="V29" i="18"/>
  <c r="V44" i="18" s="1"/>
  <c r="S55" i="18"/>
  <c r="S71" i="18"/>
  <c r="S72" i="18" s="1"/>
  <c r="S73" i="18" s="1"/>
  <c r="S74" i="18" s="1"/>
  <c r="S76" i="18" s="1"/>
  <c r="V8" i="17"/>
  <c r="V26" i="17" s="1"/>
  <c r="V8" i="18"/>
  <c r="V26" i="18" s="1"/>
  <c r="U25" i="18"/>
  <c r="U43" i="18"/>
  <c r="U12" i="18"/>
  <c r="Q76" i="17"/>
  <c r="U12" i="3"/>
  <c r="AA30" i="16"/>
  <c r="AB29" i="16"/>
  <c r="V7" i="17"/>
  <c r="AE24" i="19"/>
  <c r="AF6" i="16" s="1"/>
  <c r="AE31" i="19"/>
  <c r="AF13" i="16" s="1"/>
  <c r="AE30" i="19"/>
  <c r="AF12" i="16" s="1"/>
  <c r="AF21" i="19"/>
  <c r="AG3" i="16" s="1"/>
  <c r="AG22" i="19"/>
  <c r="U12" i="17"/>
  <c r="U26" i="17"/>
  <c r="AB25" i="16"/>
  <c r="AB28" i="16"/>
  <c r="U29" i="17"/>
  <c r="U44" i="17" s="1"/>
  <c r="U28" i="17"/>
  <c r="T43" i="17"/>
  <c r="T25" i="17"/>
  <c r="S62" i="17"/>
  <c r="S64" i="17" s="1"/>
  <c r="S47" i="17"/>
  <c r="S65" i="17" s="1"/>
  <c r="S48" i="17"/>
  <c r="T58" i="17"/>
  <c r="T11" i="17"/>
  <c r="R71" i="17"/>
  <c r="R72" i="17" s="1"/>
  <c r="R73" i="17" s="1"/>
  <c r="R74" i="17" s="1"/>
  <c r="R55" i="17"/>
  <c r="S49" i="17"/>
  <c r="S66" i="17" s="1"/>
  <c r="S33" i="17"/>
  <c r="S54" i="17"/>
  <c r="S30" i="17"/>
  <c r="AC24" i="16"/>
  <c r="W7" i="18" s="1"/>
  <c r="AC23" i="16"/>
  <c r="V12" i="18" l="1"/>
  <c r="V11" i="18" s="1"/>
  <c r="U11" i="18"/>
  <c r="U58" i="18"/>
  <c r="V43" i="18"/>
  <c r="V25" i="18"/>
  <c r="U62" i="18"/>
  <c r="U64" i="18" s="1"/>
  <c r="U48" i="18"/>
  <c r="U47" i="18"/>
  <c r="U65" i="18" s="1"/>
  <c r="U54" i="18"/>
  <c r="U30" i="18"/>
  <c r="U49" i="18"/>
  <c r="U66" i="18" s="1"/>
  <c r="U33" i="18"/>
  <c r="W8" i="17"/>
  <c r="W8" i="18"/>
  <c r="W26" i="18" s="1"/>
  <c r="W29" i="18"/>
  <c r="W44" i="18" s="1"/>
  <c r="W28" i="18"/>
  <c r="V45" i="18"/>
  <c r="V32" i="18"/>
  <c r="V34" i="18"/>
  <c r="V35" i="18" s="1"/>
  <c r="T55" i="18"/>
  <c r="T71" i="18"/>
  <c r="T72" i="18" s="1"/>
  <c r="T73" i="18" s="1"/>
  <c r="T74" i="18" s="1"/>
  <c r="T76" i="18" s="1"/>
  <c r="AB30" i="16"/>
  <c r="R76" i="17"/>
  <c r="V12" i="3"/>
  <c r="AG21" i="19"/>
  <c r="AH3" i="16" s="1"/>
  <c r="AH4" i="16"/>
  <c r="AC29" i="16"/>
  <c r="W7" i="17"/>
  <c r="AF31" i="19"/>
  <c r="AG13" i="16" s="1"/>
  <c r="AF30" i="19"/>
  <c r="AG12" i="16" s="1"/>
  <c r="AF24" i="19"/>
  <c r="AG6" i="16" s="1"/>
  <c r="T30" i="17"/>
  <c r="T49" i="17"/>
  <c r="T66" i="17" s="1"/>
  <c r="T54" i="17"/>
  <c r="T33" i="17"/>
  <c r="AC28" i="16"/>
  <c r="AC25" i="16"/>
  <c r="V12" i="17"/>
  <c r="V29" i="17"/>
  <c r="V44" i="17" s="1"/>
  <c r="V28" i="17"/>
  <c r="T62" i="17"/>
  <c r="T64" i="17" s="1"/>
  <c r="T48" i="17"/>
  <c r="T47" i="17"/>
  <c r="T65" i="17" s="1"/>
  <c r="V45" i="17"/>
  <c r="V32" i="17"/>
  <c r="V34" i="17"/>
  <c r="V35" i="17" s="1"/>
  <c r="S55" i="17"/>
  <c r="S71" i="17"/>
  <c r="S72" i="17" s="1"/>
  <c r="S73" i="17" s="1"/>
  <c r="S74" i="17" s="1"/>
  <c r="U25" i="17"/>
  <c r="U43" i="17"/>
  <c r="U32" i="17"/>
  <c r="U45" i="17"/>
  <c r="U34" i="17"/>
  <c r="U35" i="17" s="1"/>
  <c r="AD24" i="16"/>
  <c r="X7" i="18" s="1"/>
  <c r="U58" i="17"/>
  <c r="U11" i="17"/>
  <c r="AD23" i="16"/>
  <c r="V58" i="18" l="1"/>
  <c r="W12" i="18"/>
  <c r="W58" i="18" s="1"/>
  <c r="W45" i="18"/>
  <c r="W32" i="18"/>
  <c r="W34" i="18"/>
  <c r="W35" i="18" s="1"/>
  <c r="X28" i="18"/>
  <c r="X29" i="18"/>
  <c r="X44" i="18" s="1"/>
  <c r="V54" i="18"/>
  <c r="V30" i="18"/>
  <c r="V49" i="18"/>
  <c r="V66" i="18" s="1"/>
  <c r="V33" i="18"/>
  <c r="V62" i="18"/>
  <c r="V64" i="18" s="1"/>
  <c r="V48" i="18"/>
  <c r="V47" i="18"/>
  <c r="V65" i="18" s="1"/>
  <c r="W25" i="18"/>
  <c r="W43" i="18"/>
  <c r="U71" i="18"/>
  <c r="U72" i="18" s="1"/>
  <c r="U73" i="18" s="1"/>
  <c r="U74" i="18" s="1"/>
  <c r="U76" i="18" s="1"/>
  <c r="U55" i="18"/>
  <c r="X8" i="17"/>
  <c r="X26" i="17" s="1"/>
  <c r="X8" i="18"/>
  <c r="X26" i="18" s="1"/>
  <c r="AG30" i="19"/>
  <c r="AH12" i="16" s="1"/>
  <c r="AG31" i="19"/>
  <c r="AH13" i="16" s="1"/>
  <c r="AC30" i="16"/>
  <c r="S76" i="17"/>
  <c r="W12" i="3"/>
  <c r="AG24" i="19"/>
  <c r="AH6" i="16" s="1"/>
  <c r="AD29" i="16"/>
  <c r="X7" i="17"/>
  <c r="U33" i="17"/>
  <c r="U49" i="17"/>
  <c r="U66" i="17" s="1"/>
  <c r="U30" i="17"/>
  <c r="U54" i="17"/>
  <c r="V25" i="17"/>
  <c r="V43" i="17"/>
  <c r="T55" i="17"/>
  <c r="T71" i="17"/>
  <c r="T72" i="17" s="1"/>
  <c r="T73" i="17" s="1"/>
  <c r="T74" i="17" s="1"/>
  <c r="T76" i="17" s="1"/>
  <c r="W12" i="17"/>
  <c r="W26" i="17"/>
  <c r="W29" i="17"/>
  <c r="W44" i="17" s="1"/>
  <c r="W28" i="17"/>
  <c r="AE23" i="16"/>
  <c r="AD28" i="16"/>
  <c r="AD25" i="16"/>
  <c r="V58" i="17"/>
  <c r="V11" i="17"/>
  <c r="AE24" i="16"/>
  <c r="Y7" i="18" s="1"/>
  <c r="U62" i="17"/>
  <c r="U64" i="17" s="1"/>
  <c r="U47" i="17"/>
  <c r="U65" i="17" s="1"/>
  <c r="U48" i="17"/>
  <c r="W11" i="18" l="1"/>
  <c r="W49" i="18"/>
  <c r="W66" i="18" s="1"/>
  <c r="W54" i="18"/>
  <c r="W30" i="18"/>
  <c r="W33" i="18"/>
  <c r="X34" i="18"/>
  <c r="X35" i="18" s="1"/>
  <c r="X45" i="18"/>
  <c r="X32" i="18"/>
  <c r="X25" i="18"/>
  <c r="X43" i="18"/>
  <c r="X12" i="18"/>
  <c r="Y29" i="18"/>
  <c r="Y44" i="18" s="1"/>
  <c r="Y28" i="18"/>
  <c r="Y8" i="17"/>
  <c r="Y26" i="17" s="1"/>
  <c r="Y8" i="18"/>
  <c r="Y26" i="18" s="1"/>
  <c r="W62" i="18"/>
  <c r="W64" i="18" s="1"/>
  <c r="W48" i="18"/>
  <c r="W47" i="18"/>
  <c r="W65" i="18" s="1"/>
  <c r="V71" i="18"/>
  <c r="V72" i="18" s="1"/>
  <c r="V73" i="18" s="1"/>
  <c r="V74" i="18" s="1"/>
  <c r="V76" i="18" s="1"/>
  <c r="V55" i="18"/>
  <c r="X12" i="3"/>
  <c r="AD30" i="16"/>
  <c r="AE29" i="16"/>
  <c r="Y7" i="17"/>
  <c r="X12" i="17"/>
  <c r="X29" i="17"/>
  <c r="X44" i="17" s="1"/>
  <c r="X28" i="17"/>
  <c r="W43" i="17"/>
  <c r="W25" i="17"/>
  <c r="V33" i="17"/>
  <c r="V30" i="17"/>
  <c r="V49" i="17"/>
  <c r="V66" i="17" s="1"/>
  <c r="V54" i="17"/>
  <c r="AE28" i="16"/>
  <c r="AE25" i="16"/>
  <c r="X34" i="17"/>
  <c r="X35" i="17" s="1"/>
  <c r="X45" i="17"/>
  <c r="X32" i="17"/>
  <c r="U71" i="17"/>
  <c r="U72" i="17" s="1"/>
  <c r="U73" i="17" s="1"/>
  <c r="U74" i="17" s="1"/>
  <c r="U76" i="17" s="1"/>
  <c r="U55" i="17"/>
  <c r="V62" i="17"/>
  <c r="V64" i="17" s="1"/>
  <c r="V47" i="17"/>
  <c r="V65" i="17" s="1"/>
  <c r="V48" i="17"/>
  <c r="AF23" i="16"/>
  <c r="W32" i="17"/>
  <c r="W34" i="17"/>
  <c r="W35" i="17" s="1"/>
  <c r="W45" i="17"/>
  <c r="AF24" i="16"/>
  <c r="Z7" i="18" s="1"/>
  <c r="W58" i="17"/>
  <c r="W11" i="17"/>
  <c r="X54" i="18" l="1"/>
  <c r="X30" i="18"/>
  <c r="X49" i="18"/>
  <c r="X66" i="18" s="1"/>
  <c r="X33" i="18"/>
  <c r="Z8" i="17"/>
  <c r="Z26" i="17" s="1"/>
  <c r="Z8" i="18"/>
  <c r="Z26" i="18" s="1"/>
  <c r="Y43" i="18"/>
  <c r="Y25" i="18"/>
  <c r="Y12" i="18"/>
  <c r="X11" i="18"/>
  <c r="X58" i="18"/>
  <c r="W71" i="18"/>
  <c r="W72" i="18" s="1"/>
  <c r="W73" i="18" s="1"/>
  <c r="W74" i="18" s="1"/>
  <c r="W76" i="18" s="1"/>
  <c r="W55" i="18"/>
  <c r="Y45" i="18"/>
  <c r="Y32" i="18"/>
  <c r="Y34" i="18"/>
  <c r="Y35" i="18" s="1"/>
  <c r="Z29" i="18"/>
  <c r="Z44" i="18" s="1"/>
  <c r="Z28" i="18"/>
  <c r="X62" i="18"/>
  <c r="X64" i="18" s="1"/>
  <c r="X47" i="18"/>
  <c r="X65" i="18" s="1"/>
  <c r="X48" i="18"/>
  <c r="Y12" i="3"/>
  <c r="AE30" i="16"/>
  <c r="AF29" i="16"/>
  <c r="Z7" i="17"/>
  <c r="Y12" i="17"/>
  <c r="Y29" i="17"/>
  <c r="Y44" i="17" s="1"/>
  <c r="Y28" i="17"/>
  <c r="X58" i="17"/>
  <c r="X11" i="17"/>
  <c r="V55" i="17"/>
  <c r="V71" i="17"/>
  <c r="V72" i="17" s="1"/>
  <c r="V73" i="17" s="1"/>
  <c r="V74" i="17" s="1"/>
  <c r="V76" i="17" s="1"/>
  <c r="AG24" i="16"/>
  <c r="AA7" i="18" s="1"/>
  <c r="W62" i="17"/>
  <c r="W64" i="17" s="1"/>
  <c r="W48" i="17"/>
  <c r="W47" i="17"/>
  <c r="W65" i="17" s="1"/>
  <c r="AF28" i="16"/>
  <c r="AF25" i="16"/>
  <c r="W54" i="17"/>
  <c r="W30" i="17"/>
  <c r="W49" i="17"/>
  <c r="W66" i="17" s="1"/>
  <c r="W33" i="17"/>
  <c r="AG23" i="16"/>
  <c r="Y34" i="17"/>
  <c r="Y35" i="17" s="1"/>
  <c r="Y32" i="17"/>
  <c r="Y45" i="17"/>
  <c r="X25" i="17"/>
  <c r="X43" i="17"/>
  <c r="AA8" i="17" l="1"/>
  <c r="AA26" i="17" s="1"/>
  <c r="AA8" i="18"/>
  <c r="AA26" i="18" s="1"/>
  <c r="Z43" i="18"/>
  <c r="Z25" i="18"/>
  <c r="Y62" i="18"/>
  <c r="Y64" i="18" s="1"/>
  <c r="Y47" i="18"/>
  <c r="Y65" i="18" s="1"/>
  <c r="Y48" i="18"/>
  <c r="Z45" i="18"/>
  <c r="Z32" i="18"/>
  <c r="Z34" i="18"/>
  <c r="Z35" i="18" s="1"/>
  <c r="Y49" i="18"/>
  <c r="Y66" i="18" s="1"/>
  <c r="Y30" i="18"/>
  <c r="Y54" i="18"/>
  <c r="Y33" i="18"/>
  <c r="AA29" i="18"/>
  <c r="AA44" i="18" s="1"/>
  <c r="AA28" i="18"/>
  <c r="Z12" i="18"/>
  <c r="Y58" i="18"/>
  <c r="Y11" i="18"/>
  <c r="X71" i="18"/>
  <c r="X72" i="18" s="1"/>
  <c r="X73" i="18" s="1"/>
  <c r="X74" i="18" s="1"/>
  <c r="X76" i="18" s="1"/>
  <c r="X55" i="18"/>
  <c r="Z12" i="3"/>
  <c r="AF30" i="16"/>
  <c r="AG29" i="16"/>
  <c r="AA7" i="17"/>
  <c r="AH23" i="16"/>
  <c r="AG28" i="16"/>
  <c r="AG25" i="16"/>
  <c r="Y58" i="17"/>
  <c r="Y11" i="17"/>
  <c r="AH24" i="16"/>
  <c r="AB7" i="18" s="1"/>
  <c r="W71" i="17"/>
  <c r="W72" i="17" s="1"/>
  <c r="W73" i="17" s="1"/>
  <c r="W74" i="17" s="1"/>
  <c r="W76" i="17" s="1"/>
  <c r="W55" i="17"/>
  <c r="Z32" i="17"/>
  <c r="Z34" i="17"/>
  <c r="Z35" i="17" s="1"/>
  <c r="Z45" i="17"/>
  <c r="Z12" i="17"/>
  <c r="Z29" i="17"/>
  <c r="Z44" i="17" s="1"/>
  <c r="Z28" i="17"/>
  <c r="X62" i="17"/>
  <c r="X64" i="17" s="1"/>
  <c r="X47" i="17"/>
  <c r="X65" i="17" s="1"/>
  <c r="X48" i="17"/>
  <c r="X49" i="17"/>
  <c r="X66" i="17" s="1"/>
  <c r="X30" i="17"/>
  <c r="X54" i="17"/>
  <c r="X33" i="17"/>
  <c r="Y25" i="17"/>
  <c r="Y43" i="17"/>
  <c r="AA12" i="18" l="1"/>
  <c r="AA11" i="18" s="1"/>
  <c r="Z54" i="18"/>
  <c r="Z49" i="18"/>
  <c r="Z66" i="18" s="1"/>
  <c r="Z30" i="18"/>
  <c r="Z33" i="18"/>
  <c r="AB8" i="17"/>
  <c r="AB26" i="17" s="1"/>
  <c r="AB8" i="18"/>
  <c r="AB26" i="18" s="1"/>
  <c r="Z62" i="18"/>
  <c r="Z64" i="18" s="1"/>
  <c r="Z48" i="18"/>
  <c r="Z47" i="18"/>
  <c r="Z65" i="18" s="1"/>
  <c r="Z58" i="18"/>
  <c r="Z11" i="18"/>
  <c r="AA45" i="18"/>
  <c r="AA32" i="18"/>
  <c r="AA34" i="18"/>
  <c r="AA35" i="18" s="1"/>
  <c r="AB29" i="18"/>
  <c r="AB44" i="18" s="1"/>
  <c r="AB28" i="18"/>
  <c r="Y55" i="18"/>
  <c r="Y71" i="18"/>
  <c r="Y72" i="18" s="1"/>
  <c r="Y73" i="18" s="1"/>
  <c r="Y74" i="18" s="1"/>
  <c r="Y76" i="18" s="1"/>
  <c r="AA43" i="18"/>
  <c r="AA25" i="18"/>
  <c r="AG30" i="16"/>
  <c r="AA12" i="3"/>
  <c r="AH29" i="16"/>
  <c r="AB7" i="17"/>
  <c r="Z43" i="17"/>
  <c r="Z25" i="17"/>
  <c r="AA45" i="17"/>
  <c r="AA32" i="17"/>
  <c r="AA34" i="17"/>
  <c r="AA35" i="17" s="1"/>
  <c r="Z58" i="17"/>
  <c r="Z11" i="17"/>
  <c r="AA12" i="17"/>
  <c r="AA29" i="17"/>
  <c r="AA44" i="17" s="1"/>
  <c r="AA28" i="17"/>
  <c r="AH25" i="16"/>
  <c r="AH28" i="16"/>
  <c r="X71" i="17"/>
  <c r="X72" i="17" s="1"/>
  <c r="X73" i="17" s="1"/>
  <c r="X74" i="17" s="1"/>
  <c r="X76" i="17" s="1"/>
  <c r="X55" i="17"/>
  <c r="Y62" i="17"/>
  <c r="Y64" i="17" s="1"/>
  <c r="Y48" i="17"/>
  <c r="Y47" i="17"/>
  <c r="Y65" i="17" s="1"/>
  <c r="Y49" i="17"/>
  <c r="Y66" i="17" s="1"/>
  <c r="Y54" i="17"/>
  <c r="Y33" i="17"/>
  <c r="Y30" i="17"/>
  <c r="AA58" i="18" l="1"/>
  <c r="AA30" i="18"/>
  <c r="AA49" i="18"/>
  <c r="AA66" i="18" s="1"/>
  <c r="AA54" i="18"/>
  <c r="AA33" i="18"/>
  <c r="AB43" i="18"/>
  <c r="AB25" i="18"/>
  <c r="Z71" i="18"/>
  <c r="Z72" i="18" s="1"/>
  <c r="Z73" i="18" s="1"/>
  <c r="Z74" i="18" s="1"/>
  <c r="Z76" i="18" s="1"/>
  <c r="Z55" i="18"/>
  <c r="AB45" i="18"/>
  <c r="AB32" i="18"/>
  <c r="AB34" i="18"/>
  <c r="AB35" i="18" s="1"/>
  <c r="AA62" i="18"/>
  <c r="AA64" i="18" s="1"/>
  <c r="AA48" i="18"/>
  <c r="AA47" i="18"/>
  <c r="AA65" i="18" s="1"/>
  <c r="AB12" i="18"/>
  <c r="AB12" i="3"/>
  <c r="AH30" i="16"/>
  <c r="AA58" i="17"/>
  <c r="AA11" i="17"/>
  <c r="Z62" i="17"/>
  <c r="Z64" i="17" s="1"/>
  <c r="Z48" i="17"/>
  <c r="Z47" i="17"/>
  <c r="Z65" i="17" s="1"/>
  <c r="Z54" i="17"/>
  <c r="Z30" i="17"/>
  <c r="Z33" i="17"/>
  <c r="Z49" i="17"/>
  <c r="Z66" i="17" s="1"/>
  <c r="Y55" i="17"/>
  <c r="Y71" i="17"/>
  <c r="Y72" i="17" s="1"/>
  <c r="Y73" i="17" s="1"/>
  <c r="Y74" i="17" s="1"/>
  <c r="Y76" i="17" s="1"/>
  <c r="AB32" i="17"/>
  <c r="AB34" i="17"/>
  <c r="AB35" i="17" s="1"/>
  <c r="AB45" i="17"/>
  <c r="AA43" i="17"/>
  <c r="AA25" i="17"/>
  <c r="AB12" i="17"/>
  <c r="AB29" i="17"/>
  <c r="AB44" i="17" s="1"/>
  <c r="AB28" i="17"/>
  <c r="AB58" i="18" l="1"/>
  <c r="AB11" i="18"/>
  <c r="AB30" i="18"/>
  <c r="AB49" i="18"/>
  <c r="AB66" i="18" s="1"/>
  <c r="AB54" i="18"/>
  <c r="AB33" i="18"/>
  <c r="AB62" i="18"/>
  <c r="AB64" i="18" s="1"/>
  <c r="AB47" i="18"/>
  <c r="AB65" i="18" s="1"/>
  <c r="AB48" i="18"/>
  <c r="AA55" i="18"/>
  <c r="AA71" i="18"/>
  <c r="AA72" i="18" s="1"/>
  <c r="AA73" i="18" s="1"/>
  <c r="AA74" i="18" s="1"/>
  <c r="AA76" i="18" s="1"/>
  <c r="AC12" i="3"/>
  <c r="AA54" i="17"/>
  <c r="AA30" i="17"/>
  <c r="AA49" i="17"/>
  <c r="AA66" i="17" s="1"/>
  <c r="AA33" i="17"/>
  <c r="AA62" i="17"/>
  <c r="AA64" i="17" s="1"/>
  <c r="AA48" i="17"/>
  <c r="AA47" i="17"/>
  <c r="AA65" i="17" s="1"/>
  <c r="AB11" i="17"/>
  <c r="AB58" i="17"/>
  <c r="Z55" i="17"/>
  <c r="Z71" i="17"/>
  <c r="Z72" i="17" s="1"/>
  <c r="Z73" i="17" s="1"/>
  <c r="Z74" i="17" s="1"/>
  <c r="Z76" i="17" s="1"/>
  <c r="AB43" i="17"/>
  <c r="AB25" i="17"/>
  <c r="AB71" i="18" l="1"/>
  <c r="AB72" i="18" s="1"/>
  <c r="AB73" i="18" s="1"/>
  <c r="AB74" i="18" s="1"/>
  <c r="AB76" i="18" s="1"/>
  <c r="AB55" i="18"/>
  <c r="AD12" i="3"/>
  <c r="AB62" i="17"/>
  <c r="AB64" i="17" s="1"/>
  <c r="AB48" i="17"/>
  <c r="AB47" i="17"/>
  <c r="AB65" i="17" s="1"/>
  <c r="AB54" i="17"/>
  <c r="AB30" i="17"/>
  <c r="AB49" i="17"/>
  <c r="AB66" i="17" s="1"/>
  <c r="AB33" i="17"/>
  <c r="AA71" i="17"/>
  <c r="AA72" i="17" s="1"/>
  <c r="AA73" i="17" s="1"/>
  <c r="AA74" i="17" s="1"/>
  <c r="AA76" i="17" s="1"/>
  <c r="AA55" i="17"/>
  <c r="H29" i="5"/>
  <c r="G29" i="5"/>
  <c r="M24" i="5" l="1"/>
  <c r="M23" i="5"/>
  <c r="O23" i="5"/>
  <c r="N23" i="5"/>
  <c r="N24" i="5"/>
  <c r="O24" i="5"/>
  <c r="P23" i="5"/>
  <c r="Q23" i="5"/>
  <c r="AE12" i="3"/>
  <c r="P24" i="5"/>
  <c r="AB55" i="17"/>
  <c r="AB71" i="17"/>
  <c r="AB72" i="17" s="1"/>
  <c r="AB73" i="17" s="1"/>
  <c r="AB74" i="17" s="1"/>
  <c r="AB76" i="17" s="1"/>
  <c r="I23" i="5"/>
  <c r="G23" i="5"/>
  <c r="J23" i="5"/>
  <c r="K23" i="5"/>
  <c r="R23" i="5" l="1"/>
  <c r="AF12" i="3"/>
  <c r="Q24" i="5"/>
  <c r="I89" i="10"/>
  <c r="J89" i="10" s="1"/>
  <c r="K89" i="10" s="1"/>
  <c r="P89" i="10" s="1"/>
  <c r="I90" i="10"/>
  <c r="J90" i="10" s="1"/>
  <c r="K90" i="10" s="1"/>
  <c r="L90" i="10" s="1"/>
  <c r="M90" i="10" s="1"/>
  <c r="I91" i="10"/>
  <c r="J91" i="10" s="1"/>
  <c r="K91" i="10" s="1"/>
  <c r="L91" i="10" s="1"/>
  <c r="M91" i="10" s="1"/>
  <c r="I92" i="10"/>
  <c r="J92" i="10" s="1"/>
  <c r="K92" i="10" s="1"/>
  <c r="L92" i="10" s="1"/>
  <c r="M92" i="10" s="1"/>
  <c r="AF13" i="3" l="1"/>
  <c r="AF18" i="3" s="1"/>
  <c r="AF41" i="3"/>
  <c r="Q28" i="5"/>
  <c r="Q29" i="5" s="1"/>
  <c r="Y28" i="5"/>
  <c r="Y29" i="5" s="1"/>
  <c r="AE28" i="5"/>
  <c r="AE29" i="5" s="1"/>
  <c r="R28" i="5"/>
  <c r="R29" i="5" s="1"/>
  <c r="Z28" i="5"/>
  <c r="Z29" i="5" s="1"/>
  <c r="S28" i="5"/>
  <c r="S29" i="5" s="1"/>
  <c r="AA28" i="5"/>
  <c r="AA29" i="5" s="1"/>
  <c r="N28" i="5"/>
  <c r="N29" i="5" s="1"/>
  <c r="T28" i="5"/>
  <c r="T29" i="5" s="1"/>
  <c r="AB28" i="5"/>
  <c r="AB29" i="5" s="1"/>
  <c r="W28" i="5"/>
  <c r="W29" i="5" s="1"/>
  <c r="X28" i="5"/>
  <c r="X29" i="5" s="1"/>
  <c r="U28" i="5"/>
  <c r="U29" i="5" s="1"/>
  <c r="AC28" i="5"/>
  <c r="AC29" i="5" s="1"/>
  <c r="V28" i="5"/>
  <c r="V29" i="5" s="1"/>
  <c r="AD28" i="5"/>
  <c r="AD29" i="5" s="1"/>
  <c r="O28" i="5"/>
  <c r="O29" i="5" s="1"/>
  <c r="P28" i="5"/>
  <c r="P29" i="5" s="1"/>
  <c r="S23" i="5"/>
  <c r="K29" i="5"/>
  <c r="J29" i="5"/>
  <c r="M29" i="5"/>
  <c r="L29" i="5"/>
  <c r="R24" i="5"/>
  <c r="L89" i="10"/>
  <c r="M89" i="10" s="1"/>
  <c r="F71" i="10"/>
  <c r="AF43" i="3" l="1"/>
  <c r="AF19" i="3"/>
  <c r="AF38" i="3" s="1"/>
  <c r="AF20" i="3"/>
  <c r="AF29" i="3" s="1"/>
  <c r="T23" i="5"/>
  <c r="H24" i="5"/>
  <c r="I24" i="5"/>
  <c r="J24" i="5"/>
  <c r="K24" i="5"/>
  <c r="L24" i="5"/>
  <c r="G24" i="5"/>
  <c r="S24" i="5"/>
  <c r="L23" i="5"/>
  <c r="AF39" i="3" l="1"/>
  <c r="U23" i="5"/>
  <c r="T24" i="5"/>
  <c r="V23" i="5" l="1"/>
  <c r="U24" i="5"/>
  <c r="W23" i="5" l="1"/>
  <c r="V24" i="5"/>
  <c r="X23" i="5" l="1"/>
  <c r="W24" i="5"/>
  <c r="G47" i="11"/>
  <c r="I51" i="11" s="1"/>
  <c r="G34" i="11"/>
  <c r="I38" i="11" s="1"/>
  <c r="G26" i="11"/>
  <c r="I49" i="11"/>
  <c r="H9" i="5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H7" i="6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I36" i="11"/>
  <c r="I29" i="11"/>
  <c r="I28" i="11"/>
  <c r="I19" i="11"/>
  <c r="J8" i="11"/>
  <c r="J49" i="11" s="1"/>
  <c r="B1" i="11"/>
  <c r="C2" i="11"/>
  <c r="C3" i="11"/>
  <c r="J51" i="11" l="1"/>
  <c r="I50" i="11"/>
  <c r="Y23" i="5"/>
  <c r="X24" i="5"/>
  <c r="I37" i="11"/>
  <c r="J37" i="11"/>
  <c r="J50" i="11"/>
  <c r="I30" i="11"/>
  <c r="K8" i="11"/>
  <c r="J29" i="11"/>
  <c r="J38" i="11"/>
  <c r="J28" i="11"/>
  <c r="J30" i="11"/>
  <c r="J36" i="11"/>
  <c r="J15" i="11"/>
  <c r="J19" i="11"/>
  <c r="C2" i="10"/>
  <c r="C3" i="10"/>
  <c r="I40" i="11" l="1"/>
  <c r="K50" i="11"/>
  <c r="K49" i="11"/>
  <c r="K51" i="11"/>
  <c r="Z23" i="5"/>
  <c r="Y24" i="5"/>
  <c r="G42" i="3"/>
  <c r="J40" i="11"/>
  <c r="L8" i="11"/>
  <c r="K19" i="11"/>
  <c r="K37" i="11"/>
  <c r="K38" i="11"/>
  <c r="K36" i="11"/>
  <c r="K29" i="11"/>
  <c r="K30" i="11"/>
  <c r="K28" i="11"/>
  <c r="K15" i="11"/>
  <c r="L15" i="11" l="1"/>
  <c r="L50" i="11"/>
  <c r="L49" i="11"/>
  <c r="L51" i="11"/>
  <c r="AA23" i="5"/>
  <c r="Z24" i="5"/>
  <c r="H42" i="3"/>
  <c r="AF42" i="3"/>
  <c r="AG42" i="3"/>
  <c r="K42" i="3"/>
  <c r="M42" i="3"/>
  <c r="I42" i="3"/>
  <c r="L42" i="3"/>
  <c r="M8" i="11"/>
  <c r="L38" i="11"/>
  <c r="L19" i="11"/>
  <c r="L36" i="11"/>
  <c r="L30" i="11"/>
  <c r="L37" i="11"/>
  <c r="L28" i="11"/>
  <c r="L29" i="11"/>
  <c r="K40" i="11"/>
  <c r="L40" i="11" l="1"/>
  <c r="M49" i="11"/>
  <c r="M51" i="11"/>
  <c r="M50" i="11"/>
  <c r="AB23" i="5"/>
  <c r="AA24" i="5"/>
  <c r="N8" i="11"/>
  <c r="M37" i="11"/>
  <c r="M38" i="11"/>
  <c r="G10" i="6" s="1"/>
  <c r="G16" i="6" s="1"/>
  <c r="M15" i="11"/>
  <c r="G39" i="5" s="1"/>
  <c r="M29" i="11"/>
  <c r="M36" i="11"/>
  <c r="M19" i="11"/>
  <c r="M30" i="11"/>
  <c r="M28" i="11"/>
  <c r="B1" i="9"/>
  <c r="C2" i="9"/>
  <c r="C3" i="9"/>
  <c r="N49" i="11" l="1"/>
  <c r="N50" i="11"/>
  <c r="N51" i="11"/>
  <c r="G37" i="5"/>
  <c r="G40" i="5" s="1"/>
  <c r="G38" i="5"/>
  <c r="G41" i="5" s="1"/>
  <c r="AC23" i="5"/>
  <c r="AB24" i="5"/>
  <c r="G35" i="5"/>
  <c r="G21" i="6"/>
  <c r="M40" i="11"/>
  <c r="G20" i="6"/>
  <c r="O8" i="11"/>
  <c r="N36" i="11"/>
  <c r="N37" i="11"/>
  <c r="N38" i="11"/>
  <c r="H10" i="6" s="1"/>
  <c r="H16" i="6" s="1"/>
  <c r="N28" i="11"/>
  <c r="N30" i="11"/>
  <c r="N29" i="11"/>
  <c r="N19" i="11"/>
  <c r="N15" i="11"/>
  <c r="B1" i="8"/>
  <c r="C2" i="8"/>
  <c r="C3" i="8"/>
  <c r="H37" i="5" l="1"/>
  <c r="H38" i="5"/>
  <c r="O49" i="11"/>
  <c r="O50" i="11"/>
  <c r="O51" i="11"/>
  <c r="G54" i="3"/>
  <c r="G53" i="3"/>
  <c r="H39" i="5"/>
  <c r="AD23" i="5"/>
  <c r="H35" i="5"/>
  <c r="G52" i="3"/>
  <c r="AC24" i="5"/>
  <c r="G55" i="3"/>
  <c r="G50" i="3"/>
  <c r="G51" i="3"/>
  <c r="H21" i="6"/>
  <c r="G49" i="3"/>
  <c r="G48" i="3"/>
  <c r="N40" i="11"/>
  <c r="H20" i="6"/>
  <c r="P8" i="11"/>
  <c r="O36" i="11"/>
  <c r="O37" i="11"/>
  <c r="O28" i="11"/>
  <c r="O38" i="11"/>
  <c r="O29" i="11"/>
  <c r="O30" i="11"/>
  <c r="O15" i="11"/>
  <c r="O19" i="11"/>
  <c r="B1" i="7"/>
  <c r="C2" i="7"/>
  <c r="C3" i="7"/>
  <c r="P49" i="11" l="1"/>
  <c r="P51" i="11"/>
  <c r="P50" i="11"/>
  <c r="I37" i="5"/>
  <c r="I40" i="5" s="1"/>
  <c r="I38" i="5"/>
  <c r="I41" i="5" s="1"/>
  <c r="H41" i="5"/>
  <c r="I20" i="6"/>
  <c r="I39" i="5"/>
  <c r="H54" i="3"/>
  <c r="H53" i="3"/>
  <c r="H40" i="5"/>
  <c r="AE23" i="5"/>
  <c r="AD24" i="5"/>
  <c r="H52" i="3"/>
  <c r="H55" i="3"/>
  <c r="I35" i="5"/>
  <c r="H50" i="3"/>
  <c r="H51" i="3"/>
  <c r="I21" i="6"/>
  <c r="H48" i="3"/>
  <c r="H49" i="3"/>
  <c r="O40" i="11"/>
  <c r="Q8" i="11"/>
  <c r="P36" i="11"/>
  <c r="P30" i="11"/>
  <c r="P37" i="11"/>
  <c r="P28" i="11"/>
  <c r="P29" i="11"/>
  <c r="P38" i="11"/>
  <c r="P19" i="11"/>
  <c r="P15" i="11"/>
  <c r="C2" i="6"/>
  <c r="C3" i="6"/>
  <c r="I54" i="3" l="1"/>
  <c r="I53" i="3"/>
  <c r="J39" i="5"/>
  <c r="J40" i="5" s="1"/>
  <c r="Q49" i="11"/>
  <c r="Q50" i="11"/>
  <c r="Q51" i="11"/>
  <c r="J37" i="5"/>
  <c r="J38" i="5"/>
  <c r="AE24" i="5"/>
  <c r="I52" i="3"/>
  <c r="I55" i="3"/>
  <c r="J35" i="5"/>
  <c r="I50" i="3"/>
  <c r="I51" i="3"/>
  <c r="J21" i="6"/>
  <c r="I49" i="3"/>
  <c r="I48" i="3"/>
  <c r="R8" i="11"/>
  <c r="Q29" i="11"/>
  <c r="Q30" i="11"/>
  <c r="Q36" i="11"/>
  <c r="Q37" i="11"/>
  <c r="Q15" i="11"/>
  <c r="Q28" i="11"/>
  <c r="Q38" i="11"/>
  <c r="Q19" i="11"/>
  <c r="J20" i="6"/>
  <c r="P40" i="11"/>
  <c r="C2" i="5"/>
  <c r="C3" i="5"/>
  <c r="R49" i="11" l="1"/>
  <c r="R51" i="11"/>
  <c r="R50" i="11"/>
  <c r="K37" i="5"/>
  <c r="K38" i="5"/>
  <c r="K41" i="5" s="1"/>
  <c r="J41" i="5"/>
  <c r="J56" i="3"/>
  <c r="J54" i="3"/>
  <c r="J53" i="3"/>
  <c r="K39" i="5"/>
  <c r="J52" i="3"/>
  <c r="J55" i="3"/>
  <c r="K35" i="5"/>
  <c r="J50" i="3"/>
  <c r="K21" i="6"/>
  <c r="J51" i="3"/>
  <c r="J49" i="3"/>
  <c r="J48" i="3"/>
  <c r="Q40" i="11"/>
  <c r="K20" i="6"/>
  <c r="S8" i="11"/>
  <c r="R29" i="11"/>
  <c r="R38" i="11"/>
  <c r="R28" i="11"/>
  <c r="R30" i="11"/>
  <c r="R40" i="11" s="1"/>
  <c r="R37" i="11"/>
  <c r="R36" i="11"/>
  <c r="R15" i="11"/>
  <c r="R19" i="11"/>
  <c r="B1" i="3"/>
  <c r="C2" i="3"/>
  <c r="C3" i="3"/>
  <c r="S49" i="11" l="1"/>
  <c r="S51" i="11"/>
  <c r="S50" i="11"/>
  <c r="L38" i="5"/>
  <c r="L41" i="5" s="1"/>
  <c r="L37" i="5"/>
  <c r="L40" i="5" s="1"/>
  <c r="K40" i="5"/>
  <c r="K54" i="3"/>
  <c r="K53" i="3"/>
  <c r="L39" i="5"/>
  <c r="K55" i="3"/>
  <c r="L35" i="5"/>
  <c r="K50" i="3"/>
  <c r="K51" i="3"/>
  <c r="L21" i="6"/>
  <c r="K49" i="3"/>
  <c r="K48" i="3"/>
  <c r="K52" i="3"/>
  <c r="T8" i="11"/>
  <c r="S37" i="11"/>
  <c r="S15" i="11"/>
  <c r="S38" i="11"/>
  <c r="M10" i="6" s="1"/>
  <c r="M16" i="6" s="1"/>
  <c r="S30" i="11"/>
  <c r="S40" i="11" s="1"/>
  <c r="S28" i="11"/>
  <c r="S19" i="11"/>
  <c r="S29" i="11"/>
  <c r="S36" i="11"/>
  <c r="L20" i="6"/>
  <c r="M37" i="5" l="1"/>
  <c r="M38" i="5"/>
  <c r="T49" i="11"/>
  <c r="T50" i="11"/>
  <c r="T51" i="11"/>
  <c r="L54" i="3"/>
  <c r="L53" i="3"/>
  <c r="M39" i="5"/>
  <c r="L55" i="3"/>
  <c r="L50" i="3"/>
  <c r="M35" i="5"/>
  <c r="M21" i="6"/>
  <c r="L51" i="3"/>
  <c r="L49" i="3"/>
  <c r="L48" i="3"/>
  <c r="L52" i="3"/>
  <c r="M20" i="6"/>
  <c r="U8" i="11"/>
  <c r="T38" i="11"/>
  <c r="T36" i="11"/>
  <c r="T30" i="11"/>
  <c r="T19" i="11"/>
  <c r="T37" i="11"/>
  <c r="T15" i="11"/>
  <c r="T28" i="11"/>
  <c r="T29" i="11"/>
  <c r="M53" i="3" l="1"/>
  <c r="N39" i="5"/>
  <c r="U49" i="11"/>
  <c r="U51" i="11"/>
  <c r="U50" i="11"/>
  <c r="M41" i="5"/>
  <c r="N10" i="6"/>
  <c r="N16" i="6" s="1"/>
  <c r="N20" i="6" s="1"/>
  <c r="N9" i="3"/>
  <c r="M40" i="5"/>
  <c r="N38" i="5"/>
  <c r="N41" i="5" s="1"/>
  <c r="N37" i="5"/>
  <c r="M55" i="3"/>
  <c r="M50" i="3"/>
  <c r="N35" i="5"/>
  <c r="N21" i="6"/>
  <c r="M51" i="3"/>
  <c r="M49" i="3"/>
  <c r="M48" i="3"/>
  <c r="M52" i="3"/>
  <c r="V8" i="11"/>
  <c r="U37" i="11"/>
  <c r="U38" i="11"/>
  <c r="U29" i="11"/>
  <c r="U36" i="11"/>
  <c r="U15" i="11"/>
  <c r="U30" i="11"/>
  <c r="U19" i="11"/>
  <c r="U28" i="11"/>
  <c r="T40" i="11"/>
  <c r="O10" i="6" l="1"/>
  <c r="O16" i="6" s="1"/>
  <c r="O9" i="3"/>
  <c r="V49" i="11"/>
  <c r="V51" i="11"/>
  <c r="V50" i="11"/>
  <c r="N41" i="3"/>
  <c r="N51" i="3" s="1"/>
  <c r="M31" i="3"/>
  <c r="M44" i="3" s="1"/>
  <c r="M54" i="3" s="1"/>
  <c r="N13" i="3"/>
  <c r="N18" i="3" s="1"/>
  <c r="N25" i="3"/>
  <c r="N40" i="5"/>
  <c r="O38" i="5"/>
  <c r="O37" i="5"/>
  <c r="O39" i="5"/>
  <c r="N55" i="3"/>
  <c r="O35" i="5"/>
  <c r="O21" i="6"/>
  <c r="O20" i="6"/>
  <c r="W8" i="11"/>
  <c r="V36" i="11"/>
  <c r="V37" i="11"/>
  <c r="V38" i="11"/>
  <c r="V28" i="11"/>
  <c r="V29" i="11"/>
  <c r="V30" i="11"/>
  <c r="V15" i="11"/>
  <c r="V19" i="11"/>
  <c r="U40" i="11"/>
  <c r="N20" i="3" l="1"/>
  <c r="N39" i="3" s="1"/>
  <c r="N49" i="3" s="1"/>
  <c r="N43" i="3"/>
  <c r="N53" i="3" s="1"/>
  <c r="N19" i="3"/>
  <c r="N38" i="3" s="1"/>
  <c r="N48" i="3" s="1"/>
  <c r="W49" i="11"/>
  <c r="W50" i="11"/>
  <c r="W51" i="11"/>
  <c r="P10" i="6"/>
  <c r="P16" i="6" s="1"/>
  <c r="P20" i="6" s="1"/>
  <c r="P9" i="3"/>
  <c r="O41" i="3"/>
  <c r="N31" i="3"/>
  <c r="N44" i="3" s="1"/>
  <c r="N54" i="3" s="1"/>
  <c r="O25" i="3"/>
  <c r="O13" i="3"/>
  <c r="O18" i="3" s="1"/>
  <c r="N40" i="3"/>
  <c r="N50" i="3" s="1"/>
  <c r="N26" i="3"/>
  <c r="N29" i="3" s="1"/>
  <c r="N42" i="3" s="1"/>
  <c r="N52" i="3" s="1"/>
  <c r="O41" i="5"/>
  <c r="O40" i="5"/>
  <c r="P39" i="5"/>
  <c r="P38" i="5"/>
  <c r="P37" i="5"/>
  <c r="O55" i="3"/>
  <c r="P35" i="5"/>
  <c r="O51" i="3"/>
  <c r="P21" i="6"/>
  <c r="V40" i="11"/>
  <c r="X8" i="11"/>
  <c r="W36" i="11"/>
  <c r="W37" i="11"/>
  <c r="W28" i="11"/>
  <c r="W38" i="11"/>
  <c r="W30" i="11"/>
  <c r="W29" i="11"/>
  <c r="W15" i="11"/>
  <c r="W19" i="11"/>
  <c r="P41" i="3" l="1"/>
  <c r="O31" i="3"/>
  <c r="O44" i="3" s="1"/>
  <c r="O54" i="3" s="1"/>
  <c r="P13" i="3"/>
  <c r="P18" i="3" s="1"/>
  <c r="P25" i="3"/>
  <c r="P20" i="3"/>
  <c r="O20" i="3"/>
  <c r="O39" i="3" s="1"/>
  <c r="O49" i="3" s="1"/>
  <c r="O43" i="3"/>
  <c r="O53" i="3" s="1"/>
  <c r="O19" i="3"/>
  <c r="O38" i="3" s="1"/>
  <c r="O48" i="3" s="1"/>
  <c r="O40" i="3"/>
  <c r="O50" i="3" s="1"/>
  <c r="O26" i="3"/>
  <c r="X49" i="11"/>
  <c r="X51" i="11"/>
  <c r="X50" i="11"/>
  <c r="Q10" i="6"/>
  <c r="Q16" i="6" s="1"/>
  <c r="Q20" i="6" s="1"/>
  <c r="Q9" i="3"/>
  <c r="P40" i="5"/>
  <c r="P41" i="5"/>
  <c r="Q38" i="5"/>
  <c r="Q37" i="5"/>
  <c r="Q39" i="5"/>
  <c r="P55" i="3"/>
  <c r="Q35" i="5"/>
  <c r="Q21" i="6"/>
  <c r="P51" i="3"/>
  <c r="W40" i="11"/>
  <c r="Y8" i="11"/>
  <c r="X36" i="11"/>
  <c r="X30" i="11"/>
  <c r="X37" i="11"/>
  <c r="X28" i="11"/>
  <c r="X29" i="11"/>
  <c r="X38" i="11"/>
  <c r="X19" i="11"/>
  <c r="X15" i="11"/>
  <c r="Q41" i="3" l="1"/>
  <c r="P31" i="3"/>
  <c r="P44" i="3" s="1"/>
  <c r="P54" i="3" s="1"/>
  <c r="Q13" i="3"/>
  <c r="Q18" i="3" s="1"/>
  <c r="Q25" i="3"/>
  <c r="Q20" i="3"/>
  <c r="P29" i="3"/>
  <c r="P42" i="3" s="1"/>
  <c r="P52" i="3" s="1"/>
  <c r="P39" i="3"/>
  <c r="P49" i="3" s="1"/>
  <c r="Y49" i="11"/>
  <c r="Y51" i="11"/>
  <c r="Y50" i="11"/>
  <c r="R10" i="6"/>
  <c r="R16" i="6" s="1"/>
  <c r="R9" i="3"/>
  <c r="P26" i="3"/>
  <c r="P40" i="3"/>
  <c r="P50" i="3" s="1"/>
  <c r="P43" i="3"/>
  <c r="P53" i="3" s="1"/>
  <c r="P19" i="3"/>
  <c r="P38" i="3" s="1"/>
  <c r="P48" i="3" s="1"/>
  <c r="O29" i="3"/>
  <c r="O42" i="3" s="1"/>
  <c r="O52" i="3" s="1"/>
  <c r="Q40" i="5"/>
  <c r="Q41" i="5"/>
  <c r="R39" i="5"/>
  <c r="R37" i="5"/>
  <c r="R38" i="5"/>
  <c r="Q55" i="3"/>
  <c r="R35" i="5"/>
  <c r="R21" i="6"/>
  <c r="Q51" i="3"/>
  <c r="X40" i="11"/>
  <c r="Z8" i="11"/>
  <c r="Y29" i="11"/>
  <c r="Y30" i="11"/>
  <c r="Y36" i="11"/>
  <c r="Y37" i="11"/>
  <c r="Y15" i="11"/>
  <c r="Y38" i="11"/>
  <c r="Y28" i="11"/>
  <c r="Y19" i="11"/>
  <c r="R20" i="6"/>
  <c r="Z49" i="11" l="1"/>
  <c r="Z51" i="11"/>
  <c r="Z50" i="11"/>
  <c r="Q39" i="3"/>
  <c r="Q49" i="3" s="1"/>
  <c r="R41" i="3"/>
  <c r="R51" i="3" s="1"/>
  <c r="Q31" i="3"/>
  <c r="Q44" i="3" s="1"/>
  <c r="Q54" i="3" s="1"/>
  <c r="R13" i="3"/>
  <c r="R18" i="3" s="1"/>
  <c r="R25" i="3"/>
  <c r="Q40" i="3"/>
  <c r="Q50" i="3" s="1"/>
  <c r="Q26" i="3"/>
  <c r="Q29" i="3" s="1"/>
  <c r="Q42" i="3" s="1"/>
  <c r="Q52" i="3" s="1"/>
  <c r="Q19" i="3"/>
  <c r="Q38" i="3" s="1"/>
  <c r="Q48" i="3" s="1"/>
  <c r="Q43" i="3"/>
  <c r="Q53" i="3" s="1"/>
  <c r="S10" i="6"/>
  <c r="S16" i="6" s="1"/>
  <c r="S20" i="6" s="1"/>
  <c r="S9" i="3"/>
  <c r="R41" i="5"/>
  <c r="R40" i="5"/>
  <c r="S39" i="5"/>
  <c r="S37" i="5"/>
  <c r="S38" i="5"/>
  <c r="R55" i="3"/>
  <c r="S35" i="5"/>
  <c r="S21" i="6"/>
  <c r="Y40" i="11"/>
  <c r="AA8" i="11"/>
  <c r="Z15" i="11"/>
  <c r="Z29" i="11"/>
  <c r="Z38" i="11"/>
  <c r="Z28" i="11"/>
  <c r="Z36" i="11"/>
  <c r="Z30" i="11"/>
  <c r="Z40" i="11" s="1"/>
  <c r="Z37" i="11"/>
  <c r="Z19" i="11"/>
  <c r="R43" i="3" l="1"/>
  <c r="R53" i="3" s="1"/>
  <c r="R19" i="3"/>
  <c r="R38" i="3" s="1"/>
  <c r="R48" i="3" s="1"/>
  <c r="S41" i="3"/>
  <c r="S25" i="3"/>
  <c r="R31" i="3"/>
  <c r="R44" i="3" s="1"/>
  <c r="R54" i="3" s="1"/>
  <c r="S13" i="3"/>
  <c r="S18" i="3" s="1"/>
  <c r="S20" i="3"/>
  <c r="AA49" i="11"/>
  <c r="AA51" i="11"/>
  <c r="AA50" i="11"/>
  <c r="R20" i="3"/>
  <c r="T10" i="6"/>
  <c r="T16" i="6" s="1"/>
  <c r="T9" i="3"/>
  <c r="R26" i="3"/>
  <c r="R40" i="3"/>
  <c r="R50" i="3" s="1"/>
  <c r="S41" i="5"/>
  <c r="S40" i="5"/>
  <c r="T39" i="5"/>
  <c r="T37" i="5"/>
  <c r="T38" i="5"/>
  <c r="S55" i="3"/>
  <c r="T35" i="5"/>
  <c r="S51" i="3"/>
  <c r="T21" i="6"/>
  <c r="AB8" i="11"/>
  <c r="AA15" i="11"/>
  <c r="AA37" i="11"/>
  <c r="AA28" i="11"/>
  <c r="AA38" i="11"/>
  <c r="AA36" i="11"/>
  <c r="AA29" i="11"/>
  <c r="AA19" i="11"/>
  <c r="AA30" i="11"/>
  <c r="T20" i="6"/>
  <c r="S39" i="3" l="1"/>
  <c r="S49" i="3" s="1"/>
  <c r="S29" i="3"/>
  <c r="S42" i="3" s="1"/>
  <c r="S52" i="3" s="1"/>
  <c r="S43" i="3"/>
  <c r="S53" i="3" s="1"/>
  <c r="S19" i="3"/>
  <c r="S38" i="3" s="1"/>
  <c r="S48" i="3" s="1"/>
  <c r="AB50" i="11"/>
  <c r="AB49" i="11"/>
  <c r="AB51" i="11"/>
  <c r="S40" i="3"/>
  <c r="S50" i="3" s="1"/>
  <c r="S26" i="3"/>
  <c r="R39" i="3"/>
  <c r="R49" i="3" s="1"/>
  <c r="R29" i="3"/>
  <c r="R42" i="3" s="1"/>
  <c r="R52" i="3" s="1"/>
  <c r="T41" i="3"/>
  <c r="T51" i="3" s="1"/>
  <c r="S31" i="3"/>
  <c r="S44" i="3" s="1"/>
  <c r="S54" i="3" s="1"/>
  <c r="T13" i="3"/>
  <c r="T18" i="3" s="1"/>
  <c r="T25" i="3"/>
  <c r="U10" i="6"/>
  <c r="U16" i="6" s="1"/>
  <c r="U20" i="6" s="1"/>
  <c r="U9" i="3"/>
  <c r="T41" i="5"/>
  <c r="T40" i="5"/>
  <c r="U37" i="5"/>
  <c r="U38" i="5"/>
  <c r="U39" i="5"/>
  <c r="T55" i="3"/>
  <c r="U35" i="5"/>
  <c r="U21" i="6"/>
  <c r="AA40" i="11"/>
  <c r="AC8" i="11"/>
  <c r="AB38" i="11"/>
  <c r="AB36" i="11"/>
  <c r="AB30" i="11"/>
  <c r="AB37" i="11"/>
  <c r="AB28" i="11"/>
  <c r="AB19" i="11"/>
  <c r="AB15" i="11"/>
  <c r="AB29" i="11"/>
  <c r="T26" i="3" l="1"/>
  <c r="T40" i="3"/>
  <c r="T50" i="3" s="1"/>
  <c r="V10" i="6"/>
  <c r="V16" i="6" s="1"/>
  <c r="V9" i="3"/>
  <c r="T20" i="3"/>
  <c r="T39" i="3" s="1"/>
  <c r="T49" i="3" s="1"/>
  <c r="T43" i="3"/>
  <c r="T53" i="3" s="1"/>
  <c r="T19" i="3"/>
  <c r="T38" i="3" s="1"/>
  <c r="T48" i="3" s="1"/>
  <c r="AC49" i="11"/>
  <c r="AC50" i="11"/>
  <c r="AC51" i="11"/>
  <c r="U41" i="3"/>
  <c r="U25" i="3"/>
  <c r="T31" i="3"/>
  <c r="T44" i="3" s="1"/>
  <c r="T54" i="3" s="1"/>
  <c r="U13" i="3"/>
  <c r="U18" i="3" s="1"/>
  <c r="U41" i="5"/>
  <c r="U40" i="5"/>
  <c r="V37" i="5"/>
  <c r="V38" i="5"/>
  <c r="V39" i="5"/>
  <c r="U55" i="3"/>
  <c r="V35" i="5"/>
  <c r="U51" i="3"/>
  <c r="V21" i="6"/>
  <c r="AD8" i="11"/>
  <c r="AC37" i="11"/>
  <c r="AC38" i="11"/>
  <c r="AC19" i="11"/>
  <c r="AC15" i="11"/>
  <c r="AC29" i="11"/>
  <c r="AC36" i="11"/>
  <c r="AC30" i="11"/>
  <c r="AC28" i="11"/>
  <c r="V20" i="6"/>
  <c r="AB40" i="11"/>
  <c r="U20" i="3" l="1"/>
  <c r="U39" i="3" s="1"/>
  <c r="U49" i="3" s="1"/>
  <c r="U19" i="3"/>
  <c r="U38" i="3" s="1"/>
  <c r="U48" i="3" s="1"/>
  <c r="U43" i="3"/>
  <c r="U53" i="3" s="1"/>
  <c r="U40" i="3"/>
  <c r="U50" i="3" s="1"/>
  <c r="U26" i="3"/>
  <c r="U29" i="3" s="1"/>
  <c r="U42" i="3" s="1"/>
  <c r="U52" i="3" s="1"/>
  <c r="V41" i="3"/>
  <c r="V51" i="3" s="1"/>
  <c r="V25" i="3"/>
  <c r="V13" i="3"/>
  <c r="V18" i="3" s="1"/>
  <c r="U31" i="3"/>
  <c r="U44" i="3" s="1"/>
  <c r="U54" i="3" s="1"/>
  <c r="W10" i="6"/>
  <c r="W16" i="6" s="1"/>
  <c r="W9" i="3"/>
  <c r="AC40" i="11"/>
  <c r="AD49" i="11"/>
  <c r="AD50" i="11"/>
  <c r="AD51" i="11"/>
  <c r="T29" i="3"/>
  <c r="T42" i="3" s="1"/>
  <c r="T52" i="3" s="1"/>
  <c r="V41" i="5"/>
  <c r="V40" i="5"/>
  <c r="W39" i="5"/>
  <c r="W37" i="5"/>
  <c r="W38" i="5"/>
  <c r="V55" i="3"/>
  <c r="W35" i="5"/>
  <c r="W21" i="6"/>
  <c r="W20" i="6"/>
  <c r="AE8" i="11"/>
  <c r="AD36" i="11"/>
  <c r="AD37" i="11"/>
  <c r="AD38" i="11"/>
  <c r="AD30" i="11"/>
  <c r="AD28" i="11"/>
  <c r="AD15" i="11"/>
  <c r="AD29" i="11"/>
  <c r="AD19" i="11"/>
  <c r="V40" i="3" l="1"/>
  <c r="V50" i="3" s="1"/>
  <c r="V26" i="3"/>
  <c r="AE49" i="11"/>
  <c r="AE50" i="11"/>
  <c r="AE51" i="11"/>
  <c r="V20" i="3"/>
  <c r="V39" i="3" s="1"/>
  <c r="V49" i="3" s="1"/>
  <c r="V43" i="3"/>
  <c r="V53" i="3" s="1"/>
  <c r="V19" i="3"/>
  <c r="V38" i="3" s="1"/>
  <c r="V48" i="3" s="1"/>
  <c r="W41" i="3"/>
  <c r="W25" i="3"/>
  <c r="W13" i="3"/>
  <c r="W18" i="3" s="1"/>
  <c r="V31" i="3"/>
  <c r="V44" i="3" s="1"/>
  <c r="V54" i="3" s="1"/>
  <c r="X10" i="6"/>
  <c r="X16" i="6" s="1"/>
  <c r="X9" i="3"/>
  <c r="W41" i="5"/>
  <c r="W40" i="5"/>
  <c r="X39" i="5"/>
  <c r="X37" i="5"/>
  <c r="X38" i="5"/>
  <c r="W55" i="3"/>
  <c r="X35" i="5"/>
  <c r="X21" i="6"/>
  <c r="W51" i="3"/>
  <c r="AF8" i="11"/>
  <c r="AE36" i="11"/>
  <c r="AE37" i="11"/>
  <c r="AE28" i="11"/>
  <c r="AE38" i="11"/>
  <c r="AE29" i="11"/>
  <c r="AE30" i="11"/>
  <c r="AE15" i="11"/>
  <c r="AE19" i="11"/>
  <c r="AD40" i="11"/>
  <c r="X20" i="6"/>
  <c r="Y10" i="6" l="1"/>
  <c r="Y16" i="6" s="1"/>
  <c r="Y9" i="3"/>
  <c r="W20" i="3"/>
  <c r="W39" i="3" s="1"/>
  <c r="W49" i="3" s="1"/>
  <c r="W43" i="3"/>
  <c r="W53" i="3" s="1"/>
  <c r="W19" i="3"/>
  <c r="W38" i="3" s="1"/>
  <c r="W48" i="3" s="1"/>
  <c r="X41" i="3"/>
  <c r="X51" i="3" s="1"/>
  <c r="W31" i="3"/>
  <c r="W44" i="3" s="1"/>
  <c r="W54" i="3" s="1"/>
  <c r="X13" i="3"/>
  <c r="X18" i="3" s="1"/>
  <c r="X25" i="3"/>
  <c r="AF49" i="11"/>
  <c r="AF50" i="11"/>
  <c r="AF51" i="11"/>
  <c r="W40" i="3"/>
  <c r="W50" i="3" s="1"/>
  <c r="W26" i="3"/>
  <c r="W29" i="3" s="1"/>
  <c r="W42" i="3" s="1"/>
  <c r="W52" i="3" s="1"/>
  <c r="V29" i="3"/>
  <c r="V42" i="3" s="1"/>
  <c r="V52" i="3" s="1"/>
  <c r="AE40" i="11"/>
  <c r="X40" i="5"/>
  <c r="X41" i="5"/>
  <c r="Y39" i="5"/>
  <c r="Y37" i="5"/>
  <c r="Y38" i="5"/>
  <c r="X55" i="3"/>
  <c r="Y35" i="5"/>
  <c r="Y21" i="6"/>
  <c r="Y20" i="6"/>
  <c r="AG8" i="11"/>
  <c r="AF36" i="11"/>
  <c r="AF30" i="11"/>
  <c r="AF28" i="11"/>
  <c r="AF37" i="11"/>
  <c r="AF38" i="11"/>
  <c r="AF29" i="11"/>
  <c r="AF19" i="11"/>
  <c r="AF15" i="11"/>
  <c r="AG49" i="11" l="1"/>
  <c r="AG50" i="11"/>
  <c r="AG51" i="11"/>
  <c r="Z10" i="6"/>
  <c r="Z16" i="6" s="1"/>
  <c r="Z9" i="3"/>
  <c r="X43" i="3"/>
  <c r="X53" i="3" s="1"/>
  <c r="X19" i="3"/>
  <c r="X38" i="3" s="1"/>
  <c r="X48" i="3" s="1"/>
  <c r="AF40" i="11"/>
  <c r="X20" i="3"/>
  <c r="Y41" i="3"/>
  <c r="X31" i="3"/>
  <c r="X44" i="3" s="1"/>
  <c r="X54" i="3" s="1"/>
  <c r="Y25" i="3"/>
  <c r="Y13" i="3"/>
  <c r="Y18" i="3" s="1"/>
  <c r="Y20" i="3"/>
  <c r="X40" i="3"/>
  <c r="X50" i="3" s="1"/>
  <c r="X26" i="3"/>
  <c r="Y41" i="5"/>
  <c r="Y40" i="5"/>
  <c r="Z39" i="5"/>
  <c r="Z37" i="5"/>
  <c r="Z38" i="5"/>
  <c r="Y55" i="3"/>
  <c r="Z35" i="5"/>
  <c r="Z21" i="6"/>
  <c r="Y51" i="3"/>
  <c r="AH8" i="11"/>
  <c r="AG29" i="11"/>
  <c r="AG30" i="11"/>
  <c r="AG36" i="11"/>
  <c r="AG28" i="11"/>
  <c r="AG37" i="11"/>
  <c r="AG38" i="11"/>
  <c r="AG15" i="11"/>
  <c r="AG19" i="11"/>
  <c r="Z20" i="6"/>
  <c r="AH51" i="11" l="1"/>
  <c r="AH49" i="11"/>
  <c r="AH50" i="11"/>
  <c r="Y39" i="3"/>
  <c r="Y49" i="3" s="1"/>
  <c r="Y43" i="3"/>
  <c r="Y53" i="3" s="1"/>
  <c r="Y19" i="3"/>
  <c r="Y38" i="3" s="1"/>
  <c r="Y48" i="3" s="1"/>
  <c r="Z41" i="3"/>
  <c r="Z51" i="3" s="1"/>
  <c r="Z13" i="3"/>
  <c r="Z18" i="3" s="1"/>
  <c r="Z25" i="3"/>
  <c r="Y31" i="3"/>
  <c r="Y44" i="3" s="1"/>
  <c r="Y54" i="3" s="1"/>
  <c r="Y40" i="3"/>
  <c r="Y50" i="3" s="1"/>
  <c r="Y26" i="3"/>
  <c r="Y29" i="3" s="1"/>
  <c r="Y42" i="3" s="1"/>
  <c r="Y52" i="3" s="1"/>
  <c r="AA10" i="6"/>
  <c r="AA16" i="6" s="1"/>
  <c r="AA9" i="3"/>
  <c r="X39" i="3"/>
  <c r="X49" i="3" s="1"/>
  <c r="X29" i="3"/>
  <c r="X42" i="3" s="1"/>
  <c r="X52" i="3" s="1"/>
  <c r="Z41" i="5"/>
  <c r="Z40" i="5"/>
  <c r="AA37" i="5"/>
  <c r="AA38" i="5"/>
  <c r="AA39" i="5"/>
  <c r="Z55" i="3"/>
  <c r="AA35" i="5"/>
  <c r="AA21" i="6"/>
  <c r="AA20" i="6"/>
  <c r="AG40" i="11"/>
  <c r="AI8" i="11"/>
  <c r="AH29" i="11"/>
  <c r="AH38" i="11"/>
  <c r="AH15" i="11"/>
  <c r="AH37" i="11"/>
  <c r="AH36" i="11"/>
  <c r="AH30" i="11"/>
  <c r="AH40" i="11" s="1"/>
  <c r="AH28" i="11"/>
  <c r="AH19" i="11"/>
  <c r="AA41" i="3" l="1"/>
  <c r="Z31" i="3"/>
  <c r="Z44" i="3" s="1"/>
  <c r="Z54" i="3" s="1"/>
  <c r="AA25" i="3"/>
  <c r="AA13" i="3"/>
  <c r="AA18" i="3" s="1"/>
  <c r="AA20" i="3"/>
  <c r="AB10" i="6"/>
  <c r="AB16" i="6" s="1"/>
  <c r="AB9" i="3"/>
  <c r="Z40" i="3"/>
  <c r="Z50" i="3" s="1"/>
  <c r="Z26" i="3"/>
  <c r="AI49" i="11"/>
  <c r="AI50" i="11"/>
  <c r="AI51" i="11"/>
  <c r="Z20" i="3"/>
  <c r="Z39" i="3" s="1"/>
  <c r="Z49" i="3" s="1"/>
  <c r="Z43" i="3"/>
  <c r="Z53" i="3" s="1"/>
  <c r="Z19" i="3"/>
  <c r="Z38" i="3" s="1"/>
  <c r="Z48" i="3" s="1"/>
  <c r="AA41" i="5"/>
  <c r="AA40" i="5"/>
  <c r="AB39" i="5"/>
  <c r="AB37" i="5"/>
  <c r="AB38" i="5"/>
  <c r="AA55" i="3"/>
  <c r="AB35" i="5"/>
  <c r="AB21" i="6"/>
  <c r="AA51" i="3"/>
  <c r="AJ8" i="11"/>
  <c r="AI19" i="11"/>
  <c r="AI37" i="11"/>
  <c r="AI28" i="11"/>
  <c r="AI15" i="11"/>
  <c r="AI38" i="11"/>
  <c r="AI29" i="11"/>
  <c r="AI30" i="11"/>
  <c r="AI40" i="11" s="1"/>
  <c r="AI36" i="11"/>
  <c r="AB20" i="6"/>
  <c r="AB41" i="3" l="1"/>
  <c r="AB25" i="3"/>
  <c r="AA31" i="3"/>
  <c r="AA44" i="3" s="1"/>
  <c r="AA54" i="3" s="1"/>
  <c r="AB13" i="3"/>
  <c r="AB18" i="3" s="1"/>
  <c r="AB20" i="3"/>
  <c r="AA39" i="3"/>
  <c r="AA49" i="3" s="1"/>
  <c r="AA29" i="3"/>
  <c r="AA42" i="3" s="1"/>
  <c r="AA52" i="3" s="1"/>
  <c r="AA43" i="3"/>
  <c r="AA53" i="3" s="1"/>
  <c r="AA19" i="3"/>
  <c r="AA38" i="3" s="1"/>
  <c r="AA48" i="3" s="1"/>
  <c r="AA40" i="3"/>
  <c r="AA50" i="3" s="1"/>
  <c r="AA26" i="3"/>
  <c r="AJ50" i="11"/>
  <c r="AJ49" i="11"/>
  <c r="AJ51" i="11"/>
  <c r="AC10" i="6"/>
  <c r="AC16" i="6" s="1"/>
  <c r="AC20" i="6" s="1"/>
  <c r="AC9" i="3"/>
  <c r="Z29" i="3"/>
  <c r="Z42" i="3" s="1"/>
  <c r="Z52" i="3" s="1"/>
  <c r="AB41" i="5"/>
  <c r="AB40" i="5"/>
  <c r="AC39" i="5"/>
  <c r="AC37" i="5"/>
  <c r="AC38" i="5"/>
  <c r="AB55" i="3"/>
  <c r="AC35" i="5"/>
  <c r="AC21" i="6"/>
  <c r="AB51" i="3"/>
  <c r="AK8" i="11"/>
  <c r="AJ38" i="11"/>
  <c r="AJ36" i="11"/>
  <c r="AJ30" i="11"/>
  <c r="AJ37" i="11"/>
  <c r="AJ28" i="11"/>
  <c r="AJ29" i="11"/>
  <c r="AJ15" i="11"/>
  <c r="AJ19" i="11"/>
  <c r="AC41" i="3" l="1"/>
  <c r="AB31" i="3"/>
  <c r="AB44" i="3" s="1"/>
  <c r="AB54" i="3" s="1"/>
  <c r="AC13" i="3"/>
  <c r="AC18" i="3" s="1"/>
  <c r="AC25" i="3"/>
  <c r="AB29" i="3"/>
  <c r="AB42" i="3" s="1"/>
  <c r="AB52" i="3" s="1"/>
  <c r="AB39" i="3"/>
  <c r="AB49" i="3" s="1"/>
  <c r="AB19" i="3"/>
  <c r="AB38" i="3" s="1"/>
  <c r="AB48" i="3" s="1"/>
  <c r="AB43" i="3"/>
  <c r="AB53" i="3" s="1"/>
  <c r="AK49" i="11"/>
  <c r="AK51" i="11"/>
  <c r="AK50" i="11"/>
  <c r="AB26" i="3"/>
  <c r="AB40" i="3"/>
  <c r="AB50" i="3" s="1"/>
  <c r="AD10" i="6"/>
  <c r="AD16" i="6" s="1"/>
  <c r="AD20" i="6" s="1"/>
  <c r="AD9" i="3"/>
  <c r="AC41" i="5"/>
  <c r="AC40" i="5"/>
  <c r="AD37" i="5"/>
  <c r="AD38" i="5"/>
  <c r="AD39" i="5"/>
  <c r="AC55" i="3"/>
  <c r="AD35" i="5"/>
  <c r="AD21" i="6"/>
  <c r="AC51" i="3"/>
  <c r="AL8" i="11"/>
  <c r="AK37" i="11"/>
  <c r="AK38" i="11"/>
  <c r="AK29" i="11"/>
  <c r="AK36" i="11"/>
  <c r="AK19" i="11"/>
  <c r="AK28" i="11"/>
  <c r="AK30" i="11"/>
  <c r="AK15" i="11"/>
  <c r="AJ40" i="11"/>
  <c r="AD41" i="3" l="1"/>
  <c r="AD25" i="3"/>
  <c r="AC31" i="3"/>
  <c r="AC44" i="3" s="1"/>
  <c r="AC54" i="3" s="1"/>
  <c r="AD13" i="3"/>
  <c r="AD18" i="3" s="1"/>
  <c r="AD20" i="3"/>
  <c r="AC40" i="3"/>
  <c r="AC50" i="3" s="1"/>
  <c r="AC26" i="3"/>
  <c r="AC29" i="3" s="1"/>
  <c r="AC42" i="3" s="1"/>
  <c r="AC52" i="3" s="1"/>
  <c r="AE10" i="6"/>
  <c r="AE16" i="6" s="1"/>
  <c r="AE20" i="6" s="1"/>
  <c r="AE9" i="3"/>
  <c r="AL49" i="11"/>
  <c r="AL51" i="11"/>
  <c r="AL50" i="11"/>
  <c r="AC20" i="3"/>
  <c r="AC39" i="3" s="1"/>
  <c r="AC49" i="3" s="1"/>
  <c r="AC43" i="3"/>
  <c r="AC53" i="3" s="1"/>
  <c r="AC19" i="3"/>
  <c r="AC38" i="3" s="1"/>
  <c r="AC48" i="3" s="1"/>
  <c r="AD41" i="5"/>
  <c r="AD40" i="5"/>
  <c r="AE37" i="5"/>
  <c r="AE38" i="5"/>
  <c r="AE39" i="5"/>
  <c r="E39" i="5" s="1"/>
  <c r="AD55" i="3"/>
  <c r="AE35" i="5"/>
  <c r="AD51" i="3"/>
  <c r="AE21" i="6"/>
  <c r="AM8" i="11"/>
  <c r="AL36" i="11"/>
  <c r="AL37" i="11"/>
  <c r="AL38" i="11"/>
  <c r="AF10" i="6" s="1"/>
  <c r="AF16" i="6" s="1"/>
  <c r="AL15" i="11"/>
  <c r="AL30" i="11"/>
  <c r="AL40" i="11" s="1"/>
  <c r="AL29" i="11"/>
  <c r="AL28" i="11"/>
  <c r="AL19" i="11"/>
  <c r="AK40" i="11"/>
  <c r="AM49" i="11" l="1"/>
  <c r="AM50" i="11"/>
  <c r="AM51" i="11"/>
  <c r="AD39" i="3"/>
  <c r="AD49" i="3" s="1"/>
  <c r="AD29" i="3"/>
  <c r="AD42" i="3" s="1"/>
  <c r="AD52" i="3" s="1"/>
  <c r="AD43" i="3"/>
  <c r="AD53" i="3" s="1"/>
  <c r="AD19" i="3"/>
  <c r="AD38" i="3" s="1"/>
  <c r="AD48" i="3" s="1"/>
  <c r="AD40" i="3"/>
  <c r="AD50" i="3" s="1"/>
  <c r="AD26" i="3"/>
  <c r="AE41" i="3"/>
  <c r="AE31" i="3"/>
  <c r="AE44" i="3" s="1"/>
  <c r="AE54" i="3" s="1"/>
  <c r="AD31" i="3"/>
  <c r="AD44" i="3" s="1"/>
  <c r="AD54" i="3" s="1"/>
  <c r="AE25" i="3"/>
  <c r="AE13" i="3"/>
  <c r="AE18" i="3" s="1"/>
  <c r="AE41" i="5"/>
  <c r="AE40" i="5"/>
  <c r="AE55" i="3"/>
  <c r="AE51" i="3"/>
  <c r="AF21" i="6"/>
  <c r="AN8" i="11"/>
  <c r="AM36" i="11"/>
  <c r="AM37" i="11"/>
  <c r="AM28" i="11"/>
  <c r="AM38" i="11"/>
  <c r="AM29" i="11"/>
  <c r="AM30" i="11"/>
  <c r="AM40" i="11" s="1"/>
  <c r="AM19" i="11"/>
  <c r="AM15" i="11"/>
  <c r="AF20" i="6"/>
  <c r="AF54" i="3" l="1"/>
  <c r="AF53" i="3"/>
  <c r="AE40" i="3"/>
  <c r="AE50" i="3" s="1"/>
  <c r="AE26" i="3"/>
  <c r="AN49" i="11"/>
  <c r="AN50" i="11"/>
  <c r="AN51" i="11"/>
  <c r="AE20" i="3"/>
  <c r="AE39" i="3" s="1"/>
  <c r="AE49" i="3" s="1"/>
  <c r="AE43" i="3"/>
  <c r="AE53" i="3" s="1"/>
  <c r="AE19" i="3"/>
  <c r="AE38" i="3" s="1"/>
  <c r="AE48" i="3" s="1"/>
  <c r="AF55" i="3"/>
  <c r="AF50" i="3"/>
  <c r="AF51" i="3"/>
  <c r="AG21" i="6"/>
  <c r="AF49" i="3"/>
  <c r="AF48" i="3"/>
  <c r="AF52" i="3"/>
  <c r="AG20" i="6"/>
  <c r="AO8" i="11"/>
  <c r="AN36" i="11"/>
  <c r="AN30" i="11"/>
  <c r="AN40" i="11" s="1"/>
  <c r="AN28" i="11"/>
  <c r="AN37" i="11"/>
  <c r="AN29" i="11"/>
  <c r="AN38" i="11"/>
  <c r="AN15" i="11"/>
  <c r="AN19" i="11"/>
  <c r="AE29" i="3" l="1"/>
  <c r="AE42" i="3" s="1"/>
  <c r="AE52" i="3" s="1"/>
  <c r="AO49" i="11"/>
  <c r="AO50" i="11"/>
  <c r="AO51" i="11"/>
  <c r="AG54" i="3"/>
  <c r="AG53" i="3"/>
  <c r="AG52" i="3"/>
  <c r="AG55" i="3"/>
  <c r="AG50" i="3"/>
  <c r="AG51" i="3"/>
  <c r="AH21" i="6"/>
  <c r="AG49" i="3"/>
  <c r="AG48" i="3"/>
  <c r="AH20" i="6"/>
  <c r="AP8" i="11"/>
  <c r="AO29" i="11"/>
  <c r="AO30" i="11"/>
  <c r="AO36" i="11"/>
  <c r="AO37" i="11"/>
  <c r="AO38" i="11"/>
  <c r="AO28" i="11"/>
  <c r="AO15" i="11"/>
  <c r="AO19" i="11"/>
  <c r="AH52" i="3" s="1"/>
  <c r="AP49" i="11" l="1"/>
  <c r="AP51" i="11"/>
  <c r="AP50" i="11"/>
  <c r="AH55" i="3"/>
  <c r="AH54" i="3"/>
  <c r="E54" i="3" s="1"/>
  <c r="E64" i="3" s="1"/>
  <c r="AH51" i="3"/>
  <c r="AH53" i="3"/>
  <c r="E53" i="3" s="1"/>
  <c r="E62" i="3" s="1"/>
  <c r="AH50" i="3"/>
  <c r="AH48" i="3"/>
  <c r="AH49" i="3"/>
  <c r="E38" i="5"/>
  <c r="E41" i="5"/>
  <c r="E53" i="5" s="1"/>
  <c r="AO40" i="11"/>
  <c r="AQ8" i="11"/>
  <c r="AP15" i="11"/>
  <c r="AP29" i="11"/>
  <c r="AP38" i="11"/>
  <c r="AP30" i="11"/>
  <c r="AP28" i="11"/>
  <c r="AP36" i="11"/>
  <c r="AP37" i="11"/>
  <c r="AP19" i="11"/>
  <c r="AQ50" i="11" l="1"/>
  <c r="AQ49" i="11"/>
  <c r="AQ51" i="11"/>
  <c r="AP40" i="11"/>
  <c r="AR8" i="11"/>
  <c r="AQ15" i="11"/>
  <c r="AQ37" i="11"/>
  <c r="AQ28" i="11"/>
  <c r="AQ19" i="11"/>
  <c r="AQ30" i="11"/>
  <c r="AQ38" i="11"/>
  <c r="AQ36" i="11"/>
  <c r="AQ29" i="11"/>
  <c r="AR50" i="11" l="1"/>
  <c r="AR49" i="11"/>
  <c r="AR51" i="11"/>
  <c r="AQ40" i="11"/>
  <c r="AS8" i="11"/>
  <c r="AR38" i="11"/>
  <c r="AR36" i="11"/>
  <c r="AR30" i="11"/>
  <c r="AR40" i="11" s="1"/>
  <c r="AR37" i="11"/>
  <c r="AR28" i="11"/>
  <c r="AR19" i="11"/>
  <c r="AR15" i="11"/>
  <c r="AR29" i="11"/>
  <c r="AS49" i="11" l="1"/>
  <c r="AS50" i="11"/>
  <c r="AS51" i="11"/>
  <c r="AT8" i="11"/>
  <c r="AS37" i="11"/>
  <c r="AS38" i="11"/>
  <c r="AS29" i="11"/>
  <c r="AS36" i="11"/>
  <c r="AS30" i="11"/>
  <c r="AS28" i="11"/>
  <c r="AS19" i="11"/>
  <c r="AS15" i="11"/>
  <c r="AT49" i="11" l="1"/>
  <c r="AT51" i="11"/>
  <c r="AT50" i="11"/>
  <c r="AU8" i="11"/>
  <c r="AT36" i="11"/>
  <c r="AT37" i="11"/>
  <c r="AT38" i="11"/>
  <c r="AT15" i="11"/>
  <c r="AT29" i="11"/>
  <c r="AT30" i="11"/>
  <c r="AT28" i="11"/>
  <c r="AT19" i="11"/>
  <c r="AS40" i="11"/>
  <c r="AU49" i="11" l="1"/>
  <c r="AU50" i="11"/>
  <c r="AU51" i="11"/>
  <c r="AT40" i="11"/>
  <c r="AV8" i="11"/>
  <c r="AU36" i="11"/>
  <c r="AU37" i="11"/>
  <c r="AU28" i="11"/>
  <c r="AU38" i="11"/>
  <c r="AU29" i="11"/>
  <c r="AU30" i="11"/>
  <c r="AU40" i="11" s="1"/>
  <c r="AU15" i="11"/>
  <c r="AU19" i="11"/>
  <c r="AV49" i="11" l="1"/>
  <c r="AV50" i="11"/>
  <c r="AV51" i="11"/>
  <c r="AW8" i="11"/>
  <c r="AV36" i="11"/>
  <c r="AV30" i="11"/>
  <c r="AV28" i="11"/>
  <c r="AV37" i="11"/>
  <c r="AV38" i="11"/>
  <c r="AV29" i="11"/>
  <c r="AV19" i="11"/>
  <c r="AV15" i="11"/>
  <c r="AW49" i="11" l="1"/>
  <c r="AW50" i="11"/>
  <c r="AW51" i="11"/>
  <c r="AV40" i="11"/>
  <c r="AX8" i="11"/>
  <c r="AW29" i="11"/>
  <c r="AW30" i="11"/>
  <c r="AW36" i="11"/>
  <c r="AW37" i="11"/>
  <c r="AW28" i="11"/>
  <c r="AW38" i="11"/>
  <c r="AW19" i="11"/>
  <c r="AW15" i="11"/>
  <c r="AX51" i="11" l="1"/>
  <c r="G51" i="11" s="1"/>
  <c r="AX49" i="11"/>
  <c r="G49" i="11" s="1"/>
  <c r="AX50" i="11"/>
  <c r="G50" i="11" s="1"/>
  <c r="AY8" i="11"/>
  <c r="AZ8" i="11" s="1"/>
  <c r="BA8" i="11" s="1"/>
  <c r="BB8" i="11" s="1"/>
  <c r="BC8" i="11" s="1"/>
  <c r="AX29" i="11"/>
  <c r="G29" i="11" s="1"/>
  <c r="AX38" i="11"/>
  <c r="G38" i="11" s="1"/>
  <c r="AX28" i="11"/>
  <c r="G28" i="11" s="1"/>
  <c r="AX37" i="11"/>
  <c r="G37" i="11" s="1"/>
  <c r="AX30" i="11"/>
  <c r="G30" i="11" s="1"/>
  <c r="AX15" i="11"/>
  <c r="AX36" i="11"/>
  <c r="G36" i="11" s="1"/>
  <c r="AX19" i="11"/>
  <c r="AW40" i="11"/>
  <c r="E52" i="3" l="1"/>
  <c r="E63" i="3" s="1"/>
  <c r="E55" i="3"/>
  <c r="E69" i="3" s="1"/>
  <c r="E35" i="5"/>
  <c r="E50" i="3"/>
  <c r="E60" i="3" s="1"/>
  <c r="E51" i="3"/>
  <c r="E61" i="3" s="1"/>
  <c r="F24" i="6"/>
  <c r="E32" i="6" s="1"/>
  <c r="E48" i="3"/>
  <c r="E49" i="3"/>
  <c r="F23" i="6"/>
  <c r="E31" i="6" s="1"/>
  <c r="AX40" i="11"/>
  <c r="G40" i="11" s="1"/>
  <c r="F26" i="6" l="1"/>
  <c r="E33" i="6" s="1"/>
  <c r="G54" i="5"/>
  <c r="E54" i="5"/>
  <c r="E59" i="3"/>
  <c r="E68" i="3"/>
  <c r="E70" i="3" s="1"/>
  <c r="E47" i="5"/>
  <c r="E48" i="5"/>
  <c r="F25" i="6"/>
  <c r="E34" i="6" s="1"/>
  <c r="E56" i="5" l="1"/>
  <c r="E55" i="5"/>
  <c r="E71" i="3"/>
  <c r="E40" i="5" l="1"/>
  <c r="G53" i="5" s="1"/>
  <c r="E37" i="5"/>
  <c r="E45" i="5" l="1"/>
  <c r="E44" i="5"/>
  <c r="G56" i="5" l="1"/>
  <c r="G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ttyopsanalyst</author>
  </authors>
  <commentList>
    <comment ref="A13" authorId="0" shapeId="0" xr:uid="{E8BE1B3A-042D-48F9-BAAF-E09F36287BC9}">
      <text>
        <r>
          <rPr>
            <b/>
            <sz val="8"/>
            <color indexed="81"/>
            <rFont val="Tahoma"/>
            <family val="2"/>
          </rPr>
          <t>ttyopsanalyst:</t>
        </r>
        <r>
          <rPr>
            <sz val="8"/>
            <color indexed="81"/>
            <rFont val="Tahoma"/>
            <family val="2"/>
          </rPr>
          <t xml:space="preserve">
current dwell MIS 23rd September 2008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ttyopsanalyst</author>
  </authors>
  <commentList>
    <comment ref="A13" authorId="0" shapeId="0" xr:uid="{FF5E4277-DFA4-4AC3-8EC5-F2A71740EFF2}">
      <text>
        <r>
          <rPr>
            <b/>
            <sz val="8"/>
            <color indexed="81"/>
            <rFont val="Tahoma"/>
            <family val="2"/>
          </rPr>
          <t>ttyopsanalyst:</t>
        </r>
        <r>
          <rPr>
            <sz val="8"/>
            <color indexed="81"/>
            <rFont val="Tahoma"/>
            <family val="2"/>
          </rPr>
          <t xml:space="preserve">
current dwell MIS 23rd September 2008</t>
        </r>
      </text>
    </comment>
  </commentList>
</comments>
</file>

<file path=xl/sharedStrings.xml><?xml version="1.0" encoding="utf-8"?>
<sst xmlns="http://schemas.openxmlformats.org/spreadsheetml/2006/main" count="1426" uniqueCount="904">
  <si>
    <t>Create notes in here</t>
  </si>
  <si>
    <t>Title</t>
  </si>
  <si>
    <t>Sub Section Heading</t>
  </si>
  <si>
    <t>Calendar Year</t>
  </si>
  <si>
    <t>Variable</t>
  </si>
  <si>
    <t>Source</t>
  </si>
  <si>
    <t>Units</t>
  </si>
  <si>
    <t>Benefits period flag</t>
  </si>
  <si>
    <t>% traffic with final destination close to Portland</t>
  </si>
  <si>
    <t>%</t>
  </si>
  <si>
    <t>Number of containers diverted from Portland due to capacity constraint</t>
  </si>
  <si>
    <t>Containers</t>
  </si>
  <si>
    <t>No. of containers diverted to Boston</t>
  </si>
  <si>
    <t>Truck Diesel Costs (Commercial Trucks)</t>
  </si>
  <si>
    <t>https://www.eia.gov/outlooks/aeo/tables_ref.php</t>
  </si>
  <si>
    <t>2021$ / litre</t>
  </si>
  <si>
    <t>Truck miles per gallon</t>
  </si>
  <si>
    <t>EIA w/Forecast</t>
  </si>
  <si>
    <t>mpg</t>
  </si>
  <si>
    <t>External Highway Use Costs costs</t>
  </si>
  <si>
    <t>US DOT Guidance</t>
  </si>
  <si>
    <t>2021 $ per VMT</t>
  </si>
  <si>
    <t>Increased Truck VMT per Year</t>
  </si>
  <si>
    <t>Vehicle Miles</t>
  </si>
  <si>
    <t>Increased Truck Time Per Year</t>
  </si>
  <si>
    <t>person-hours</t>
  </si>
  <si>
    <t>Increased Truck Fuel Per Year</t>
  </si>
  <si>
    <t>Litres</t>
  </si>
  <si>
    <t>Additional vessel calls per year at Boston</t>
  </si>
  <si>
    <t>Vessels</t>
  </si>
  <si>
    <t>Increased time per vessel to divert to Boston</t>
  </si>
  <si>
    <t>Hours</t>
  </si>
  <si>
    <t>Vessel costs per hour</t>
  </si>
  <si>
    <t>$</t>
  </si>
  <si>
    <t>Increased Vessel hours</t>
  </si>
  <si>
    <t>Vessel hours</t>
  </si>
  <si>
    <t>Increased Vessel Fuel Metric Tons</t>
  </si>
  <si>
    <t>Tons / year</t>
  </si>
  <si>
    <t>Co2 values</t>
  </si>
  <si>
    <t>2021 $ per MT</t>
  </si>
  <si>
    <t>Co2 emissions from additional truck and vessel miles</t>
  </si>
  <si>
    <t>Metric tonne</t>
  </si>
  <si>
    <t>Residual Value</t>
  </si>
  <si>
    <t>Costs</t>
  </si>
  <si>
    <t>Jacobs estimators</t>
  </si>
  <si>
    <t>2021 $</t>
  </si>
  <si>
    <t>Undiscounted benefits</t>
  </si>
  <si>
    <t>Truck Time</t>
  </si>
  <si>
    <t>Truck Fuel Costs</t>
  </si>
  <si>
    <t>Increased vessel costs</t>
  </si>
  <si>
    <t>Container fees (lost demand)</t>
  </si>
  <si>
    <t>Co2 emissions</t>
  </si>
  <si>
    <t>Residual Values</t>
  </si>
  <si>
    <t>Discounted benefits and costs</t>
  </si>
  <si>
    <t>NPV 2021 $</t>
  </si>
  <si>
    <t>Benefit</t>
  </si>
  <si>
    <t>Trucks not being rerouted</t>
  </si>
  <si>
    <t>Vessel not being rerouted</t>
  </si>
  <si>
    <t>Increased wharfage fees</t>
  </si>
  <si>
    <t>External Highways Use Costs</t>
  </si>
  <si>
    <t>Co2 emissions reduction</t>
  </si>
  <si>
    <t>Residual values</t>
  </si>
  <si>
    <t>Growth Rate</t>
  </si>
  <si>
    <t>Benefits PV</t>
  </si>
  <si>
    <t>Costs PV</t>
  </si>
  <si>
    <t>BCR</t>
  </si>
  <si>
    <t>NPV</t>
  </si>
  <si>
    <t>https://seagrant.umaine.edu/wp-content/uploads/sites/467/2019/05/Eastport_Vulnerability_Profile.pdf</t>
  </si>
  <si>
    <t>Undiscounted Benefits</t>
  </si>
  <si>
    <t>Social benefits from earnings</t>
  </si>
  <si>
    <t>Discounted Costs and Benefits</t>
  </si>
  <si>
    <t>Benefits</t>
  </si>
  <si>
    <r>
      <t>Benefits PV</t>
    </r>
    <r>
      <rPr>
        <sz val="11"/>
        <color rgb="FF000000"/>
        <rFont val="Calibri"/>
        <family val="2"/>
        <scheme val="minor"/>
      </rPr>
      <t xml:space="preserve"> (2021 $)</t>
    </r>
  </si>
  <si>
    <r>
      <t>Costs PV</t>
    </r>
    <r>
      <rPr>
        <sz val="11"/>
        <color rgb="FF000000"/>
        <rFont val="Calibri"/>
        <family val="2"/>
        <scheme val="minor"/>
      </rPr>
      <t xml:space="preserve"> (2021 $)</t>
    </r>
  </si>
  <si>
    <t>Time Series</t>
  </si>
  <si>
    <t>Cost/Benefit Category</t>
  </si>
  <si>
    <t>Construction Costs - Enabling Infrastructure</t>
  </si>
  <si>
    <t>$ per year</t>
  </si>
  <si>
    <t>Total</t>
  </si>
  <si>
    <t>Carbon Reduction Benefit</t>
  </si>
  <si>
    <t>Wind power produced - low growth</t>
  </si>
  <si>
    <t>Gigawatt Hours per year</t>
  </si>
  <si>
    <t>Wind power produced - high growth</t>
  </si>
  <si>
    <t>Total - Low Reduction Value</t>
  </si>
  <si>
    <t>Total - High Reduction Value</t>
  </si>
  <si>
    <t>Lease Payments</t>
  </si>
  <si>
    <t>-</t>
  </si>
  <si>
    <t>Summary</t>
  </si>
  <si>
    <t>Discounted Costs</t>
  </si>
  <si>
    <t>Carbon Reduction benefit - Low</t>
  </si>
  <si>
    <t>Carbon Reduction benefit - High</t>
  </si>
  <si>
    <t>Discounted Benefits - Low</t>
  </si>
  <si>
    <t>Discounted Benefits - High</t>
  </si>
  <si>
    <t>NPV - Low</t>
  </si>
  <si>
    <t>BCR - Low</t>
  </si>
  <si>
    <t>NPV - High</t>
  </si>
  <si>
    <t>BCR - High</t>
  </si>
  <si>
    <t>High Growth (15%)</t>
  </si>
  <si>
    <t>Medium Growth (12.5%)</t>
  </si>
  <si>
    <t>Low Growth (10%)</t>
  </si>
  <si>
    <t>BENEFITS PV (2021 $)</t>
  </si>
  <si>
    <t>COSTS PV (2021 $)</t>
  </si>
  <si>
    <t>NPV (2021 $)</t>
  </si>
  <si>
    <t>General Assumptions</t>
  </si>
  <si>
    <t>Measure</t>
  </si>
  <si>
    <t>Value</t>
  </si>
  <si>
    <t>Discount Rate</t>
  </si>
  <si>
    <t>percent</t>
  </si>
  <si>
    <t>USDOT BCA Resource Guide 2023</t>
  </si>
  <si>
    <t>Discount Rate for Emissions Benefits</t>
  </si>
  <si>
    <t>Portland Assumptions</t>
  </si>
  <si>
    <t>Total project cost</t>
  </si>
  <si>
    <t>External Costs per VMT</t>
  </si>
  <si>
    <t>Congestion</t>
  </si>
  <si>
    <t>Light-Duty Vehicles - Rural</t>
  </si>
  <si>
    <t>Buses and Trucks - Rural</t>
  </si>
  <si>
    <t>Noise</t>
  </si>
  <si>
    <t>Safety</t>
  </si>
  <si>
    <t>Vessel Fuel Tons per day</t>
  </si>
  <si>
    <t>% traffic that remains near the port</t>
  </si>
  <si>
    <t>Client data</t>
  </si>
  <si>
    <t>Value of Person-Hour (Truck Driver)</t>
  </si>
  <si>
    <t>2021$ / person-hour</t>
  </si>
  <si>
    <t>https://www.bls.gov/ooh/transportation-and-material-moving/heavy-and-tractor-trailer-truck-drivers.htm#tab-1</t>
  </si>
  <si>
    <t>litres per gallon</t>
  </si>
  <si>
    <t>Growth rate container demand</t>
  </si>
  <si>
    <t>Based on 10 years trend</t>
  </si>
  <si>
    <t>Container fees</t>
  </si>
  <si>
    <t>2021 $ per container</t>
  </si>
  <si>
    <t>Boston &lt;-&gt; Portland - Road (Per ctr)</t>
  </si>
  <si>
    <t>Distance Miles</t>
  </si>
  <si>
    <t>Speed (KPH)</t>
  </si>
  <si>
    <t>Km per mile</t>
  </si>
  <si>
    <t>Co2 emissions - trucks</t>
  </si>
  <si>
    <t>kg per litre</t>
  </si>
  <si>
    <t>https://www.epa.gov/climateleadership/ghg-emission-factors-hub</t>
  </si>
  <si>
    <t>Co2 emissions - vessels</t>
  </si>
  <si>
    <t>tonne per tonne fuel</t>
  </si>
  <si>
    <t>https://safety4sea.com/wp-content/uploads/2020/11/Marine-Benchmark-Maritime-CO2-Emissions-2020_11.pdf</t>
  </si>
  <si>
    <t>Searsport Assumptions</t>
  </si>
  <si>
    <t>Construction Costs</t>
  </si>
  <si>
    <t>Construction costs - enabling infrastructure</t>
  </si>
  <si>
    <t>Annual Energy Output Calculator</t>
  </si>
  <si>
    <t>Hours in a year</t>
  </si>
  <si>
    <t>hrs</t>
  </si>
  <si>
    <t>Capacity Factor</t>
  </si>
  <si>
    <t>Assuming an average capacity factor of 47%, which is the average capacity factor for offshore wind farms according to the International Energy Agency (IEA)</t>
  </si>
  <si>
    <t>Maine Farm Capacity</t>
  </si>
  <si>
    <t>GW</t>
  </si>
  <si>
    <t>MW</t>
  </si>
  <si>
    <t>Convert to Megawatt Hours</t>
  </si>
  <si>
    <t>MWh/yr</t>
  </si>
  <si>
    <t>Convert to Gigawatt Hours</t>
  </si>
  <si>
    <t>GWh/yr</t>
  </si>
  <si>
    <t>Actual energy production can vary depending on several factors, such as wind speed, turbine efficiency, and maintenance practices.</t>
  </si>
  <si>
    <t>Carbon Assumptions</t>
  </si>
  <si>
    <t>CO2 Emissions Offshore Wind</t>
  </si>
  <si>
    <t>Grams Co2 per kWh</t>
  </si>
  <si>
    <t>Maine OSW DNV Socioeconomic Analysis of Offshore Wind in the Gulf of Maine Final Report.pdf</t>
  </si>
  <si>
    <t>Co2 Emissions Natural Gas</t>
  </si>
  <si>
    <t>Carbon Value</t>
  </si>
  <si>
    <t>$ per MT (2022 value in $2021)</t>
  </si>
  <si>
    <t>Benefit Cost Analysis Guidance 2023 Update.pdf (transportation.gov)</t>
  </si>
  <si>
    <t>$ per grams</t>
  </si>
  <si>
    <t>per year</t>
  </si>
  <si>
    <t>Projected OSW Generation by 2030</t>
  </si>
  <si>
    <t>GWh</t>
  </si>
  <si>
    <t>Emissions cost (2021$ / metric ton)</t>
  </si>
  <si>
    <t>S0x</t>
  </si>
  <si>
    <t>N0x</t>
  </si>
  <si>
    <t>PM2.5</t>
  </si>
  <si>
    <t>Co2</t>
  </si>
  <si>
    <t>Emissions cost (2021$ /gram)</t>
  </si>
  <si>
    <t>SearsPort Lease Agreement</t>
  </si>
  <si>
    <t>acres</t>
  </si>
  <si>
    <t>years</t>
  </si>
  <si>
    <t>other payments</t>
  </si>
  <si>
    <t>$ per acre per year</t>
  </si>
  <si>
    <t>Searsport acres</t>
  </si>
  <si>
    <t>$ per acre per year assumption</t>
  </si>
  <si>
    <t>Source: https://www.maine.gov/mdot/ofps/docs/port/MaineDOT%20OSW%20Port%20Infrastructure%20Feasibility%20Study-Concept%20Design%20Report%2011-17-2021.pdf</t>
  </si>
  <si>
    <t>Eastport Assumptions</t>
  </si>
  <si>
    <t>Total earning from port activity</t>
  </si>
  <si>
    <t xml:space="preserve"> (2021 $)</t>
  </si>
  <si>
    <t>Percent subject to lost capacity</t>
  </si>
  <si>
    <t>% Social benefits from increased earning</t>
  </si>
  <si>
    <t>Including Jobs in Benefit-Cost Analysis, Timothy J. Bartik (2011)</t>
  </si>
  <si>
    <t>Report on Eastport business development opportunities: https://www.maine.gov/mdot/ofps/docs/EastportIntermodalCommodityReport_FINAL_20170803.pdf</t>
  </si>
  <si>
    <t>IMT - TEU trends March 23</t>
  </si>
  <si>
    <t>IMT Reefer Container Throughput 2017-2022</t>
  </si>
  <si>
    <t>Reefer vessel moves</t>
  </si>
  <si>
    <t>Reefers on site</t>
  </si>
  <si>
    <t>Vessel TEUS</t>
  </si>
  <si>
    <t>% increase</t>
  </si>
  <si>
    <t>Month Number</t>
  </si>
  <si>
    <t>Movement Type</t>
  </si>
  <si>
    <t>Movement Count</t>
  </si>
  <si>
    <t>Teu Count</t>
  </si>
  <si>
    <t>Inventory Day</t>
  </si>
  <si>
    <t>IMT Count</t>
  </si>
  <si>
    <t>Unloading</t>
  </si>
  <si>
    <t>Export</t>
  </si>
  <si>
    <t>Import</t>
  </si>
  <si>
    <t>CAGR</t>
  </si>
  <si>
    <t xml:space="preserve">2023 Projected </t>
  </si>
  <si>
    <t>4/13/2022</t>
  </si>
  <si>
    <t>4/14/2022</t>
  </si>
  <si>
    <t>4/15/2022</t>
  </si>
  <si>
    <t>4/16/2022</t>
  </si>
  <si>
    <t>4/17/2022</t>
  </si>
  <si>
    <t>Loading</t>
  </si>
  <si>
    <t>4/18/2022</t>
  </si>
  <si>
    <t>4/19/2022</t>
  </si>
  <si>
    <t>4/20/2022</t>
  </si>
  <si>
    <t>4/21/2022</t>
  </si>
  <si>
    <t>4/22/2022</t>
  </si>
  <si>
    <t>4/23/2022</t>
  </si>
  <si>
    <t>4/24/2022</t>
  </si>
  <si>
    <t>4/25/2022</t>
  </si>
  <si>
    <t>4/26/2022</t>
  </si>
  <si>
    <t>4/27/2022</t>
  </si>
  <si>
    <t>4/28/2022</t>
  </si>
  <si>
    <t>4/29/2022</t>
  </si>
  <si>
    <t>4/30/2022</t>
  </si>
  <si>
    <t>5/13/2022</t>
  </si>
  <si>
    <t>5/14/2022</t>
  </si>
  <si>
    <t>5/15/2022</t>
  </si>
  <si>
    <t>5/16/2022</t>
  </si>
  <si>
    <t>5/17/2022</t>
  </si>
  <si>
    <t>5/18/2022</t>
  </si>
  <si>
    <t>5/19/2022</t>
  </si>
  <si>
    <t>5/20/2022</t>
  </si>
  <si>
    <t>5/21/2022</t>
  </si>
  <si>
    <t>5/22/2022</t>
  </si>
  <si>
    <t>5/23/2022</t>
  </si>
  <si>
    <t>5/24/2022</t>
  </si>
  <si>
    <t>5/25/2022</t>
  </si>
  <si>
    <t>5/26/2022</t>
  </si>
  <si>
    <t>5/27/2022</t>
  </si>
  <si>
    <t>5/28/2022</t>
  </si>
  <si>
    <t>5/29/2022</t>
  </si>
  <si>
    <t>5/30/2022</t>
  </si>
  <si>
    <t>5/31/2022</t>
  </si>
  <si>
    <t>6/13/2022</t>
  </si>
  <si>
    <t>6/14/2022</t>
  </si>
  <si>
    <t>6/15/2022</t>
  </si>
  <si>
    <t>6/17/2022</t>
  </si>
  <si>
    <t>6/18/2022</t>
  </si>
  <si>
    <t>6/19/2022</t>
  </si>
  <si>
    <t>6/20/2022</t>
  </si>
  <si>
    <t>6/21/2022</t>
  </si>
  <si>
    <t>6/22/2022</t>
  </si>
  <si>
    <t>6/23/2022</t>
  </si>
  <si>
    <t>6/24/2022</t>
  </si>
  <si>
    <t>6/25/2022</t>
  </si>
  <si>
    <t>6/26/2022</t>
  </si>
  <si>
    <t>6/27/2022</t>
  </si>
  <si>
    <t>6/28/2022</t>
  </si>
  <si>
    <t>6/29/2022</t>
  </si>
  <si>
    <t>6/30/2022</t>
  </si>
  <si>
    <t>7/13/2022</t>
  </si>
  <si>
    <t>7/14/2022</t>
  </si>
  <si>
    <t>7/15/2022</t>
  </si>
  <si>
    <t>7/16/2022</t>
  </si>
  <si>
    <t>7/17/2022</t>
  </si>
  <si>
    <t>7/18/2022</t>
  </si>
  <si>
    <t>7/19/2022</t>
  </si>
  <si>
    <t>7/20/2022</t>
  </si>
  <si>
    <t>7/21/2022</t>
  </si>
  <si>
    <t>7/22/2022</t>
  </si>
  <si>
    <t>7/23/2022</t>
  </si>
  <si>
    <t>7/24/2022</t>
  </si>
  <si>
    <t>7/25/2022</t>
  </si>
  <si>
    <t>7/26/2022</t>
  </si>
  <si>
    <t>7/27/2022</t>
  </si>
  <si>
    <t>7/28/2022</t>
  </si>
  <si>
    <t>7/29/2022</t>
  </si>
  <si>
    <t>7/30/2022</t>
  </si>
  <si>
    <t>7/31/2022</t>
  </si>
  <si>
    <t>8/13/2022</t>
  </si>
  <si>
    <t>8/14/2022</t>
  </si>
  <si>
    <t>8/15/2022</t>
  </si>
  <si>
    <t>8/16/2022</t>
  </si>
  <si>
    <t>8/17/2022</t>
  </si>
  <si>
    <t>8/18/2022</t>
  </si>
  <si>
    <t>8/19/2022</t>
  </si>
  <si>
    <t>8/20/2022</t>
  </si>
  <si>
    <t>8/21/2022</t>
  </si>
  <si>
    <t>8/22/2022</t>
  </si>
  <si>
    <t>8/23/2022</t>
  </si>
  <si>
    <t>8/24/2022</t>
  </si>
  <si>
    <t>8/25/2022</t>
  </si>
  <si>
    <t>8/26/2022</t>
  </si>
  <si>
    <t>8/27/2022</t>
  </si>
  <si>
    <t>8/28/2022</t>
  </si>
  <si>
    <t>8/29/2022</t>
  </si>
  <si>
    <t>8/30/2022</t>
  </si>
  <si>
    <t>8/31/2022</t>
  </si>
  <si>
    <t>9/13/2022</t>
  </si>
  <si>
    <t>9/14/2022</t>
  </si>
  <si>
    <t>9/15/2022</t>
  </si>
  <si>
    <t>9/16/2022</t>
  </si>
  <si>
    <t>9/17/2022</t>
  </si>
  <si>
    <t>9/18/2022</t>
  </si>
  <si>
    <t>9/19/2022</t>
  </si>
  <si>
    <t>9/20/2022</t>
  </si>
  <si>
    <t>9/21/2022</t>
  </si>
  <si>
    <t>9/22/2022</t>
  </si>
  <si>
    <t>9/23/2022</t>
  </si>
  <si>
    <t>9/24/2022</t>
  </si>
  <si>
    <t>9/25/2022</t>
  </si>
  <si>
    <t>9/26/2022</t>
  </si>
  <si>
    <t>9/27/2022</t>
  </si>
  <si>
    <t>9/28/2022</t>
  </si>
  <si>
    <t>9/29/2022</t>
  </si>
  <si>
    <t>9/30/2022</t>
  </si>
  <si>
    <t>10/13/2022</t>
  </si>
  <si>
    <t>10/14/2022</t>
  </si>
  <si>
    <t>10/15/2022</t>
  </si>
  <si>
    <t>10/16/2022</t>
  </si>
  <si>
    <t>10/17/2022</t>
  </si>
  <si>
    <t>10/18/2022</t>
  </si>
  <si>
    <t>10/19/2022</t>
  </si>
  <si>
    <t>10/20/2022</t>
  </si>
  <si>
    <t>10/21/2022</t>
  </si>
  <si>
    <t>10/22/2022</t>
  </si>
  <si>
    <t>10/23/2022</t>
  </si>
  <si>
    <t>10/24/2022</t>
  </si>
  <si>
    <t>10/25/2022</t>
  </si>
  <si>
    <t>10/26/2022</t>
  </si>
  <si>
    <t>10/27/2022</t>
  </si>
  <si>
    <t>10/28/2022</t>
  </si>
  <si>
    <t>10/29/2022</t>
  </si>
  <si>
    <t>10/30/2022</t>
  </si>
  <si>
    <t>10/31/2022</t>
  </si>
  <si>
    <t>11/13/2022</t>
  </si>
  <si>
    <t>11/14/2022</t>
  </si>
  <si>
    <t>11/15/2022</t>
  </si>
  <si>
    <t>11/16/2022</t>
  </si>
  <si>
    <t>11/17/2022</t>
  </si>
  <si>
    <t>11/18/2022</t>
  </si>
  <si>
    <t>11/19/2022</t>
  </si>
  <si>
    <t>11/20/2022</t>
  </si>
  <si>
    <t>11/21/2022</t>
  </si>
  <si>
    <t>11/22/2022</t>
  </si>
  <si>
    <t>11/23/2022</t>
  </si>
  <si>
    <t>11/24/2022</t>
  </si>
  <si>
    <t>11/25/2022</t>
  </si>
  <si>
    <t>11/26/2022</t>
  </si>
  <si>
    <t>11/27/2022</t>
  </si>
  <si>
    <t>11/28/2022</t>
  </si>
  <si>
    <t>11/29/2022</t>
  </si>
  <si>
    <t>11/30/2022</t>
  </si>
  <si>
    <t>12/13/2022</t>
  </si>
  <si>
    <t>12/14/2022</t>
  </si>
  <si>
    <t>12/15/2022</t>
  </si>
  <si>
    <t>12/16/2022</t>
  </si>
  <si>
    <t>12/17/2022</t>
  </si>
  <si>
    <t>12/18/2022</t>
  </si>
  <si>
    <t>12/19/2022</t>
  </si>
  <si>
    <t>12/20/2022</t>
  </si>
  <si>
    <t>12/21/2022</t>
  </si>
  <si>
    <t>12/22/2022</t>
  </si>
  <si>
    <t>12/23/2022</t>
  </si>
  <si>
    <t>12/24/2022</t>
  </si>
  <si>
    <t>12/25/2022</t>
  </si>
  <si>
    <t>12/26/2022</t>
  </si>
  <si>
    <t>12/27/2022</t>
  </si>
  <si>
    <t>12/28/2022</t>
  </si>
  <si>
    <t>12/29/2022</t>
  </si>
  <si>
    <t>12/30/2022</t>
  </si>
  <si>
    <t>12/31/2022</t>
  </si>
  <si>
    <t>1/13/2023</t>
  </si>
  <si>
    <t>1/14/2023</t>
  </si>
  <si>
    <t>1/15/2023</t>
  </si>
  <si>
    <t>1/16/2023</t>
  </si>
  <si>
    <t>1/17/2023</t>
  </si>
  <si>
    <t>1/18/2023</t>
  </si>
  <si>
    <t>1/19/2023</t>
  </si>
  <si>
    <t>1/20/2023</t>
  </si>
  <si>
    <t>1/21/2023</t>
  </si>
  <si>
    <t>1/22/2023</t>
  </si>
  <si>
    <t>1/23/2023</t>
  </si>
  <si>
    <t>1/24/2023</t>
  </si>
  <si>
    <t>1/25/2023</t>
  </si>
  <si>
    <t>1/26/2023</t>
  </si>
  <si>
    <t>1/27/2023</t>
  </si>
  <si>
    <t>1/28/2023</t>
  </si>
  <si>
    <t>1/29/2023</t>
  </si>
  <si>
    <t>1/30/2023</t>
  </si>
  <si>
    <t>1/31/2023</t>
  </si>
  <si>
    <t>2/13/2023</t>
  </si>
  <si>
    <t>2/14/2023</t>
  </si>
  <si>
    <t>2/15/2023</t>
  </si>
  <si>
    <t>2/16/2023</t>
  </si>
  <si>
    <t>2/17/2023</t>
  </si>
  <si>
    <t>2/18/2023</t>
  </si>
  <si>
    <t>2/19/2023</t>
  </si>
  <si>
    <t>2/20/2023</t>
  </si>
  <si>
    <t>2/21/2023</t>
  </si>
  <si>
    <t>2/22/2023</t>
  </si>
  <si>
    <t>2/23/2023</t>
  </si>
  <si>
    <t>2/24/2023</t>
  </si>
  <si>
    <t>2/25/2023</t>
  </si>
  <si>
    <t>2/26/2023</t>
  </si>
  <si>
    <t>2/27/2023</t>
  </si>
  <si>
    <t>2/28/2023</t>
  </si>
  <si>
    <t>3/13/2023</t>
  </si>
  <si>
    <t>3/14/2023</t>
  </si>
  <si>
    <t>3/15/2023</t>
  </si>
  <si>
    <t>3/16/2023</t>
  </si>
  <si>
    <t>3/17/2023</t>
  </si>
  <si>
    <t>3/18/2023</t>
  </si>
  <si>
    <t>3/19/2023</t>
  </si>
  <si>
    <t>3/20/2023</t>
  </si>
  <si>
    <t>3/21/2023</t>
  </si>
  <si>
    <t>3/22/2023</t>
  </si>
  <si>
    <t>3/23/2023</t>
  </si>
  <si>
    <t>3/24/2023</t>
  </si>
  <si>
    <t>3/25/2023</t>
  </si>
  <si>
    <t>3/26/2023</t>
  </si>
  <si>
    <t>3/27/2023</t>
  </si>
  <si>
    <t>3/28/2023</t>
  </si>
  <si>
    <t>3/29/2023</t>
  </si>
  <si>
    <t>DISCOUNT RATES</t>
  </si>
  <si>
    <t>Base Year (for Discounting)</t>
  </si>
  <si>
    <t>year</t>
  </si>
  <si>
    <t>Factor</t>
  </si>
  <si>
    <t>TIME FLAGS</t>
  </si>
  <si>
    <t>EastPort</t>
  </si>
  <si>
    <t>First Year of Construction</t>
  </si>
  <si>
    <t>Analysis Length</t>
  </si>
  <si>
    <t>End Year</t>
  </si>
  <si>
    <t>Start year flag</t>
  </si>
  <si>
    <t>End year flag</t>
  </si>
  <si>
    <t>Forecast period flag</t>
  </si>
  <si>
    <t>First Year of Benefits</t>
  </si>
  <si>
    <t>Combined forecast/benefits period flag</t>
  </si>
  <si>
    <t>SearsPort</t>
  </si>
  <si>
    <t>Table 3.  Energy Prices by Sector and Source</t>
  </si>
  <si>
    <t>https://www.eia.gov/outlooks/aeo/data/browser/#/?id=3-AEO2023&amp;region=1-1&amp;cases=ref2023&amp;start=2021&amp;end=2050&amp;f=A&amp;linechart=ref2023-d020623a.3-3-AEO2023.1-1&amp;map=ref2023-d020623a.4-3-AEO2023.1-1&amp;sourcekey=0</t>
  </si>
  <si>
    <t>Tue Apr 11 2023 09:12:08 GMT+0100 (British Summer Time)</t>
  </si>
  <si>
    <t>Source: U.S. Energy Information Administration</t>
  </si>
  <si>
    <t>full name</t>
  </si>
  <si>
    <t>api key</t>
  </si>
  <si>
    <t>units</t>
  </si>
  <si>
    <t>Growth (2022-2050)</t>
  </si>
  <si>
    <t>Residential</t>
  </si>
  <si>
    <t>Propane</t>
  </si>
  <si>
    <t>Energy Prices: Residential: Propane: Reference case</t>
  </si>
  <si>
    <t>AEO.2023.REF2023.PRCE_REAL_RESD_NA_PROP_NA_NEENGL_Y13DLRPMMBTU.A</t>
  </si>
  <si>
    <t>2022 $/MMBtu</t>
  </si>
  <si>
    <t>Distillate Fuel Oil</t>
  </si>
  <si>
    <t>Energy Prices: Residential: Distillate Fuel Oil: Reference case</t>
  </si>
  <si>
    <t>AEO.2023.REF2023.PRCE_REAL_RESD_NA_DFO_NA_NEENGL_Y13DLRPMMBTU.A</t>
  </si>
  <si>
    <t>Natural Gas</t>
  </si>
  <si>
    <t>Energy Prices: Residential: Natural Gas: Reference case</t>
  </si>
  <si>
    <t>AEO.2023.REF2023.PRCE_REAL_RESD_NA_NG_NA_NEENGL_Y13DLRPMMBTU.A</t>
  </si>
  <si>
    <t>Electricity</t>
  </si>
  <si>
    <t>Energy Prices: Residential: Electricity: Reference case</t>
  </si>
  <si>
    <t>AEO.2023.REF2023.PRCE_REAL_RESD_NA_ELC_NA_NEENGL_Y13DLRPMMBTU.A</t>
  </si>
  <si>
    <t>Commercial</t>
  </si>
  <si>
    <t>Energy Prices: Commercial: Propane: Reference case</t>
  </si>
  <si>
    <t>AEO.2023.REF2023.PRCE_REAL_COMM_NA_PROP_NA_NEENGL_Y13DLRPMMBTU.A</t>
  </si>
  <si>
    <t>Energy Prices: Commercial: Distillate Fuel Oil: Reference case</t>
  </si>
  <si>
    <t>AEO.2023.REF2023.PRCE_REAL_COMM_NA_DFO_NA_NEENGL_Y13DLRPMMBTU.A</t>
  </si>
  <si>
    <t>Residual Fuel Oil</t>
  </si>
  <si>
    <t>Energy Prices: Commercial: Residual Fuel: Reference case</t>
  </si>
  <si>
    <t>AEO.2023.REF2023.PRCE_REAL_COMM_NA_RFL_NA_NEENGL_Y13DLRPMMBTU.A</t>
  </si>
  <si>
    <t>Energy Prices: Commercial: Natural Gas: Reference case</t>
  </si>
  <si>
    <t>AEO.2023.REF2023.PRCE_REAL_COMM_NA_NG_NA_NEENGL_Y13DLRPMMBTU.A</t>
  </si>
  <si>
    <t>Energy Prices: Commercial: Electricity: Reference case</t>
  </si>
  <si>
    <t>AEO.2023.REF2023.PRCE_REAL_COMM_NA_ELC_NA_NEENGL_Y13DLRPMMBTU.A</t>
  </si>
  <si>
    <t>Industrial</t>
  </si>
  <si>
    <t>Energy Prices: Industrial: Propane: Reference case</t>
  </si>
  <si>
    <t>AEO.2023.REF2023.PRCE_REAL_IDAL_NA_PROP_NA_NEENGL_Y13DLRPMMBTU.A</t>
  </si>
  <si>
    <t>Energy Prices: Industrial: Distillate Fuel Oil: Reference case</t>
  </si>
  <si>
    <t>AEO.2023.REF2023.PRCE_REAL_IDAL_NA_DFO_NA_NEENGL_Y13DLRPMMBTU.A</t>
  </si>
  <si>
    <t>Energy Prices: Industrial: Residual Fuel Oil: Reference case</t>
  </si>
  <si>
    <t>AEO.2023.REF2023.PRCE_REAL_IDAL_NA_RFO_NA_NEENGL_Y13DLRPMMBTU.A</t>
  </si>
  <si>
    <t>Energy Prices: Industrial: Natural Gas: Reference case</t>
  </si>
  <si>
    <t>AEO.2023.REF2023.PRCE_REAL_IDAL_NA_NG_NA_NEENGL_Y13DLRPMMBTU.A</t>
  </si>
  <si>
    <t>Metallurgical Coal</t>
  </si>
  <si>
    <t>Energy Prices: Industrial: Metallurgical Coal: Reference case</t>
  </si>
  <si>
    <t>AEO.2023.REF2023.PRCE_REAL_IDAL_NA_MTC_NA_NEENGL_Y13DLRPMMBTU.A</t>
  </si>
  <si>
    <t>- -</t>
  </si>
  <si>
    <t>Other Industrial Coal</t>
  </si>
  <si>
    <t>Energy Prices: Industrial: Other Industrial Coal: Reference case</t>
  </si>
  <si>
    <t>AEO.2023.REF2023.PRCE_REAL_IDAL_NA_OIC_NA_NEENGL_Y13DLRPMMBTU.A</t>
  </si>
  <si>
    <t>Coal to Liquids</t>
  </si>
  <si>
    <t>Energy Prices: Industrial: Coal to Liquids: Reference case</t>
  </si>
  <si>
    <t>AEO.2023.REF2023.PRCE_REAL_IDAL_NA_CLTLQ_NA_NEENGL_Y13DLRPMMBTU.A</t>
  </si>
  <si>
    <t>Energy Prices: Industrial: Electricity: Reference case</t>
  </si>
  <si>
    <t>AEO.2023.REF2023.PRCE_REAL_IDAL_NA_ELC_NA_NEENGL_Y13DLRPMMBTU.A</t>
  </si>
  <si>
    <t>Transportation</t>
  </si>
  <si>
    <t>Energy Prices: Transportation: Propane: Reference case</t>
  </si>
  <si>
    <t>AEO.2023.REF2023.PRCE_REAL_TRN_NA_PROP_NA_NEENGL_Y13DLRPMMBTU.A</t>
  </si>
  <si>
    <t>E85</t>
  </si>
  <si>
    <t>Energy Prices: Transportation: E85: Reference case</t>
  </si>
  <si>
    <t>AEO.2023.REF2023.PRCE_REAL_TRN_NA_E85_NA_NEENGL_Y13DLRPMMBTU.A</t>
  </si>
  <si>
    <t>Motor Gasoline</t>
  </si>
  <si>
    <t>Energy Prices: Transportation: Motor Gasoline: Reference case</t>
  </si>
  <si>
    <t>AEO.2023.REF2023.PRCE_REAL_TRN_NA_MGS_NA_NEENGL_Y13DLRPMMBTU.A</t>
  </si>
  <si>
    <t>Jet Fuel</t>
  </si>
  <si>
    <t>Energy Prices: Transportation: Jet Fuel: Reference case</t>
  </si>
  <si>
    <t>AEO.2023.REF2023.PRCE_REAL_TRN_NA_JFL_NA_NEENGL_Y13DLRPMMBTU.A</t>
  </si>
  <si>
    <t>Diesel Fuel (distillate fuel oil)</t>
  </si>
  <si>
    <t>Energy Prices: Transportation: Diesel Fuel: Reference case</t>
  </si>
  <si>
    <t>AEO.2023.REF2023.PRCE_REAL_TRN_NA_DFU_NA_NEENGL_Y13DLRPMMBTU.A</t>
  </si>
  <si>
    <t>Energy Prices: Transportation: Residual Fuel Oil: Reference case</t>
  </si>
  <si>
    <t>AEO.2023.REF2023.PRCE_REAL_TRN_NA_RFO_NA_NEENGL_Y13DLRPMMBTU.A</t>
  </si>
  <si>
    <t>Energy Prices: Transportation: Natural Gas: Reference case</t>
  </si>
  <si>
    <t>AEO.2023.REF2023.PRCE_REAL_TRN_NA_NG_NA_NEENGL_Y13DLRPMMBTU.A</t>
  </si>
  <si>
    <t>Energy Prices: Transportation: Electricity: Reference case</t>
  </si>
  <si>
    <t>AEO.2023.REF2023.PRCE_REAL_TRN_NA_ELC_NA_NEENGL_Y13DLRPMMBTU.A</t>
  </si>
  <si>
    <t>Electric Power</t>
  </si>
  <si>
    <t>Energy Prices: Electric Power: Distillate Fuel Oil: Reference case</t>
  </si>
  <si>
    <t>AEO.2023.REF2023.PRCE_REAL_ELEP_NA_DFO_NA_NEENGL_Y13DLRPMMBTU.A</t>
  </si>
  <si>
    <t>Energy Prices: Electric Power: Residual Fuel Oil: Reference case</t>
  </si>
  <si>
    <t>AEO.2023.REF2023.PRCE_REAL_ELEP_NA_RFO_NA_NEENGL_Y13DLRPMMBTU.A</t>
  </si>
  <si>
    <t>Energy Prices: Electric Power: Natural Gas: Reference case</t>
  </si>
  <si>
    <t>AEO.2023.REF2023.PRCE_REAL_ELEP_NA_NG_NA_NEENGL_Y13DLRPMMBTU.A</t>
  </si>
  <si>
    <t>Steam Coal</t>
  </si>
  <si>
    <t>Energy Prices: Electric Power: Steam Coal: Reference case</t>
  </si>
  <si>
    <t>AEO.2023.REF2023.PRCE_REAL_ELEP_NA_STC_NA_NEENGL_Y13DLRPMMBTU.A</t>
  </si>
  <si>
    <t>Uranium</t>
  </si>
  <si>
    <t>Energy Prices: Electric Power: Uranium: Reference case</t>
  </si>
  <si>
    <t>AEO.2023.REF2023.PRCE_REAL_ELEP_NA_U_NA_NEENGL_Y13DLRPMMBTU.A</t>
  </si>
  <si>
    <t>Average Price to All Users</t>
  </si>
  <si>
    <t>Energy Prices: Average Price to All Users: Propane: Reference case</t>
  </si>
  <si>
    <t>AEO.2023.REF2023.PRCE_REAL_TEN_NA_PROP_NA_NEENGL_Y13DLRPMMBTU.A</t>
  </si>
  <si>
    <t>Energy Prices: Average Price to All Users: E85: Reference case</t>
  </si>
  <si>
    <t>AEO.2023.REF2023.PRCE_REAL_TEN_NA_E85_NA_NEENGL_Y13DLRPMMBTU.A</t>
  </si>
  <si>
    <t>Energy Prices: Average Price to All Users: Motor Gasoline: Reference case</t>
  </si>
  <si>
    <t>AEO.2023.REF2023.PRCE_REAL_TEN_NA_MGS_NA_NEENGL_Y13DLRPMMBTU.A</t>
  </si>
  <si>
    <t>Energy Prices: Average Price to All Users: Jet Fuel: Reference case</t>
  </si>
  <si>
    <t>AEO.2023.REF2023.PRCE_REAL_TEN_NA_JFL_NA_NEENGL_Y13DLRPMMBTU.A</t>
  </si>
  <si>
    <t>Energy Prices: Average Price to All Users: Distillate Fuel Oil: Reference case</t>
  </si>
  <si>
    <t>AEO.2023.REF2023.PRCE_REAL_TEN_NA_DFO_NA_NEENGL_Y13DLRPMMBTU.A</t>
  </si>
  <si>
    <t>Energy Prices: Average Price to All Users: Residual Fuel Oil: Reference case</t>
  </si>
  <si>
    <t>AEO.2023.REF2023.PRCE_REAL_TEN_NA_RFO_NA_NEENGL_Y13DLRPMMBTU.A</t>
  </si>
  <si>
    <t>Energy Prices: Average Price to All Users: Natural Gas: Reference case</t>
  </si>
  <si>
    <t>AEO.2023.REF2023.PRCE_REAL_TEN_NA_NG_NA_NEENGL_Y13DLRPMMBTU.A</t>
  </si>
  <si>
    <t>Energy Prices: Average Price to All Users: Metallurgical Coal: Reference case</t>
  </si>
  <si>
    <t>AEO.2023.REF2023.PRCE_REAL_TEN_NA_MTC_NA_NEENGL_Y13DLRPMMBTU.A</t>
  </si>
  <si>
    <t>Other Coal</t>
  </si>
  <si>
    <t>Energy Prices: Average Price to All Users: Other Coal: Reference case</t>
  </si>
  <si>
    <t>AEO.2023.REF2023.PRCE_REAL_TEN_NA_OCA_NA_NEENGL_Y13DLRPMMBTU.A</t>
  </si>
  <si>
    <t>Energy Prices: Average Price to All Users: Coal to Liquids: Reference case</t>
  </si>
  <si>
    <t>AEO.2023.REF2023.PRCE_REAL_TEN_NA_CLTLQ_NA_NEENGL_Y13DLRPMMBTU.A</t>
  </si>
  <si>
    <t>Energy Prices: Average Price to All Users: Electricity: Reference case</t>
  </si>
  <si>
    <t>AEO.2023.REF2023.PRCE_REAL_TEN_NA_ELC_NA_NEENGL_Y13DLRPMMBTU.A</t>
  </si>
  <si>
    <t>Non-Renewable Energy Expenditures by Sector</t>
  </si>
  <si>
    <t>(billion 2022 dollars)</t>
  </si>
  <si>
    <t>Energy Expenditures: Non-Renewable Residential: Reference case</t>
  </si>
  <si>
    <t>AEO.2023.REF2023.EXPD_REAL_RESD_NA_NRN_NA_NEENGL_BLNY13DLR.A</t>
  </si>
  <si>
    <t>billion 2022 $</t>
  </si>
  <si>
    <t>Energy Expenditures: Non-Renewable Commercial: Reference case</t>
  </si>
  <si>
    <t>AEO.2023.REF2023.EXPD_REAL_COMM_NA_NRN_NA_NEENGL_BLNY13DLR.A</t>
  </si>
  <si>
    <t>Energy Expenditures: Non-Renewable Industrial: Reference case</t>
  </si>
  <si>
    <t>AEO.2023.REF2023.EXPD_REAL_IDAL_NA_NRN_NA_NEENGL_BLNY13DLR.A</t>
  </si>
  <si>
    <t>Energy Expenditures: Non-Renewable Transportation: Reference case</t>
  </si>
  <si>
    <t>AEO.2023.REF2023.EXPD_REAL_TRN_NA_NRN_NA_NEENGL_BLNY13DLR.A</t>
  </si>
  <si>
    <t>Total Non-Renewable Expenditures</t>
  </si>
  <si>
    <t>Energy Expenditures: Total Non-Renewable: Reference case</t>
  </si>
  <si>
    <t>AEO.2023.REF2023.EXPD_REAL_TEN_NA_NRN_NA_NEENGL_BLNY13DLR.A</t>
  </si>
  <si>
    <t>Transportation Renewable Expenditures</t>
  </si>
  <si>
    <t>Energy Expenditures: Renewable Transportation: Reference case</t>
  </si>
  <si>
    <t>AEO.2023.REF2023.EXPD_REAL_TRN_NA_RNW_NA_NEENGL_BLNY13DLR.A</t>
  </si>
  <si>
    <t>Total Expenditures</t>
  </si>
  <si>
    <t>Energy Expenditures: Reference case</t>
  </si>
  <si>
    <t>AEO.2023.REF2023.EXPD_REAL_TEN_NA_NA_NA_NEENGL_BLNY13DLR.A</t>
  </si>
  <si>
    <t>Prices in Nominal Dollars</t>
  </si>
  <si>
    <t>Energy Prices: Nominal: Residential: Propane: Reference case</t>
  </si>
  <si>
    <t>AEO.2023.REF2023.PRCE_NOM_RESD_NA_PROP_NA_NEENGL_NDLRPMBTU.A</t>
  </si>
  <si>
    <t>nom $/MMBtu</t>
  </si>
  <si>
    <t>Energy Prices: Nominal: Residential: Distillate Fuel Oil: Reference case</t>
  </si>
  <si>
    <t>AEO.2023.REF2023.PRCE_NOM_RESD_NA_DFO_NA_NEENGL_NDLRPMBTU.A</t>
  </si>
  <si>
    <t>Energy Prices: Nominal: Residential: Natural Gas: Reference case</t>
  </si>
  <si>
    <t>AEO.2023.REF2023.PRCE_NOM_RESD_NA_NG_NA_NEENGL_NDLRPMBTU.A</t>
  </si>
  <si>
    <t>Energy Prices: Nominal: Residential: Electricity: Reference case</t>
  </si>
  <si>
    <t>AEO.2023.REF2023.PRCE_NOM_RESD_NA_ELC_NA_NEENGL_NDLRPMBTU.A</t>
  </si>
  <si>
    <t>Energy Prices: Nominal: Commercial: Propane: Reference case</t>
  </si>
  <si>
    <t>AEO.2023.REF2023.PRCE_NOM_COMM_NA_PROP_NA_NEENGL_NDLRPMBTU.A</t>
  </si>
  <si>
    <t>Energy Prices: Nominal: Commercial: Distillate Fuel Oil: Reference case</t>
  </si>
  <si>
    <t>AEO.2023.REF2023.PRCE_NOM_COMM_NA_DFO_NA_NEENGL_NDLRPMBTU.A</t>
  </si>
  <si>
    <t>Energy Prices: Nominal: Commercial: Residual Fuel: Reference case</t>
  </si>
  <si>
    <t>AEO.2023.REF2023.PRCE_NOM_COMM_NA_RFL_NA_NEENGL_NDLRPMBTU.A</t>
  </si>
  <si>
    <t>Energy Prices: Nominal: Commercial: Natural Gas: Reference case</t>
  </si>
  <si>
    <t>AEO.2023.REF2023.PRCE_NOM_COMM_NA_NG_NA_NEENGL_NDLRPMBTU.A</t>
  </si>
  <si>
    <t>Energy Prices: Nominal: Commercial: Electricity: Reference case</t>
  </si>
  <si>
    <t>AEO.2023.REF2023.PRCE_NOM_COMM_NA_ELC_NA_NEENGL_NDLRPMBTU.A</t>
  </si>
  <si>
    <t>Energy Prices: Nominal: Industrial: Propane: Reference case</t>
  </si>
  <si>
    <t>AEO.2023.REF2023.PRCE_NOM_IDAL_NA_PROP_NA_NEENGL_NDLRPMBTU.A</t>
  </si>
  <si>
    <t>Energy Prices: Nominal: Industrial: Distillate Fuel Oil: Reference case</t>
  </si>
  <si>
    <t>AEO.2023.REF2023.PRCE_NOM_IDAL_NA_DFO_NA_NEENGL_NDLRPMBTU.A</t>
  </si>
  <si>
    <t>Energy Prices: Nominal: Industrial: Residual Fuel Oil: Reference case</t>
  </si>
  <si>
    <t>AEO.2023.REF2023.PRCE_NOM_IDAL_NA_RFO_NA_NEENGL_NDLRPMBTU.A</t>
  </si>
  <si>
    <t>Energy Prices: Nominal: Industrial: Natural Gas: Reference case</t>
  </si>
  <si>
    <t>AEO.2023.REF2023.PRCE_NOM_IDAL_NA_NG_NA_NEENGL_NDLRPMBTU.A</t>
  </si>
  <si>
    <t>Energy Prices: Nominal: Industrial: Metallurgical Coal: Reference case</t>
  </si>
  <si>
    <t>AEO.2023.REF2023.PRCE_NOM_IDAL_NA_MTC_NA_NEENGL_NDLRPMBTU.A</t>
  </si>
  <si>
    <t>Energy Prices: Nominal: Industrial: Other Industrial Coal: Reference case</t>
  </si>
  <si>
    <t>AEO.2023.REF2023.PRCE_NOM_IDAL_NA_OIC_NA_NEENGL_NDLRPMBTU.A</t>
  </si>
  <si>
    <t>Energy Prices: Nominal: Industrial: Coal to Liquids: Reference case</t>
  </si>
  <si>
    <t>AEO.2023.REF2023.PRCE_NOM_IDAL_NA_CLTLQ_NA_NEENGL_NDLRPMBTU.A</t>
  </si>
  <si>
    <t>Energy Prices: Nominal: Industrial: Electricity: Reference case</t>
  </si>
  <si>
    <t>AEO.2023.REF2023.PRCE_NOM_IDAL_NA_ELC_NA_NEENGL_NDLRPMBTU.A</t>
  </si>
  <si>
    <t>Energy Prices: Nominal: Transportation: Propane: Reference case</t>
  </si>
  <si>
    <t>AEO.2023.REF2023.PRCE_NOM_TRN_NA_PROP_NA_NEENGL_NDLRPMBTU.A</t>
  </si>
  <si>
    <t>Energy Prices: Nominal: Transportation: E85: Reference case</t>
  </si>
  <si>
    <t>AEO.2023.REF2023.PRCE_NOM_TRN_NA_E85_NA_NEENGL_NDLRPMBTU.A</t>
  </si>
  <si>
    <t>Energy Prices: Nominal: Transportation: Motor Gasoline: Reference case</t>
  </si>
  <si>
    <t>AEO.2023.REF2023.PRCE_NOM_TRN_NA_MGS_NA_NEENGL_NDLRPMBTU.A</t>
  </si>
  <si>
    <t>Energy Prices: Nominal: Transportation: Jet Fuel: Reference case</t>
  </si>
  <si>
    <t>AEO.2023.REF2023.PRCE_NOM_TRN_NA_JFL_NA_NEENGL_NDLRPMBTU.A</t>
  </si>
  <si>
    <t>Energy Prices: Nominal: Transportation: Diesel Fuel: Reference case</t>
  </si>
  <si>
    <t>AEO.2023.REF2023.PRCE_NOM_TRN_NA_DFU_NA_NEENGL_NDLRPMBTU.A</t>
  </si>
  <si>
    <t>Energy Prices: Nominal: Transportation: Residual Fuel Oil: Reference case</t>
  </si>
  <si>
    <t>AEO.2023.REF2023.PRCE_NOM_TRN_NA_RFO_NA_NEENGL_NDLRPMBTU.A</t>
  </si>
  <si>
    <t>Energy Prices: Nominal: Transportation: Natural Gas: Reference case</t>
  </si>
  <si>
    <t>AEO.2023.REF2023.PRCE_NOM_TRN_NA_NG_NA_NEENGL_NDLRPMBTU.A</t>
  </si>
  <si>
    <t>Energy Prices: Nominal: Transportation: Electricity: Reference case</t>
  </si>
  <si>
    <t>AEO.2023.REF2023.PRCE_NOM_TRN_NA_ELC_NA_NEENGL_NDLRPMBTU.A</t>
  </si>
  <si>
    <t>Energy Prices: Nominal: Electric Power: Distillate Fuel Oil: Reference case</t>
  </si>
  <si>
    <t>AEO.2023.REF2023.PRCE_NOM_ELEP_NA_DFO_NA_NEENGL_NDLRPMBTU.A</t>
  </si>
  <si>
    <t>Energy Prices: Nominal: Electric Power: Residual Fuel Oil: Reference case</t>
  </si>
  <si>
    <t>AEO.2023.REF2023.PRCE_NOM_ELEP_NA_RFO_NA_NEENGL_NDLRPMBTU.A</t>
  </si>
  <si>
    <t>Energy Prices: Nominal: Electric Power: Natural Gas: Reference case</t>
  </si>
  <si>
    <t>AEO.2023.REF2023.PRCE_NOM_ELEP_NA_NG_NA_NEENGL_NDLRPMBTU.A</t>
  </si>
  <si>
    <t>Energy Prices: Nominal: Electric Power: Steam Coal: Reference case</t>
  </si>
  <si>
    <t>AEO.2023.REF2023.PRCE_NOM_ELEP_NA_STC_NA_NEENGL_NDLRPMBTU.A</t>
  </si>
  <si>
    <t>Energy Prices: Nominal: Electric Power: Uranium: Reference case</t>
  </si>
  <si>
    <t>AEO.2023.REF2023.PRCE_NOM_ELEP_NA_U_NA_NEENGL_NDLRPMBTU.A</t>
  </si>
  <si>
    <t>Energy Prices: Nominal: Average Price to All Users: Propane: Reference case</t>
  </si>
  <si>
    <t>AEO.2023.REF2023.PRCE_NOM_TEN_NA_PROP_NA_NEENGL_NDLRPMBTU.A</t>
  </si>
  <si>
    <t>Energy Prices: Nominal: Average Price to All Users: E85: Reference case</t>
  </si>
  <si>
    <t>AEO.2023.REF2023.PRCE_NOM_TEN_NA_E85_NA_NEENGL_NDLRPMBTU.A</t>
  </si>
  <si>
    <t>Energy Prices: Nominal: Average Price to All Users: Motor Gasoline: Reference case</t>
  </si>
  <si>
    <t>AEO.2023.REF2023.PRCE_NOM_TEN_NA_MGS_NA_NEENGL_NDLRPMBTU.A</t>
  </si>
  <si>
    <t>Energy Prices: Nominal: Average Price to All Users: Jet Fuel: Reference case</t>
  </si>
  <si>
    <t>AEO.2023.REF2023.PRCE_NOM_TEN_NA_JFL_NA_NEENGL_NDLRPMBTU.A</t>
  </si>
  <si>
    <t>Energy Prices: Nominal: Average Price to All Users: Distillate Fuel Oil: Reference case</t>
  </si>
  <si>
    <t>AEO.2023.REF2023.PRCE_NOM_TEN_NA_DFO_NA_NEENGL_NDLRPMBTU.A</t>
  </si>
  <si>
    <t>Energy Prices: Nominal: Average Price to All Users: Residual Fuel Oil: Reference case</t>
  </si>
  <si>
    <t>AEO.2023.REF2023.PRCE_NOM_TEN_NA_RFO_NA_NEENGL_NDLRPMBTU.A</t>
  </si>
  <si>
    <t>Energy Prices: Nominal: Average Price to All Users: Natural Gas: Reference case</t>
  </si>
  <si>
    <t>AEO.2023.REF2023.PRCE_NOM_TEN_NA_NG_NA_NEENGL_NDLRPMBTU.A</t>
  </si>
  <si>
    <t>Energy Prices: Nominal: Average Price to All Users: Metallurgical Coal: Reference case</t>
  </si>
  <si>
    <t>AEO.2023.REF2023.PRCE_NOM_TEN_NA_MTC_NA_NEENGL_NDLRPMBTU.A</t>
  </si>
  <si>
    <t>Energy Prices: Nominal: Average Price to All Users: Other Coal: Reference case</t>
  </si>
  <si>
    <t>AEO.2023.REF2023.PRCE_NOM_TEN_NA_OCA_NA_NEENGL_NDLRPMBTU.A</t>
  </si>
  <si>
    <t>Energy Prices: Nominal: Average Price to All Users: Coal to Liquids: Reference case</t>
  </si>
  <si>
    <t>AEO.2023.REF2023.PRCE_NOM_TEN_NA_CLTLQ_NA_NEENGL_NDLRPMBTU.A</t>
  </si>
  <si>
    <t>Energy Prices: Nominal: Average Price to All Users: Electricity: Reference case</t>
  </si>
  <si>
    <t>AEO.2023.REF2023.PRCE_NOM_TEN_NA_ELC_NA_NEENGL_NDLRPMBTU.A</t>
  </si>
  <si>
    <t>(billion nominal dollars)</t>
  </si>
  <si>
    <t>Energy Expenditures: Nominal: Non-Renewable Residential: Reference case</t>
  </si>
  <si>
    <t>AEO.2023.REF2023.EXPD_NOM_RESD_NA_NRN_NA_NEENGL_BLNNOMDLR.A</t>
  </si>
  <si>
    <t>billion nom $</t>
  </si>
  <si>
    <t>Energy Expenditures: Nominal: Non-Renewable Commercial: Reference case</t>
  </si>
  <si>
    <t>AEO.2023.REF2023.EXPD_NOM_COMM_NA_NRN_NA_NEENGL_BLNNOMDLR.A</t>
  </si>
  <si>
    <t>Energy Expenditures: Nominal: Non-Renewable Industrial: Reference case</t>
  </si>
  <si>
    <t>AEO.2023.REF2023.EXPD_NOM_IDAL_NA_NRN_NA_NEENGL_BLNNOMDLR.A</t>
  </si>
  <si>
    <t>Energy Expenditures: Nominal: Non-Renewable Transportation: Reference case</t>
  </si>
  <si>
    <t>AEO.2023.REF2023.EXPD_NOM_TRN_NA_NRN_NA_NEENGL_BLNNOMDLR.A</t>
  </si>
  <si>
    <t>Energy Expenditures: Nominal: Total Non-Renewable: Reference case</t>
  </si>
  <si>
    <t>AEO.2023.REF2023.EXPD_NOM_TEN_NA_NRN_NA_NEENGL_BLNNOMDLR.A</t>
  </si>
  <si>
    <t>Energy Expenditures: Nominal: Renewable Transportation: Reference case</t>
  </si>
  <si>
    <t>AEO.2023.REF2023.EXPD_NOM_TRN_NA_RNW_NA_NEENGL_BLNNOMDLR.A</t>
  </si>
  <si>
    <t>Energy Expenditures: Nominal: Reference case</t>
  </si>
  <si>
    <t>AEO.2023.REF2023.EXPD_NOM_TEN_NA_NA_NA_NEENGL_BLNNOMDLR.A</t>
  </si>
  <si>
    <t>ref2023.d020623a</t>
  </si>
  <si>
    <t>Report</t>
  </si>
  <si>
    <t>Annual Energy Outlook 2023</t>
  </si>
  <si>
    <t>Scenario</t>
  </si>
  <si>
    <t>ref2023</t>
  </si>
  <si>
    <t>Reference</t>
  </si>
  <si>
    <t>Datekey</t>
  </si>
  <si>
    <t>d020623a</t>
  </si>
  <si>
    <t>Release Date</t>
  </si>
  <si>
    <t xml:space="preserve"> March 2023</t>
  </si>
  <si>
    <t>PPP000</t>
  </si>
  <si>
    <t>12. Petroleum and Other Liquids Prices</t>
  </si>
  <si>
    <t>Average</t>
  </si>
  <si>
    <t>(2022 dollars per gallon, unless otherwise noted)</t>
  </si>
  <si>
    <t>Annual</t>
  </si>
  <si>
    <t>Change</t>
  </si>
  <si>
    <t xml:space="preserve"> Sector and Fuel</t>
  </si>
  <si>
    <t>2022–2050</t>
  </si>
  <si>
    <t>Crude Oil Prices (2022 dollars per barrel)</t>
  </si>
  <si>
    <t>PPP000:ba_WorldOilPrice</t>
  </si>
  <si>
    <t xml:space="preserve">   Brent Spot</t>
  </si>
  <si>
    <t>PPP000:bb_ForeignLSLigh</t>
  </si>
  <si>
    <t xml:space="preserve">   West Texas Intermediate Spot</t>
  </si>
  <si>
    <t>PPP000:bb_Imported_Real</t>
  </si>
  <si>
    <t xml:space="preserve">   Average Imported Cost 1/</t>
  </si>
  <si>
    <t>PPP000:see_spot_markup</t>
  </si>
  <si>
    <t xml:space="preserve">   Brent / West Texas Intermediate Spread</t>
  </si>
  <si>
    <t xml:space="preserve"> Delivered Sector Product Prices</t>
  </si>
  <si>
    <t xml:space="preserve"> Residential</t>
  </si>
  <si>
    <t>PPP000:da_LiquefiedPetr</t>
  </si>
  <si>
    <t xml:space="preserve">   Propane</t>
  </si>
  <si>
    <t>PPP000:da_DistillateFue</t>
  </si>
  <si>
    <t xml:space="preserve">   Distillate Fuel Oil</t>
  </si>
  <si>
    <t xml:space="preserve"> Commercial</t>
  </si>
  <si>
    <t>PPP000:ea_DistillateFue</t>
  </si>
  <si>
    <t>PPP000:ea_ResidualFuel</t>
  </si>
  <si>
    <t xml:space="preserve">   Residual Fuel Oil</t>
  </si>
  <si>
    <t>PPP000:ea_ResidualFuel(</t>
  </si>
  <si>
    <t xml:space="preserve">   Residual Fuel Oil (2022 dollars per barrel)</t>
  </si>
  <si>
    <t xml:space="preserve"> Industrial 2/</t>
  </si>
  <si>
    <t>PPP000:fa_LiquefiedPetr</t>
  </si>
  <si>
    <t>PPP000:fa_DistillateFue</t>
  </si>
  <si>
    <t>PPP000:fa_ResidualFuel</t>
  </si>
  <si>
    <t>PPP000:fa_ResidualFuel(</t>
  </si>
  <si>
    <t xml:space="preserve"> Transportation</t>
  </si>
  <si>
    <t>PPP000:ga_LiquefiedPetr</t>
  </si>
  <si>
    <t>PPP000:ga_Ethanol(E85)</t>
  </si>
  <si>
    <t xml:space="preserve">   E85 3/</t>
  </si>
  <si>
    <t>PPP000:pr_EthanolWhole</t>
  </si>
  <si>
    <t xml:space="preserve">   Ethanol Wholesale Price</t>
  </si>
  <si>
    <t>PPP000:ga_MotorGasoline</t>
  </si>
  <si>
    <t xml:space="preserve">   Motor Gasoline 4/</t>
  </si>
  <si>
    <t>PPP000:ga_JetFuel</t>
  </si>
  <si>
    <t xml:space="preserve">   Jet Fuel 5/</t>
  </si>
  <si>
    <t>PPP000:ga_DieselFuel(Di</t>
  </si>
  <si>
    <t xml:space="preserve">   Diesel Fuel (distillate fuel oil) 6/</t>
  </si>
  <si>
    <t>PPP000:ga_ResidualFuel</t>
  </si>
  <si>
    <t>PPP000:ga_ResidualFuel(</t>
  </si>
  <si>
    <t xml:space="preserve"> Electric Power 7/</t>
  </si>
  <si>
    <t>PPP000:ha_DistillateFue</t>
  </si>
  <si>
    <t>PPP000:ha_ResidualFuel</t>
  </si>
  <si>
    <t>PPP000:ha_ResidualFuel(</t>
  </si>
  <si>
    <t>Average Prices, All Sectors 8/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</si>
  <si>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</si>
  <si>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</si>
  <si>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</si>
  <si>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</si>
  <si>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</si>
  <si>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</si>
  <si>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</si>
  <si>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 xml:space="preserve">     Average</t>
  </si>
  <si>
    <t>Crude Oil Spot Prices (nominal dollars per barrel)</t>
  </si>
  <si>
    <t>PPP000:nom_WorldOilPric</t>
  </si>
  <si>
    <t>PPP000:nom_ForeignLSLig</t>
  </si>
  <si>
    <t>PPP000:nom_Imported_Rea</t>
  </si>
  <si>
    <t>Delivered Sector Product Prices</t>
  </si>
  <si>
    <t>Nominal Dollars per Gallon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</si>
  <si>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</si>
  <si>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</si>
  <si>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</si>
  <si>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</si>
  <si>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</si>
  <si>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</si>
  <si>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</si>
  <si>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</si>
  <si>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</si>
  <si>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</si>
  <si>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</si>
  <si>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</si>
  <si>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</si>
  <si>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</si>
  <si>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</si>
  <si>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</si>
  <si>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 xml:space="preserve"> Average Prices, All Sectors 8/</t>
  </si>
  <si>
    <t>PPP000:nom_Avg_Liquefie</t>
  </si>
  <si>
    <t>PPP000:nom_Avg_MotorGas</t>
  </si>
  <si>
    <t>PPP000:nom_Avg_JetFuel</t>
  </si>
  <si>
    <t>PPP000:nom_Avg_Distilla</t>
  </si>
  <si>
    <t>PPP000:nom_Avg_Residual</t>
  </si>
  <si>
    <t xml:space="preserve">   Residual Fuel Oil (dollars per barrel)</t>
  </si>
  <si>
    <t>PPP000:nom_Avg_Average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</si>
  <si>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</si>
  <si>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</si>
  <si>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</si>
  <si>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</si>
  <si>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4/ Sales weighted-average price for all grades.  Includes Federal, State, and local taxes.</t>
  </si>
  <si>
    <t>5/ Includes only kerosene type.</t>
  </si>
  <si>
    <t>6/ Diesel fuel for on-road use. 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</si>
  <si>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</si>
  <si>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</si>
  <si>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Data source: 2022:  U.S. Energy Information Administration (EIA), Short-Term Energy Outlook, November 2022 and EIA, AEO2023</t>
  </si>
  <si>
    <t>Projections:  EIA, AEO2023 National Energy Modeling System run ref2023.d020623a.</t>
  </si>
  <si>
    <t xml:space="preserve">ctrs </t>
  </si>
  <si>
    <t xml:space="preserve">Reefers </t>
  </si>
  <si>
    <t xml:space="preserve">O'all Vol </t>
  </si>
  <si>
    <t>Rfr avg</t>
  </si>
  <si>
    <t xml:space="preserve">Export </t>
  </si>
  <si>
    <t xml:space="preserve">Import </t>
  </si>
  <si>
    <t>Average Dwell Time</t>
  </si>
  <si>
    <t>Yearly growth assumptiuon from 2024</t>
  </si>
  <si>
    <t>4/7/22 to 4/7/23</t>
  </si>
  <si>
    <t xml:space="preserve">% of reefer traffic </t>
  </si>
  <si>
    <t>8.33 days</t>
  </si>
  <si>
    <t>Export %</t>
  </si>
  <si>
    <t>6.02 days</t>
  </si>
  <si>
    <t xml:space="preserve">Import % </t>
  </si>
  <si>
    <t xml:space="preserve">TEU Ratio </t>
  </si>
  <si>
    <t xml:space="preserve">Export Days </t>
  </si>
  <si>
    <t xml:space="preserve">Import Days </t>
  </si>
  <si>
    <t xml:space="preserve">total </t>
  </si>
  <si>
    <t>Rfr supply</t>
  </si>
  <si>
    <t xml:space="preserve">Average utilisation </t>
  </si>
  <si>
    <t>Portland Reefer capacity Version 1 Avg</t>
  </si>
  <si>
    <t xml:space="preserve">No X Capacity </t>
  </si>
  <si>
    <t>Year</t>
  </si>
  <si>
    <t>Days Available</t>
  </si>
  <si>
    <t>TEU Ratio</t>
  </si>
  <si>
    <t>Tship</t>
  </si>
  <si>
    <t xml:space="preserve">Total Containers </t>
  </si>
  <si>
    <t xml:space="preserve">Total TEU </t>
  </si>
  <si>
    <t>Export Dwell Time</t>
  </si>
  <si>
    <t>Tship Dwell Time</t>
  </si>
  <si>
    <t>Full Import Dwell Time</t>
  </si>
  <si>
    <t>Full Export Dwell Time</t>
  </si>
  <si>
    <t>Capacity Yard (Daily)</t>
  </si>
  <si>
    <t>Capacity Empty (Daily)</t>
  </si>
  <si>
    <t>Long Stay Boxes (Daily)</t>
  </si>
  <si>
    <t>Usable Yard</t>
  </si>
  <si>
    <t>Total Capacity</t>
  </si>
  <si>
    <t>Import Days</t>
  </si>
  <si>
    <t>Export Days</t>
  </si>
  <si>
    <t>Tship Days</t>
  </si>
  <si>
    <t>(Full Import Days)</t>
  </si>
  <si>
    <t>(Full Export Days)</t>
  </si>
  <si>
    <t>Overall dwell period</t>
  </si>
  <si>
    <t>Empty % Full Allowed</t>
  </si>
  <si>
    <t>Density of Empty</t>
  </si>
  <si>
    <t>Density of Yard</t>
  </si>
  <si>
    <t>Empties in Yard</t>
  </si>
  <si>
    <t>Empties in the RTG lines per day (AVG)</t>
  </si>
  <si>
    <t>Full Import % (of total Full)</t>
  </si>
  <si>
    <t>Full Import Density Reqd</t>
  </si>
  <si>
    <t>Full Export Density Reqd</t>
  </si>
  <si>
    <t>Export Density Reqd</t>
  </si>
  <si>
    <t>Tship Density Reqd</t>
  </si>
  <si>
    <t>Full Import Capacity Reqd</t>
  </si>
  <si>
    <t>Full Export Capacity Reqd</t>
  </si>
  <si>
    <t>Tship Capacity Reqd</t>
  </si>
  <si>
    <t>% of Park Allocated</t>
  </si>
  <si>
    <t>Spare Capacity</t>
  </si>
  <si>
    <t>Total Park Density</t>
  </si>
  <si>
    <t xml:space="preserve">Capacity   </t>
  </si>
  <si>
    <t>Actual demand</t>
  </si>
  <si>
    <t xml:space="preserve">Variance TEU slots </t>
  </si>
  <si>
    <t>Throughput (TEU)</t>
  </si>
  <si>
    <t>Current Yard Capacity</t>
  </si>
  <si>
    <t>Capacity Req</t>
  </si>
  <si>
    <t>Capacity</t>
  </si>
  <si>
    <t>Container Risk (Annualised)</t>
  </si>
  <si>
    <t>capacity</t>
  </si>
  <si>
    <t>demans</t>
  </si>
  <si>
    <t xml:space="preserve">variance TEU dwell days </t>
  </si>
  <si>
    <t xml:space="preserve">TEU </t>
  </si>
  <si>
    <t xml:space="preserve">CTRS </t>
  </si>
  <si>
    <t>@ $100 per ctr</t>
  </si>
  <si>
    <t>Current Reefer Plug Utilization</t>
  </si>
  <si>
    <t>100%. We currently have 150 plugs on site, and utilize all of them. The "reefers on site" tab shows the fluctuation through vessel loads from 4/1/22 to 3/29/23</t>
  </si>
  <si>
    <t xml:space="preserve">420 slots </t>
  </si>
  <si>
    <t xml:space="preserve">25 years </t>
  </si>
  <si>
    <t>Source :</t>
  </si>
  <si>
    <t>Daily Operating Expenses for Containerships per TEU | The Geography of Transport Systems (transportgeography.org)</t>
  </si>
  <si>
    <t>TEU vessel</t>
  </si>
  <si>
    <t xml:space="preserve">3000 TEU vsl chosen as Portland is small port servicng coastal feeders and short sea services </t>
  </si>
  <si>
    <t xml:space="preserve">Utilisation </t>
  </si>
  <si>
    <t xml:space="preserve">TEU vessel filled </t>
  </si>
  <si>
    <t xml:space="preserve">Operating cost per day per TEU </t>
  </si>
  <si>
    <t xml:space="preserve">Per days </t>
  </si>
  <si>
    <t xml:space="preserve">per hour </t>
  </si>
  <si>
    <t xml:space="preserve">364 Days per year </t>
  </si>
  <si>
    <t xml:space="preserve">days deviation to Boston Days </t>
  </si>
  <si>
    <t xml:space="preserve">Cost for deviation  </t>
  </si>
  <si>
    <t>These estimates includes labour, fuel and THCs at the Port - so we've assumed 70% of the costs are relevant - the other costs are already taken regardless of the change of Port</t>
  </si>
  <si>
    <t xml:space="preserve">Discount </t>
  </si>
  <si>
    <t>Per day</t>
  </si>
  <si>
    <t xml:space="preserve">Hrs deviation </t>
  </si>
  <si>
    <t xml:space="preserve">cost per annum </t>
  </si>
  <si>
    <t>tps://www.energy.gov/eere/us-department-energys-strategy-advance-offshore-wind-energy-united-states</t>
  </si>
  <si>
    <t>Vessel deviation</t>
  </si>
  <si>
    <t xml:space="preserve">50 T PER DAY </t>
  </si>
  <si>
    <t>Road (Per ctr)</t>
  </si>
  <si>
    <t xml:space="preserve">50 mph </t>
  </si>
  <si>
    <t>One way</t>
  </si>
  <si>
    <t xml:space="preserve">KM </t>
  </si>
  <si>
    <t>NM</t>
  </si>
  <si>
    <t>Speed KTS</t>
  </si>
  <si>
    <t xml:space="preserve">Hrs </t>
  </si>
  <si>
    <t xml:space="preserve">Fuel Tons </t>
  </si>
  <si>
    <t xml:space="preserve">miles </t>
  </si>
  <si>
    <t>km</t>
  </si>
  <si>
    <t xml:space="preserve">speed kmph </t>
  </si>
  <si>
    <t xml:space="preserve">Time HRS </t>
  </si>
  <si>
    <t xml:space="preserve">Fuel 8ltrs per hr </t>
  </si>
  <si>
    <t>Portland Halifax</t>
  </si>
  <si>
    <t xml:space="preserve">Halifax &gt; Portland </t>
  </si>
  <si>
    <t xml:space="preserve">Portland Boston </t>
  </si>
  <si>
    <t>Boston &gt; Portland</t>
  </si>
  <si>
    <t>Round trip</t>
  </si>
  <si>
    <t xml:space="preserve">risk 2025 shortfall </t>
  </si>
  <si>
    <t xml:space="preserve">Calls per year </t>
  </si>
  <si>
    <t>Avg 1 per week</t>
  </si>
  <si>
    <t xml:space="preserve">Road Transport back to portland </t>
  </si>
  <si>
    <t>Fuel Consumption by Containership Size and Speed | The Geography of Transport Systems (transportgeography.org)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</si>
</sst>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[Red]&quot;E: &quot;#,##0;[Red]&quot;E: &quot;\-#,##0;[Blue]&quot;OK&quot;"/>
    <numFmt numFmtId="167" formatCode="_-* #,##0_-;\-* #,##0_-;_-* &quot;-&quot;??_-;_-@_-"/>
    <numFmt numFmtId="168" formatCode="0.0"/>
    <numFmt numFmtId="169" formatCode="_-[$$-409]* #,##0.00_ ;_-[$$-409]* \-#,##0.00\ ;_-[$$-409]* &quot;-&quot;??_ ;_-@_ "/>
    <numFmt numFmtId="170" formatCode="_-[$$-409]* #,##0_ ;_-[$$-409]* \-#,##0\ ;_-[$$-409]* &quot;-&quot;??_ ;_-@_ "/>
    <numFmt numFmtId="171" formatCode="_-[$$-409]* #,##0.000_ ;_-[$$-409]* \-#,##0.000\ ;_-[$$-409]* &quot;-&quot;??_ ;_-@_ "/>
    <numFmt numFmtId="172" formatCode="_-* #,##0.0_-;\-* #,##0.0_-;_-* &quot;-&quot;??_-;_-@_-"/>
    <numFmt numFmtId="173" formatCode="0.0%"/>
    <numFmt numFmtId="174" formatCode="[$$-409]#,##0_ ;\-[$$-409]#,##0\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Jacobs Chronos"/>
      <family val="2"/>
    </font>
    <font>
      <sz val="13"/>
      <color theme="0"/>
      <name val="Jacobs Chronos"/>
      <family val="2"/>
    </font>
    <font>
      <i/>
      <sz val="11"/>
      <color theme="1"/>
      <name val="Jacobs Chronos"/>
      <family val="2"/>
    </font>
    <font>
      <b/>
      <sz val="20"/>
      <color theme="0"/>
      <name val="Jacobs Chronos"/>
      <family val="2"/>
    </font>
    <font>
      <sz val="10"/>
      <name val="Jacobs Chronos"/>
      <family val="2"/>
    </font>
    <font>
      <sz val="11"/>
      <color rgb="FF000000"/>
      <name val="Calibri"/>
      <scheme val="minor"/>
    </font>
    <font>
      <sz val="1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8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3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6"/>
      <color indexed="23"/>
      <name val="Arial"/>
      <family val="2"/>
    </font>
    <font>
      <sz val="10"/>
      <color indexed="22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9"/>
      <name val="Calibri"/>
      <family val="2"/>
    </font>
    <font>
      <b/>
      <sz val="12"/>
      <color indexed="30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20"/>
      <color theme="0"/>
      <name val="Jacobs Chronos"/>
    </font>
    <font>
      <sz val="13"/>
      <color theme="0"/>
      <name val="Jacobs Chronos"/>
    </font>
    <font>
      <b/>
      <sz val="12"/>
      <color theme="0"/>
      <name val="Jacobs Chrono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rgb="FF75757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fgColor indexed="13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rgb="FF000000"/>
      </patternFill>
    </fill>
  </fills>
  <borders count="4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4" fillId="2" borderId="0" applyNumberFormat="0" applyProtection="0"/>
    <xf numFmtId="0" fontId="5" fillId="3" borderId="0" applyNumberFormat="0" applyProtection="0"/>
    <xf numFmtId="0" fontId="6" fillId="4" borderId="0"/>
    <xf numFmtId="0" fontId="7" fillId="5" borderId="0" applyNumberFormat="0" applyProtection="0"/>
    <xf numFmtId="166" fontId="8" fillId="0" borderId="0">
      <alignment horizontal="center" vertical="center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9" fontId="35" fillId="0" borderId="0" applyFont="0" applyFill="0" applyBorder="0" applyAlignment="0" applyProtection="0"/>
    <xf numFmtId="0" fontId="47" fillId="0" borderId="0"/>
    <xf numFmtId="0" fontId="47" fillId="0" borderId="0"/>
    <xf numFmtId="0" fontId="48" fillId="0" borderId="29">
      <alignment wrapText="1"/>
    </xf>
    <xf numFmtId="0" fontId="47" fillId="0" borderId="0"/>
    <xf numFmtId="0" fontId="52" fillId="0" borderId="0">
      <alignment horizontal="left"/>
    </xf>
    <xf numFmtId="0" fontId="48" fillId="0" borderId="30">
      <alignment wrapText="1"/>
    </xf>
    <xf numFmtId="0" fontId="47" fillId="0" borderId="31">
      <alignment wrapText="1"/>
    </xf>
    <xf numFmtId="0" fontId="47" fillId="0" borderId="32">
      <alignment wrapText="1"/>
    </xf>
  </cellStyleXfs>
  <cellXfs count="391">
    <xf numFmtId="0" fontId="0" fillId="0" borderId="0" xfId="0"/>
    <xf numFmtId="0" fontId="4" fillId="2" borderId="0" xfId="2"/>
    <xf numFmtId="0" fontId="5" fillId="3" borderId="0" xfId="3"/>
    <xf numFmtId="0" fontId="6" fillId="4" borderId="0" xfId="4"/>
    <xf numFmtId="0" fontId="5" fillId="3" borderId="0" xfId="3" quotePrefix="1"/>
    <xf numFmtId="0" fontId="7" fillId="5" borderId="0" xfId="5"/>
    <xf numFmtId="0" fontId="7" fillId="6" borderId="0" xfId="5" applyFill="1"/>
    <xf numFmtId="166" fontId="8" fillId="0" borderId="0" xfId="6">
      <alignment horizontal="center" vertical="center"/>
    </xf>
    <xf numFmtId="0" fontId="9" fillId="7" borderId="1" xfId="0" applyFont="1" applyFill="1" applyBorder="1" applyAlignment="1">
      <alignment horizontal="center" wrapText="1" readingOrder="1"/>
    </xf>
    <xf numFmtId="0" fontId="9" fillId="7" borderId="2" xfId="0" applyFont="1" applyFill="1" applyBorder="1" applyAlignment="1">
      <alignment horizontal="center" wrapText="1" readingOrder="1"/>
    </xf>
    <xf numFmtId="0" fontId="9" fillId="7" borderId="3" xfId="0" applyFont="1" applyFill="1" applyBorder="1" applyAlignment="1">
      <alignment horizontal="center" wrapText="1" readingOrder="1"/>
    </xf>
    <xf numFmtId="0" fontId="10" fillId="7" borderId="3" xfId="0" applyFont="1" applyFill="1" applyBorder="1" applyAlignment="1">
      <alignment horizontal="center" wrapText="1"/>
    </xf>
    <xf numFmtId="9" fontId="10" fillId="7" borderId="3" xfId="0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6" xfId="0" applyFont="1" applyBorder="1"/>
    <xf numFmtId="0" fontId="11" fillId="0" borderId="6" xfId="0" applyFont="1" applyBorder="1" applyAlignment="1">
      <alignment horizontal="center"/>
    </xf>
    <xf numFmtId="0" fontId="0" fillId="0" borderId="7" xfId="0" applyBorder="1"/>
    <xf numFmtId="0" fontId="12" fillId="0" borderId="7" xfId="0" applyFont="1" applyBorder="1"/>
    <xf numFmtId="3" fontId="12" fillId="0" borderId="7" xfId="0" applyNumberFormat="1" applyFont="1" applyBorder="1"/>
    <xf numFmtId="9" fontId="12" fillId="0" borderId="7" xfId="0" applyNumberFormat="1" applyFont="1" applyBorder="1"/>
    <xf numFmtId="0" fontId="3" fillId="0" borderId="0" xfId="0" applyFont="1"/>
    <xf numFmtId="17" fontId="12" fillId="0" borderId="7" xfId="0" applyNumberFormat="1" applyFont="1" applyBorder="1"/>
    <xf numFmtId="0" fontId="11" fillId="0" borderId="7" xfId="0" applyFont="1" applyBorder="1"/>
    <xf numFmtId="14" fontId="12" fillId="0" borderId="7" xfId="0" applyNumberFormat="1" applyFont="1" applyBorder="1"/>
    <xf numFmtId="0" fontId="0" fillId="0" borderId="7" xfId="0" applyBorder="1" applyAlignment="1">
      <alignment wrapText="1"/>
    </xf>
    <xf numFmtId="0" fontId="3" fillId="0" borderId="7" xfId="0" applyFont="1" applyBorder="1"/>
    <xf numFmtId="0" fontId="3" fillId="0" borderId="9" xfId="0" applyFont="1" applyBorder="1"/>
    <xf numFmtId="0" fontId="0" fillId="0" borderId="9" xfId="0" applyBorder="1"/>
    <xf numFmtId="167" fontId="0" fillId="0" borderId="7" xfId="1" applyNumberFormat="1" applyFont="1" applyBorder="1"/>
    <xf numFmtId="167" fontId="0" fillId="0" borderId="0" xfId="1" applyNumberFormat="1" applyFont="1"/>
    <xf numFmtId="167" fontId="0" fillId="0" borderId="0" xfId="0" applyNumberFormat="1"/>
    <xf numFmtId="165" fontId="0" fillId="0" borderId="0" xfId="0" applyNumberFormat="1"/>
    <xf numFmtId="165" fontId="0" fillId="0" borderId="7" xfId="0" applyNumberFormat="1" applyBorder="1"/>
    <xf numFmtId="0" fontId="11" fillId="0" borderId="0" xfId="0" applyFont="1"/>
    <xf numFmtId="0" fontId="13" fillId="0" borderId="0" xfId="0" applyFo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17" fillId="0" borderId="0" xfId="0" applyFont="1"/>
    <xf numFmtId="9" fontId="16" fillId="0" borderId="0" xfId="0" applyNumberFormat="1" applyFont="1"/>
    <xf numFmtId="0" fontId="2" fillId="0" borderId="0" xfId="0" applyFont="1"/>
    <xf numFmtId="165" fontId="0" fillId="0" borderId="7" xfId="1" applyFont="1" applyBorder="1"/>
    <xf numFmtId="10" fontId="0" fillId="0" borderId="0" xfId="0" applyNumberFormat="1"/>
    <xf numFmtId="0" fontId="12" fillId="0" borderId="9" xfId="0" applyFont="1" applyBorder="1"/>
    <xf numFmtId="165" fontId="0" fillId="0" borderId="0" xfId="1" applyFont="1"/>
    <xf numFmtId="0" fontId="0" fillId="0" borderId="0" xfId="0" applyAlignment="1">
      <alignment horizontal="right"/>
    </xf>
    <xf numFmtId="0" fontId="19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19" fillId="9" borderId="12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168" fontId="20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3" fontId="19" fillId="10" borderId="12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7" fontId="20" fillId="0" borderId="12" xfId="1" applyNumberFormat="1" applyFont="1" applyBorder="1" applyAlignment="1">
      <alignment horizontal="center" vertical="center"/>
    </xf>
    <xf numFmtId="167" fontId="20" fillId="0" borderId="12" xfId="0" applyNumberFormat="1" applyFont="1" applyBorder="1" applyAlignment="1">
      <alignment horizontal="center" vertical="center"/>
    </xf>
    <xf numFmtId="168" fontId="20" fillId="0" borderId="12" xfId="1" applyNumberFormat="1" applyFont="1" applyBorder="1" applyAlignment="1">
      <alignment horizontal="center" vertical="center"/>
    </xf>
    <xf numFmtId="167" fontId="0" fillId="0" borderId="7" xfId="0" applyNumberFormat="1" applyBorder="1"/>
    <xf numFmtId="0" fontId="13" fillId="0" borderId="7" xfId="0" applyFont="1" applyBorder="1"/>
    <xf numFmtId="49" fontId="0" fillId="0" borderId="0" xfId="0" applyNumberFormat="1"/>
    <xf numFmtId="169" fontId="0" fillId="0" borderId="0" xfId="0" applyNumberFormat="1"/>
    <xf numFmtId="170" fontId="0" fillId="0" borderId="0" xfId="0" applyNumberFormat="1"/>
    <xf numFmtId="170" fontId="3" fillId="0" borderId="0" xfId="7" applyNumberFormat="1" applyFont="1" applyBorder="1"/>
    <xf numFmtId="0" fontId="22" fillId="0" borderId="0" xfId="0" applyFont="1"/>
    <xf numFmtId="169" fontId="3" fillId="0" borderId="0" xfId="7" applyNumberFormat="1" applyFont="1" applyBorder="1"/>
    <xf numFmtId="0" fontId="23" fillId="10" borderId="0" xfId="0" applyFont="1" applyFill="1"/>
    <xf numFmtId="0" fontId="24" fillId="11" borderId="0" xfId="0" applyFont="1" applyFill="1"/>
    <xf numFmtId="0" fontId="25" fillId="0" borderId="7" xfId="0" applyFont="1" applyBorder="1"/>
    <xf numFmtId="3" fontId="25" fillId="12" borderId="7" xfId="0" applyNumberFormat="1" applyFont="1" applyFill="1" applyBorder="1"/>
    <xf numFmtId="3" fontId="25" fillId="13" borderId="7" xfId="0" applyNumberFormat="1" applyFont="1" applyFill="1" applyBorder="1"/>
    <xf numFmtId="167" fontId="25" fillId="13" borderId="7" xfId="1" applyNumberFormat="1" applyFont="1" applyFill="1" applyBorder="1"/>
    <xf numFmtId="0" fontId="25" fillId="12" borderId="7" xfId="0" applyFont="1" applyFill="1" applyBorder="1"/>
    <xf numFmtId="0" fontId="25" fillId="13" borderId="7" xfId="0" applyFont="1" applyFill="1" applyBorder="1"/>
    <xf numFmtId="173" fontId="25" fillId="12" borderId="7" xfId="8" applyNumberFormat="1" applyFont="1" applyFill="1" applyBorder="1"/>
    <xf numFmtId="173" fontId="25" fillId="13" borderId="7" xfId="8" applyNumberFormat="1" applyFont="1" applyFill="1" applyBorder="1"/>
    <xf numFmtId="9" fontId="25" fillId="12" borderId="7" xfId="8" applyFont="1" applyFill="1" applyBorder="1"/>
    <xf numFmtId="1" fontId="25" fillId="13" borderId="7" xfId="0" applyNumberFormat="1" applyFont="1" applyFill="1" applyBorder="1"/>
    <xf numFmtId="0" fontId="0" fillId="0" borderId="18" xfId="0" applyBorder="1"/>
    <xf numFmtId="9" fontId="25" fillId="10" borderId="7" xfId="8" applyFont="1" applyFill="1" applyBorder="1" applyAlignment="1">
      <alignment horizontal="center" vertical="center"/>
    </xf>
    <xf numFmtId="2" fontId="0" fillId="0" borderId="0" xfId="0" applyNumberFormat="1"/>
    <xf numFmtId="167" fontId="0" fillId="13" borderId="0" xfId="1" applyNumberFormat="1" applyFont="1" applyFill="1"/>
    <xf numFmtId="167" fontId="0" fillId="13" borderId="18" xfId="1" applyNumberFormat="1" applyFont="1" applyFill="1" applyBorder="1"/>
    <xf numFmtId="167" fontId="25" fillId="13" borderId="0" xfId="1" applyNumberFormat="1" applyFont="1" applyFill="1"/>
    <xf numFmtId="167" fontId="3" fillId="12" borderId="0" xfId="1" applyNumberFormat="1" applyFont="1" applyFill="1"/>
    <xf numFmtId="167" fontId="3" fillId="12" borderId="18" xfId="1" applyNumberFormat="1" applyFont="1" applyFill="1" applyBorder="1"/>
    <xf numFmtId="167" fontId="23" fillId="12" borderId="0" xfId="1" applyNumberFormat="1" applyFont="1" applyFill="1"/>
    <xf numFmtId="0" fontId="25" fillId="0" borderId="0" xfId="0" applyFont="1"/>
    <xf numFmtId="167" fontId="0" fillId="0" borderId="18" xfId="1" applyNumberFormat="1" applyFont="1" applyBorder="1"/>
    <xf numFmtId="167" fontId="25" fillId="0" borderId="0" xfId="1" applyNumberFormat="1" applyFont="1"/>
    <xf numFmtId="9" fontId="0" fillId="0" borderId="0" xfId="8" applyFont="1"/>
    <xf numFmtId="9" fontId="0" fillId="0" borderId="18" xfId="8" applyFont="1" applyBorder="1"/>
    <xf numFmtId="0" fontId="28" fillId="0" borderId="22" xfId="10" applyFont="1" applyBorder="1"/>
    <xf numFmtId="0" fontId="27" fillId="0" borderId="15" xfId="10" applyBorder="1"/>
    <xf numFmtId="0" fontId="29" fillId="0" borderId="15" xfId="10" applyFont="1" applyBorder="1" applyAlignment="1">
      <alignment horizontal="center"/>
    </xf>
    <xf numFmtId="0" fontId="30" fillId="0" borderId="15" xfId="10" applyFont="1" applyBorder="1" applyAlignment="1">
      <alignment horizontal="right"/>
    </xf>
    <xf numFmtId="0" fontId="27" fillId="0" borderId="0" xfId="10"/>
    <xf numFmtId="1" fontId="28" fillId="0" borderId="7" xfId="10" applyNumberFormat="1" applyFont="1" applyBorder="1" applyAlignment="1">
      <alignment horizontal="center" wrapText="1"/>
    </xf>
    <xf numFmtId="1" fontId="28" fillId="0" borderId="21" xfId="10" applyNumberFormat="1" applyFont="1" applyBorder="1" applyAlignment="1">
      <alignment horizontal="center" wrapText="1"/>
    </xf>
    <xf numFmtId="0" fontId="31" fillId="0" borderId="23" xfId="10" applyFont="1" applyBorder="1"/>
    <xf numFmtId="0" fontId="31" fillId="0" borderId="16" xfId="10" applyFont="1" applyBorder="1"/>
    <xf numFmtId="0" fontId="31" fillId="0" borderId="11" xfId="10" applyFont="1" applyBorder="1"/>
    <xf numFmtId="0" fontId="31" fillId="0" borderId="0" xfId="10" applyFont="1"/>
    <xf numFmtId="3" fontId="31" fillId="14" borderId="16" xfId="10" applyNumberFormat="1" applyFont="1" applyFill="1" applyBorder="1" applyProtection="1">
      <protection locked="0"/>
    </xf>
    <xf numFmtId="3" fontId="31" fillId="14" borderId="11" xfId="10" applyNumberFormat="1" applyFont="1" applyFill="1" applyBorder="1" applyProtection="1">
      <protection locked="0"/>
    </xf>
    <xf numFmtId="2" fontId="32" fillId="15" borderId="21" xfId="10" applyNumberFormat="1" applyFont="1" applyFill="1" applyBorder="1" applyAlignment="1">
      <alignment horizontal="right" vertical="center"/>
    </xf>
    <xf numFmtId="2" fontId="32" fillId="15" borderId="7" xfId="10" applyNumberFormat="1" applyFont="1" applyFill="1" applyBorder="1" applyAlignment="1">
      <alignment horizontal="right" vertical="center"/>
    </xf>
    <xf numFmtId="0" fontId="31" fillId="0" borderId="6" xfId="10" applyFont="1" applyBorder="1"/>
    <xf numFmtId="3" fontId="31" fillId="16" borderId="16" xfId="10" applyNumberFormat="1" applyFont="1" applyFill="1" applyBorder="1" applyProtection="1">
      <protection locked="0"/>
    </xf>
    <xf numFmtId="3" fontId="31" fillId="16" borderId="6" xfId="10" applyNumberFormat="1" applyFont="1" applyFill="1" applyBorder="1" applyProtection="1">
      <protection locked="0"/>
    </xf>
    <xf numFmtId="3" fontId="31" fillId="16" borderId="0" xfId="10" applyNumberFormat="1" applyFont="1" applyFill="1" applyProtection="1">
      <protection locked="0"/>
    </xf>
    <xf numFmtId="3" fontId="31" fillId="16" borderId="11" xfId="10" applyNumberFormat="1" applyFont="1" applyFill="1" applyBorder="1" applyProtection="1">
      <protection locked="0"/>
    </xf>
    <xf numFmtId="0" fontId="31" fillId="0" borderId="24" xfId="10" applyFont="1" applyBorder="1"/>
    <xf numFmtId="3" fontId="31" fillId="16" borderId="7" xfId="10" applyNumberFormat="1" applyFont="1" applyFill="1" applyBorder="1" applyProtection="1">
      <protection locked="0"/>
    </xf>
    <xf numFmtId="3" fontId="31" fillId="16" borderId="21" xfId="10" applyNumberFormat="1" applyFont="1" applyFill="1" applyBorder="1" applyProtection="1">
      <protection locked="0"/>
    </xf>
    <xf numFmtId="3" fontId="31" fillId="16" borderId="14" xfId="10" applyNumberFormat="1" applyFont="1" applyFill="1" applyBorder="1" applyProtection="1">
      <protection locked="0"/>
    </xf>
    <xf numFmtId="3" fontId="31" fillId="16" borderId="24" xfId="10" applyNumberFormat="1" applyFont="1" applyFill="1" applyBorder="1" applyProtection="1">
      <protection locked="0"/>
    </xf>
    <xf numFmtId="3" fontId="31" fillId="16" borderId="25" xfId="10" applyNumberFormat="1" applyFont="1" applyFill="1" applyBorder="1" applyProtection="1">
      <protection locked="0"/>
    </xf>
    <xf numFmtId="1" fontId="31" fillId="0" borderId="23" xfId="10" applyNumberFormat="1" applyFont="1" applyBorder="1" applyAlignment="1">
      <alignment horizontal="center"/>
    </xf>
    <xf numFmtId="1" fontId="31" fillId="0" borderId="22" xfId="10" applyNumberFormat="1" applyFont="1" applyBorder="1" applyAlignment="1">
      <alignment horizontal="center"/>
    </xf>
    <xf numFmtId="1" fontId="31" fillId="0" borderId="26" xfId="10" applyNumberFormat="1" applyFont="1" applyBorder="1" applyAlignment="1">
      <alignment horizontal="center"/>
    </xf>
    <xf numFmtId="168" fontId="33" fillId="15" borderId="7" xfId="10" applyNumberFormat="1" applyFont="1" applyFill="1" applyBorder="1" applyAlignment="1">
      <alignment horizontal="center" vertical="center"/>
    </xf>
    <xf numFmtId="0" fontId="31" fillId="0" borderId="18" xfId="10" applyFont="1" applyBorder="1"/>
    <xf numFmtId="3" fontId="31" fillId="0" borderId="11" xfId="10" applyNumberFormat="1" applyFont="1" applyBorder="1" applyProtection="1">
      <protection locked="0"/>
    </xf>
    <xf numFmtId="3" fontId="34" fillId="14" borderId="11" xfId="10" applyNumberFormat="1" applyFont="1" applyFill="1" applyBorder="1" applyProtection="1">
      <protection locked="0"/>
    </xf>
    <xf numFmtId="3" fontId="31" fillId="0" borderId="16" xfId="10" applyNumberFormat="1" applyFont="1" applyBorder="1" applyProtection="1">
      <protection locked="0"/>
    </xf>
    <xf numFmtId="3" fontId="31" fillId="0" borderId="11" xfId="10" applyNumberFormat="1" applyFont="1" applyBorder="1"/>
    <xf numFmtId="0" fontId="28" fillId="0" borderId="6" xfId="10" applyFont="1" applyBorder="1"/>
    <xf numFmtId="3" fontId="28" fillId="0" borderId="6" xfId="10" applyNumberFormat="1" applyFont="1" applyBorder="1"/>
    <xf numFmtId="3" fontId="28" fillId="0" borderId="24" xfId="10" applyNumberFormat="1" applyFont="1" applyBorder="1"/>
    <xf numFmtId="1" fontId="28" fillId="0" borderId="22" xfId="10" applyNumberFormat="1" applyFont="1" applyBorder="1"/>
    <xf numFmtId="1" fontId="28" fillId="0" borderId="23" xfId="10" applyNumberFormat="1" applyFont="1" applyBorder="1"/>
    <xf numFmtId="1" fontId="28" fillId="0" borderId="11" xfId="10" applyNumberFormat="1" applyFont="1" applyBorder="1"/>
    <xf numFmtId="3" fontId="31" fillId="0" borderId="18" xfId="10" applyNumberFormat="1" applyFont="1" applyBorder="1"/>
    <xf numFmtId="3" fontId="31" fillId="0" borderId="24" xfId="10" applyNumberFormat="1" applyFont="1" applyBorder="1"/>
    <xf numFmtId="3" fontId="31" fillId="0" borderId="6" xfId="10" applyNumberFormat="1" applyFont="1" applyBorder="1"/>
    <xf numFmtId="0" fontId="31" fillId="0" borderId="7" xfId="10" applyFont="1" applyBorder="1"/>
    <xf numFmtId="168" fontId="28" fillId="0" borderId="7" xfId="10" applyNumberFormat="1" applyFont="1" applyBorder="1" applyAlignment="1">
      <alignment horizontal="center" vertical="center"/>
    </xf>
    <xf numFmtId="0" fontId="31" fillId="0" borderId="22" xfId="10" applyFont="1" applyBorder="1"/>
    <xf numFmtId="9" fontId="31" fillId="14" borderId="11" xfId="11" applyFont="1" applyFill="1" applyBorder="1" applyProtection="1">
      <protection locked="0"/>
    </xf>
    <xf numFmtId="9" fontId="31" fillId="0" borderId="11" xfId="11" applyFont="1" applyBorder="1"/>
    <xf numFmtId="9" fontId="31" fillId="0" borderId="18" xfId="11" applyFont="1" applyBorder="1"/>
    <xf numFmtId="9" fontId="31" fillId="0" borderId="16" xfId="11" applyFont="1" applyBorder="1"/>
    <xf numFmtId="3" fontId="31" fillId="0" borderId="23" xfId="10" applyNumberFormat="1" applyFont="1" applyBorder="1"/>
    <xf numFmtId="3" fontId="31" fillId="0" borderId="22" xfId="10" applyNumberFormat="1" applyFont="1" applyBorder="1"/>
    <xf numFmtId="3" fontId="31" fillId="0" borderId="26" xfId="10" applyNumberFormat="1" applyFont="1" applyBorder="1"/>
    <xf numFmtId="3" fontId="36" fillId="0" borderId="14" xfId="10" applyNumberFormat="1" applyFont="1" applyBorder="1" applyAlignment="1">
      <alignment wrapText="1"/>
    </xf>
    <xf numFmtId="3" fontId="36" fillId="0" borderId="13" xfId="10" applyNumberFormat="1" applyFont="1" applyBorder="1" applyAlignment="1">
      <alignment horizontal="center" wrapText="1"/>
    </xf>
    <xf numFmtId="3" fontId="36" fillId="0" borderId="7" xfId="10" applyNumberFormat="1" applyFont="1" applyBorder="1" applyAlignment="1">
      <alignment horizontal="center" wrapText="1"/>
    </xf>
    <xf numFmtId="3" fontId="36" fillId="0" borderId="21" xfId="10" applyNumberFormat="1" applyFont="1" applyBorder="1" applyAlignment="1">
      <alignment horizontal="center" wrapText="1"/>
    </xf>
    <xf numFmtId="0" fontId="37" fillId="0" borderId="0" xfId="10" applyFont="1" applyAlignment="1">
      <alignment wrapText="1"/>
    </xf>
    <xf numFmtId="0" fontId="31" fillId="0" borderId="17" xfId="10" applyFont="1" applyBorder="1"/>
    <xf numFmtId="9" fontId="28" fillId="0" borderId="23" xfId="10" applyNumberFormat="1" applyFont="1" applyBorder="1" applyProtection="1">
      <protection locked="0"/>
    </xf>
    <xf numFmtId="9" fontId="31" fillId="14" borderId="11" xfId="10" applyNumberFormat="1" applyFont="1" applyFill="1" applyBorder="1" applyProtection="1">
      <protection locked="0"/>
    </xf>
    <xf numFmtId="3" fontId="31" fillId="0" borderId="16" xfId="10" applyNumberFormat="1" applyFont="1" applyBorder="1"/>
    <xf numFmtId="0" fontId="28" fillId="0" borderId="7" xfId="10" applyFont="1" applyBorder="1"/>
    <xf numFmtId="9" fontId="28" fillId="0" borderId="7" xfId="11" applyFont="1" applyBorder="1"/>
    <xf numFmtId="9" fontId="28" fillId="0" borderId="14" xfId="11" applyFont="1" applyBorder="1"/>
    <xf numFmtId="9" fontId="28" fillId="0" borderId="21" xfId="11" applyFont="1" applyBorder="1"/>
    <xf numFmtId="3" fontId="28" fillId="0" borderId="7" xfId="11" applyNumberFormat="1" applyFont="1" applyBorder="1"/>
    <xf numFmtId="3" fontId="28" fillId="0" borderId="21" xfId="11" applyNumberFormat="1" applyFont="1" applyBorder="1"/>
    <xf numFmtId="9" fontId="28" fillId="0" borderId="6" xfId="11" applyFont="1" applyBorder="1"/>
    <xf numFmtId="0" fontId="28" fillId="0" borderId="0" xfId="10" applyFont="1"/>
    <xf numFmtId="9" fontId="28" fillId="0" borderId="0" xfId="11" applyFont="1" applyBorder="1"/>
    <xf numFmtId="3" fontId="31" fillId="0" borderId="0" xfId="10" applyNumberFormat="1" applyFont="1"/>
    <xf numFmtId="0" fontId="35" fillId="0" borderId="0" xfId="10" applyFont="1"/>
    <xf numFmtId="0" fontId="28" fillId="0" borderId="22" xfId="10" quotePrefix="1" applyFont="1" applyBorder="1"/>
    <xf numFmtId="0" fontId="28" fillId="0" borderId="18" xfId="10" applyFont="1" applyBorder="1"/>
    <xf numFmtId="0" fontId="28" fillId="0" borderId="14" xfId="10" applyFont="1" applyBorder="1"/>
    <xf numFmtId="3" fontId="28" fillId="0" borderId="7" xfId="10" applyNumberFormat="1" applyFont="1" applyBorder="1"/>
    <xf numFmtId="0" fontId="38" fillId="0" borderId="0" xfId="10" applyFont="1"/>
    <xf numFmtId="1" fontId="31" fillId="0" borderId="0" xfId="10" applyNumberFormat="1" applyFont="1" applyAlignment="1">
      <alignment horizontal="center"/>
    </xf>
    <xf numFmtId="3" fontId="31" fillId="0" borderId="7" xfId="10" applyNumberFormat="1" applyFont="1" applyBorder="1"/>
    <xf numFmtId="9" fontId="31" fillId="0" borderId="7" xfId="10" applyNumberFormat="1" applyFont="1" applyBorder="1"/>
    <xf numFmtId="9" fontId="39" fillId="0" borderId="0" xfId="8" applyFont="1"/>
    <xf numFmtId="3" fontId="31" fillId="17" borderId="7" xfId="10" applyNumberFormat="1" applyFont="1" applyFill="1" applyBorder="1"/>
    <xf numFmtId="3" fontId="40" fillId="0" borderId="7" xfId="10" applyNumberFormat="1" applyFont="1" applyBorder="1"/>
    <xf numFmtId="3" fontId="41" fillId="0" borderId="7" xfId="10" applyNumberFormat="1" applyFont="1" applyBorder="1"/>
    <xf numFmtId="3" fontId="41" fillId="17" borderId="7" xfId="10" applyNumberFormat="1" applyFont="1" applyFill="1" applyBorder="1"/>
    <xf numFmtId="3" fontId="31" fillId="0" borderId="7" xfId="10" quotePrefix="1" applyNumberFormat="1" applyFont="1" applyBorder="1"/>
    <xf numFmtId="3" fontId="35" fillId="0" borderId="0" xfId="11" applyNumberFormat="1" applyFont="1" applyBorder="1"/>
    <xf numFmtId="0" fontId="31" fillId="0" borderId="0" xfId="10" applyFont="1" applyAlignment="1">
      <alignment horizontal="right"/>
    </xf>
    <xf numFmtId="3" fontId="28" fillId="0" borderId="25" xfId="10" applyNumberFormat="1" applyFont="1" applyBorder="1"/>
    <xf numFmtId="3" fontId="40" fillId="17" borderId="7" xfId="10" applyNumberFormat="1" applyFont="1" applyFill="1" applyBorder="1"/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3" fontId="25" fillId="0" borderId="7" xfId="0" applyNumberFormat="1" applyFont="1" applyBorder="1"/>
    <xf numFmtId="9" fontId="25" fillId="0" borderId="7" xfId="0" applyNumberFormat="1" applyFont="1" applyBorder="1"/>
    <xf numFmtId="0" fontId="23" fillId="0" borderId="0" xfId="0" applyFont="1"/>
    <xf numFmtId="0" fontId="23" fillId="0" borderId="4" xfId="0" applyFont="1" applyBorder="1"/>
    <xf numFmtId="0" fontId="23" fillId="0" borderId="5" xfId="0" applyFont="1" applyBorder="1"/>
    <xf numFmtId="0" fontId="23" fillId="0" borderId="8" xfId="0" applyFont="1" applyBorder="1"/>
    <xf numFmtId="3" fontId="25" fillId="12" borderId="0" xfId="0" applyNumberFormat="1" applyFont="1" applyFill="1"/>
    <xf numFmtId="3" fontId="25" fillId="13" borderId="0" xfId="0" applyNumberFormat="1" applyFont="1" applyFill="1"/>
    <xf numFmtId="167" fontId="25" fillId="12" borderId="0" xfId="1" applyNumberFormat="1" applyFont="1" applyFill="1"/>
    <xf numFmtId="0" fontId="25" fillId="12" borderId="0" xfId="0" applyFont="1" applyFill="1"/>
    <xf numFmtId="0" fontId="25" fillId="13" borderId="0" xfId="0" applyFont="1" applyFill="1"/>
    <xf numFmtId="173" fontId="25" fillId="12" borderId="0" xfId="8" applyNumberFormat="1" applyFont="1" applyFill="1"/>
    <xf numFmtId="173" fontId="25" fillId="13" borderId="0" xfId="8" applyNumberFormat="1" applyFont="1" applyFill="1"/>
    <xf numFmtId="9" fontId="25" fillId="12" borderId="0" xfId="8" applyFont="1" applyFill="1"/>
    <xf numFmtId="1" fontId="25" fillId="13" borderId="0" xfId="0" applyNumberFormat="1" applyFont="1" applyFill="1"/>
    <xf numFmtId="9" fontId="25" fillId="10" borderId="0" xfId="8" applyFont="1" applyFill="1" applyAlignment="1">
      <alignment horizontal="center" vertical="top"/>
    </xf>
    <xf numFmtId="9" fontId="25" fillId="0" borderId="0" xfId="8" applyFont="1" applyAlignment="1">
      <alignment horizontal="center" vertical="top"/>
    </xf>
    <xf numFmtId="173" fontId="25" fillId="0" borderId="0" xfId="0" applyNumberFormat="1" applyFont="1" applyAlignment="1">
      <alignment horizontal="center"/>
    </xf>
    <xf numFmtId="173" fontId="25" fillId="10" borderId="0" xfId="0" applyNumberFormat="1" applyFont="1" applyFill="1" applyAlignment="1">
      <alignment horizontal="center"/>
    </xf>
    <xf numFmtId="3" fontId="0" fillId="0" borderId="0" xfId="0" applyNumberFormat="1"/>
    <xf numFmtId="0" fontId="26" fillId="0" borderId="0" xfId="9"/>
    <xf numFmtId="167" fontId="0" fillId="10" borderId="0" xfId="1" applyNumberFormat="1" applyFont="1" applyFill="1"/>
    <xf numFmtId="9" fontId="0" fillId="10" borderId="0" xfId="8" applyFont="1" applyFill="1"/>
    <xf numFmtId="169" fontId="0" fillId="10" borderId="0" xfId="0" applyNumberFormat="1" applyFill="1"/>
    <xf numFmtId="170" fontId="0" fillId="10" borderId="0" xfId="0" applyNumberFormat="1" applyFill="1"/>
    <xf numFmtId="169" fontId="3" fillId="0" borderId="0" xfId="0" applyNumberFormat="1" applyFont="1"/>
    <xf numFmtId="0" fontId="44" fillId="0" borderId="0" xfId="0" applyFont="1"/>
    <xf numFmtId="1" fontId="0" fillId="0" borderId="0" xfId="0" applyNumberFormat="1"/>
    <xf numFmtId="170" fontId="0" fillId="0" borderId="28" xfId="0" applyNumberFormat="1" applyBorder="1"/>
    <xf numFmtId="0" fontId="0" fillId="0" borderId="28" xfId="0" applyBorder="1"/>
    <xf numFmtId="0" fontId="19" fillId="0" borderId="0" xfId="0" applyFont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167" fontId="20" fillId="0" borderId="0" xfId="1" applyNumberFormat="1" applyFont="1" applyAlignment="1">
      <alignment horizontal="center" vertical="center"/>
    </xf>
    <xf numFmtId="0" fontId="47" fillId="0" borderId="0" xfId="12"/>
    <xf numFmtId="0" fontId="47" fillId="0" borderId="0" xfId="13"/>
    <xf numFmtId="0" fontId="48" fillId="0" borderId="29" xfId="14">
      <alignment wrapText="1"/>
    </xf>
    <xf numFmtId="0" fontId="49" fillId="0" borderId="0" xfId="15" applyFont="1"/>
    <xf numFmtId="0" fontId="50" fillId="0" borderId="0" xfId="15" applyFont="1"/>
    <xf numFmtId="0" fontId="51" fillId="0" borderId="0" xfId="12" applyFont="1"/>
    <xf numFmtId="0" fontId="31" fillId="0" borderId="0" xfId="12" applyFont="1"/>
    <xf numFmtId="0" fontId="53" fillId="0" borderId="0" xfId="16" applyFont="1">
      <alignment horizontal="left"/>
    </xf>
    <xf numFmtId="0" fontId="54" fillId="0" borderId="0" xfId="12" applyFont="1" applyAlignment="1">
      <alignment horizontal="right"/>
    </xf>
    <xf numFmtId="0" fontId="51" fillId="0" borderId="0" xfId="13" applyFont="1"/>
    <xf numFmtId="0" fontId="51" fillId="0" borderId="0" xfId="12" applyFont="1" applyAlignment="1">
      <alignment horizontal="left"/>
    </xf>
    <xf numFmtId="0" fontId="54" fillId="0" borderId="29" xfId="14" applyFont="1">
      <alignment wrapText="1"/>
    </xf>
    <xf numFmtId="0" fontId="54" fillId="0" borderId="29" xfId="14" applyFont="1" applyAlignment="1">
      <alignment horizontal="right"/>
    </xf>
    <xf numFmtId="0" fontId="54" fillId="0" borderId="30" xfId="17" applyFont="1">
      <alignment wrapText="1"/>
    </xf>
    <xf numFmtId="0" fontId="51" fillId="0" borderId="31" xfId="18" applyFont="1">
      <alignment wrapText="1"/>
    </xf>
    <xf numFmtId="3" fontId="51" fillId="0" borderId="31" xfId="18" applyNumberFormat="1" applyFont="1" applyAlignment="1">
      <alignment horizontal="right" wrapText="1"/>
    </xf>
    <xf numFmtId="173" fontId="51" fillId="0" borderId="31" xfId="18" applyNumberFormat="1" applyFont="1" applyAlignment="1">
      <alignment horizontal="right" wrapText="1"/>
    </xf>
    <xf numFmtId="4" fontId="51" fillId="0" borderId="31" xfId="18" applyNumberFormat="1" applyFont="1" applyAlignment="1">
      <alignment horizontal="right" wrapText="1"/>
    </xf>
    <xf numFmtId="4" fontId="54" fillId="0" borderId="30" xfId="17" applyNumberFormat="1" applyFont="1" applyAlignment="1">
      <alignment horizontal="right" wrapText="1"/>
    </xf>
    <xf numFmtId="173" fontId="54" fillId="0" borderId="30" xfId="17" applyNumberFormat="1" applyFont="1" applyAlignment="1">
      <alignment horizontal="right" wrapText="1"/>
    </xf>
    <xf numFmtId="0" fontId="47" fillId="0" borderId="32" xfId="12" applyBorder="1"/>
    <xf numFmtId="0" fontId="12" fillId="7" borderId="0" xfId="0" applyFont="1" applyFill="1"/>
    <xf numFmtId="0" fontId="12" fillId="7" borderId="0" xfId="0" applyFont="1" applyFill="1" applyAlignment="1">
      <alignment horizontal="left" vertical="center"/>
    </xf>
    <xf numFmtId="0" fontId="55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indent="1"/>
    </xf>
    <xf numFmtId="0" fontId="12" fillId="0" borderId="7" xfId="0" applyFont="1" applyBorder="1" applyAlignment="1">
      <alignment horizontal="left"/>
    </xf>
    <xf numFmtId="3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23" xfId="0" applyBorder="1"/>
    <xf numFmtId="172" fontId="0" fillId="0" borderId="0" xfId="0" applyNumberFormat="1"/>
    <xf numFmtId="9" fontId="3" fillId="0" borderId="0" xfId="0" quotePrefix="1" applyNumberFormat="1" applyFont="1"/>
    <xf numFmtId="9" fontId="3" fillId="0" borderId="7" xfId="0" applyNumberFormat="1" applyFont="1" applyBorder="1"/>
    <xf numFmtId="4" fontId="0" fillId="0" borderId="0" xfId="0" applyNumberFormat="1"/>
    <xf numFmtId="0" fontId="59" fillId="5" borderId="0" xfId="5" applyFont="1"/>
    <xf numFmtId="0" fontId="60" fillId="3" borderId="0" xfId="3" applyFont="1"/>
    <xf numFmtId="0" fontId="61" fillId="2" borderId="0" xfId="2" applyFont="1"/>
    <xf numFmtId="0" fontId="3" fillId="8" borderId="0" xfId="0" applyFont="1" applyFill="1"/>
    <xf numFmtId="0" fontId="0" fillId="19" borderId="0" xfId="0" applyFill="1"/>
    <xf numFmtId="9" fontId="35" fillId="0" borderId="0" xfId="8" applyFont="1"/>
    <xf numFmtId="0" fontId="14" fillId="8" borderId="0" xfId="0" applyFont="1" applyFill="1"/>
    <xf numFmtId="0" fontId="11" fillId="8" borderId="0" xfId="0" applyFont="1" applyFill="1"/>
    <xf numFmtId="0" fontId="21" fillId="0" borderId="0" xfId="0" applyFont="1"/>
    <xf numFmtId="0" fontId="26" fillId="0" borderId="0" xfId="9" applyAlignment="1"/>
    <xf numFmtId="0" fontId="62" fillId="0" borderId="0" xfId="0" applyFont="1"/>
    <xf numFmtId="173" fontId="0" fillId="0" borderId="0" xfId="8" applyNumberFormat="1" applyFont="1"/>
    <xf numFmtId="0" fontId="15" fillId="0" borderId="0" xfId="0" applyFont="1"/>
    <xf numFmtId="165" fontId="25" fillId="0" borderId="0" xfId="0" applyNumberFormat="1" applyFont="1"/>
    <xf numFmtId="3" fontId="25" fillId="20" borderId="0" xfId="0" applyNumberFormat="1" applyFont="1" applyFill="1"/>
    <xf numFmtId="167" fontId="25" fillId="20" borderId="0" xfId="1" applyNumberFormat="1" applyFont="1" applyFill="1"/>
    <xf numFmtId="0" fontId="25" fillId="20" borderId="0" xfId="0" applyFont="1" applyFill="1"/>
    <xf numFmtId="173" fontId="25" fillId="20" borderId="0" xfId="8" applyNumberFormat="1" applyFont="1" applyFill="1"/>
    <xf numFmtId="1" fontId="25" fillId="20" borderId="0" xfId="0" applyNumberFormat="1" applyFont="1" applyFill="1"/>
    <xf numFmtId="0" fontId="0" fillId="8" borderId="7" xfId="0" applyFill="1" applyBorder="1"/>
    <xf numFmtId="167" fontId="0" fillId="8" borderId="7" xfId="1" applyNumberFormat="1" applyFont="1" applyFill="1" applyBorder="1"/>
    <xf numFmtId="167" fontId="0" fillId="8" borderId="7" xfId="0" applyNumberFormat="1" applyFill="1" applyBorder="1"/>
    <xf numFmtId="165" fontId="0" fillId="8" borderId="7" xfId="0" applyNumberFormat="1" applyFill="1" applyBorder="1"/>
    <xf numFmtId="0" fontId="0" fillId="0" borderId="23" xfId="0" applyBorder="1" applyAlignment="1">
      <alignment wrapText="1"/>
    </xf>
    <xf numFmtId="0" fontId="0" fillId="8" borderId="35" xfId="0" applyFill="1" applyBorder="1"/>
    <xf numFmtId="167" fontId="0" fillId="8" borderId="36" xfId="0" applyNumberFormat="1" applyFill="1" applyBorder="1"/>
    <xf numFmtId="0" fontId="3" fillId="0" borderId="0" xfId="0" applyFont="1" applyAlignment="1">
      <alignment horizontal="left"/>
    </xf>
    <xf numFmtId="0" fontId="56" fillId="0" borderId="0" xfId="0" applyFont="1"/>
    <xf numFmtId="0" fontId="63" fillId="8" borderId="0" xfId="0" applyFont="1" applyFill="1"/>
    <xf numFmtId="0" fontId="63" fillId="0" borderId="0" xfId="0" applyFont="1"/>
    <xf numFmtId="0" fontId="62" fillId="19" borderId="0" xfId="0" applyFont="1" applyFill="1"/>
    <xf numFmtId="0" fontId="65" fillId="0" borderId="0" xfId="0" applyFont="1"/>
    <xf numFmtId="0" fontId="65" fillId="19" borderId="0" xfId="0" applyFont="1" applyFill="1"/>
    <xf numFmtId="0" fontId="62" fillId="0" borderId="0" xfId="0" applyFont="1" applyAlignment="1">
      <alignment horizontal="left"/>
    </xf>
    <xf numFmtId="169" fontId="62" fillId="0" borderId="0" xfId="7" applyNumberFormat="1" applyFont="1" applyBorder="1"/>
    <xf numFmtId="165" fontId="62" fillId="0" borderId="0" xfId="1" applyFont="1" applyBorder="1"/>
    <xf numFmtId="165" fontId="62" fillId="0" borderId="0" xfId="1" applyFont="1"/>
    <xf numFmtId="165" fontId="62" fillId="0" borderId="0" xfId="1" applyFont="1" applyFill="1"/>
    <xf numFmtId="9" fontId="56" fillId="0" borderId="0" xfId="8" applyFont="1"/>
    <xf numFmtId="165" fontId="63" fillId="0" borderId="0" xfId="1" applyFont="1"/>
    <xf numFmtId="169" fontId="62" fillId="0" borderId="0" xfId="7" applyNumberFormat="1" applyFont="1"/>
    <xf numFmtId="170" fontId="62" fillId="0" borderId="0" xfId="7" applyNumberFormat="1" applyFont="1"/>
    <xf numFmtId="0" fontId="63" fillId="0" borderId="9" xfId="0" applyFont="1" applyBorder="1"/>
    <xf numFmtId="174" fontId="63" fillId="0" borderId="9" xfId="7" applyNumberFormat="1" applyFont="1" applyBorder="1"/>
    <xf numFmtId="167" fontId="62" fillId="0" borderId="0" xfId="0" applyNumberFormat="1" applyFont="1"/>
    <xf numFmtId="174" fontId="62" fillId="0" borderId="0" xfId="0" applyNumberFormat="1" applyFont="1"/>
    <xf numFmtId="0" fontId="63" fillId="0" borderId="39" xfId="0" applyFont="1" applyBorder="1"/>
    <xf numFmtId="0" fontId="62" fillId="0" borderId="39" xfId="0" applyFont="1" applyBorder="1"/>
    <xf numFmtId="0" fontId="63" fillId="8" borderId="0" xfId="0" applyFont="1" applyFill="1" applyAlignment="1">
      <alignment horizontal="right"/>
    </xf>
    <xf numFmtId="3" fontId="62" fillId="0" borderId="0" xfId="0" applyNumberFormat="1" applyFont="1"/>
    <xf numFmtId="4" fontId="62" fillId="0" borderId="0" xfId="0" applyNumberFormat="1" applyFont="1"/>
    <xf numFmtId="0" fontId="64" fillId="0" borderId="0" xfId="0" applyFont="1"/>
    <xf numFmtId="0" fontId="26" fillId="0" borderId="0" xfId="9" applyBorder="1"/>
    <xf numFmtId="0" fontId="58" fillId="0" borderId="0" xfId="9" applyFont="1" applyBorder="1"/>
    <xf numFmtId="2" fontId="13" fillId="0" borderId="0" xfId="0" applyNumberFormat="1" applyFont="1"/>
    <xf numFmtId="4" fontId="13" fillId="0" borderId="0" xfId="0" applyNumberFormat="1" applyFont="1"/>
    <xf numFmtId="0" fontId="57" fillId="0" borderId="0" xfId="0" applyFont="1"/>
    <xf numFmtId="167" fontId="0" fillId="0" borderId="0" xfId="1" applyNumberFormat="1" applyFont="1" applyBorder="1"/>
    <xf numFmtId="167" fontId="3" fillId="0" borderId="0" xfId="0" applyNumberFormat="1" applyFont="1"/>
    <xf numFmtId="9" fontId="0" fillId="0" borderId="0" xfId="0" applyNumberFormat="1"/>
    <xf numFmtId="0" fontId="11" fillId="0" borderId="0" xfId="0" applyFont="1" applyAlignment="1">
      <alignment vertical="center"/>
    </xf>
    <xf numFmtId="0" fontId="11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13" fillId="0" borderId="0" xfId="0" applyFont="1" applyAlignment="1">
      <alignment wrapText="1"/>
    </xf>
    <xf numFmtId="0" fontId="66" fillId="0" borderId="0" xfId="0" applyFont="1" applyAlignment="1">
      <alignment horizontal="center" vertical="center"/>
    </xf>
    <xf numFmtId="168" fontId="6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8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9" fontId="12" fillId="0" borderId="0" xfId="8" applyFont="1" applyAlignment="1">
      <alignment horizontal="right"/>
    </xf>
    <xf numFmtId="0" fontId="55" fillId="7" borderId="0" xfId="0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165" fontId="12" fillId="0" borderId="0" xfId="1" applyFont="1" applyAlignment="1">
      <alignment horizontal="right"/>
    </xf>
    <xf numFmtId="165" fontId="12" fillId="0" borderId="34" xfId="1" applyFont="1" applyBorder="1" applyAlignment="1">
      <alignment horizontal="right"/>
    </xf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0" fillId="0" borderId="7" xfId="0" applyBorder="1" applyAlignment="1">
      <alignment horizontal="right"/>
    </xf>
    <xf numFmtId="0" fontId="13" fillId="21" borderId="7" xfId="0" applyFont="1" applyFill="1" applyBorder="1" applyAlignment="1">
      <alignment horizontal="right" vertical="center" wrapText="1"/>
    </xf>
    <xf numFmtId="0" fontId="0" fillId="8" borderId="7" xfId="0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9" fontId="13" fillId="0" borderId="0" xfId="0" applyNumberFormat="1" applyFont="1" applyAlignment="1">
      <alignment horizontal="right"/>
    </xf>
    <xf numFmtId="9" fontId="13" fillId="0" borderId="0" xfId="1" applyNumberFormat="1" applyFont="1" applyAlignment="1">
      <alignment horizontal="right"/>
    </xf>
    <xf numFmtId="0" fontId="66" fillId="0" borderId="0" xfId="0" applyFont="1" applyAlignment="1">
      <alignment horizontal="right" vertical="center"/>
    </xf>
    <xf numFmtId="167" fontId="13" fillId="0" borderId="0" xfId="1" applyNumberFormat="1" applyFont="1" applyAlignment="1">
      <alignment horizontal="right"/>
    </xf>
    <xf numFmtId="172" fontId="0" fillId="0" borderId="0" xfId="0" applyNumberForma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33" xfId="0" applyFont="1" applyBorder="1" applyAlignment="1">
      <alignment horizontal="right"/>
    </xf>
    <xf numFmtId="0" fontId="61" fillId="2" borderId="0" xfId="2" applyFont="1" applyAlignment="1">
      <alignment horizontal="right"/>
    </xf>
    <xf numFmtId="0" fontId="60" fillId="3" borderId="0" xfId="3" applyFont="1" applyAlignment="1">
      <alignment horizontal="right"/>
    </xf>
    <xf numFmtId="0" fontId="59" fillId="5" borderId="0" xfId="5" applyFont="1" applyAlignment="1">
      <alignment horizontal="right"/>
    </xf>
    <xf numFmtId="0" fontId="3" fillId="0" borderId="7" xfId="0" applyFont="1" applyBorder="1" applyAlignment="1">
      <alignment horizontal="right"/>
    </xf>
    <xf numFmtId="0" fontId="62" fillId="0" borderId="4" xfId="0" applyFont="1" applyBorder="1"/>
    <xf numFmtId="0" fontId="62" fillId="0" borderId="5" xfId="0" applyFont="1" applyBorder="1" applyAlignment="1">
      <alignment horizontal="left"/>
    </xf>
    <xf numFmtId="169" fontId="62" fillId="0" borderId="5" xfId="7" applyNumberFormat="1" applyFont="1" applyBorder="1"/>
    <xf numFmtId="169" fontId="62" fillId="0" borderId="8" xfId="7" applyNumberFormat="1" applyFont="1" applyBorder="1"/>
    <xf numFmtId="0" fontId="62" fillId="0" borderId="37" xfId="0" applyFont="1" applyBorder="1"/>
    <xf numFmtId="0" fontId="62" fillId="0" borderId="10" xfId="0" applyFont="1" applyBorder="1" applyAlignment="1">
      <alignment horizontal="left"/>
    </xf>
    <xf numFmtId="169" fontId="62" fillId="0" borderId="10" xfId="7" applyNumberFormat="1" applyFont="1" applyBorder="1"/>
    <xf numFmtId="169" fontId="62" fillId="0" borderId="38" xfId="7" applyNumberFormat="1" applyFont="1" applyBorder="1"/>
    <xf numFmtId="169" fontId="62" fillId="0" borderId="0" xfId="0" applyNumberFormat="1" applyFont="1"/>
    <xf numFmtId="169" fontId="1" fillId="0" borderId="0" xfId="7" applyNumberFormat="1" applyFont="1"/>
    <xf numFmtId="174" fontId="62" fillId="0" borderId="0" xfId="7" applyNumberFormat="1" applyFont="1" applyBorder="1"/>
    <xf numFmtId="174" fontId="62" fillId="0" borderId="39" xfId="7" applyNumberFormat="1" applyFont="1" applyBorder="1"/>
    <xf numFmtId="170" fontId="62" fillId="0" borderId="0" xfId="0" applyNumberFormat="1" applyFont="1"/>
    <xf numFmtId="171" fontId="62" fillId="0" borderId="39" xfId="0" applyNumberFormat="1" applyFont="1" applyBorder="1"/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7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1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0" fontId="51" fillId="0" borderId="32" xfId="19" applyFont="1" applyAlignment="1">
      <alignment wrapText="1"/>
    </xf>
    <xf numFmtId="0" fontId="47" fillId="0" borderId="32" xfId="12" applyBorder="1" applyAlignment="1"/>
    <xf numFmtId="0" fontId="51" fillId="0" borderId="0" xfId="12" applyFont="1" applyAlignment="1"/>
    <xf numFmtId="0" fontId="47" fillId="0" borderId="0" xfId="12" applyAlignment="1"/>
  </cellXfs>
  <cellStyles count="20">
    <cellStyle name="1. Error Check" xfId="6" xr:uid="{8BE91375-BEA2-4D97-B82B-0BFAC6A2DCD8}"/>
    <cellStyle name="Body: normal cell" xfId="18" xr:uid="{34167065-C12F-4E7E-9F2D-9E5AB151C417}"/>
    <cellStyle name="Comma" xfId="1" builtinId="3"/>
    <cellStyle name="Currency" xfId="7" builtinId="4"/>
    <cellStyle name="Flag" xfId="4" xr:uid="{9B4EBD74-80A5-4C61-A68F-6C67CB5EDF80}"/>
    <cellStyle name="Font: Calibri, 9pt regular" xfId="13" xr:uid="{8781E592-DC1A-4315-8048-B5B55E28D967}"/>
    <cellStyle name="Footnotes: top row" xfId="19" xr:uid="{E5DFDCE2-B198-471E-9B9F-B690C7BE05BC}"/>
    <cellStyle name="Header: bottom row" xfId="14" xr:uid="{E0722E17-B0FA-43A2-96B1-0ABC16188342}"/>
    <cellStyle name="Heading 1 2" xfId="5" xr:uid="{A2F903C8-B843-45BC-A016-7B18D55C61FE}"/>
    <cellStyle name="Heading 2 2" xfId="3" xr:uid="{45BECF48-27D0-443A-9593-20AC55E671EC}"/>
    <cellStyle name="Heading 3 2" xfId="2" xr:uid="{500B550A-571A-44BF-9339-7DFB1A95A7AD}"/>
    <cellStyle name="Hyperlink" xfId="9" builtinId="8"/>
    <cellStyle name="Normal" xfId="0" builtinId="0"/>
    <cellStyle name="Normal 2" xfId="10" xr:uid="{85C1A819-D947-4173-83F8-1970A80DAC47}"/>
    <cellStyle name="Normal 2 2" xfId="15" xr:uid="{43BF6E42-F92B-4935-B1B2-5674ABAD51A8}"/>
    <cellStyle name="Normal 3" xfId="12" xr:uid="{236D4C81-90A8-4903-A78D-5FB6B5D20084}"/>
    <cellStyle name="Parent row" xfId="17" xr:uid="{2144BB0F-6168-4974-83B8-FCFF49D40DBE}"/>
    <cellStyle name="Percent" xfId="8" builtinId="5"/>
    <cellStyle name="Percent 2 2" xfId="11" xr:uid="{7E69ACD7-BEA8-425C-AAF0-821D3FA58F14}"/>
    <cellStyle name="Table title" xfId="16" xr:uid="{7D8DA9A4-869F-4CA4-8230-E85CBB5A237F}"/>
  </cellStyles>
  <dxfs count="18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68509735574425E-2"/>
          <c:y val="7.4022669442516772E-2"/>
          <c:w val="0.87226851958219687"/>
          <c:h val="0.80822008629906683"/>
        </c:manualLayout>
      </c:layout>
      <c:lineChart>
        <c:grouping val="standard"/>
        <c:varyColors val="0"/>
        <c:ser>
          <c:idx val="0"/>
          <c:order val="0"/>
          <c:tx>
            <c:v>Avg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numRef>
              <c:f>'Reefer capacity AVG  No X '!$B$2:$AB$2</c:f>
              <c:numCache>
                <c:formatCode>0</c:formatCode>
                <c:ptCount val="2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</c:numCache>
            </c:numRef>
          </c:cat>
          <c:val>
            <c:numRef>
              <c:f>'Reefer capacity AVG  No X '!$B$66:$AB$66</c:f>
              <c:numCache>
                <c:formatCode>0%</c:formatCode>
                <c:ptCount val="26"/>
                <c:pt idx="0">
                  <c:v>0.86419102564102568</c:v>
                </c:pt>
                <c:pt idx="1">
                  <c:v>0.91149048503682861</c:v>
                </c:pt>
                <c:pt idx="2">
                  <c:v>0.98440972383977532</c:v>
                </c:pt>
                <c:pt idx="3">
                  <c:v>1.0631625017469573</c:v>
                </c:pt>
                <c:pt idx="4">
                  <c:v>1.1482155018867137</c:v>
                </c:pt>
                <c:pt idx="5">
                  <c:v>1.2400727420376509</c:v>
                </c:pt>
                <c:pt idx="6">
                  <c:v>1.3392785614006635</c:v>
                </c:pt>
                <c:pt idx="7">
                  <c:v>1.4464208463127166</c:v>
                </c:pt>
                <c:pt idx="8">
                  <c:v>1.6871052751391531</c:v>
                </c:pt>
                <c:pt idx="9">
                  <c:v>1.8220736971502856</c:v>
                </c:pt>
                <c:pt idx="10">
                  <c:v>1.9678395929223085</c:v>
                </c:pt>
                <c:pt idx="11">
                  <c:v>2.1252667603560931</c:v>
                </c:pt>
                <c:pt idx="12">
                  <c:v>2.2952881011845809</c:v>
                </c:pt>
                <c:pt idx="13">
                  <c:v>2.4789111492793472</c:v>
                </c:pt>
                <c:pt idx="14">
                  <c:v>2.6772240412216957</c:v>
                </c:pt>
                <c:pt idx="15">
                  <c:v>2.8914019645194315</c:v>
                </c:pt>
                <c:pt idx="16">
                  <c:v>3.1227141216809855</c:v>
                </c:pt>
                <c:pt idx="17">
                  <c:v>3.3725312514154644</c:v>
                </c:pt>
                <c:pt idx="18">
                  <c:v>3.6423337515287009</c:v>
                </c:pt>
                <c:pt idx="19">
                  <c:v>3.933720451650998</c:v>
                </c:pt>
                <c:pt idx="20">
                  <c:v>4.2484180877830777</c:v>
                </c:pt>
                <c:pt idx="21">
                  <c:v>4.5882915348057249</c:v>
                </c:pt>
                <c:pt idx="22">
                  <c:v>4.9553548575901836</c:v>
                </c:pt>
                <c:pt idx="23">
                  <c:v>5.3517832461973978</c:v>
                </c:pt>
                <c:pt idx="24">
                  <c:v>5.7799259058931911</c:v>
                </c:pt>
                <c:pt idx="25">
                  <c:v>6.2423199783646455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2-4219-A582-72A9DF7B18B3}"/>
            </c:ext>
          </c:extLst>
        </c:ser>
        <c:ser>
          <c:idx val="1"/>
          <c:order val="1"/>
          <c:tx>
            <c:v>Peak</c:v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val>
            <c:numRef>
              <c:f>'[3]Reefer capacity PEAK No X '!$B$66:$AB$66</c:f>
              <c:numCache>
                <c:formatCode>General</c:formatCode>
                <c:ptCount val="27"/>
                <c:pt idx="0">
                  <c:v>1.244435076923077</c:v>
                </c:pt>
                <c:pt idx="1">
                  <c:v>1.3125462984530334</c:v>
                </c:pt>
                <c:pt idx="2">
                  <c:v>1.4175500023292764</c:v>
                </c:pt>
                <c:pt idx="3">
                  <c:v>1.5309540025156183</c:v>
                </c:pt>
                <c:pt idx="4">
                  <c:v>1.6534303227168681</c:v>
                </c:pt>
                <c:pt idx="5">
                  <c:v>1.7857047485342175</c:v>
                </c:pt>
                <c:pt idx="6">
                  <c:v>1.9285611284169555</c:v>
                </c:pt>
                <c:pt idx="7">
                  <c:v>2.0828460186903119</c:v>
                </c:pt>
                <c:pt idx="8">
                  <c:v>2.2494737001855372</c:v>
                </c:pt>
                <c:pt idx="9">
                  <c:v>2.4294315962003803</c:v>
                </c:pt>
                <c:pt idx="10">
                  <c:v>2.6237861238964113</c:v>
                </c:pt>
                <c:pt idx="11">
                  <c:v>2.8336890138081241</c:v>
                </c:pt>
                <c:pt idx="12">
                  <c:v>3.0603841349127743</c:v>
                </c:pt>
                <c:pt idx="13">
                  <c:v>3.3052148657057963</c:v>
                </c:pt>
                <c:pt idx="14">
                  <c:v>3.56963205496226</c:v>
                </c:pt>
                <c:pt idx="15">
                  <c:v>3.8552026193592415</c:v>
                </c:pt>
                <c:pt idx="16">
                  <c:v>4.1636188289079801</c:v>
                </c:pt>
                <c:pt idx="17">
                  <c:v>4.4967083352206192</c:v>
                </c:pt>
                <c:pt idx="18">
                  <c:v>4.856445002038269</c:v>
                </c:pt>
                <c:pt idx="19">
                  <c:v>5.2449606022013295</c:v>
                </c:pt>
                <c:pt idx="20">
                  <c:v>5.6645574503774379</c:v>
                </c:pt>
                <c:pt idx="21">
                  <c:v>6.1177220464076321</c:v>
                </c:pt>
                <c:pt idx="22">
                  <c:v>6.607139810120243</c:v>
                </c:pt>
                <c:pt idx="23">
                  <c:v>7.1357109949298625</c:v>
                </c:pt>
                <c:pt idx="24">
                  <c:v>7.7065678745242527</c:v>
                </c:pt>
                <c:pt idx="25">
                  <c:v>8.3230933044861928</c:v>
                </c:pt>
                <c:pt idx="26">
                  <c:v>8.9889407688450902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2-4219-A582-72A9DF7B18B3}"/>
            </c:ext>
          </c:extLst>
        </c:ser>
        <c:ser>
          <c:idx val="2"/>
          <c:order val="2"/>
          <c:tx>
            <c:v>Capacity</c:v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square"/>
            <c:size val="2"/>
            <c:spPr>
              <a:solidFill>
                <a:srgbClr val="FF0000"/>
              </a:solidFill>
              <a:ln w="9525" cap="flat" cmpd="sng" algn="ctr">
                <a:solidFill>
                  <a:schemeClr val="lt1"/>
                </a:solidFill>
                <a:round/>
              </a:ln>
              <a:effectLst/>
            </c:spPr>
          </c:marker>
          <c:val>
            <c:numRef>
              <c:f>'Reefer capacity AVG  No X '!$B$67:$AB$67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2-4219-A582-72A9DF7B18B3}"/>
            </c:ext>
          </c:extLst>
        </c:ser>
        <c:ser>
          <c:idx val="3"/>
          <c:order val="3"/>
          <c:tx>
            <c:v>Avg X Cap</c:v>
          </c:tx>
          <c:spPr>
            <a:ln w="38100" cap="flat" cmpd="dbl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val>
            <c:numRef>
              <c:f>'[3]Reefer capacity AVG '!$B$66:$AB$66</c:f>
              <c:numCache>
                <c:formatCode>General</c:formatCode>
                <c:ptCount val="27"/>
                <c:pt idx="0">
                  <c:v>0.86419102564102568</c:v>
                </c:pt>
                <c:pt idx="1">
                  <c:v>0.91149048503682861</c:v>
                </c:pt>
                <c:pt idx="2">
                  <c:v>0.98440972383977532</c:v>
                </c:pt>
                <c:pt idx="3">
                  <c:v>0.44298437572789884</c:v>
                </c:pt>
                <c:pt idx="4">
                  <c:v>0.30216197418071417</c:v>
                </c:pt>
                <c:pt idx="5">
                  <c:v>0.32633493211517128</c:v>
                </c:pt>
                <c:pt idx="6">
                  <c:v>0.35244172668438517</c:v>
                </c:pt>
                <c:pt idx="7">
                  <c:v>0.38063706481913595</c:v>
                </c:pt>
                <c:pt idx="8">
                  <c:v>0.41108803000466687</c:v>
                </c:pt>
                <c:pt idx="9">
                  <c:v>0.44397507240504031</c:v>
                </c:pt>
                <c:pt idx="10">
                  <c:v>0.47949307819744358</c:v>
                </c:pt>
                <c:pt idx="11">
                  <c:v>0.51785252445323904</c:v>
                </c:pt>
                <c:pt idx="12">
                  <c:v>0.55928072640949822</c:v>
                </c:pt>
                <c:pt idx="13">
                  <c:v>0.60402318452225812</c:v>
                </c:pt>
                <c:pt idx="14">
                  <c:v>0.65234503928403875</c:v>
                </c:pt>
                <c:pt idx="15">
                  <c:v>0.70453264242676195</c:v>
                </c:pt>
                <c:pt idx="16">
                  <c:v>0.76089525382090306</c:v>
                </c:pt>
                <c:pt idx="17">
                  <c:v>0.82176687412657512</c:v>
                </c:pt>
                <c:pt idx="18">
                  <c:v>0.88750822405670116</c:v>
                </c:pt>
                <c:pt idx="19">
                  <c:v>0.95850888198123707</c:v>
                </c:pt>
                <c:pt idx="20">
                  <c:v>1.0351895925397363</c:v>
                </c:pt>
                <c:pt idx="21">
                  <c:v>1.1180047599429153</c:v>
                </c:pt>
                <c:pt idx="22">
                  <c:v>1.2074451407383486</c:v>
                </c:pt>
                <c:pt idx="23">
                  <c:v>1.3040407519974166</c:v>
                </c:pt>
                <c:pt idx="24">
                  <c:v>1.4083640121572099</c:v>
                </c:pt>
                <c:pt idx="25">
                  <c:v>1.5210331331297871</c:v>
                </c:pt>
                <c:pt idx="26">
                  <c:v>1.6427157837801698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82-4219-A582-72A9DF7B18B3}"/>
            </c:ext>
          </c:extLst>
        </c:ser>
        <c:ser>
          <c:idx val="4"/>
          <c:order val="4"/>
          <c:tx>
            <c:v>Peak X Cap</c:v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val>
            <c:numRef>
              <c:f>'[3]Reefer capacity PEAK '!$B$49:$AB$49</c:f>
              <c:numCache>
                <c:formatCode>General</c:formatCode>
                <c:ptCount val="27"/>
                <c:pt idx="0">
                  <c:v>1.244435076923077</c:v>
                </c:pt>
                <c:pt idx="1">
                  <c:v>1.3125462984530334</c:v>
                </c:pt>
                <c:pt idx="2">
                  <c:v>1.4175500023292764</c:v>
                </c:pt>
                <c:pt idx="3">
                  <c:v>0.63789750104817422</c:v>
                </c:pt>
                <c:pt idx="4">
                  <c:v>0.43511324282022845</c:v>
                </c:pt>
                <c:pt idx="5">
                  <c:v>0.46992230224584669</c:v>
                </c:pt>
                <c:pt idx="6">
                  <c:v>0.5075160864255146</c:v>
                </c:pt>
                <c:pt idx="7">
                  <c:v>0.54811737333955579</c:v>
                </c:pt>
                <c:pt idx="8">
                  <c:v>0.59196676320672026</c:v>
                </c:pt>
                <c:pt idx="9">
                  <c:v>0.63932410426325803</c:v>
                </c:pt>
                <c:pt idx="10">
                  <c:v>0.69047003260431872</c:v>
                </c:pt>
                <c:pt idx="11">
                  <c:v>0.74570763521266414</c:v>
                </c:pt>
                <c:pt idx="12">
                  <c:v>0.80536424602967738</c:v>
                </c:pt>
                <c:pt idx="13">
                  <c:v>0.86979338571205167</c:v>
                </c:pt>
                <c:pt idx="14">
                  <c:v>0.93937685656901582</c:v>
                </c:pt>
                <c:pt idx="15">
                  <c:v>1.0145270050945372</c:v>
                </c:pt>
                <c:pt idx="16">
                  <c:v>1.0956891655021002</c:v>
                </c:pt>
                <c:pt idx="17">
                  <c:v>1.1833442987422682</c:v>
                </c:pt>
                <c:pt idx="18">
                  <c:v>1.2780118426416498</c:v>
                </c:pt>
                <c:pt idx="19">
                  <c:v>1.3802527900529815</c:v>
                </c:pt>
                <c:pt idx="20">
                  <c:v>1.4906730132572206</c:v>
                </c:pt>
                <c:pt idx="21">
                  <c:v>1.609926854317798</c:v>
                </c:pt>
                <c:pt idx="22">
                  <c:v>1.7387210026632218</c:v>
                </c:pt>
                <c:pt idx="23">
                  <c:v>1.8778186828762797</c:v>
                </c:pt>
                <c:pt idx="24">
                  <c:v>2.0280441775063824</c:v>
                </c:pt>
                <c:pt idx="25">
                  <c:v>2.1902877117068931</c:v>
                </c:pt>
                <c:pt idx="26">
                  <c:v>2.3655107286434447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82-4219-A582-72A9DF7B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5819320"/>
        <c:axId val="915822600"/>
      </c:lineChart>
      <c:catAx>
        <c:axId val="91581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22600"/>
        <c:crosses val="autoZero"/>
        <c:auto val="1"/>
        <c:lblAlgn val="ctr"/>
        <c:lblOffset val="100"/>
        <c:noMultiLvlLbl val="0"/>
      </c:catAx>
      <c:valAx>
        <c:axId val="91582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1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68509735574425E-2"/>
          <c:y val="7.4022669442516772E-2"/>
          <c:w val="0.87226851958219687"/>
          <c:h val="0.80822008629906683"/>
        </c:manualLayout>
      </c:layout>
      <c:lineChart>
        <c:grouping val="standard"/>
        <c:varyColors val="0"/>
        <c:ser>
          <c:idx val="0"/>
          <c:order val="0"/>
          <c:tx>
            <c:v>Avg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numRef>
              <c:f>'Reefer capacity AVG '!$B$2:$AB$2</c:f>
              <c:numCache>
                <c:formatCode>0</c:formatCode>
                <c:ptCount val="2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</c:numCache>
            </c:numRef>
          </c:cat>
          <c:val>
            <c:numRef>
              <c:f>'Reefer capacity AVG '!$B$66:$AB$66</c:f>
              <c:numCache>
                <c:formatCode>0%</c:formatCode>
                <c:ptCount val="26"/>
                <c:pt idx="0">
                  <c:v>0.86419102564102568</c:v>
                </c:pt>
                <c:pt idx="1">
                  <c:v>0.91149048503682861</c:v>
                </c:pt>
                <c:pt idx="2">
                  <c:v>0.98440972383977532</c:v>
                </c:pt>
                <c:pt idx="3">
                  <c:v>0.44298437572789884</c:v>
                </c:pt>
                <c:pt idx="4">
                  <c:v>0.30216197418071417</c:v>
                </c:pt>
                <c:pt idx="5">
                  <c:v>0.32633493211517128</c:v>
                </c:pt>
                <c:pt idx="6">
                  <c:v>0.35244172668438517</c:v>
                </c:pt>
                <c:pt idx="7">
                  <c:v>0.38063706481913595</c:v>
                </c:pt>
                <c:pt idx="8">
                  <c:v>0.44397507240504031</c:v>
                </c:pt>
                <c:pt idx="9">
                  <c:v>0.47949307819744358</c:v>
                </c:pt>
                <c:pt idx="10">
                  <c:v>0.51785252445323904</c:v>
                </c:pt>
                <c:pt idx="11">
                  <c:v>0.55928072640949822</c:v>
                </c:pt>
                <c:pt idx="12">
                  <c:v>0.60402318452225812</c:v>
                </c:pt>
                <c:pt idx="13">
                  <c:v>0.65234503928403875</c:v>
                </c:pt>
                <c:pt idx="14">
                  <c:v>0.70453264242676195</c:v>
                </c:pt>
                <c:pt idx="15">
                  <c:v>0.76089525382090306</c:v>
                </c:pt>
                <c:pt idx="16">
                  <c:v>0.82176687412657512</c:v>
                </c:pt>
                <c:pt idx="17">
                  <c:v>0.88750822405670116</c:v>
                </c:pt>
                <c:pt idx="18">
                  <c:v>0.95850888198123707</c:v>
                </c:pt>
                <c:pt idx="19">
                  <c:v>1.0351895925397363</c:v>
                </c:pt>
                <c:pt idx="20">
                  <c:v>1.1180047599429153</c:v>
                </c:pt>
                <c:pt idx="21">
                  <c:v>1.2074451407383486</c:v>
                </c:pt>
                <c:pt idx="22">
                  <c:v>1.3040407519974166</c:v>
                </c:pt>
                <c:pt idx="23">
                  <c:v>1.4083640121572099</c:v>
                </c:pt>
                <c:pt idx="24">
                  <c:v>1.5210331331297871</c:v>
                </c:pt>
                <c:pt idx="25">
                  <c:v>1.6427157837801698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B-46C6-AB55-4A62B14C6B95}"/>
            </c:ext>
          </c:extLst>
        </c:ser>
        <c:ser>
          <c:idx val="1"/>
          <c:order val="1"/>
          <c:tx>
            <c:v>Peak</c:v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val>
            <c:numRef>
              <c:f>'[3]Reefer capacity PEAK '!$B$66:$AB$66</c:f>
              <c:numCache>
                <c:formatCode>General</c:formatCode>
                <c:ptCount val="27"/>
                <c:pt idx="0">
                  <c:v>1.244435076923077</c:v>
                </c:pt>
                <c:pt idx="1">
                  <c:v>1.3125462984530334</c:v>
                </c:pt>
                <c:pt idx="2">
                  <c:v>1.4175500023292764</c:v>
                </c:pt>
                <c:pt idx="3">
                  <c:v>0.63789750104817422</c:v>
                </c:pt>
                <c:pt idx="4">
                  <c:v>0.43511324282022845</c:v>
                </c:pt>
                <c:pt idx="5">
                  <c:v>0.46992230224584669</c:v>
                </c:pt>
                <c:pt idx="6">
                  <c:v>0.5075160864255146</c:v>
                </c:pt>
                <c:pt idx="7">
                  <c:v>0.54811737333955579</c:v>
                </c:pt>
                <c:pt idx="8">
                  <c:v>0.59196676320672026</c:v>
                </c:pt>
                <c:pt idx="9">
                  <c:v>0.63932410426325803</c:v>
                </c:pt>
                <c:pt idx="10">
                  <c:v>0.69047003260431872</c:v>
                </c:pt>
                <c:pt idx="11">
                  <c:v>0.74570763521266414</c:v>
                </c:pt>
                <c:pt idx="12">
                  <c:v>0.80536424602967738</c:v>
                </c:pt>
                <c:pt idx="13">
                  <c:v>0.86979338571205167</c:v>
                </c:pt>
                <c:pt idx="14">
                  <c:v>0.93937685656901582</c:v>
                </c:pt>
                <c:pt idx="15">
                  <c:v>1.0145270050945372</c:v>
                </c:pt>
                <c:pt idx="16">
                  <c:v>1.0956891655021002</c:v>
                </c:pt>
                <c:pt idx="17">
                  <c:v>1.1833442987422682</c:v>
                </c:pt>
                <c:pt idx="18">
                  <c:v>1.2780118426416498</c:v>
                </c:pt>
                <c:pt idx="19">
                  <c:v>1.3802527900529815</c:v>
                </c:pt>
                <c:pt idx="20">
                  <c:v>1.4906730132572206</c:v>
                </c:pt>
                <c:pt idx="21">
                  <c:v>1.609926854317798</c:v>
                </c:pt>
                <c:pt idx="22">
                  <c:v>1.7387210026632218</c:v>
                </c:pt>
                <c:pt idx="23">
                  <c:v>1.8778186828762797</c:v>
                </c:pt>
                <c:pt idx="24">
                  <c:v>2.0280441775063824</c:v>
                </c:pt>
                <c:pt idx="25">
                  <c:v>2.1902877117068931</c:v>
                </c:pt>
                <c:pt idx="26">
                  <c:v>2.3655107286434447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B-46C6-AB55-4A62B14C6B95}"/>
            </c:ext>
          </c:extLst>
        </c:ser>
        <c:ser>
          <c:idx val="2"/>
          <c:order val="2"/>
          <c:tx>
            <c:v>Capacity</c:v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val>
            <c:numRef>
              <c:f>'Reefer capacity AVG '!$B$67:$AB$67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B-46C6-AB55-4A62B14C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5819320"/>
        <c:axId val="915822600"/>
      </c:lineChart>
      <c:catAx>
        <c:axId val="91581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22600"/>
        <c:crosses val="autoZero"/>
        <c:auto val="1"/>
        <c:lblAlgn val="ctr"/>
        <c:lblOffset val="100"/>
        <c:noMultiLvlLbl val="0"/>
      </c:catAx>
      <c:valAx>
        <c:axId val="91582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1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IMT</a:t>
            </a:r>
            <a:r>
              <a:rPr lang="en-US" baseline="0"/>
              <a:t> Reefer Container Throughput 2017-2022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25847002591705E-2"/>
          <c:y val="0.16430520260555073"/>
          <c:w val="0.87917392684532425"/>
          <c:h val="0.62138606379519812"/>
        </c:manualLayout>
      </c:layout>
      <c:lineChart>
        <c:grouping val="standard"/>
        <c:varyColors val="0"/>
        <c:ser>
          <c:idx val="0"/>
          <c:order val="0"/>
          <c:tx>
            <c:v>Exports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'IMT Reefer Container Data'!$C$3:$H$3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'IMT Reefer Container Data'!$C$4:$H$4</c:f>
              <c:numCache>
                <c:formatCode>#,##0</c:formatCode>
                <c:ptCount val="6"/>
                <c:pt idx="0">
                  <c:v>669</c:v>
                </c:pt>
                <c:pt idx="1">
                  <c:v>638</c:v>
                </c:pt>
                <c:pt idx="2">
                  <c:v>760</c:v>
                </c:pt>
                <c:pt idx="3">
                  <c:v>576</c:v>
                </c:pt>
                <c:pt idx="4">
                  <c:v>1409</c:v>
                </c:pt>
                <c:pt idx="5">
                  <c:v>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215-BF2F-1D74C8BAB1C8}"/>
            </c:ext>
          </c:extLst>
        </c:ser>
        <c:ser>
          <c:idx val="1"/>
          <c:order val="1"/>
          <c:tx>
            <c:v>Imports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'IMT Reefer Container Data'!$C$3:$H$3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'IMT Reefer Container Data'!$C$7:$H$7</c:f>
              <c:numCache>
                <c:formatCode>#,##0</c:formatCode>
                <c:ptCount val="6"/>
                <c:pt idx="0">
                  <c:v>1960</c:v>
                </c:pt>
                <c:pt idx="1">
                  <c:v>2126</c:v>
                </c:pt>
                <c:pt idx="2">
                  <c:v>2276</c:v>
                </c:pt>
                <c:pt idx="3">
                  <c:v>2825</c:v>
                </c:pt>
                <c:pt idx="4">
                  <c:v>3940</c:v>
                </c:pt>
                <c:pt idx="5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B-4215-BF2F-1D74C8BA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4595151"/>
        <c:axId val="1793033951"/>
      </c:lineChart>
      <c:catAx>
        <c:axId val="178459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033951"/>
        <c:crosses val="autoZero"/>
        <c:auto val="1"/>
        <c:lblAlgn val="ctr"/>
        <c:lblOffset val="100"/>
        <c:noMultiLvlLbl val="0"/>
      </c:catAx>
      <c:valAx>
        <c:axId val="179303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59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'IMT Reefer Container Data'!$A$22</c:f>
              <c:strCache>
                <c:ptCount val="1"/>
                <c:pt idx="0">
                  <c:v>O'all Vol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'IMT Reefer Container Data'!$B$20:$L$20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'IMT Reefer Container Data'!$B$22:$L$22</c:f>
              <c:numCache>
                <c:formatCode>_-* #,##0_-;\-* #,##0_-;_-* "-"??_-;_-@_-</c:formatCode>
                <c:ptCount val="11"/>
                <c:pt idx="0">
                  <c:v>9850.5555555555547</c:v>
                </c:pt>
                <c:pt idx="1">
                  <c:v>12402.777777777777</c:v>
                </c:pt>
                <c:pt idx="2">
                  <c:v>15414.444444444443</c:v>
                </c:pt>
                <c:pt idx="3">
                  <c:v>15954.444444444443</c:v>
                </c:pt>
                <c:pt idx="4">
                  <c:v>21207.777777777777</c:v>
                </c:pt>
                <c:pt idx="5">
                  <c:v>24130.555555555555</c:v>
                </c:pt>
                <c:pt idx="6">
                  <c:v>27313.492473825096</c:v>
                </c:pt>
                <c:pt idx="7">
                  <c:v>29498.571871731107</c:v>
                </c:pt>
                <c:pt idx="8">
                  <c:v>31858.457621469595</c:v>
                </c:pt>
                <c:pt idx="9">
                  <c:v>34407.134231187163</c:v>
                </c:pt>
                <c:pt idx="10">
                  <c:v>37159.704969682141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DA5-82A0-C875FCE14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957136"/>
        <c:axId val="843205280"/>
      </c:lineChart>
      <c:lineChart>
        <c:grouping val="standard"/>
        <c:varyColors val="0"/>
        <c:ser>
          <c:idx val="0"/>
          <c:order val="0"/>
          <c:tx>
            <c:strRef>
              <c:f>'IMT Reefer Container Data'!$A$21</c:f>
              <c:strCache>
                <c:ptCount val="1"/>
                <c:pt idx="0">
                  <c:v>Reefers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E3-4DA5-82A0-C875FCE1467F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alpha val="48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E3-4DA5-82A0-C875FCE1467F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alpha val="48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E3-4DA5-82A0-C875FCE1467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alpha val="48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1E3-4DA5-82A0-C875FCE1467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alpha val="48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71E3-4DA5-82A0-C875FCE1467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alpha val="48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71E3-4DA5-82A0-C875FCE1467F}"/>
              </c:ext>
            </c:extLst>
          </c:dPt>
          <c:cat>
            <c:numRef>
              <c:f>'IMT Reefer Container Data'!$B$20:$L$20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'IMT Reefer Container Data'!$B$21:$L$21</c:f>
              <c:numCache>
                <c:formatCode>#,##0</c:formatCode>
                <c:ptCount val="11"/>
                <c:pt idx="0">
                  <c:v>2629</c:v>
                </c:pt>
                <c:pt idx="1">
                  <c:v>2764</c:v>
                </c:pt>
                <c:pt idx="2">
                  <c:v>3036</c:v>
                </c:pt>
                <c:pt idx="3">
                  <c:v>3401</c:v>
                </c:pt>
                <c:pt idx="4">
                  <c:v>5349</c:v>
                </c:pt>
                <c:pt idx="5">
                  <c:v>6127</c:v>
                </c:pt>
                <c:pt idx="6">
                  <c:v>6400.4553324516246</c:v>
                </c:pt>
                <c:pt idx="7">
                  <c:v>6912.4917590477562</c:v>
                </c:pt>
                <c:pt idx="8">
                  <c:v>7465.491099771576</c:v>
                </c:pt>
                <c:pt idx="9">
                  <c:v>8062.7303877533022</c:v>
                </c:pt>
                <c:pt idx="10">
                  <c:v>8707.7488187735671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E3-4DA5-82A0-C875FCE14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3488"/>
        <c:axId val="1044065280"/>
      </c:lineChart>
      <c:catAx>
        <c:axId val="104195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205280"/>
        <c:crosses val="autoZero"/>
        <c:auto val="1"/>
        <c:lblAlgn val="ctr"/>
        <c:lblOffset val="100"/>
        <c:noMultiLvlLbl val="0"/>
      </c:catAx>
      <c:valAx>
        <c:axId val="84320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957136"/>
        <c:crosses val="autoZero"/>
        <c:crossBetween val="between"/>
      </c:valAx>
      <c:valAx>
        <c:axId val="10440652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93488"/>
        <c:crosses val="max"/>
        <c:crossBetween val="between"/>
      </c:valAx>
      <c:catAx>
        <c:axId val="84569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406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399713</xdr:colOff>
      <xdr:row>78</xdr:row>
      <xdr:rowOff>40453</xdr:rowOff>
    </xdr:from>
    <xdr:to>
      <xdr:col>13</xdr:col>
      <xdr:colOff>504825</xdr:colOff>
      <xdr:row>102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D0033-D40A-4115-B47D-3C1CB5EEB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389553</xdr:colOff>
      <xdr:row>78</xdr:row>
      <xdr:rowOff>40452</xdr:rowOff>
    </xdr:from>
    <xdr:to>
      <xdr:col>13</xdr:col>
      <xdr:colOff>371475</xdr:colOff>
      <xdr:row>104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2C9B88-DC9F-4EDF-BDEB-6400229A3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620280</xdr:colOff>
      <xdr:row>39</xdr:row>
      <xdr:rowOff>88353</xdr:rowOff>
    </xdr:from>
    <xdr:to>
      <xdr:col>12</xdr:col>
      <xdr:colOff>647460</xdr:colOff>
      <xdr:row>55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B74BE82-12AA-4ABB-9533-26FB5E809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272428</xdr:colOff>
      <xdr:row>39</xdr:row>
      <xdr:rowOff>81062</xdr:rowOff>
    </xdr:from>
    <xdr:to>
      <xdr:col>6</xdr:col>
      <xdr:colOff>58157</xdr:colOff>
      <xdr:row>54</xdr:row>
      <xdr:rowOff>43296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33C5A7C-E2E8-4756-85A7-85F9E17CD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12</xdr:col>
      <xdr:colOff>326390</xdr:colOff>
      <xdr:row>22</xdr:row>
      <xdr:rowOff>27305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216878-C233-4CDC-BA42-2E0F8BF9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632190" cy="398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518160</xdr:colOff>
      <xdr:row>6</xdr:row>
      <xdr:rowOff>175260</xdr:rowOff>
    </xdr:from>
    <xdr:to>
      <xdr:col>1</xdr:col>
      <xdr:colOff>525780</xdr:colOff>
      <xdr:row>20</xdr:row>
      <xdr:rowOff>160020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472093-F0C4-48C9-9B23-96CA77366C6B}"/>
            </a:ext>
          </a:extLst>
        </xdr:cNvPr>
        <xdr:cNvCxnSpPr/>
      </xdr:nvCxnSpPr>
      <xdr:spPr>
        <a:xfrm>
          <a:off x="1130935" y="1264285"/>
          <a:ext cx="1270" cy="25184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16</xdr:row>
      <xdr:rowOff>161103</xdr:rowOff>
    </xdr:from>
    <xdr:to>
      <xdr:col>5</xdr:col>
      <xdr:colOff>613795</xdr:colOff>
      <xdr:row>35</xdr:row>
      <xdr:rowOff>9297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BF7DF36-A23B-4050-A9DF-E701658E0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87" t="27916" r="41252" b="14783"/>
        <a:stretch/>
      </xdr:blipFill>
      <xdr:spPr>
        <a:xfrm>
          <a:off x="285750" y="3137666"/>
          <a:ext cx="5419158" cy="2921594"/>
        </a:xfrm>
        <a:prstGeom prst="rect">
          <a:avLst/>
        </a:prstGeom>
      </xdr:spPr>
    </xdr:pic>
    <xdr:clientData/>
  </xdr:twoCellAnchor>
  <xdr:twoCellAnchor editAs="oneCell">
    <xdr:from>
      <xdr:col>1</xdr:col>
      <xdr:colOff>381660</xdr:colOff>
      <xdr:row>37</xdr:row>
      <xdr:rowOff>82841</xdr:rowOff>
    </xdr:from>
    <xdr:to>
      <xdr:col>5</xdr:col>
      <xdr:colOff>719252</xdr:colOff>
      <xdr:row>55</xdr:row>
      <xdr:rowOff>43090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DE1CD6F2-B8AA-4F1C-9B7F-49DA95D9A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348" t="28149" r="25913" b="11295"/>
        <a:stretch/>
      </xdr:blipFill>
      <xdr:spPr>
        <a:xfrm>
          <a:off x="595973" y="6559841"/>
          <a:ext cx="5217567" cy="287807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57</xdr:row>
      <xdr:rowOff>150020</xdr:rowOff>
    </xdr:from>
    <xdr:to>
      <xdr:col>11</xdr:col>
      <xdr:colOff>921112</xdr:colOff>
      <xdr:row>91</xdr:row>
      <xdr:rowOff>145257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30922CCA-90DD-49F9-BB55-D91737092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344" r="21449"/>
        <a:stretch/>
      </xdr:blipFill>
      <xdr:spPr>
        <a:xfrm>
          <a:off x="171450" y="9960770"/>
          <a:ext cx="11741512" cy="5500687"/>
        </a:xfrm>
        <a:prstGeom prst="rect">
          <a:avLst/>
        </a:prstGeom>
      </xdr:spPr>
    </xdr:pic>
    <xdr:clientData/>
  </xdr:twoCellAnchor>
  <xdr:twoCellAnchor>
    <xdr:from>
      <xdr:col>6</xdr:col>
      <xdr:colOff>573741</xdr:colOff>
      <xdr:row>63</xdr:row>
      <xdr:rowOff>89647</xdr:rowOff>
    </xdr:from>
    <xdr:to>
      <xdr:col>6</xdr:col>
      <xdr:colOff>1004047</xdr:colOff>
      <xdr:row>66</xdr:row>
      <xdr:rowOff>143435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D33B9BE-98A2-42CC-B5F2-732F32B53F14}"/>
            </a:ext>
          </a:extLst>
        </xdr:cNvPr>
        <xdr:cNvSpPr/>
      </xdr:nvSpPr>
      <xdr:spPr>
        <a:xfrm>
          <a:off x="6707841" y="10611597"/>
          <a:ext cx="427131" cy="53956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411583</xdr:colOff>
      <xdr:row>68</xdr:row>
      <xdr:rowOff>45103</xdr:rowOff>
    </xdr:from>
    <xdr:to>
      <xdr:col>8</xdr:col>
      <xdr:colOff>848239</xdr:colOff>
      <xdr:row>71</xdr:row>
      <xdr:rowOff>89366</xdr:rowOff>
    </xdr:to>
    <xdr:sp macro="" textlink="">
      <xdr:nvSpPr>
        <xdr:cNvPr id="11" name="Oval 5">
          <a:extLst>
            <a:ext uri="{FF2B5EF4-FFF2-40B4-BE49-F238E27FC236}">
              <a16:creationId xmlns:a16="http://schemas.microsoft.com/office/drawing/2014/main" id="{132A9B46-AB2C-42F8-86AE-9649D3A37EEE}"/>
            </a:ext>
          </a:extLst>
        </xdr:cNvPr>
        <xdr:cNvSpPr/>
      </xdr:nvSpPr>
      <xdr:spPr>
        <a:xfrm>
          <a:off x="7769646" y="11689416"/>
          <a:ext cx="436656" cy="54432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Excel%20files\THROUGHPUT\Yard%202007%20Business%20plan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Excel%20files\THROUGHPUT\Yard%202007%20Business%20pla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cobsengineeringgbr-my.sharepoint.com/personal/justin_phillips_jacobs_com/Documents/UPDATED-%20IMT%20Reefer%20Contain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y month"/>
      <sheetName val="Sensitivity"/>
      <sheetName val="15 Year plan (No1&amp;2)"/>
      <sheetName val="15 Year plan (No1)"/>
      <sheetName val="15 Year plan (No2)"/>
      <sheetName val="15 Year plan"/>
      <sheetName val="15 Year plan c "/>
      <sheetName val="Vol Year"/>
      <sheetName val="sumvc"/>
      <sheetName val="sumv"/>
      <sheetName val="%I&amp;E"/>
      <sheetName val="phasingv"/>
      <sheetName val="capacity+500K TEU"/>
      <sheetName val="capacity"/>
      <sheetName val="Sheet2"/>
      <sheetName val="volumes "/>
      <sheetName val="Martin Woor"/>
      <sheetName val="Landguard"/>
      <sheetName val="Sheet3"/>
      <sheetName val="Summary"/>
      <sheetName val="Tries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y month"/>
      <sheetName val="Sensitivity"/>
      <sheetName val="15 Year plan (No1&amp;2)"/>
      <sheetName val="15 Year plan (No1)"/>
      <sheetName val="15 Year plan (No2)"/>
      <sheetName val="15 Year plan"/>
      <sheetName val="15 Year plan c "/>
      <sheetName val="Vol Year"/>
      <sheetName val="sumvc"/>
      <sheetName val="sumv"/>
      <sheetName val="%I&amp;E"/>
      <sheetName val="phasingv"/>
      <sheetName val="capacity+500K TEU"/>
      <sheetName val="capacity"/>
      <sheetName val="Sheet2"/>
      <sheetName val="volumes "/>
      <sheetName val="Martin Woor"/>
      <sheetName val="Landguard"/>
      <sheetName val="Sheet3"/>
      <sheetName val="Summary"/>
      <sheetName val="Tries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T "/>
      <sheetName val="CAP #"/>
      <sheetName val="Reefer capacity AVG  No X "/>
      <sheetName val="Reefer capacity PEAK No X "/>
      <sheetName val="Reefer capacity AVG "/>
      <sheetName val="Reefer capacity PEAK "/>
      <sheetName val="Reefer capacity peak"/>
      <sheetName val="Reefers on site"/>
      <sheetName val="IMT Vol"/>
      <sheetName val="TEU 2023"/>
      <sheetName val="IMT Reefer Container Data"/>
      <sheetName val="Deviation "/>
      <sheetName val="Vsl operating cost"/>
    </sheetNames>
    <sheetDataSet>
      <sheetData sheetId="0"/>
      <sheetData sheetId="1"/>
      <sheetData sheetId="2"/>
      <sheetData sheetId="3">
        <row r="66">
          <cell r="B66">
            <v>1.244435076923077</v>
          </cell>
          <cell r="C66">
            <v>1.3125462984530334</v>
          </cell>
          <cell r="D66">
            <v>1.4175500023292764</v>
          </cell>
          <cell r="E66">
            <v>1.5309540025156183</v>
          </cell>
          <cell r="F66">
            <v>1.6534303227168681</v>
          </cell>
          <cell r="G66">
            <v>1.7857047485342175</v>
          </cell>
          <cell r="H66">
            <v>1.9285611284169555</v>
          </cell>
          <cell r="I66">
            <v>2.0828460186903119</v>
          </cell>
          <cell r="J66">
            <v>2.2494737001855372</v>
          </cell>
          <cell r="K66">
            <v>2.4294315962003803</v>
          </cell>
          <cell r="L66">
            <v>2.6237861238964113</v>
          </cell>
          <cell r="M66">
            <v>2.8336890138081241</v>
          </cell>
          <cell r="N66">
            <v>3.0603841349127743</v>
          </cell>
          <cell r="O66">
            <v>3.3052148657057963</v>
          </cell>
          <cell r="P66">
            <v>3.56963205496226</v>
          </cell>
          <cell r="Q66">
            <v>3.8552026193592415</v>
          </cell>
          <cell r="R66">
            <v>4.1636188289079801</v>
          </cell>
          <cell r="S66">
            <v>4.4967083352206192</v>
          </cell>
          <cell r="T66">
            <v>4.856445002038269</v>
          </cell>
          <cell r="U66">
            <v>5.2449606022013295</v>
          </cell>
          <cell r="V66">
            <v>5.6645574503774379</v>
          </cell>
          <cell r="W66">
            <v>6.1177220464076321</v>
          </cell>
          <cell r="X66">
            <v>6.607139810120243</v>
          </cell>
          <cell r="Y66">
            <v>7.1357109949298625</v>
          </cell>
          <cell r="Z66">
            <v>7.7065678745242527</v>
          </cell>
          <cell r="AA66">
            <v>8.3230933044861928</v>
          </cell>
          <cell r="AB66">
            <v>8.9889407688450902</v>
          </cell>
        </row>
      </sheetData>
      <sheetData sheetId="4">
        <row r="66">
          <cell r="B66">
            <v>0.86419102564102568</v>
          </cell>
          <cell r="C66">
            <v>0.91149048503682861</v>
          </cell>
          <cell r="D66">
            <v>0.98440972383977532</v>
          </cell>
          <cell r="E66">
            <v>0.44298437572789884</v>
          </cell>
          <cell r="F66">
            <v>0.30216197418071417</v>
          </cell>
          <cell r="G66">
            <v>0.32633493211517128</v>
          </cell>
          <cell r="H66">
            <v>0.35244172668438517</v>
          </cell>
          <cell r="I66">
            <v>0.38063706481913595</v>
          </cell>
          <cell r="J66">
            <v>0.41108803000466687</v>
          </cell>
          <cell r="K66">
            <v>0.44397507240504031</v>
          </cell>
          <cell r="L66">
            <v>0.47949307819744358</v>
          </cell>
          <cell r="M66">
            <v>0.51785252445323904</v>
          </cell>
          <cell r="N66">
            <v>0.55928072640949822</v>
          </cell>
          <cell r="O66">
            <v>0.60402318452225812</v>
          </cell>
          <cell r="P66">
            <v>0.65234503928403875</v>
          </cell>
          <cell r="Q66">
            <v>0.70453264242676195</v>
          </cell>
          <cell r="R66">
            <v>0.76089525382090306</v>
          </cell>
          <cell r="S66">
            <v>0.82176687412657512</v>
          </cell>
          <cell r="T66">
            <v>0.88750822405670116</v>
          </cell>
          <cell r="U66">
            <v>0.95850888198123707</v>
          </cell>
          <cell r="V66">
            <v>1.0351895925397363</v>
          </cell>
          <cell r="W66">
            <v>1.1180047599429153</v>
          </cell>
          <cell r="X66">
            <v>1.2074451407383486</v>
          </cell>
          <cell r="Y66">
            <v>1.3040407519974166</v>
          </cell>
          <cell r="Z66">
            <v>1.4083640121572099</v>
          </cell>
          <cell r="AA66">
            <v>1.5210331331297871</v>
          </cell>
          <cell r="AB66">
            <v>1.6427157837801698</v>
          </cell>
        </row>
      </sheetData>
      <sheetData sheetId="5">
        <row r="49">
          <cell r="B49">
            <v>1.244435076923077</v>
          </cell>
          <cell r="C49">
            <v>1.3125462984530334</v>
          </cell>
          <cell r="D49">
            <v>1.4175500023292764</v>
          </cell>
          <cell r="E49">
            <v>0.63789750104817422</v>
          </cell>
          <cell r="F49">
            <v>0.43511324282022845</v>
          </cell>
          <cell r="G49">
            <v>0.46992230224584669</v>
          </cell>
          <cell r="H49">
            <v>0.5075160864255146</v>
          </cell>
          <cell r="I49">
            <v>0.54811737333955579</v>
          </cell>
          <cell r="J49">
            <v>0.59196676320672026</v>
          </cell>
          <cell r="K49">
            <v>0.63932410426325803</v>
          </cell>
          <cell r="L49">
            <v>0.69047003260431872</v>
          </cell>
          <cell r="M49">
            <v>0.74570763521266414</v>
          </cell>
          <cell r="N49">
            <v>0.80536424602967738</v>
          </cell>
          <cell r="O49">
            <v>0.86979338571205167</v>
          </cell>
          <cell r="P49">
            <v>0.93937685656901582</v>
          </cell>
          <cell r="Q49">
            <v>1.0145270050945372</v>
          </cell>
          <cell r="R49">
            <v>1.0956891655021002</v>
          </cell>
          <cell r="S49">
            <v>1.1833442987422682</v>
          </cell>
          <cell r="T49">
            <v>1.2780118426416498</v>
          </cell>
          <cell r="U49">
            <v>1.3802527900529815</v>
          </cell>
          <cell r="V49">
            <v>1.4906730132572206</v>
          </cell>
          <cell r="W49">
            <v>1.609926854317798</v>
          </cell>
          <cell r="X49">
            <v>1.7387210026632218</v>
          </cell>
          <cell r="Y49">
            <v>1.8778186828762797</v>
          </cell>
          <cell r="Z49">
            <v>2.0280441775063824</v>
          </cell>
          <cell r="AA49">
            <v>2.1902877117068931</v>
          </cell>
          <cell r="AB49">
            <v>2.3655107286434447</v>
          </cell>
        </row>
        <row r="66">
          <cell r="B66">
            <v>1.244435076923077</v>
          </cell>
          <cell r="C66">
            <v>1.3125462984530334</v>
          </cell>
          <cell r="D66">
            <v>1.4175500023292764</v>
          </cell>
          <cell r="E66">
            <v>0.63789750104817422</v>
          </cell>
          <cell r="F66">
            <v>0.43511324282022845</v>
          </cell>
          <cell r="G66">
            <v>0.46992230224584669</v>
          </cell>
          <cell r="H66">
            <v>0.5075160864255146</v>
          </cell>
          <cell r="I66">
            <v>0.54811737333955579</v>
          </cell>
          <cell r="J66">
            <v>0.59196676320672026</v>
          </cell>
          <cell r="K66">
            <v>0.63932410426325803</v>
          </cell>
          <cell r="L66">
            <v>0.69047003260431872</v>
          </cell>
          <cell r="M66">
            <v>0.74570763521266414</v>
          </cell>
          <cell r="N66">
            <v>0.80536424602967738</v>
          </cell>
          <cell r="O66">
            <v>0.86979338571205167</v>
          </cell>
          <cell r="P66">
            <v>0.93937685656901582</v>
          </cell>
          <cell r="Q66">
            <v>1.0145270050945372</v>
          </cell>
          <cell r="R66">
            <v>1.0956891655021002</v>
          </cell>
          <cell r="S66">
            <v>1.1833442987422682</v>
          </cell>
          <cell r="T66">
            <v>1.2780118426416498</v>
          </cell>
          <cell r="U66">
            <v>1.3802527900529815</v>
          </cell>
          <cell r="V66">
            <v>1.4906730132572206</v>
          </cell>
          <cell r="W66">
            <v>1.609926854317798</v>
          </cell>
          <cell r="X66">
            <v>1.7387210026632218</v>
          </cell>
          <cell r="Y66">
            <v>1.8778186828762797</v>
          </cell>
          <cell r="Z66">
            <v>2.0280441775063824</v>
          </cell>
          <cell r="AA66">
            <v>2.1902877117068931</v>
          </cell>
          <cell r="AB66">
            <v>2.3655107286434447</v>
          </cell>
        </row>
      </sheetData>
      <sheetData sheetId="6"/>
      <sheetData sheetId="7"/>
      <sheetData sheetId="8">
        <row r="12">
          <cell r="D12">
            <v>27313.492473825096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#@$100 per ct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#@$100 per ct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transportgeography.org/contents/chapter3/transport-costs/operating-costs-containerships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transportgeography.org/contents/chapter4/transportation-and-energy/fuel-consumption-containership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ia.gov/outlooks/aeo/tables_ref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transportation.gov/sites/dot.gov/files/2023-01/Benefit%20Cost%20Analysis%20Guidance%202023%20Update.pdf" TargetMode="External"/><Relationship Id="rId7" Type="http://schemas.openxmlformats.org/officeDocument/2006/relationships/hyperlink" Target="https://safety4sea.com/wp-content/uploads/2020/11/Marine-Benchmark-Maritime-CO2-Emissions-2020_11.pdf" TargetMode="External"/><Relationship Id="rId2" Type="http://schemas.openxmlformats.org/officeDocument/2006/relationships/hyperlink" Target="file:///C:/Users/GORDONH/AppData/Local/Microsoft/Windows/INetCache/Content.Outlook/V3L4590N/Maine%20OSW%20DNV%20Socioeconomic%20Analysis%20of%20Offshore%20Wind%20in%20the%20Gulf%20of%20Maine%20Final%20Report.pdf" TargetMode="External"/><Relationship Id="rId1" Type="http://schemas.openxmlformats.org/officeDocument/2006/relationships/hyperlink" Target="file:///C:/Users/GORDONH/AppData/Local/Microsoft/Windows/INetCache/Content.Outlook/V3L4590N/Maine%20OSW%20DNV%20Socioeconomic%20Analysis%20of%20Offshore%20Wind%20in%20the%20Gulf%20of%20Maine%20Final%20Report.pdf" TargetMode="External"/><Relationship Id="rId6" Type="http://schemas.openxmlformats.org/officeDocument/2006/relationships/hyperlink" Target="https://www.epa.gov/climateleadership/ghg-emission-factors-hub" TargetMode="External"/><Relationship Id="rId5" Type="http://schemas.openxmlformats.org/officeDocument/2006/relationships/hyperlink" Target="https://www.bls.gov/ooh/transportation-and-material-moving/heavy-and-tractor-trailer-truck-drivers.htm" TargetMode="External"/><Relationship Id="rId4" Type="http://schemas.openxmlformats.org/officeDocument/2006/relationships/hyperlink" Target="file:///C:/Users/GORDONH/AppData/Local/Microsoft/Windows/INetCache/Content.Outlook/V3L4590N/Maine%20OSW%20DNV%20Socioeconomic%20Analysis%20of%20Offshore%20Wind%20in%20the%20Gulf%20of%20Maine%20Final%20Repor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2E99-C565-4046-8035-F75E188CE272}">
  <sheetPr>
    <tabColor theme="0" tint="-0.499984740745262"/>
  </sheetPr>
  <dimension ref="B1:T9"/>
  <sheetViews>
    <sheetView showGridLines="0" tabSelected="1" zoomScale="85" zoomScaleNormal="85" workbookViewId="0">
      <selection activeCell="Q33" sqref="Q30:Q33"/>
    </sheetView>
  </sheetViews>
  <sheetFormatPr defaultRowHeight="14.45"/>
  <cols>
    <col min="1" max="1" width="3.140625" customWidth="1"/>
    <col min="2" max="2" width="4.42578125" customWidth="1"/>
    <col min="3" max="3" width="3.140625" customWidth="1"/>
  </cols>
  <sheetData>
    <row r="1" spans="2:20">
      <c r="B1" s="7">
        <f>SUM(A:A)</f>
        <v>0</v>
      </c>
    </row>
    <row r="2" spans="2:20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2:20">
      <c r="C5" s="3" t="s">
        <v>0</v>
      </c>
      <c r="D5" s="3"/>
      <c r="E5" s="3"/>
      <c r="F5" s="3"/>
      <c r="G5" s="3"/>
      <c r="H5" s="3"/>
      <c r="I5" s="3"/>
      <c r="J5" s="3"/>
      <c r="K5" s="3"/>
    </row>
    <row r="7" spans="2:20" ht="18">
      <c r="B7" s="2"/>
      <c r="C7" s="2" t="s">
        <v>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9" spans="2:20" ht="16.5">
      <c r="B9" s="1"/>
      <c r="C9" s="1"/>
      <c r="D9" s="1" t="s">
        <v>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6124-B08F-419B-89D6-CDFAAED930A3}">
  <dimension ref="A1:AH2837"/>
  <sheetViews>
    <sheetView workbookViewId="0">
      <pane xSplit="2" ySplit="1" topLeftCell="C17" activePane="bottomRight" state="frozen"/>
      <selection pane="bottomRight" activeCell="N56" sqref="N56"/>
      <selection pane="bottomLeft" activeCell="A2" sqref="A2"/>
      <selection pane="topRight" activeCell="C1" sqref="C1"/>
    </sheetView>
  </sheetViews>
  <sheetFormatPr defaultColWidth="8.85546875" defaultRowHeight="15" customHeight="1"/>
  <cols>
    <col min="1" max="1" width="19.85546875" style="228" hidden="1" customWidth="1"/>
    <col min="2" max="2" width="43.5703125" style="228" customWidth="1"/>
    <col min="3" max="16384" width="8.85546875" style="228"/>
  </cols>
  <sheetData>
    <row r="1" spans="1:33" ht="15" customHeight="1" thickBot="1">
      <c r="B1" s="229" t="s">
        <v>672</v>
      </c>
      <c r="C1" s="230">
        <v>2022</v>
      </c>
      <c r="D1" s="230">
        <v>2023</v>
      </c>
      <c r="E1" s="230">
        <v>2024</v>
      </c>
      <c r="F1" s="230">
        <v>2025</v>
      </c>
      <c r="G1" s="230">
        <v>2026</v>
      </c>
      <c r="H1" s="230">
        <v>2027</v>
      </c>
      <c r="I1" s="230">
        <v>2028</v>
      </c>
      <c r="J1" s="230">
        <v>2029</v>
      </c>
      <c r="K1" s="230">
        <v>2030</v>
      </c>
      <c r="L1" s="230">
        <v>2031</v>
      </c>
      <c r="M1" s="230">
        <v>2032</v>
      </c>
      <c r="N1" s="230">
        <v>2033</v>
      </c>
      <c r="O1" s="230">
        <v>2034</v>
      </c>
      <c r="P1" s="230">
        <v>2035</v>
      </c>
      <c r="Q1" s="230">
        <v>2036</v>
      </c>
      <c r="R1" s="230">
        <v>2037</v>
      </c>
      <c r="S1" s="230">
        <v>2038</v>
      </c>
      <c r="T1" s="230">
        <v>2039</v>
      </c>
      <c r="U1" s="230">
        <v>2040</v>
      </c>
      <c r="V1" s="230">
        <v>2041</v>
      </c>
      <c r="W1" s="230">
        <v>2042</v>
      </c>
      <c r="X1" s="230">
        <v>2043</v>
      </c>
      <c r="Y1" s="230">
        <v>2044</v>
      </c>
      <c r="Z1" s="230">
        <v>2045</v>
      </c>
      <c r="AA1" s="230">
        <v>2046</v>
      </c>
      <c r="AB1" s="230">
        <v>2047</v>
      </c>
      <c r="AC1" s="230">
        <v>2048</v>
      </c>
      <c r="AD1" s="230">
        <v>2049</v>
      </c>
      <c r="AE1" s="230">
        <v>2050</v>
      </c>
    </row>
    <row r="2" spans="1:33" ht="15" customHeight="1" thickTop="1"/>
    <row r="3" spans="1:33" ht="15" customHeight="1">
      <c r="C3" s="231" t="s">
        <v>673</v>
      </c>
      <c r="D3" s="231" t="s">
        <v>674</v>
      </c>
      <c r="E3" s="232"/>
      <c r="F3" s="232"/>
      <c r="G3" s="232"/>
    </row>
    <row r="4" spans="1:33" ht="15" customHeight="1">
      <c r="C4" s="231" t="s">
        <v>675</v>
      </c>
      <c r="D4" s="231" t="s">
        <v>676</v>
      </c>
      <c r="E4" s="232"/>
      <c r="F4" s="232"/>
      <c r="G4" s="231" t="s">
        <v>677</v>
      </c>
    </row>
    <row r="5" spans="1:33" ht="15" customHeight="1">
      <c r="C5" s="231" t="s">
        <v>678</v>
      </c>
      <c r="D5" s="231" t="s">
        <v>679</v>
      </c>
      <c r="E5" s="232"/>
      <c r="F5" s="232"/>
      <c r="G5" s="232"/>
    </row>
    <row r="6" spans="1:33" ht="15" customHeight="1">
      <c r="C6" s="231" t="s">
        <v>680</v>
      </c>
      <c r="D6" s="232"/>
      <c r="E6" s="231" t="s">
        <v>681</v>
      </c>
      <c r="F6" s="232"/>
      <c r="G6" s="232"/>
    </row>
    <row r="7" spans="1:33" ht="12" customHeight="1"/>
    <row r="8" spans="1:33" ht="12" customHeight="1"/>
    <row r="9" spans="1:33" ht="12" customHeight="1"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</row>
    <row r="10" spans="1:33" ht="15" customHeight="1">
      <c r="A10" s="234" t="s">
        <v>682</v>
      </c>
      <c r="B10" s="235" t="s">
        <v>683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6" t="s">
        <v>684</v>
      </c>
      <c r="AG10" s="233"/>
    </row>
    <row r="11" spans="1:33" ht="15" customHeight="1">
      <c r="B11" s="237" t="s">
        <v>685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6" t="s">
        <v>686</v>
      </c>
      <c r="AG11" s="233"/>
    </row>
    <row r="12" spans="1:33" ht="15" customHeight="1">
      <c r="B12" s="237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6" t="s">
        <v>687</v>
      </c>
      <c r="AG12" s="233"/>
    </row>
    <row r="13" spans="1:33" ht="15" customHeight="1" thickBot="1">
      <c r="B13" s="239" t="s">
        <v>688</v>
      </c>
      <c r="C13" s="239">
        <v>2022</v>
      </c>
      <c r="D13" s="239">
        <v>2023</v>
      </c>
      <c r="E13" s="239">
        <v>2024</v>
      </c>
      <c r="F13" s="239">
        <v>2025</v>
      </c>
      <c r="G13" s="239">
        <v>2026</v>
      </c>
      <c r="H13" s="239">
        <v>2027</v>
      </c>
      <c r="I13" s="239">
        <v>2028</v>
      </c>
      <c r="J13" s="239">
        <v>2029</v>
      </c>
      <c r="K13" s="239">
        <v>2030</v>
      </c>
      <c r="L13" s="239">
        <v>2031</v>
      </c>
      <c r="M13" s="239">
        <v>2032</v>
      </c>
      <c r="N13" s="239">
        <v>2033</v>
      </c>
      <c r="O13" s="239">
        <v>2034</v>
      </c>
      <c r="P13" s="239">
        <v>2035</v>
      </c>
      <c r="Q13" s="239">
        <v>2036</v>
      </c>
      <c r="R13" s="239">
        <v>2037</v>
      </c>
      <c r="S13" s="239">
        <v>2038</v>
      </c>
      <c r="T13" s="239">
        <v>2039</v>
      </c>
      <c r="U13" s="239">
        <v>2040</v>
      </c>
      <c r="V13" s="239">
        <v>2041</v>
      </c>
      <c r="W13" s="239">
        <v>2042</v>
      </c>
      <c r="X13" s="239">
        <v>2043</v>
      </c>
      <c r="Y13" s="239">
        <v>2044</v>
      </c>
      <c r="Z13" s="239">
        <v>2045</v>
      </c>
      <c r="AA13" s="239">
        <v>2046</v>
      </c>
      <c r="AB13" s="239">
        <v>2047</v>
      </c>
      <c r="AC13" s="239">
        <v>2048</v>
      </c>
      <c r="AD13" s="239">
        <v>2049</v>
      </c>
      <c r="AE13" s="239">
        <v>2050</v>
      </c>
      <c r="AF13" s="240" t="s">
        <v>689</v>
      </c>
      <c r="AG13" s="233"/>
    </row>
    <row r="14" spans="1:33" ht="15" customHeight="1" thickTop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</row>
    <row r="15" spans="1:33" ht="15" customHeight="1">
      <c r="B15" s="241" t="s">
        <v>690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</row>
    <row r="16" spans="1:33" ht="15" customHeight="1">
      <c r="A16" s="234" t="s">
        <v>691</v>
      </c>
      <c r="B16" s="242" t="s">
        <v>692</v>
      </c>
      <c r="C16" s="243">
        <v>102.129997</v>
      </c>
      <c r="D16" s="243">
        <v>91.544692999999995</v>
      </c>
      <c r="E16" s="243">
        <v>92.531395000000003</v>
      </c>
      <c r="F16" s="243">
        <v>87.048607000000004</v>
      </c>
      <c r="G16" s="243">
        <v>87.882819999999995</v>
      </c>
      <c r="H16" s="243">
        <v>88.306426999999999</v>
      </c>
      <c r="I16" s="243">
        <v>88.879097000000002</v>
      </c>
      <c r="J16" s="243">
        <v>89.470894000000001</v>
      </c>
      <c r="K16" s="243">
        <v>90.163071000000002</v>
      </c>
      <c r="L16" s="243">
        <v>90.724143999999995</v>
      </c>
      <c r="M16" s="243">
        <v>91.546386999999996</v>
      </c>
      <c r="N16" s="243">
        <v>92.007187000000002</v>
      </c>
      <c r="O16" s="243">
        <v>92.694916000000006</v>
      </c>
      <c r="P16" s="243">
        <v>93.552750000000003</v>
      </c>
      <c r="Q16" s="243">
        <v>94.142882999999998</v>
      </c>
      <c r="R16" s="243">
        <v>94.796172999999996</v>
      </c>
      <c r="S16" s="243">
        <v>95.331740999999994</v>
      </c>
      <c r="T16" s="243">
        <v>95.867317</v>
      </c>
      <c r="U16" s="243">
        <v>96.392180999999994</v>
      </c>
      <c r="V16" s="243">
        <v>96.938461000000004</v>
      </c>
      <c r="W16" s="243">
        <v>97.381507999999997</v>
      </c>
      <c r="X16" s="243">
        <v>97.758681999999993</v>
      </c>
      <c r="Y16" s="243">
        <v>98.241776000000002</v>
      </c>
      <c r="Z16" s="243">
        <v>98.596687000000003</v>
      </c>
      <c r="AA16" s="243">
        <v>99.377373000000006</v>
      </c>
      <c r="AB16" s="243">
        <v>99.794150999999999</v>
      </c>
      <c r="AC16" s="243">
        <v>100.384407</v>
      </c>
      <c r="AD16" s="243">
        <v>101.06875599999999</v>
      </c>
      <c r="AE16" s="243">
        <v>101.34071400000001</v>
      </c>
      <c r="AF16" s="244">
        <v>-2.7700000000000001E-4</v>
      </c>
      <c r="AG16" s="233"/>
    </row>
    <row r="17" spans="1:33" ht="15" customHeight="1">
      <c r="A17" s="234" t="s">
        <v>693</v>
      </c>
      <c r="B17" s="242" t="s">
        <v>694</v>
      </c>
      <c r="C17" s="243">
        <v>95.875998999999993</v>
      </c>
      <c r="D17" s="243">
        <v>85.782882999999998</v>
      </c>
      <c r="E17" s="243">
        <v>91.164046999999997</v>
      </c>
      <c r="F17" s="243">
        <v>85.233161999999993</v>
      </c>
      <c r="G17" s="243">
        <v>85.255095999999995</v>
      </c>
      <c r="H17" s="243">
        <v>85.532898000000003</v>
      </c>
      <c r="I17" s="243">
        <v>86.264731999999995</v>
      </c>
      <c r="J17" s="243">
        <v>86.738144000000005</v>
      </c>
      <c r="K17" s="243">
        <v>87.188271</v>
      </c>
      <c r="L17" s="243">
        <v>87.748749000000004</v>
      </c>
      <c r="M17" s="243">
        <v>88.512123000000003</v>
      </c>
      <c r="N17" s="243">
        <v>88.937447000000006</v>
      </c>
      <c r="O17" s="243">
        <v>89.608727000000002</v>
      </c>
      <c r="P17" s="243">
        <v>90.032150000000001</v>
      </c>
      <c r="Q17" s="243">
        <v>90.825806</v>
      </c>
      <c r="R17" s="243">
        <v>91.434028999999995</v>
      </c>
      <c r="S17" s="243">
        <v>91.807198</v>
      </c>
      <c r="T17" s="243">
        <v>92.341896000000006</v>
      </c>
      <c r="U17" s="243">
        <v>92.759917999999999</v>
      </c>
      <c r="V17" s="243">
        <v>93.263626000000002</v>
      </c>
      <c r="W17" s="243">
        <v>93.719948000000002</v>
      </c>
      <c r="X17" s="243">
        <v>94.111892999999995</v>
      </c>
      <c r="Y17" s="243">
        <v>94.517478999999994</v>
      </c>
      <c r="Z17" s="243">
        <v>94.856955999999997</v>
      </c>
      <c r="AA17" s="243">
        <v>95.591453999999999</v>
      </c>
      <c r="AB17" s="243">
        <v>96.024887000000007</v>
      </c>
      <c r="AC17" s="243">
        <v>96.717949000000004</v>
      </c>
      <c r="AD17" s="243">
        <v>97.444785999999993</v>
      </c>
      <c r="AE17" s="243">
        <v>97.681374000000005</v>
      </c>
      <c r="AF17" s="244">
        <v>6.6600000000000003E-4</v>
      </c>
      <c r="AG17" s="233"/>
    </row>
    <row r="18" spans="1:33" ht="15" customHeight="1">
      <c r="A18" s="234" t="s">
        <v>695</v>
      </c>
      <c r="B18" s="242" t="s">
        <v>696</v>
      </c>
      <c r="C18" s="243">
        <v>93.169998000000007</v>
      </c>
      <c r="D18" s="243">
        <v>83.181426999999999</v>
      </c>
      <c r="E18" s="243">
        <v>89.115829000000005</v>
      </c>
      <c r="F18" s="243">
        <v>83.701424000000003</v>
      </c>
      <c r="G18" s="243">
        <v>83.868926999999999</v>
      </c>
      <c r="H18" s="243">
        <v>84.332938999999996</v>
      </c>
      <c r="I18" s="243">
        <v>84.598572000000004</v>
      </c>
      <c r="J18" s="243">
        <v>85.159949999999995</v>
      </c>
      <c r="K18" s="243">
        <v>85.657050999999996</v>
      </c>
      <c r="L18" s="243">
        <v>85.925101999999995</v>
      </c>
      <c r="M18" s="243">
        <v>86.563086999999996</v>
      </c>
      <c r="N18" s="243">
        <v>86.998703000000006</v>
      </c>
      <c r="O18" s="243">
        <v>87.270179999999996</v>
      </c>
      <c r="P18" s="243">
        <v>87.783455000000004</v>
      </c>
      <c r="Q18" s="243">
        <v>88.702636999999996</v>
      </c>
      <c r="R18" s="243">
        <v>89.085898999999998</v>
      </c>
      <c r="S18" s="243">
        <v>89.644301999999996</v>
      </c>
      <c r="T18" s="243">
        <v>90.130309999999994</v>
      </c>
      <c r="U18" s="243">
        <v>90.801186000000001</v>
      </c>
      <c r="V18" s="243">
        <v>91.362633000000002</v>
      </c>
      <c r="W18" s="243">
        <v>91.912300000000002</v>
      </c>
      <c r="X18" s="243">
        <v>91.944991999999999</v>
      </c>
      <c r="Y18" s="243">
        <v>92.211074999999994</v>
      </c>
      <c r="Z18" s="243">
        <v>92.521377999999999</v>
      </c>
      <c r="AA18" s="243">
        <v>93.186806000000004</v>
      </c>
      <c r="AB18" s="243">
        <v>93.653473000000005</v>
      </c>
      <c r="AC18" s="243">
        <v>94.190331</v>
      </c>
      <c r="AD18" s="243">
        <v>94.782402000000005</v>
      </c>
      <c r="AE18" s="243">
        <v>95.239243000000002</v>
      </c>
      <c r="AF18" s="244">
        <v>7.85E-4</v>
      </c>
      <c r="AG18" s="233"/>
    </row>
    <row r="19" spans="1:33" ht="15" customHeight="1">
      <c r="A19" s="234" t="s">
        <v>697</v>
      </c>
      <c r="B19" s="242" t="s">
        <v>698</v>
      </c>
      <c r="C19" s="243">
        <v>6.2539980000000002</v>
      </c>
      <c r="D19" s="243">
        <v>5.7618099999999997</v>
      </c>
      <c r="E19" s="243">
        <v>1.367348</v>
      </c>
      <c r="F19" s="243">
        <v>1.815445</v>
      </c>
      <c r="G19" s="243">
        <v>2.6277240000000002</v>
      </c>
      <c r="H19" s="243">
        <v>2.7735289999999999</v>
      </c>
      <c r="I19" s="243">
        <v>2.6143649999999998</v>
      </c>
      <c r="J19" s="243">
        <v>2.7327499999999998</v>
      </c>
      <c r="K19" s="243">
        <v>2.9748000000000001</v>
      </c>
      <c r="L19" s="243">
        <v>2.9753949999999998</v>
      </c>
      <c r="M19" s="243">
        <v>3.0342639999999999</v>
      </c>
      <c r="N19" s="243">
        <v>3.0697399999999999</v>
      </c>
      <c r="O19" s="243">
        <v>3.0861890000000001</v>
      </c>
      <c r="P19" s="243">
        <v>3.5205989999999998</v>
      </c>
      <c r="Q19" s="243">
        <v>3.317078</v>
      </c>
      <c r="R19" s="243">
        <v>3.3621439999999998</v>
      </c>
      <c r="S19" s="243">
        <v>3.5245440000000001</v>
      </c>
      <c r="T19" s="243">
        <v>3.5254210000000001</v>
      </c>
      <c r="U19" s="243">
        <v>3.632263</v>
      </c>
      <c r="V19" s="243">
        <v>3.6748349999999999</v>
      </c>
      <c r="W19" s="243">
        <v>3.6615600000000001</v>
      </c>
      <c r="X19" s="243">
        <v>3.6467900000000002</v>
      </c>
      <c r="Y19" s="243">
        <v>3.724297</v>
      </c>
      <c r="Z19" s="243">
        <v>3.7397309999999999</v>
      </c>
      <c r="AA19" s="243">
        <v>3.7859189999999998</v>
      </c>
      <c r="AB19" s="243">
        <v>3.7692640000000002</v>
      </c>
      <c r="AC19" s="243">
        <v>3.666458</v>
      </c>
      <c r="AD19" s="243">
        <v>3.6239699999999999</v>
      </c>
      <c r="AE19" s="243">
        <v>3.6593399999999998</v>
      </c>
      <c r="AF19" s="244">
        <v>-1.8959E-2</v>
      </c>
      <c r="AG19" s="233"/>
    </row>
    <row r="20" spans="1:33" ht="15" customHeight="1"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</row>
    <row r="21" spans="1:33" ht="15" customHeight="1">
      <c r="B21" s="241" t="s">
        <v>699</v>
      </c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</row>
    <row r="22" spans="1:33" ht="15" customHeight="1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</row>
    <row r="23" spans="1:33" ht="15" customHeight="1">
      <c r="B23" s="241" t="s">
        <v>700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</row>
    <row r="24" spans="1:33" ht="15" customHeight="1">
      <c r="A24" s="234" t="s">
        <v>701</v>
      </c>
      <c r="B24" s="242" t="s">
        <v>702</v>
      </c>
      <c r="C24" s="245">
        <v>2.6643159999999999</v>
      </c>
      <c r="D24" s="245">
        <v>2.8630779999999998</v>
      </c>
      <c r="E24" s="245">
        <v>2.8797419999999998</v>
      </c>
      <c r="F24" s="245">
        <v>2.7814679999999998</v>
      </c>
      <c r="G24" s="245">
        <v>2.681082</v>
      </c>
      <c r="H24" s="245">
        <v>2.6001979999999998</v>
      </c>
      <c r="I24" s="245">
        <v>2.5540069999999999</v>
      </c>
      <c r="J24" s="245">
        <v>2.536594</v>
      </c>
      <c r="K24" s="245">
        <v>2.5447959999999998</v>
      </c>
      <c r="L24" s="245">
        <v>2.571148</v>
      </c>
      <c r="M24" s="245">
        <v>2.6134659999999998</v>
      </c>
      <c r="N24" s="245">
        <v>2.6673170000000002</v>
      </c>
      <c r="O24" s="245">
        <v>2.7211690000000002</v>
      </c>
      <c r="P24" s="245">
        <v>2.7643490000000002</v>
      </c>
      <c r="Q24" s="245">
        <v>2.796783</v>
      </c>
      <c r="R24" s="245">
        <v>2.8257850000000002</v>
      </c>
      <c r="S24" s="245">
        <v>2.8631180000000001</v>
      </c>
      <c r="T24" s="245">
        <v>2.8814160000000002</v>
      </c>
      <c r="U24" s="245">
        <v>2.9110900000000002</v>
      </c>
      <c r="V24" s="245">
        <v>2.9402020000000002</v>
      </c>
      <c r="W24" s="245">
        <v>2.961004</v>
      </c>
      <c r="X24" s="245">
        <v>2.971813</v>
      </c>
      <c r="Y24" s="245">
        <v>2.9747400000000002</v>
      </c>
      <c r="Z24" s="245">
        <v>2.9815019999999999</v>
      </c>
      <c r="AA24" s="245">
        <v>3.0013160000000001</v>
      </c>
      <c r="AB24" s="245">
        <v>3.0050089999999998</v>
      </c>
      <c r="AC24" s="245">
        <v>3.012823</v>
      </c>
      <c r="AD24" s="245">
        <v>3.015603</v>
      </c>
      <c r="AE24" s="245">
        <v>3.0145979999999999</v>
      </c>
      <c r="AF24" s="244">
        <v>4.4209999999999996E-3</v>
      </c>
      <c r="AG24" s="233"/>
    </row>
    <row r="25" spans="1:33" ht="15" customHeight="1">
      <c r="A25" s="234" t="s">
        <v>703</v>
      </c>
      <c r="B25" s="242" t="s">
        <v>704</v>
      </c>
      <c r="C25" s="245">
        <v>4.8463640000000003</v>
      </c>
      <c r="D25" s="245">
        <v>4.5140390000000004</v>
      </c>
      <c r="E25" s="245">
        <v>4.347709</v>
      </c>
      <c r="F25" s="245">
        <v>4.1217839999999999</v>
      </c>
      <c r="G25" s="245">
        <v>4.0582060000000002</v>
      </c>
      <c r="H25" s="245">
        <v>3.9971329999999998</v>
      </c>
      <c r="I25" s="245">
        <v>3.9580090000000001</v>
      </c>
      <c r="J25" s="245">
        <v>3.9700790000000001</v>
      </c>
      <c r="K25" s="245">
        <v>3.9710869999999998</v>
      </c>
      <c r="L25" s="245">
        <v>3.995463</v>
      </c>
      <c r="M25" s="245">
        <v>4.0073780000000001</v>
      </c>
      <c r="N25" s="245">
        <v>4.0234160000000001</v>
      </c>
      <c r="O25" s="245">
        <v>4.0295750000000004</v>
      </c>
      <c r="P25" s="245">
        <v>4.053515</v>
      </c>
      <c r="Q25" s="245">
        <v>4.0556989999999997</v>
      </c>
      <c r="R25" s="245">
        <v>4.0724479999999996</v>
      </c>
      <c r="S25" s="245">
        <v>4.0845859999999998</v>
      </c>
      <c r="T25" s="245">
        <v>4.0903140000000002</v>
      </c>
      <c r="U25" s="245">
        <v>4.0967500000000001</v>
      </c>
      <c r="V25" s="245">
        <v>4.1182420000000004</v>
      </c>
      <c r="W25" s="245">
        <v>4.1173159999999998</v>
      </c>
      <c r="X25" s="245">
        <v>4.1329140000000004</v>
      </c>
      <c r="Y25" s="245">
        <v>4.1198990000000002</v>
      </c>
      <c r="Z25" s="245">
        <v>4.1259519999999998</v>
      </c>
      <c r="AA25" s="245">
        <v>4.1547200000000002</v>
      </c>
      <c r="AB25" s="245">
        <v>4.1582730000000003</v>
      </c>
      <c r="AC25" s="245">
        <v>4.1627400000000003</v>
      </c>
      <c r="AD25" s="245">
        <v>4.1717849999999999</v>
      </c>
      <c r="AE25" s="245">
        <v>4.1716879999999996</v>
      </c>
      <c r="AF25" s="244">
        <v>-5.3400000000000001E-3</v>
      </c>
      <c r="AG25" s="233"/>
    </row>
    <row r="26" spans="1:33" ht="15" customHeight="1"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</row>
    <row r="27" spans="1:33" ht="15" customHeight="1">
      <c r="B27" s="241" t="s">
        <v>705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</row>
    <row r="28" spans="1:33" ht="15" customHeight="1">
      <c r="A28" s="234" t="s">
        <v>706</v>
      </c>
      <c r="B28" s="242" t="s">
        <v>704</v>
      </c>
      <c r="C28" s="245">
        <v>4.8492800000000003</v>
      </c>
      <c r="D28" s="245">
        <v>4.5354159999999997</v>
      </c>
      <c r="E28" s="245">
        <v>4.2103200000000003</v>
      </c>
      <c r="F28" s="245">
        <v>3.8251140000000001</v>
      </c>
      <c r="G28" s="245">
        <v>3.5996990000000002</v>
      </c>
      <c r="H28" s="245">
        <v>3.3800509999999999</v>
      </c>
      <c r="I28" s="245">
        <v>3.1807460000000001</v>
      </c>
      <c r="J28" s="245">
        <v>3.1921550000000001</v>
      </c>
      <c r="K28" s="245">
        <v>3.1924000000000001</v>
      </c>
      <c r="L28" s="245">
        <v>3.215271</v>
      </c>
      <c r="M28" s="245">
        <v>3.2281240000000002</v>
      </c>
      <c r="N28" s="245">
        <v>3.2425609999999998</v>
      </c>
      <c r="O28" s="245">
        <v>3.2499929999999999</v>
      </c>
      <c r="P28" s="245">
        <v>3.2709790000000001</v>
      </c>
      <c r="Q28" s="245">
        <v>3.2745950000000001</v>
      </c>
      <c r="R28" s="245">
        <v>3.290133</v>
      </c>
      <c r="S28" s="245">
        <v>3.301542</v>
      </c>
      <c r="T28" s="245">
        <v>3.3072140000000001</v>
      </c>
      <c r="U28" s="245">
        <v>3.313672</v>
      </c>
      <c r="V28" s="245">
        <v>3.3349549999999999</v>
      </c>
      <c r="W28" s="245">
        <v>3.3340209999999999</v>
      </c>
      <c r="X28" s="245">
        <v>3.3497509999999999</v>
      </c>
      <c r="Y28" s="245">
        <v>3.3373059999999999</v>
      </c>
      <c r="Z28" s="245">
        <v>3.346911</v>
      </c>
      <c r="AA28" s="245">
        <v>3.418501</v>
      </c>
      <c r="AB28" s="245">
        <v>3.4204050000000001</v>
      </c>
      <c r="AC28" s="245">
        <v>3.4248080000000001</v>
      </c>
      <c r="AD28" s="245">
        <v>3.4345129999999999</v>
      </c>
      <c r="AE28" s="245">
        <v>3.434647</v>
      </c>
      <c r="AF28" s="244">
        <v>-1.2243E-2</v>
      </c>
      <c r="AG28" s="233"/>
    </row>
    <row r="29" spans="1:33" ht="15" customHeight="1">
      <c r="A29" s="234" t="s">
        <v>707</v>
      </c>
      <c r="B29" s="242" t="s">
        <v>708</v>
      </c>
      <c r="C29" s="245">
        <v>1.8904399999999999</v>
      </c>
      <c r="D29" s="245">
        <v>1.177325</v>
      </c>
      <c r="E29" s="245">
        <v>1.412236</v>
      </c>
      <c r="F29" s="245">
        <v>1.457727</v>
      </c>
      <c r="G29" s="245">
        <v>1.666647</v>
      </c>
      <c r="H29" s="245">
        <v>1.8763049999999999</v>
      </c>
      <c r="I29" s="245">
        <v>2.0994519999999999</v>
      </c>
      <c r="J29" s="245">
        <v>2.1110579999999999</v>
      </c>
      <c r="K29" s="245">
        <v>2.1236519999999999</v>
      </c>
      <c r="L29" s="245">
        <v>2.139758</v>
      </c>
      <c r="M29" s="245">
        <v>2.154433</v>
      </c>
      <c r="N29" s="245">
        <v>2.1678649999999999</v>
      </c>
      <c r="O29" s="245">
        <v>2.1828439999999998</v>
      </c>
      <c r="P29" s="245">
        <v>2.1996030000000002</v>
      </c>
      <c r="Q29" s="245">
        <v>2.2129699999999999</v>
      </c>
      <c r="R29" s="245">
        <v>2.227471</v>
      </c>
      <c r="S29" s="245">
        <v>2.2432460000000001</v>
      </c>
      <c r="T29" s="245">
        <v>2.2532719999999999</v>
      </c>
      <c r="U29" s="245">
        <v>2.2659319999999998</v>
      </c>
      <c r="V29" s="245">
        <v>2.2849089999999999</v>
      </c>
      <c r="W29" s="245">
        <v>2.286969</v>
      </c>
      <c r="X29" s="245">
        <v>2.2973309999999998</v>
      </c>
      <c r="Y29" s="245">
        <v>2.3017270000000001</v>
      </c>
      <c r="Z29" s="245">
        <v>2.3101980000000002</v>
      </c>
      <c r="AA29" s="245">
        <v>2.334409</v>
      </c>
      <c r="AB29" s="245">
        <v>2.3342909999999999</v>
      </c>
      <c r="AC29" s="245">
        <v>2.352319</v>
      </c>
      <c r="AD29" s="245">
        <v>2.365767</v>
      </c>
      <c r="AE29" s="245">
        <v>2.3760479999999999</v>
      </c>
      <c r="AF29" s="244">
        <v>8.1989999999999997E-3</v>
      </c>
      <c r="AG29" s="233"/>
    </row>
    <row r="30" spans="1:33" ht="15" customHeight="1">
      <c r="A30" s="234" t="s">
        <v>709</v>
      </c>
      <c r="B30" s="242" t="s">
        <v>710</v>
      </c>
      <c r="C30" s="243">
        <v>79.398491000000007</v>
      </c>
      <c r="D30" s="243">
        <v>49.447670000000002</v>
      </c>
      <c r="E30" s="243">
        <v>59.313910999999997</v>
      </c>
      <c r="F30" s="243">
        <v>61.224522</v>
      </c>
      <c r="G30" s="243">
        <v>69.999184</v>
      </c>
      <c r="H30" s="243">
        <v>78.804794000000001</v>
      </c>
      <c r="I30" s="243">
        <v>88.176963999999998</v>
      </c>
      <c r="J30" s="243">
        <v>88.664444000000003</v>
      </c>
      <c r="K30" s="243">
        <v>89.193382</v>
      </c>
      <c r="L30" s="243">
        <v>89.869820000000004</v>
      </c>
      <c r="M30" s="243">
        <v>90.486191000000005</v>
      </c>
      <c r="N30" s="243">
        <v>91.050346000000005</v>
      </c>
      <c r="O30" s="243">
        <v>91.679443000000006</v>
      </c>
      <c r="P30" s="243">
        <v>92.383324000000002</v>
      </c>
      <c r="Q30" s="243">
        <v>92.944762999999995</v>
      </c>
      <c r="R30" s="243">
        <v>93.553771999999995</v>
      </c>
      <c r="S30" s="243">
        <v>94.216346999999999</v>
      </c>
      <c r="T30" s="243">
        <v>94.637428</v>
      </c>
      <c r="U30" s="243">
        <v>95.169144000000003</v>
      </c>
      <c r="V30" s="243">
        <v>95.966194000000002</v>
      </c>
      <c r="W30" s="243">
        <v>96.052711000000002</v>
      </c>
      <c r="X30" s="243">
        <v>96.487915000000001</v>
      </c>
      <c r="Y30" s="243">
        <v>96.672522999999998</v>
      </c>
      <c r="Z30" s="243">
        <v>97.028312999999997</v>
      </c>
      <c r="AA30" s="243">
        <v>98.045188999999993</v>
      </c>
      <c r="AB30" s="243">
        <v>98.040199000000001</v>
      </c>
      <c r="AC30" s="243">
        <v>98.797393999999997</v>
      </c>
      <c r="AD30" s="243">
        <v>99.362212999999997</v>
      </c>
      <c r="AE30" s="243">
        <v>99.794021999999998</v>
      </c>
      <c r="AF30" s="244">
        <v>8.1989999999999997E-3</v>
      </c>
      <c r="AG30" s="233"/>
    </row>
    <row r="31" spans="1:33" ht="12" customHeigh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</row>
    <row r="32" spans="1:33" ht="12" customHeight="1">
      <c r="B32" s="241" t="s">
        <v>711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</row>
    <row r="33" spans="1:33" ht="12" customHeight="1">
      <c r="A33" s="234" t="s">
        <v>712</v>
      </c>
      <c r="B33" s="242" t="s">
        <v>702</v>
      </c>
      <c r="C33" s="245">
        <v>2.1431879999999999</v>
      </c>
      <c r="D33" s="245">
        <v>1.963403</v>
      </c>
      <c r="E33" s="245">
        <v>1.7563899999999999</v>
      </c>
      <c r="F33" s="245">
        <v>1.5550539999999999</v>
      </c>
      <c r="G33" s="245">
        <v>1.457074</v>
      </c>
      <c r="H33" s="245">
        <v>1.405451</v>
      </c>
      <c r="I33" s="245">
        <v>1.396488</v>
      </c>
      <c r="J33" s="245">
        <v>1.408512</v>
      </c>
      <c r="K33" s="245">
        <v>1.438361</v>
      </c>
      <c r="L33" s="245">
        <v>1.4768140000000001</v>
      </c>
      <c r="M33" s="245">
        <v>1.5256419999999999</v>
      </c>
      <c r="N33" s="245">
        <v>1.5801799999999999</v>
      </c>
      <c r="O33" s="245">
        <v>1.6250610000000001</v>
      </c>
      <c r="P33" s="245">
        <v>1.651143</v>
      </c>
      <c r="Q33" s="245">
        <v>1.666981</v>
      </c>
      <c r="R33" s="245">
        <v>1.6858869999999999</v>
      </c>
      <c r="S33" s="245">
        <v>1.722269</v>
      </c>
      <c r="T33" s="245">
        <v>1.7224630000000001</v>
      </c>
      <c r="U33" s="245">
        <v>1.753614</v>
      </c>
      <c r="V33" s="245">
        <v>1.7780860000000001</v>
      </c>
      <c r="W33" s="245">
        <v>1.788373</v>
      </c>
      <c r="X33" s="245">
        <v>1.7879309999999999</v>
      </c>
      <c r="Y33" s="245">
        <v>1.7823910000000001</v>
      </c>
      <c r="Z33" s="245">
        <v>1.7880469999999999</v>
      </c>
      <c r="AA33" s="245">
        <v>1.787463</v>
      </c>
      <c r="AB33" s="245">
        <v>1.791263</v>
      </c>
      <c r="AC33" s="245">
        <v>1.801131</v>
      </c>
      <c r="AD33" s="245">
        <v>1.7997559999999999</v>
      </c>
      <c r="AE33" s="245">
        <v>1.795212</v>
      </c>
      <c r="AF33" s="244">
        <v>-6.3080000000000002E-3</v>
      </c>
      <c r="AG33" s="233"/>
    </row>
    <row r="34" spans="1:33" ht="12" customHeight="1">
      <c r="A34" s="234" t="s">
        <v>713</v>
      </c>
      <c r="B34" s="242" t="s">
        <v>704</v>
      </c>
      <c r="C34" s="245">
        <v>4.838775</v>
      </c>
      <c r="D34" s="245">
        <v>4.5111429999999997</v>
      </c>
      <c r="E34" s="245">
        <v>4.191262</v>
      </c>
      <c r="F34" s="245">
        <v>3.8006980000000001</v>
      </c>
      <c r="G34" s="245">
        <v>3.5697489999999998</v>
      </c>
      <c r="H34" s="245">
        <v>3.345469</v>
      </c>
      <c r="I34" s="245">
        <v>3.1411560000000001</v>
      </c>
      <c r="J34" s="245">
        <v>3.154404</v>
      </c>
      <c r="K34" s="245">
        <v>3.1552929999999999</v>
      </c>
      <c r="L34" s="245">
        <v>3.178633</v>
      </c>
      <c r="M34" s="245">
        <v>3.1927840000000001</v>
      </c>
      <c r="N34" s="245">
        <v>3.2095259999999999</v>
      </c>
      <c r="O34" s="245">
        <v>3.2171979999999998</v>
      </c>
      <c r="P34" s="245">
        <v>3.2407659999999998</v>
      </c>
      <c r="Q34" s="245">
        <v>3.244532</v>
      </c>
      <c r="R34" s="245">
        <v>3.2617189999999998</v>
      </c>
      <c r="S34" s="245">
        <v>3.2740960000000001</v>
      </c>
      <c r="T34" s="245">
        <v>3.2807770000000001</v>
      </c>
      <c r="U34" s="245">
        <v>3.2883239999999998</v>
      </c>
      <c r="V34" s="245">
        <v>3.3109489999999999</v>
      </c>
      <c r="W34" s="245">
        <v>3.3110439999999999</v>
      </c>
      <c r="X34" s="245">
        <v>3.3282090000000002</v>
      </c>
      <c r="Y34" s="245">
        <v>3.3171210000000002</v>
      </c>
      <c r="Z34" s="245">
        <v>3.3249339999999998</v>
      </c>
      <c r="AA34" s="245">
        <v>3.355874</v>
      </c>
      <c r="AB34" s="245">
        <v>3.359229</v>
      </c>
      <c r="AC34" s="245">
        <v>3.3648400000000001</v>
      </c>
      <c r="AD34" s="245">
        <v>3.3754819999999999</v>
      </c>
      <c r="AE34" s="245">
        <v>3.3764479999999999</v>
      </c>
      <c r="AF34" s="244">
        <v>-1.2769000000000001E-2</v>
      </c>
      <c r="AG34" s="233"/>
    </row>
    <row r="35" spans="1:33" ht="12" customHeight="1">
      <c r="A35" s="234" t="s">
        <v>714</v>
      </c>
      <c r="B35" s="242" t="s">
        <v>708</v>
      </c>
      <c r="C35" s="245">
        <v>1.9976419999999999</v>
      </c>
      <c r="D35" s="245">
        <v>1.271792</v>
      </c>
      <c r="E35" s="245">
        <v>1.5221199999999999</v>
      </c>
      <c r="F35" s="245">
        <v>1.607081</v>
      </c>
      <c r="G35" s="245">
        <v>1.83802</v>
      </c>
      <c r="H35" s="245">
        <v>2.0842230000000002</v>
      </c>
      <c r="I35" s="245">
        <v>2.326254</v>
      </c>
      <c r="J35" s="245">
        <v>2.3387730000000002</v>
      </c>
      <c r="K35" s="245">
        <v>2.3543880000000001</v>
      </c>
      <c r="L35" s="245">
        <v>2.372655</v>
      </c>
      <c r="M35" s="245">
        <v>2.3906550000000002</v>
      </c>
      <c r="N35" s="245">
        <v>2.4077679999999999</v>
      </c>
      <c r="O35" s="245">
        <v>2.4258229999999998</v>
      </c>
      <c r="P35" s="245">
        <v>2.4452539999999998</v>
      </c>
      <c r="Q35" s="245">
        <v>2.460013</v>
      </c>
      <c r="R35" s="245">
        <v>2.4755509999999998</v>
      </c>
      <c r="S35" s="245">
        <v>2.4935779999999999</v>
      </c>
      <c r="T35" s="245">
        <v>2.5050490000000001</v>
      </c>
      <c r="U35" s="245">
        <v>2.519933</v>
      </c>
      <c r="V35" s="245">
        <v>2.5404770000000001</v>
      </c>
      <c r="W35" s="245">
        <v>2.5436290000000001</v>
      </c>
      <c r="X35" s="245">
        <v>2.5546519999999999</v>
      </c>
      <c r="Y35" s="245">
        <v>2.5531950000000001</v>
      </c>
      <c r="Z35" s="245">
        <v>2.5622569999999998</v>
      </c>
      <c r="AA35" s="245">
        <v>2.5884939999999999</v>
      </c>
      <c r="AB35" s="245">
        <v>2.5892140000000001</v>
      </c>
      <c r="AC35" s="245">
        <v>2.6063320000000001</v>
      </c>
      <c r="AD35" s="245">
        <v>2.6191870000000002</v>
      </c>
      <c r="AE35" s="245">
        <v>2.630169</v>
      </c>
      <c r="AF35" s="244">
        <v>9.8729999999999998E-3</v>
      </c>
      <c r="AG35" s="233"/>
    </row>
    <row r="36" spans="1:33" ht="12" customHeight="1">
      <c r="A36" s="234" t="s">
        <v>715</v>
      </c>
      <c r="B36" s="242" t="s">
        <v>710</v>
      </c>
      <c r="C36" s="243">
        <v>83.900963000000004</v>
      </c>
      <c r="D36" s="243">
        <v>53.415267999999998</v>
      </c>
      <c r="E36" s="243">
        <v>63.929031000000002</v>
      </c>
      <c r="F36" s="243">
        <v>67.497398000000004</v>
      </c>
      <c r="G36" s="243">
        <v>77.196831000000003</v>
      </c>
      <c r="H36" s="243">
        <v>87.537368999999998</v>
      </c>
      <c r="I36" s="243">
        <v>97.702674999999999</v>
      </c>
      <c r="J36" s="243">
        <v>98.228470000000002</v>
      </c>
      <c r="K36" s="243">
        <v>98.884315000000001</v>
      </c>
      <c r="L36" s="243">
        <v>99.651497000000006</v>
      </c>
      <c r="M36" s="243">
        <v>100.407509</v>
      </c>
      <c r="N36" s="243">
        <v>101.12623600000001</v>
      </c>
      <c r="O36" s="243">
        <v>101.88458300000001</v>
      </c>
      <c r="P36" s="243">
        <v>102.700684</v>
      </c>
      <c r="Q36" s="243">
        <v>103.320564</v>
      </c>
      <c r="R36" s="243">
        <v>103.97315999999999</v>
      </c>
      <c r="S36" s="243">
        <v>104.730293</v>
      </c>
      <c r="T36" s="243">
        <v>105.212067</v>
      </c>
      <c r="U36" s="243">
        <v>105.837181</v>
      </c>
      <c r="V36" s="243">
        <v>106.70005</v>
      </c>
      <c r="W36" s="243">
        <v>106.83242799999999</v>
      </c>
      <c r="X36" s="243">
        <v>107.295372</v>
      </c>
      <c r="Y36" s="243">
        <v>107.23421500000001</v>
      </c>
      <c r="Z36" s="243">
        <v>107.614799</v>
      </c>
      <c r="AA36" s="243">
        <v>108.716728</v>
      </c>
      <c r="AB36" s="243">
        <v>108.746979</v>
      </c>
      <c r="AC36" s="243">
        <v>109.46595000000001</v>
      </c>
      <c r="AD36" s="243">
        <v>110.005844</v>
      </c>
      <c r="AE36" s="243">
        <v>110.467102</v>
      </c>
      <c r="AF36" s="244">
        <v>9.8729999999999998E-3</v>
      </c>
      <c r="AG36" s="233"/>
    </row>
    <row r="37" spans="1:33" ht="12" customHeight="1"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</row>
    <row r="38" spans="1:33" ht="12" customHeight="1">
      <c r="B38" s="241" t="s">
        <v>716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</row>
    <row r="39" spans="1:33" ht="12" customHeight="1">
      <c r="A39" s="234" t="s">
        <v>717</v>
      </c>
      <c r="B39" s="242" t="s">
        <v>702</v>
      </c>
      <c r="C39" s="245">
        <v>2.3479260000000002</v>
      </c>
      <c r="D39" s="245">
        <v>2.2066249999999998</v>
      </c>
      <c r="E39" s="245">
        <v>2.0551140000000001</v>
      </c>
      <c r="F39" s="245">
        <v>1.9036690000000001</v>
      </c>
      <c r="G39" s="245">
        <v>1.8289500000000001</v>
      </c>
      <c r="H39" s="245">
        <v>1.788991</v>
      </c>
      <c r="I39" s="245">
        <v>1.7826040000000001</v>
      </c>
      <c r="J39" s="245">
        <v>1.7926709999999999</v>
      </c>
      <c r="K39" s="245">
        <v>1.816743</v>
      </c>
      <c r="L39" s="245">
        <v>1.847197</v>
      </c>
      <c r="M39" s="245">
        <v>1.885391</v>
      </c>
      <c r="N39" s="245">
        <v>1.9274119999999999</v>
      </c>
      <c r="O39" s="245">
        <v>1.9613529999999999</v>
      </c>
      <c r="P39" s="245">
        <v>1.9806859999999999</v>
      </c>
      <c r="Q39" s="245">
        <v>1.9923599999999999</v>
      </c>
      <c r="R39" s="245">
        <v>2.0064739999999999</v>
      </c>
      <c r="S39" s="245">
        <v>2.0337640000000001</v>
      </c>
      <c r="T39" s="245">
        <v>2.033407</v>
      </c>
      <c r="U39" s="245">
        <v>2.056775</v>
      </c>
      <c r="V39" s="245">
        <v>2.074668</v>
      </c>
      <c r="W39" s="245">
        <v>2.0819719999999999</v>
      </c>
      <c r="X39" s="245">
        <v>2.0814759999999999</v>
      </c>
      <c r="Y39" s="245">
        <v>2.0773579999999998</v>
      </c>
      <c r="Z39" s="245">
        <v>2.082856</v>
      </c>
      <c r="AA39" s="245">
        <v>2.1056810000000001</v>
      </c>
      <c r="AB39" s="245">
        <v>2.108654</v>
      </c>
      <c r="AC39" s="245">
        <v>2.1160830000000002</v>
      </c>
      <c r="AD39" s="245">
        <v>2.115075</v>
      </c>
      <c r="AE39" s="245">
        <v>2.1118459999999999</v>
      </c>
      <c r="AF39" s="244">
        <v>-3.7780000000000001E-3</v>
      </c>
      <c r="AG39" s="233"/>
    </row>
    <row r="40" spans="1:33" ht="12" customHeight="1">
      <c r="A40" s="234" t="s">
        <v>718</v>
      </c>
      <c r="B40" s="242" t="s">
        <v>719</v>
      </c>
      <c r="C40" s="245">
        <v>3.6287739999999999</v>
      </c>
      <c r="D40" s="245">
        <v>3.2092299999999998</v>
      </c>
      <c r="E40" s="245">
        <v>3.082716</v>
      </c>
      <c r="F40" s="245">
        <v>2.877373</v>
      </c>
      <c r="G40" s="245">
        <v>2.8500909999999999</v>
      </c>
      <c r="H40" s="245">
        <v>2.8347180000000001</v>
      </c>
      <c r="I40" s="245">
        <v>2.8384230000000001</v>
      </c>
      <c r="J40" s="245">
        <v>2.8456999999999999</v>
      </c>
      <c r="K40" s="245">
        <v>2.8585970000000001</v>
      </c>
      <c r="L40" s="245">
        <v>2.856427</v>
      </c>
      <c r="M40" s="245">
        <v>2.8747340000000001</v>
      </c>
      <c r="N40" s="245">
        <v>2.8845730000000001</v>
      </c>
      <c r="O40" s="245">
        <v>2.8976389999999999</v>
      </c>
      <c r="P40" s="245">
        <v>2.90673</v>
      </c>
      <c r="Q40" s="245">
        <v>2.941217</v>
      </c>
      <c r="R40" s="245">
        <v>2.9479160000000002</v>
      </c>
      <c r="S40" s="245">
        <v>2.959406</v>
      </c>
      <c r="T40" s="245">
        <v>2.974275</v>
      </c>
      <c r="U40" s="245">
        <v>2.9800339999999998</v>
      </c>
      <c r="V40" s="245">
        <v>2.981684</v>
      </c>
      <c r="W40" s="245">
        <v>2.9911240000000001</v>
      </c>
      <c r="X40" s="245">
        <v>2.98021</v>
      </c>
      <c r="Y40" s="245">
        <v>3.0009670000000002</v>
      </c>
      <c r="Z40" s="245">
        <v>3.0034200000000002</v>
      </c>
      <c r="AA40" s="245">
        <v>3.083377</v>
      </c>
      <c r="AB40" s="245">
        <v>3.0842700000000001</v>
      </c>
      <c r="AC40" s="245">
        <v>3.111135</v>
      </c>
      <c r="AD40" s="245">
        <v>3.1206330000000002</v>
      </c>
      <c r="AE40" s="245">
        <v>3.1498550000000001</v>
      </c>
      <c r="AF40" s="244">
        <v>-5.0419999999999996E-3</v>
      </c>
      <c r="AG40" s="233"/>
    </row>
    <row r="41" spans="1:33" ht="12" customHeight="1">
      <c r="A41" s="234" t="s">
        <v>720</v>
      </c>
      <c r="B41" s="242" t="s">
        <v>721</v>
      </c>
      <c r="C41" s="245">
        <v>1.5593049999999999</v>
      </c>
      <c r="D41" s="245">
        <v>1.5593049999999999</v>
      </c>
      <c r="E41" s="245">
        <v>1.581998</v>
      </c>
      <c r="F41" s="245">
        <v>1.4752050000000001</v>
      </c>
      <c r="G41" s="245">
        <v>1.472151</v>
      </c>
      <c r="H41" s="245">
        <v>1.46807</v>
      </c>
      <c r="I41" s="245">
        <v>1.466637</v>
      </c>
      <c r="J41" s="245">
        <v>1.464696</v>
      </c>
      <c r="K41" s="245">
        <v>1.4683649999999999</v>
      </c>
      <c r="L41" s="245">
        <v>1.467147</v>
      </c>
      <c r="M41" s="245">
        <v>1.463506</v>
      </c>
      <c r="N41" s="245">
        <v>1.421122</v>
      </c>
      <c r="O41" s="245">
        <v>1.435924</v>
      </c>
      <c r="P41" s="245">
        <v>1.40917</v>
      </c>
      <c r="Q41" s="245">
        <v>1.4301889999999999</v>
      </c>
      <c r="R41" s="245">
        <v>1.4173990000000001</v>
      </c>
      <c r="S41" s="245">
        <v>1.4003920000000001</v>
      </c>
      <c r="T41" s="245">
        <v>1.3850180000000001</v>
      </c>
      <c r="U41" s="245">
        <v>1.383724</v>
      </c>
      <c r="V41" s="245">
        <v>1.373453</v>
      </c>
      <c r="W41" s="245">
        <v>1.37069</v>
      </c>
      <c r="X41" s="245">
        <v>1.3708800000000001</v>
      </c>
      <c r="Y41" s="245">
        <v>1.4269849999999999</v>
      </c>
      <c r="Z41" s="245">
        <v>1.4443699999999999</v>
      </c>
      <c r="AA41" s="245">
        <v>1.495598</v>
      </c>
      <c r="AB41" s="245">
        <v>1.478124</v>
      </c>
      <c r="AC41" s="245">
        <v>1.4730019999999999</v>
      </c>
      <c r="AD41" s="245">
        <v>1.507854</v>
      </c>
      <c r="AE41" s="245">
        <v>1.7244600000000001</v>
      </c>
      <c r="AF41" s="244">
        <v>3.6020000000000002E-3</v>
      </c>
      <c r="AG41" s="233"/>
    </row>
    <row r="42" spans="1:33" ht="12" customHeight="1">
      <c r="A42" s="234" t="s">
        <v>722</v>
      </c>
      <c r="B42" s="242" t="s">
        <v>723</v>
      </c>
      <c r="C42" s="245">
        <v>4.1839969999999997</v>
      </c>
      <c r="D42" s="245">
        <v>3.6677590000000002</v>
      </c>
      <c r="E42" s="245">
        <v>3.3247</v>
      </c>
      <c r="F42" s="245">
        <v>3.1027680000000002</v>
      </c>
      <c r="G42" s="245">
        <v>3.069134</v>
      </c>
      <c r="H42" s="245">
        <v>3.050068</v>
      </c>
      <c r="I42" s="245">
        <v>3.0508000000000002</v>
      </c>
      <c r="J42" s="245">
        <v>3.0554380000000001</v>
      </c>
      <c r="K42" s="245">
        <v>3.065353</v>
      </c>
      <c r="L42" s="245">
        <v>3.0602819999999999</v>
      </c>
      <c r="M42" s="245">
        <v>3.075698</v>
      </c>
      <c r="N42" s="245">
        <v>3.0825239999999998</v>
      </c>
      <c r="O42" s="245">
        <v>3.0924680000000002</v>
      </c>
      <c r="P42" s="245">
        <v>3.0986539999999998</v>
      </c>
      <c r="Q42" s="245">
        <v>3.1315810000000002</v>
      </c>
      <c r="R42" s="245">
        <v>3.1356619999999999</v>
      </c>
      <c r="S42" s="245">
        <v>3.1447769999999999</v>
      </c>
      <c r="T42" s="245">
        <v>3.1580710000000001</v>
      </c>
      <c r="U42" s="245">
        <v>3.161826</v>
      </c>
      <c r="V42" s="245">
        <v>3.161508</v>
      </c>
      <c r="W42" s="245">
        <v>3.169308</v>
      </c>
      <c r="X42" s="245">
        <v>3.1561599999999999</v>
      </c>
      <c r="Y42" s="245">
        <v>3.1765319999999999</v>
      </c>
      <c r="Z42" s="245">
        <v>3.1773859999999998</v>
      </c>
      <c r="AA42" s="245">
        <v>3.2653660000000002</v>
      </c>
      <c r="AB42" s="245">
        <v>3.2646809999999999</v>
      </c>
      <c r="AC42" s="245">
        <v>3.2908629999999999</v>
      </c>
      <c r="AD42" s="245">
        <v>3.2989959999999998</v>
      </c>
      <c r="AE42" s="245">
        <v>3.327496</v>
      </c>
      <c r="AF42" s="244">
        <v>-8.1469999999999997E-3</v>
      </c>
      <c r="AG42" s="233"/>
    </row>
    <row r="43" spans="1:33" ht="12" customHeight="1">
      <c r="A43" s="234" t="s">
        <v>724</v>
      </c>
      <c r="B43" s="242" t="s">
        <v>725</v>
      </c>
      <c r="C43" s="245">
        <v>3.6098750000000002</v>
      </c>
      <c r="D43" s="245">
        <v>3.0466530000000001</v>
      </c>
      <c r="E43" s="245">
        <v>2.9238960000000001</v>
      </c>
      <c r="F43" s="245">
        <v>2.7237170000000002</v>
      </c>
      <c r="G43" s="245">
        <v>2.6927949999999998</v>
      </c>
      <c r="H43" s="245">
        <v>2.6613739999999999</v>
      </c>
      <c r="I43" s="245">
        <v>2.6486499999999999</v>
      </c>
      <c r="J43" s="245">
        <v>2.6639539999999999</v>
      </c>
      <c r="K43" s="245">
        <v>2.6669100000000001</v>
      </c>
      <c r="L43" s="245">
        <v>2.6962769999999998</v>
      </c>
      <c r="M43" s="245">
        <v>2.717784</v>
      </c>
      <c r="N43" s="245">
        <v>2.7295210000000001</v>
      </c>
      <c r="O43" s="245">
        <v>2.7497220000000002</v>
      </c>
      <c r="P43" s="245">
        <v>2.770591</v>
      </c>
      <c r="Q43" s="245">
        <v>2.7839860000000001</v>
      </c>
      <c r="R43" s="245">
        <v>2.8007270000000002</v>
      </c>
      <c r="S43" s="245">
        <v>2.8173349999999999</v>
      </c>
      <c r="T43" s="245">
        <v>2.8305150000000001</v>
      </c>
      <c r="U43" s="245">
        <v>2.8468330000000002</v>
      </c>
      <c r="V43" s="245">
        <v>2.874746</v>
      </c>
      <c r="W43" s="245">
        <v>2.8813240000000002</v>
      </c>
      <c r="X43" s="245">
        <v>2.9034469999999999</v>
      </c>
      <c r="Y43" s="245">
        <v>2.8980489999999999</v>
      </c>
      <c r="Z43" s="245">
        <v>2.9190800000000001</v>
      </c>
      <c r="AA43" s="245">
        <v>2.9625029999999999</v>
      </c>
      <c r="AB43" s="245">
        <v>2.968712</v>
      </c>
      <c r="AC43" s="245">
        <v>2.9768970000000001</v>
      </c>
      <c r="AD43" s="245">
        <v>2.9904410000000001</v>
      </c>
      <c r="AE43" s="245">
        <v>2.9943379999999999</v>
      </c>
      <c r="AF43" s="244">
        <v>-6.6550000000000003E-3</v>
      </c>
      <c r="AG43" s="233"/>
    </row>
    <row r="44" spans="1:33" ht="12" customHeight="1">
      <c r="A44" s="234" t="s">
        <v>726</v>
      </c>
      <c r="B44" s="242" t="s">
        <v>727</v>
      </c>
      <c r="C44" s="245">
        <v>5.1050589999999998</v>
      </c>
      <c r="D44" s="245">
        <v>4.5184139999999999</v>
      </c>
      <c r="E44" s="245">
        <v>4.2866369999999998</v>
      </c>
      <c r="F44" s="245">
        <v>3.996505</v>
      </c>
      <c r="G44" s="245">
        <v>3.8693710000000001</v>
      </c>
      <c r="H44" s="245">
        <v>3.7410540000000001</v>
      </c>
      <c r="I44" s="245">
        <v>3.6345890000000001</v>
      </c>
      <c r="J44" s="245">
        <v>3.647751</v>
      </c>
      <c r="K44" s="245">
        <v>3.6511490000000002</v>
      </c>
      <c r="L44" s="245">
        <v>3.6727180000000001</v>
      </c>
      <c r="M44" s="245">
        <v>3.6899760000000001</v>
      </c>
      <c r="N44" s="245">
        <v>3.7063929999999998</v>
      </c>
      <c r="O44" s="245">
        <v>3.7128269999999999</v>
      </c>
      <c r="P44" s="245">
        <v>3.7413090000000002</v>
      </c>
      <c r="Q44" s="245">
        <v>3.7421289999999998</v>
      </c>
      <c r="R44" s="245">
        <v>3.7611910000000002</v>
      </c>
      <c r="S44" s="245">
        <v>3.7750789999999999</v>
      </c>
      <c r="T44" s="245">
        <v>3.7809750000000002</v>
      </c>
      <c r="U44" s="245">
        <v>3.787541</v>
      </c>
      <c r="V44" s="245">
        <v>3.810997</v>
      </c>
      <c r="W44" s="245">
        <v>3.8124370000000001</v>
      </c>
      <c r="X44" s="245">
        <v>3.8289230000000001</v>
      </c>
      <c r="Y44" s="245">
        <v>3.8159420000000002</v>
      </c>
      <c r="Z44" s="245">
        <v>3.82362</v>
      </c>
      <c r="AA44" s="245">
        <v>3.9042400000000002</v>
      </c>
      <c r="AB44" s="245">
        <v>3.9077069999999998</v>
      </c>
      <c r="AC44" s="245">
        <v>3.9143530000000002</v>
      </c>
      <c r="AD44" s="245">
        <v>3.9231009999999999</v>
      </c>
      <c r="AE44" s="245">
        <v>3.9241450000000002</v>
      </c>
      <c r="AF44" s="244">
        <v>-9.3519999999999992E-3</v>
      </c>
      <c r="AG44" s="233"/>
    </row>
    <row r="45" spans="1:33" ht="12" customHeight="1">
      <c r="A45" s="234" t="s">
        <v>728</v>
      </c>
      <c r="B45" s="242" t="s">
        <v>708</v>
      </c>
      <c r="C45" s="245">
        <v>2.3040080000000001</v>
      </c>
      <c r="D45" s="245">
        <v>2.3279770000000002</v>
      </c>
      <c r="E45" s="245">
        <v>2.5897610000000002</v>
      </c>
      <c r="F45" s="245">
        <v>2.4563440000000001</v>
      </c>
      <c r="G45" s="245">
        <v>2.4590679999999998</v>
      </c>
      <c r="H45" s="245">
        <v>2.4703020000000002</v>
      </c>
      <c r="I45" s="245">
        <v>2.4751850000000002</v>
      </c>
      <c r="J45" s="245">
        <v>2.48699</v>
      </c>
      <c r="K45" s="245">
        <v>2.5019779999999998</v>
      </c>
      <c r="L45" s="245">
        <v>2.5135969999999999</v>
      </c>
      <c r="M45" s="245">
        <v>2.5283009999999999</v>
      </c>
      <c r="N45" s="245">
        <v>2.542367</v>
      </c>
      <c r="O45" s="245">
        <v>2.5562969999999998</v>
      </c>
      <c r="P45" s="245">
        <v>2.5734979999999998</v>
      </c>
      <c r="Q45" s="245">
        <v>2.5821580000000002</v>
      </c>
      <c r="R45" s="245">
        <v>2.5956999999999999</v>
      </c>
      <c r="S45" s="245">
        <v>2.6105429999999998</v>
      </c>
      <c r="T45" s="245">
        <v>2.6213199999999999</v>
      </c>
      <c r="U45" s="245">
        <v>2.6310989999999999</v>
      </c>
      <c r="V45" s="245">
        <v>2.6474310000000001</v>
      </c>
      <c r="W45" s="245">
        <v>2.6513390000000001</v>
      </c>
      <c r="X45" s="245">
        <v>2.6629170000000002</v>
      </c>
      <c r="Y45" s="245">
        <v>2.6625019999999999</v>
      </c>
      <c r="Z45" s="245">
        <v>2.6692269999999998</v>
      </c>
      <c r="AA45" s="245">
        <v>2.6963599999999999</v>
      </c>
      <c r="AB45" s="245">
        <v>2.6958600000000001</v>
      </c>
      <c r="AC45" s="245">
        <v>2.7113369999999999</v>
      </c>
      <c r="AD45" s="245">
        <v>2.7242839999999999</v>
      </c>
      <c r="AE45" s="245">
        <v>2.7377379999999998</v>
      </c>
      <c r="AF45" s="244">
        <v>6.1789999999999996E-3</v>
      </c>
      <c r="AG45" s="233"/>
    </row>
    <row r="46" spans="1:33" ht="12" customHeight="1">
      <c r="A46" s="234" t="s">
        <v>729</v>
      </c>
      <c r="B46" s="242" t="s">
        <v>710</v>
      </c>
      <c r="C46" s="243">
        <v>96.768317999999994</v>
      </c>
      <c r="D46" s="243">
        <v>97.775040000000004</v>
      </c>
      <c r="E46" s="243">
        <v>108.769981</v>
      </c>
      <c r="F46" s="243">
        <v>103.16643500000001</v>
      </c>
      <c r="G46" s="243">
        <v>103.280869</v>
      </c>
      <c r="H46" s="243">
        <v>103.752701</v>
      </c>
      <c r="I46" s="243">
        <v>103.957787</v>
      </c>
      <c r="J46" s="243">
        <v>104.453575</v>
      </c>
      <c r="K46" s="243">
        <v>105.08306899999999</v>
      </c>
      <c r="L46" s="243">
        <v>105.57107499999999</v>
      </c>
      <c r="M46" s="243">
        <v>106.18862900000001</v>
      </c>
      <c r="N46" s="243">
        <v>106.779404</v>
      </c>
      <c r="O46" s="243">
        <v>107.364464</v>
      </c>
      <c r="P46" s="243">
        <v>108.086929</v>
      </c>
      <c r="Q46" s="243">
        <v>108.45062299999999</v>
      </c>
      <c r="R46" s="243">
        <v>109.019402</v>
      </c>
      <c r="S46" s="243">
        <v>109.642792</v>
      </c>
      <c r="T46" s="243">
        <v>110.095421</v>
      </c>
      <c r="U46" s="243">
        <v>110.506165</v>
      </c>
      <c r="V46" s="243">
        <v>111.192108</v>
      </c>
      <c r="W46" s="243">
        <v>111.35623200000001</v>
      </c>
      <c r="X46" s="243">
        <v>111.842499</v>
      </c>
      <c r="Y46" s="243">
        <v>111.82508900000001</v>
      </c>
      <c r="Z46" s="243">
        <v>112.107552</v>
      </c>
      <c r="AA46" s="243">
        <v>113.247139</v>
      </c>
      <c r="AB46" s="243">
        <v>113.226105</v>
      </c>
      <c r="AC46" s="243">
        <v>113.876167</v>
      </c>
      <c r="AD46" s="243">
        <v>114.41992999999999</v>
      </c>
      <c r="AE46" s="243">
        <v>114.985016</v>
      </c>
      <c r="AF46" s="244">
        <v>6.1789999999999996E-3</v>
      </c>
      <c r="AG46" s="233"/>
    </row>
    <row r="47" spans="1:33" ht="12" customHeight="1"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</row>
    <row r="48" spans="1:33" ht="12" customHeight="1">
      <c r="B48" s="241" t="s">
        <v>730</v>
      </c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</row>
    <row r="49" spans="1:33" ht="12" customHeight="1">
      <c r="A49" s="234" t="s">
        <v>731</v>
      </c>
      <c r="B49" s="242" t="s">
        <v>704</v>
      </c>
      <c r="C49" s="245">
        <v>4.8486900000000004</v>
      </c>
      <c r="D49" s="245">
        <v>4.5254430000000001</v>
      </c>
      <c r="E49" s="245">
        <v>4.2241049999999998</v>
      </c>
      <c r="F49" s="245">
        <v>3.8336610000000002</v>
      </c>
      <c r="G49" s="245">
        <v>3.6123069999999999</v>
      </c>
      <c r="H49" s="245">
        <v>3.3906109999999998</v>
      </c>
      <c r="I49" s="245">
        <v>3.1805569999999999</v>
      </c>
      <c r="J49" s="245">
        <v>3.2053769999999999</v>
      </c>
      <c r="K49" s="245">
        <v>3.2244760000000001</v>
      </c>
      <c r="L49" s="245">
        <v>3.2227969999999999</v>
      </c>
      <c r="M49" s="245">
        <v>3.2384010000000001</v>
      </c>
      <c r="N49" s="245">
        <v>3.2372359999999998</v>
      </c>
      <c r="O49" s="245">
        <v>3.2561330000000002</v>
      </c>
      <c r="P49" s="245">
        <v>3.2694070000000002</v>
      </c>
      <c r="Q49" s="245">
        <v>3.279118</v>
      </c>
      <c r="R49" s="245">
        <v>3.2860149999999999</v>
      </c>
      <c r="S49" s="245">
        <v>3.291461</v>
      </c>
      <c r="T49" s="245">
        <v>3.301774</v>
      </c>
      <c r="U49" s="245">
        <v>3.314584</v>
      </c>
      <c r="V49" s="245">
        <v>3.3363809999999998</v>
      </c>
      <c r="W49" s="245">
        <v>3.3352900000000001</v>
      </c>
      <c r="X49" s="245">
        <v>3.3507389999999999</v>
      </c>
      <c r="Y49" s="245">
        <v>3.3427419999999999</v>
      </c>
      <c r="Z49" s="245">
        <v>3.3585750000000001</v>
      </c>
      <c r="AA49" s="245">
        <v>3.3915470000000001</v>
      </c>
      <c r="AB49" s="245">
        <v>3.396712</v>
      </c>
      <c r="AC49" s="245">
        <v>3.4034450000000001</v>
      </c>
      <c r="AD49" s="245">
        <v>3.4199099999999998</v>
      </c>
      <c r="AE49" s="245">
        <v>3.4207770000000002</v>
      </c>
      <c r="AF49" s="244">
        <v>-1.2381E-2</v>
      </c>
      <c r="AG49" s="233"/>
    </row>
    <row r="50" spans="1:33" ht="15" customHeight="1">
      <c r="A50" s="234" t="s">
        <v>732</v>
      </c>
      <c r="B50" s="242" t="s">
        <v>708</v>
      </c>
      <c r="C50" s="245">
        <v>3.2552680000000001</v>
      </c>
      <c r="D50" s="245">
        <v>2.7817859999999999</v>
      </c>
      <c r="E50" s="245">
        <v>2.759954</v>
      </c>
      <c r="F50" s="245">
        <v>2.608609</v>
      </c>
      <c r="G50" s="245">
        <v>2.6040359999999998</v>
      </c>
      <c r="H50" s="245">
        <v>2.6122320000000001</v>
      </c>
      <c r="I50" s="245">
        <v>2.6114250000000001</v>
      </c>
      <c r="J50" s="245">
        <v>2.620187</v>
      </c>
      <c r="K50" s="245">
        <v>2.6323599999999998</v>
      </c>
      <c r="L50" s="245">
        <v>2.6387049999999999</v>
      </c>
      <c r="M50" s="245">
        <v>2.6515689999999998</v>
      </c>
      <c r="N50" s="245">
        <v>2.662893</v>
      </c>
      <c r="O50" s="245">
        <v>2.6735549999999999</v>
      </c>
      <c r="P50" s="245">
        <v>2.6913299999999998</v>
      </c>
      <c r="Q50" s="245">
        <v>2.6992050000000001</v>
      </c>
      <c r="R50" s="245">
        <v>2.7084830000000002</v>
      </c>
      <c r="S50" s="245">
        <v>2.7191109999999998</v>
      </c>
      <c r="T50" s="245">
        <v>2.7277149999999999</v>
      </c>
      <c r="U50" s="245">
        <v>2.729606</v>
      </c>
      <c r="V50" s="245">
        <v>2.725908</v>
      </c>
      <c r="W50" s="245">
        <v>2.7102970000000002</v>
      </c>
      <c r="X50" s="245">
        <v>2.6926060000000001</v>
      </c>
      <c r="Y50" s="245">
        <v>2.663948</v>
      </c>
      <c r="Z50" s="245">
        <v>2.6315249999999999</v>
      </c>
      <c r="AA50" s="245">
        <v>2.664361</v>
      </c>
      <c r="AB50" s="245">
        <v>2.6684269999999999</v>
      </c>
      <c r="AC50" s="245">
        <v>2.6841569999999999</v>
      </c>
      <c r="AD50" s="245">
        <v>2.6984469999999998</v>
      </c>
      <c r="AE50" s="245">
        <v>2.708278</v>
      </c>
      <c r="AF50" s="244">
        <v>-6.5490000000000001E-3</v>
      </c>
      <c r="AG50" s="233"/>
    </row>
    <row r="51" spans="1:33" ht="15" customHeight="1">
      <c r="A51" s="234" t="s">
        <v>733</v>
      </c>
      <c r="B51" s="242" t="s">
        <v>710</v>
      </c>
      <c r="C51" s="243">
        <v>136.721237</v>
      </c>
      <c r="D51" s="243">
        <v>116.835022</v>
      </c>
      <c r="E51" s="243">
        <v>115.91806800000001</v>
      </c>
      <c r="F51" s="243">
        <v>109.561584</v>
      </c>
      <c r="G51" s="243">
        <v>109.36949199999999</v>
      </c>
      <c r="H51" s="243">
        <v>109.713745</v>
      </c>
      <c r="I51" s="243">
        <v>109.679855</v>
      </c>
      <c r="J51" s="243">
        <v>110.047844</v>
      </c>
      <c r="K51" s="243">
        <v>110.55914300000001</v>
      </c>
      <c r="L51" s="243">
        <v>110.82560700000001</v>
      </c>
      <c r="M51" s="243">
        <v>111.365891</v>
      </c>
      <c r="N51" s="243">
        <v>111.84148399999999</v>
      </c>
      <c r="O51" s="243">
        <v>112.28929100000001</v>
      </c>
      <c r="P51" s="243">
        <v>113.035873</v>
      </c>
      <c r="Q51" s="243">
        <v>113.366631</v>
      </c>
      <c r="R51" s="243">
        <v>113.756271</v>
      </c>
      <c r="S51" s="243">
        <v>114.202682</v>
      </c>
      <c r="T51" s="243">
        <v>114.56403400000001</v>
      </c>
      <c r="U51" s="243">
        <v>114.64344</v>
      </c>
      <c r="V51" s="243">
        <v>114.488136</v>
      </c>
      <c r="W51" s="243">
        <v>113.832466</v>
      </c>
      <c r="X51" s="243">
        <v>113.089439</v>
      </c>
      <c r="Y51" s="243">
        <v>111.885803</v>
      </c>
      <c r="Z51" s="243">
        <v>110.524033</v>
      </c>
      <c r="AA51" s="243">
        <v>111.90316799999999</v>
      </c>
      <c r="AB51" s="243">
        <v>112.073914</v>
      </c>
      <c r="AC51" s="243">
        <v>112.734596</v>
      </c>
      <c r="AD51" s="243">
        <v>113.334763</v>
      </c>
      <c r="AE51" s="243">
        <v>113.747665</v>
      </c>
      <c r="AF51" s="244">
        <v>-6.5490000000000001E-3</v>
      </c>
      <c r="AG51" s="233"/>
    </row>
    <row r="52" spans="1:33" ht="15" customHeight="1"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</row>
    <row r="53" spans="1:33" ht="15" customHeight="1">
      <c r="B53" s="241" t="s">
        <v>734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</row>
    <row r="54" spans="1:33" ht="15" customHeight="1">
      <c r="A54" s="234" t="s">
        <v>735</v>
      </c>
      <c r="B54" s="242" t="s">
        <v>702</v>
      </c>
      <c r="C54" s="245">
        <v>2.567952</v>
      </c>
      <c r="D54" s="245">
        <v>2.6395970000000002</v>
      </c>
      <c r="E54" s="245">
        <v>2.5220400000000001</v>
      </c>
      <c r="F54" s="245">
        <v>2.3806780000000001</v>
      </c>
      <c r="G54" s="245">
        <v>2.2791610000000002</v>
      </c>
      <c r="H54" s="245">
        <v>2.2087379999999999</v>
      </c>
      <c r="I54" s="245">
        <v>2.1763780000000001</v>
      </c>
      <c r="J54" s="245">
        <v>2.1687729999999998</v>
      </c>
      <c r="K54" s="245">
        <v>2.1835800000000001</v>
      </c>
      <c r="L54" s="245">
        <v>2.212358</v>
      </c>
      <c r="M54" s="245">
        <v>2.2536510000000001</v>
      </c>
      <c r="N54" s="245">
        <v>2.304405</v>
      </c>
      <c r="O54" s="245">
        <v>2.3509370000000001</v>
      </c>
      <c r="P54" s="245">
        <v>2.3835130000000002</v>
      </c>
      <c r="Q54" s="245">
        <v>2.4058440000000001</v>
      </c>
      <c r="R54" s="245">
        <v>2.4271250000000002</v>
      </c>
      <c r="S54" s="245">
        <v>2.46034</v>
      </c>
      <c r="T54" s="245">
        <v>2.4682279999999999</v>
      </c>
      <c r="U54" s="245">
        <v>2.4952610000000002</v>
      </c>
      <c r="V54" s="245">
        <v>2.5194239999999999</v>
      </c>
      <c r="W54" s="245">
        <v>2.5330879999999998</v>
      </c>
      <c r="X54" s="245">
        <v>2.5369320000000002</v>
      </c>
      <c r="Y54" s="245">
        <v>2.5344229999999999</v>
      </c>
      <c r="Z54" s="245">
        <v>2.5390929999999998</v>
      </c>
      <c r="AA54" s="245">
        <v>2.5535030000000001</v>
      </c>
      <c r="AB54" s="245">
        <v>2.555444</v>
      </c>
      <c r="AC54" s="245">
        <v>2.5623779999999998</v>
      </c>
      <c r="AD54" s="245">
        <v>2.5619000000000001</v>
      </c>
      <c r="AE54" s="245">
        <v>2.5577700000000001</v>
      </c>
      <c r="AF54" s="244">
        <v>-1.4200000000000001E-4</v>
      </c>
      <c r="AG54" s="233"/>
    </row>
    <row r="55" spans="1:33" ht="15" customHeight="1">
      <c r="A55" s="234" t="s">
        <v>736</v>
      </c>
      <c r="B55" s="242" t="s">
        <v>723</v>
      </c>
      <c r="C55" s="245">
        <v>4.1836200000000003</v>
      </c>
      <c r="D55" s="245">
        <v>3.6619549999999998</v>
      </c>
      <c r="E55" s="245">
        <v>3.3248639999999998</v>
      </c>
      <c r="F55" s="245">
        <v>3.1057049999999999</v>
      </c>
      <c r="G55" s="245">
        <v>3.0728080000000002</v>
      </c>
      <c r="H55" s="245">
        <v>3.0532469999999998</v>
      </c>
      <c r="I55" s="245">
        <v>3.0528710000000001</v>
      </c>
      <c r="J55" s="245">
        <v>3.057626</v>
      </c>
      <c r="K55" s="245">
        <v>3.0676570000000001</v>
      </c>
      <c r="L55" s="245">
        <v>3.0627360000000001</v>
      </c>
      <c r="M55" s="245">
        <v>3.078265</v>
      </c>
      <c r="N55" s="245">
        <v>3.0852170000000001</v>
      </c>
      <c r="O55" s="245">
        <v>3.0952579999999998</v>
      </c>
      <c r="P55" s="245">
        <v>3.1015570000000001</v>
      </c>
      <c r="Q55" s="245">
        <v>3.134493</v>
      </c>
      <c r="R55" s="245">
        <v>3.1386980000000002</v>
      </c>
      <c r="S55" s="245">
        <v>3.1479089999999998</v>
      </c>
      <c r="T55" s="245">
        <v>3.1612650000000002</v>
      </c>
      <c r="U55" s="245">
        <v>3.1651120000000001</v>
      </c>
      <c r="V55" s="245">
        <v>3.164898</v>
      </c>
      <c r="W55" s="245">
        <v>3.1727780000000001</v>
      </c>
      <c r="X55" s="245">
        <v>3.159735</v>
      </c>
      <c r="Y55" s="245">
        <v>3.1801680000000001</v>
      </c>
      <c r="Z55" s="245">
        <v>3.1811430000000001</v>
      </c>
      <c r="AA55" s="245">
        <v>3.2696860000000001</v>
      </c>
      <c r="AB55" s="245">
        <v>3.269069</v>
      </c>
      <c r="AC55" s="245">
        <v>3.2952659999999998</v>
      </c>
      <c r="AD55" s="245">
        <v>3.3034560000000002</v>
      </c>
      <c r="AE55" s="245">
        <v>3.3319719999999999</v>
      </c>
      <c r="AF55" s="244">
        <v>-8.0960000000000008E-3</v>
      </c>
      <c r="AG55" s="233"/>
    </row>
    <row r="56" spans="1:33" ht="15" customHeight="1">
      <c r="A56" s="234" t="s">
        <v>737</v>
      </c>
      <c r="B56" s="242" t="s">
        <v>725</v>
      </c>
      <c r="C56" s="245">
        <v>3.6098750000000002</v>
      </c>
      <c r="D56" s="245">
        <v>3.0466530000000001</v>
      </c>
      <c r="E56" s="245">
        <v>2.9238960000000001</v>
      </c>
      <c r="F56" s="245">
        <v>2.7237170000000002</v>
      </c>
      <c r="G56" s="245">
        <v>2.6927949999999998</v>
      </c>
      <c r="H56" s="245">
        <v>2.6613739999999999</v>
      </c>
      <c r="I56" s="245">
        <v>2.6486499999999999</v>
      </c>
      <c r="J56" s="245">
        <v>2.6639539999999999</v>
      </c>
      <c r="K56" s="245">
        <v>2.6669100000000001</v>
      </c>
      <c r="L56" s="245">
        <v>2.6962769999999998</v>
      </c>
      <c r="M56" s="245">
        <v>2.717784</v>
      </c>
      <c r="N56" s="245">
        <v>2.7295210000000001</v>
      </c>
      <c r="O56" s="245">
        <v>2.7497220000000002</v>
      </c>
      <c r="P56" s="245">
        <v>2.770591</v>
      </c>
      <c r="Q56" s="245">
        <v>2.7839860000000001</v>
      </c>
      <c r="R56" s="245">
        <v>2.8007270000000002</v>
      </c>
      <c r="S56" s="245">
        <v>2.8173349999999999</v>
      </c>
      <c r="T56" s="245">
        <v>2.8305150000000001</v>
      </c>
      <c r="U56" s="245">
        <v>2.8468330000000002</v>
      </c>
      <c r="V56" s="245">
        <v>2.874746</v>
      </c>
      <c r="W56" s="245">
        <v>2.8813240000000002</v>
      </c>
      <c r="X56" s="245">
        <v>2.9034469999999999</v>
      </c>
      <c r="Y56" s="245">
        <v>2.8980489999999999</v>
      </c>
      <c r="Z56" s="245">
        <v>2.9190800000000001</v>
      </c>
      <c r="AA56" s="245">
        <v>2.9625029999999999</v>
      </c>
      <c r="AB56" s="245">
        <v>2.968712</v>
      </c>
      <c r="AC56" s="245">
        <v>2.9768970000000001</v>
      </c>
      <c r="AD56" s="245">
        <v>2.9904410000000001</v>
      </c>
      <c r="AE56" s="245">
        <v>2.9943379999999999</v>
      </c>
      <c r="AF56" s="244">
        <v>-6.6550000000000003E-3</v>
      </c>
      <c r="AG56" s="233"/>
    </row>
    <row r="57" spans="1:33" ht="15" customHeight="1">
      <c r="A57" s="234" t="s">
        <v>738</v>
      </c>
      <c r="B57" s="242" t="s">
        <v>704</v>
      </c>
      <c r="C57" s="245">
        <v>5.0437149999999997</v>
      </c>
      <c r="D57" s="245">
        <v>4.5170019999999997</v>
      </c>
      <c r="E57" s="245">
        <v>4.2724820000000001</v>
      </c>
      <c r="F57" s="245">
        <v>3.9676870000000002</v>
      </c>
      <c r="G57" s="245">
        <v>3.8243260000000001</v>
      </c>
      <c r="H57" s="245">
        <v>3.6825730000000001</v>
      </c>
      <c r="I57" s="245">
        <v>3.56162</v>
      </c>
      <c r="J57" s="245">
        <v>3.5750510000000002</v>
      </c>
      <c r="K57" s="245">
        <v>3.5763799999999999</v>
      </c>
      <c r="L57" s="245">
        <v>3.5994060000000001</v>
      </c>
      <c r="M57" s="245">
        <v>3.6140110000000001</v>
      </c>
      <c r="N57" s="245">
        <v>3.6315849999999998</v>
      </c>
      <c r="O57" s="245">
        <v>3.637683</v>
      </c>
      <c r="P57" s="245">
        <v>3.6633939999999998</v>
      </c>
      <c r="Q57" s="245">
        <v>3.6649419999999999</v>
      </c>
      <c r="R57" s="245">
        <v>3.6825190000000001</v>
      </c>
      <c r="S57" s="245">
        <v>3.6947510000000001</v>
      </c>
      <c r="T57" s="245">
        <v>3.7008740000000002</v>
      </c>
      <c r="U57" s="245">
        <v>3.7076720000000001</v>
      </c>
      <c r="V57" s="245">
        <v>3.7295069999999999</v>
      </c>
      <c r="W57" s="245">
        <v>3.7288619999999999</v>
      </c>
      <c r="X57" s="245">
        <v>3.7453210000000001</v>
      </c>
      <c r="Y57" s="245">
        <v>3.7334369999999999</v>
      </c>
      <c r="Z57" s="245">
        <v>3.741387</v>
      </c>
      <c r="AA57" s="245">
        <v>3.808516</v>
      </c>
      <c r="AB57" s="245">
        <v>3.811788</v>
      </c>
      <c r="AC57" s="245">
        <v>3.8165610000000001</v>
      </c>
      <c r="AD57" s="245">
        <v>3.8263159999999998</v>
      </c>
      <c r="AE57" s="245">
        <v>3.8265769999999999</v>
      </c>
      <c r="AF57" s="244">
        <v>-9.8150000000000008E-3</v>
      </c>
      <c r="AG57" s="233"/>
    </row>
    <row r="58" spans="1:33" ht="15" customHeight="1">
      <c r="A58" s="234" t="s">
        <v>739</v>
      </c>
      <c r="B58" s="242" t="s">
        <v>708</v>
      </c>
      <c r="C58" s="245">
        <v>2.327985</v>
      </c>
      <c r="D58" s="245">
        <v>2.2464140000000001</v>
      </c>
      <c r="E58" s="245">
        <v>2.5193629999999998</v>
      </c>
      <c r="F58" s="245">
        <v>2.4086319999999999</v>
      </c>
      <c r="G58" s="245">
        <v>2.4282970000000001</v>
      </c>
      <c r="H58" s="245">
        <v>2.4554330000000002</v>
      </c>
      <c r="I58" s="245">
        <v>2.4744329999999999</v>
      </c>
      <c r="J58" s="245">
        <v>2.4861930000000001</v>
      </c>
      <c r="K58" s="245">
        <v>2.501036</v>
      </c>
      <c r="L58" s="245">
        <v>2.5127009999999999</v>
      </c>
      <c r="M58" s="245">
        <v>2.52738</v>
      </c>
      <c r="N58" s="245">
        <v>2.5412710000000001</v>
      </c>
      <c r="O58" s="245">
        <v>2.5550389999999998</v>
      </c>
      <c r="P58" s="245">
        <v>2.5721609999999999</v>
      </c>
      <c r="Q58" s="245">
        <v>2.580854</v>
      </c>
      <c r="R58" s="245">
        <v>2.5939559999999999</v>
      </c>
      <c r="S58" s="245">
        <v>2.6083630000000002</v>
      </c>
      <c r="T58" s="245">
        <v>2.618859</v>
      </c>
      <c r="U58" s="245">
        <v>2.628136</v>
      </c>
      <c r="V58" s="245">
        <v>2.643081</v>
      </c>
      <c r="W58" s="245">
        <v>2.6454710000000001</v>
      </c>
      <c r="X58" s="245">
        <v>2.6553290000000001</v>
      </c>
      <c r="Y58" s="245">
        <v>2.6534450000000001</v>
      </c>
      <c r="Z58" s="245">
        <v>2.6587149999999999</v>
      </c>
      <c r="AA58" s="245">
        <v>2.6861109999999999</v>
      </c>
      <c r="AB58" s="245">
        <v>2.685797</v>
      </c>
      <c r="AC58" s="245">
        <v>2.7013210000000001</v>
      </c>
      <c r="AD58" s="245">
        <v>2.7142460000000002</v>
      </c>
      <c r="AE58" s="245">
        <v>2.7272090000000002</v>
      </c>
      <c r="AF58" s="244">
        <v>5.6690000000000004E-3</v>
      </c>
      <c r="AG58" s="233"/>
    </row>
    <row r="59" spans="1:33" ht="15" customHeight="1">
      <c r="A59" s="234" t="s">
        <v>740</v>
      </c>
      <c r="B59" s="242" t="s">
        <v>710</v>
      </c>
      <c r="C59" s="243">
        <v>97.775383000000005</v>
      </c>
      <c r="D59" s="243">
        <v>94.349379999999996</v>
      </c>
      <c r="E59" s="243">
        <v>105.813255</v>
      </c>
      <c r="F59" s="243">
        <v>101.16256</v>
      </c>
      <c r="G59" s="243">
        <v>101.98848700000001</v>
      </c>
      <c r="H59" s="243">
        <v>103.128204</v>
      </c>
      <c r="I59" s="243">
        <v>103.92617</v>
      </c>
      <c r="J59" s="243">
        <v>104.42012</v>
      </c>
      <c r="K59" s="243">
        <v>105.043533</v>
      </c>
      <c r="L59" s="243">
        <v>105.53344</v>
      </c>
      <c r="M59" s="243">
        <v>106.14997099999999</v>
      </c>
      <c r="N59" s="243">
        <v>106.73337600000001</v>
      </c>
      <c r="O59" s="243">
        <v>107.31165300000001</v>
      </c>
      <c r="P59" s="243">
        <v>108.030754</v>
      </c>
      <c r="Q59" s="243">
        <v>108.395882</v>
      </c>
      <c r="R59" s="243">
        <v>108.94615899999999</v>
      </c>
      <c r="S59" s="243">
        <v>109.55126199999999</v>
      </c>
      <c r="T59" s="243">
        <v>109.992081</v>
      </c>
      <c r="U59" s="243">
        <v>110.381699</v>
      </c>
      <c r="V59" s="243">
        <v>111.009407</v>
      </c>
      <c r="W59" s="243">
        <v>111.109787</v>
      </c>
      <c r="X59" s="243">
        <v>111.523827</v>
      </c>
      <c r="Y59" s="243">
        <v>111.444695</v>
      </c>
      <c r="Z59" s="243">
        <v>111.66604599999999</v>
      </c>
      <c r="AA59" s="243">
        <v>112.816681</v>
      </c>
      <c r="AB59" s="243">
        <v>112.80347399999999</v>
      </c>
      <c r="AC59" s="243">
        <v>113.455467</v>
      </c>
      <c r="AD59" s="243">
        <v>113.99833700000001</v>
      </c>
      <c r="AE59" s="243">
        <v>114.54278600000001</v>
      </c>
      <c r="AF59" s="244">
        <v>5.6690000000000004E-3</v>
      </c>
      <c r="AG59" s="233"/>
    </row>
    <row r="60" spans="1:33" ht="15" customHeight="1">
      <c r="A60" s="234" t="s">
        <v>741</v>
      </c>
      <c r="B60" s="241" t="s">
        <v>742</v>
      </c>
      <c r="C60" s="246">
        <v>3.6236540000000002</v>
      </c>
      <c r="D60" s="246">
        <v>3.1975440000000002</v>
      </c>
      <c r="E60" s="246">
        <v>2.9665219999999999</v>
      </c>
      <c r="F60" s="246">
        <v>2.75047</v>
      </c>
      <c r="G60" s="246">
        <v>2.6742520000000001</v>
      </c>
      <c r="H60" s="246">
        <v>2.6097760000000001</v>
      </c>
      <c r="I60" s="246">
        <v>2.568613</v>
      </c>
      <c r="J60" s="246">
        <v>2.5648659999999999</v>
      </c>
      <c r="K60" s="246">
        <v>2.563437</v>
      </c>
      <c r="L60" s="246">
        <v>2.56839</v>
      </c>
      <c r="M60" s="246">
        <v>2.5791580000000001</v>
      </c>
      <c r="N60" s="246">
        <v>2.5877849999999998</v>
      </c>
      <c r="O60" s="246">
        <v>2.5931289999999998</v>
      </c>
      <c r="P60" s="246">
        <v>2.6014979999999999</v>
      </c>
      <c r="Q60" s="246">
        <v>2.6131440000000001</v>
      </c>
      <c r="R60" s="246">
        <v>2.6200999999999999</v>
      </c>
      <c r="S60" s="246">
        <v>2.631872</v>
      </c>
      <c r="T60" s="246">
        <v>2.6322890000000001</v>
      </c>
      <c r="U60" s="246">
        <v>2.6405099999999999</v>
      </c>
      <c r="V60" s="246">
        <v>2.6460360000000001</v>
      </c>
      <c r="W60" s="246">
        <v>2.6463749999999999</v>
      </c>
      <c r="X60" s="246">
        <v>2.6417600000000001</v>
      </c>
      <c r="Y60" s="246">
        <v>2.6448640000000001</v>
      </c>
      <c r="Z60" s="246">
        <v>2.6500590000000002</v>
      </c>
      <c r="AA60" s="246">
        <v>2.7027139999999998</v>
      </c>
      <c r="AB60" s="246">
        <v>2.7062560000000002</v>
      </c>
      <c r="AC60" s="246">
        <v>2.7217069999999999</v>
      </c>
      <c r="AD60" s="246">
        <v>2.729587</v>
      </c>
      <c r="AE60" s="246">
        <v>2.7414200000000002</v>
      </c>
      <c r="AF60" s="247">
        <v>-9.9150000000000002E-3</v>
      </c>
      <c r="AG60" s="233"/>
    </row>
    <row r="61" spans="1:33" ht="15" customHeight="1"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</row>
    <row r="62" spans="1:33" ht="15" customHeight="1"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</row>
    <row r="63" spans="1:33" ht="15" customHeight="1">
      <c r="B63" s="241" t="s">
        <v>572</v>
      </c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</row>
    <row r="64" spans="1:33" ht="15" customHeight="1">
      <c r="B64" s="241" t="s">
        <v>743</v>
      </c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</row>
    <row r="65" spans="1:33" ht="15" customHeight="1">
      <c r="A65" s="234" t="s">
        <v>744</v>
      </c>
      <c r="B65" s="242" t="s">
        <v>692</v>
      </c>
      <c r="C65" s="243">
        <v>102.129997</v>
      </c>
      <c r="D65" s="243">
        <v>95.329002000000003</v>
      </c>
      <c r="E65" s="243">
        <v>98.708404999999999</v>
      </c>
      <c r="F65" s="243">
        <v>94.878890999999996</v>
      </c>
      <c r="G65" s="243">
        <v>97.830475000000007</v>
      </c>
      <c r="H65" s="243">
        <v>100.425552</v>
      </c>
      <c r="I65" s="243">
        <v>103.260544</v>
      </c>
      <c r="J65" s="243">
        <v>106.227829</v>
      </c>
      <c r="K65" s="243">
        <v>109.43918600000001</v>
      </c>
      <c r="L65" s="243">
        <v>112.639786</v>
      </c>
      <c r="M65" s="243">
        <v>116.265869</v>
      </c>
      <c r="N65" s="243">
        <v>119.61837800000001</v>
      </c>
      <c r="O65" s="243">
        <v>123.399551</v>
      </c>
      <c r="P65" s="243">
        <v>127.457848</v>
      </c>
      <c r="Q65" s="243">
        <v>131.21597299999999</v>
      </c>
      <c r="R65" s="243">
        <v>135.083923</v>
      </c>
      <c r="S65" s="243">
        <v>138.85072299999999</v>
      </c>
      <c r="T65" s="243">
        <v>142.69729599999999</v>
      </c>
      <c r="U65" s="243">
        <v>146.67823799999999</v>
      </c>
      <c r="V65" s="243">
        <v>150.81691000000001</v>
      </c>
      <c r="W65" s="243">
        <v>154.928268</v>
      </c>
      <c r="X65" s="243">
        <v>159.09347500000001</v>
      </c>
      <c r="Y65" s="243">
        <v>163.57148699999999</v>
      </c>
      <c r="Z65" s="243">
        <v>167.987595</v>
      </c>
      <c r="AA65" s="243">
        <v>173.312363</v>
      </c>
      <c r="AB65" s="243">
        <v>178.174057</v>
      </c>
      <c r="AC65" s="243">
        <v>183.52430699999999</v>
      </c>
      <c r="AD65" s="243">
        <v>189.210342</v>
      </c>
      <c r="AE65" s="243">
        <v>194.299271</v>
      </c>
      <c r="AF65" s="244">
        <v>2.3236E-2</v>
      </c>
      <c r="AG65" s="233"/>
    </row>
    <row r="66" spans="1:33" ht="12" customHeight="1">
      <c r="A66" s="234" t="s">
        <v>745</v>
      </c>
      <c r="B66" s="242" t="s">
        <v>694</v>
      </c>
      <c r="C66" s="243">
        <v>95.875998999999993</v>
      </c>
      <c r="D66" s="243">
        <v>89.329002000000003</v>
      </c>
      <c r="E66" s="243">
        <v>97.249779000000004</v>
      </c>
      <c r="F66" s="243">
        <v>92.900146000000007</v>
      </c>
      <c r="G66" s="243">
        <v>94.905304000000001</v>
      </c>
      <c r="H66" s="243">
        <v>97.271384999999995</v>
      </c>
      <c r="I66" s="243">
        <v>100.22315999999999</v>
      </c>
      <c r="J66" s="243">
        <v>102.98326900000001</v>
      </c>
      <c r="K66" s="243">
        <v>105.828407</v>
      </c>
      <c r="L66" s="243">
        <v>108.94564099999999</v>
      </c>
      <c r="M66" s="243">
        <v>112.41229199999999</v>
      </c>
      <c r="N66" s="243">
        <v>115.627411</v>
      </c>
      <c r="O66" s="243">
        <v>119.291077</v>
      </c>
      <c r="P66" s="243">
        <v>122.66132399999999</v>
      </c>
      <c r="Q66" s="243">
        <v>126.59264400000001</v>
      </c>
      <c r="R66" s="243">
        <v>130.29289199999999</v>
      </c>
      <c r="S66" s="243">
        <v>133.71722399999999</v>
      </c>
      <c r="T66" s="243">
        <v>137.44975299999999</v>
      </c>
      <c r="U66" s="243">
        <v>141.151093</v>
      </c>
      <c r="V66" s="243">
        <v>145.09960899999999</v>
      </c>
      <c r="W66" s="243">
        <v>149.102936</v>
      </c>
      <c r="X66" s="243">
        <v>153.158661</v>
      </c>
      <c r="Y66" s="243">
        <v>157.370575</v>
      </c>
      <c r="Z66" s="243">
        <v>161.615891</v>
      </c>
      <c r="AA66" s="243">
        <v>166.70979299999999</v>
      </c>
      <c r="AB66" s="243">
        <v>171.44435100000001</v>
      </c>
      <c r="AC66" s="243">
        <v>176.82122799999999</v>
      </c>
      <c r="AD66" s="243">
        <v>182.42593400000001</v>
      </c>
      <c r="AE66" s="243">
        <v>187.283264</v>
      </c>
      <c r="AF66" s="244">
        <v>2.4201E-2</v>
      </c>
      <c r="AG66" s="233"/>
    </row>
    <row r="67" spans="1:33" ht="15" customHeight="1">
      <c r="A67" s="234" t="s">
        <v>746</v>
      </c>
      <c r="B67" s="242" t="s">
        <v>696</v>
      </c>
      <c r="C67" s="243">
        <v>93.169998000000007</v>
      </c>
      <c r="D67" s="243">
        <v>86.620002999999997</v>
      </c>
      <c r="E67" s="243">
        <v>95.064835000000002</v>
      </c>
      <c r="F67" s="243">
        <v>91.230620999999999</v>
      </c>
      <c r="G67" s="243">
        <v>93.362235999999996</v>
      </c>
      <c r="H67" s="243">
        <v>95.906745999999998</v>
      </c>
      <c r="I67" s="243">
        <v>98.287398999999994</v>
      </c>
      <c r="J67" s="243">
        <v>101.109497</v>
      </c>
      <c r="K67" s="243">
        <v>103.969826</v>
      </c>
      <c r="L67" s="243">
        <v>106.68147999999999</v>
      </c>
      <c r="M67" s="243">
        <v>109.936981</v>
      </c>
      <c r="N67" s="243">
        <v>113.10684999999999</v>
      </c>
      <c r="O67" s="243">
        <v>116.17791</v>
      </c>
      <c r="P67" s="243">
        <v>119.59766399999999</v>
      </c>
      <c r="Q67" s="243">
        <v>123.633385</v>
      </c>
      <c r="R67" s="243">
        <v>126.946815</v>
      </c>
      <c r="S67" s="243">
        <v>130.566971</v>
      </c>
      <c r="T67" s="243">
        <v>134.157837</v>
      </c>
      <c r="U67" s="243">
        <v>138.17053200000001</v>
      </c>
      <c r="V67" s="243">
        <v>142.142044</v>
      </c>
      <c r="W67" s="243">
        <v>146.22706600000001</v>
      </c>
      <c r="X67" s="243">
        <v>149.632217</v>
      </c>
      <c r="Y67" s="243">
        <v>153.53042600000001</v>
      </c>
      <c r="Z67" s="243">
        <v>157.63656599999999</v>
      </c>
      <c r="AA67" s="243">
        <v>162.51611299999999</v>
      </c>
      <c r="AB67" s="243">
        <v>167.21038799999999</v>
      </c>
      <c r="AC67" s="243">
        <v>172.20019500000001</v>
      </c>
      <c r="AD67" s="243">
        <v>177.44169600000001</v>
      </c>
      <c r="AE67" s="243">
        <v>182.600998</v>
      </c>
      <c r="AF67" s="244">
        <v>2.4322E-2</v>
      </c>
      <c r="AG67" s="233"/>
    </row>
    <row r="68" spans="1:33" ht="15" customHeight="1"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</row>
    <row r="69" spans="1:33" ht="15" customHeight="1">
      <c r="B69" s="241" t="s">
        <v>747</v>
      </c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</row>
    <row r="70" spans="1:33" ht="15" customHeight="1">
      <c r="B70" s="241" t="s">
        <v>748</v>
      </c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</row>
    <row r="71" spans="1:33" ht="15" customHeight="1">
      <c r="B71" s="241" t="s">
        <v>700</v>
      </c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</row>
    <row r="72" spans="1:33" ht="15" customHeight="1">
      <c r="A72" s="234" t="s">
        <v>749</v>
      </c>
      <c r="B72" s="242" t="s">
        <v>702</v>
      </c>
      <c r="C72" s="245">
        <v>2.6643159999999999</v>
      </c>
      <c r="D72" s="245">
        <v>2.981433</v>
      </c>
      <c r="E72" s="245">
        <v>3.0719810000000001</v>
      </c>
      <c r="F72" s="245">
        <v>3.0316689999999999</v>
      </c>
      <c r="G72" s="245">
        <v>2.984559</v>
      </c>
      <c r="H72" s="245">
        <v>2.9570479999999999</v>
      </c>
      <c r="I72" s="245">
        <v>2.9672689999999999</v>
      </c>
      <c r="J72" s="245">
        <v>3.0116710000000002</v>
      </c>
      <c r="K72" s="245">
        <v>3.0888520000000002</v>
      </c>
      <c r="L72" s="245">
        <v>3.1922429999999999</v>
      </c>
      <c r="M72" s="245">
        <v>3.3191579999999998</v>
      </c>
      <c r="N72" s="245">
        <v>3.4677739999999999</v>
      </c>
      <c r="O72" s="245">
        <v>3.6225390000000002</v>
      </c>
      <c r="P72" s="245">
        <v>3.7661959999999999</v>
      </c>
      <c r="Q72" s="245">
        <v>3.898145</v>
      </c>
      <c r="R72" s="245">
        <v>4.0267239999999997</v>
      </c>
      <c r="S72" s="245">
        <v>4.1701329999999999</v>
      </c>
      <c r="T72" s="245">
        <v>4.288951</v>
      </c>
      <c r="U72" s="245">
        <v>4.4297529999999998</v>
      </c>
      <c r="V72" s="245">
        <v>4.5743679999999998</v>
      </c>
      <c r="W72" s="245">
        <v>4.7107830000000002</v>
      </c>
      <c r="X72" s="245">
        <v>4.8363589999999999</v>
      </c>
      <c r="Y72" s="245">
        <v>4.9529100000000001</v>
      </c>
      <c r="Z72" s="245">
        <v>5.0798389999999998</v>
      </c>
      <c r="AA72" s="245">
        <v>5.2342409999999999</v>
      </c>
      <c r="AB72" s="245">
        <v>5.3651910000000003</v>
      </c>
      <c r="AC72" s="245">
        <v>5.508089</v>
      </c>
      <c r="AD72" s="245">
        <v>5.6454950000000004</v>
      </c>
      <c r="AE72" s="245">
        <v>5.7798499999999997</v>
      </c>
      <c r="AF72" s="244">
        <v>2.8043999999999999E-2</v>
      </c>
      <c r="AG72" s="233"/>
    </row>
    <row r="73" spans="1:33" ht="12" customHeight="1">
      <c r="A73" s="234" t="s">
        <v>750</v>
      </c>
      <c r="B73" s="242" t="s">
        <v>704</v>
      </c>
      <c r="C73" s="245">
        <v>4.8463640000000003</v>
      </c>
      <c r="D73" s="245">
        <v>4.7006420000000002</v>
      </c>
      <c r="E73" s="245">
        <v>4.6379440000000001</v>
      </c>
      <c r="F73" s="245">
        <v>4.4925509999999997</v>
      </c>
      <c r="G73" s="245">
        <v>4.517563</v>
      </c>
      <c r="H73" s="245">
        <v>4.5456979999999998</v>
      </c>
      <c r="I73" s="245">
        <v>4.5984509999999998</v>
      </c>
      <c r="J73" s="245">
        <v>4.7136329999999997</v>
      </c>
      <c r="K73" s="245">
        <v>4.8200719999999997</v>
      </c>
      <c r="L73" s="245">
        <v>4.9606199999999996</v>
      </c>
      <c r="M73" s="245">
        <v>5.0894560000000002</v>
      </c>
      <c r="N73" s="245">
        <v>5.2308349999999999</v>
      </c>
      <c r="O73" s="245">
        <v>5.3643479999999997</v>
      </c>
      <c r="P73" s="245">
        <v>5.5225780000000002</v>
      </c>
      <c r="Q73" s="245">
        <v>5.6528169999999998</v>
      </c>
      <c r="R73" s="245">
        <v>5.8032110000000001</v>
      </c>
      <c r="S73" s="245">
        <v>5.9492019999999997</v>
      </c>
      <c r="T73" s="245">
        <v>6.088381</v>
      </c>
      <c r="U73" s="245">
        <v>6.2339510000000002</v>
      </c>
      <c r="V73" s="245">
        <v>6.4071639999999999</v>
      </c>
      <c r="W73" s="245">
        <v>6.550408</v>
      </c>
      <c r="X73" s="245">
        <v>6.7259460000000004</v>
      </c>
      <c r="Y73" s="245">
        <v>6.8595860000000002</v>
      </c>
      <c r="Z73" s="245">
        <v>7.0297369999999999</v>
      </c>
      <c r="AA73" s="245">
        <v>7.2457580000000004</v>
      </c>
      <c r="AB73" s="245">
        <v>7.4242460000000001</v>
      </c>
      <c r="AC73" s="245">
        <v>7.610385</v>
      </c>
      <c r="AD73" s="245">
        <v>7.8099790000000002</v>
      </c>
      <c r="AE73" s="245">
        <v>7.9983240000000002</v>
      </c>
      <c r="AF73" s="244">
        <v>1.8054000000000001E-2</v>
      </c>
      <c r="AG73" s="233"/>
    </row>
    <row r="74" spans="1:33" ht="15" customHeight="1"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</row>
    <row r="75" spans="1:33" ht="15" customHeight="1">
      <c r="B75" s="241" t="s">
        <v>705</v>
      </c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</row>
    <row r="76" spans="1:33" ht="15" customHeight="1">
      <c r="A76" s="234" t="s">
        <v>751</v>
      </c>
      <c r="B76" s="242" t="s">
        <v>704</v>
      </c>
      <c r="C76" s="245">
        <v>4.8492800000000003</v>
      </c>
      <c r="D76" s="245">
        <v>4.7229029999999996</v>
      </c>
      <c r="E76" s="245">
        <v>4.4913829999999999</v>
      </c>
      <c r="F76" s="245">
        <v>4.1691950000000002</v>
      </c>
      <c r="G76" s="245">
        <v>4.0071570000000003</v>
      </c>
      <c r="H76" s="245">
        <v>3.843928</v>
      </c>
      <c r="I76" s="245">
        <v>3.6954199999999999</v>
      </c>
      <c r="J76" s="245">
        <v>3.7900109999999998</v>
      </c>
      <c r="K76" s="245">
        <v>3.874908</v>
      </c>
      <c r="L76" s="245">
        <v>3.9919630000000002</v>
      </c>
      <c r="M76" s="245">
        <v>4.0997870000000001</v>
      </c>
      <c r="N76" s="245">
        <v>4.2156479999999998</v>
      </c>
      <c r="O76" s="245">
        <v>4.3265339999999997</v>
      </c>
      <c r="P76" s="245">
        <v>4.4564370000000002</v>
      </c>
      <c r="Q76" s="245">
        <v>4.5641170000000004</v>
      </c>
      <c r="R76" s="245">
        <v>4.6884170000000003</v>
      </c>
      <c r="S76" s="245">
        <v>4.8086979999999997</v>
      </c>
      <c r="T76" s="245">
        <v>4.9227460000000001</v>
      </c>
      <c r="U76" s="245">
        <v>5.0423559999999998</v>
      </c>
      <c r="V76" s="245">
        <v>5.1885260000000004</v>
      </c>
      <c r="W76" s="245">
        <v>5.3042319999999998</v>
      </c>
      <c r="X76" s="245">
        <v>5.4514189999999996</v>
      </c>
      <c r="Y76" s="245">
        <v>5.556578</v>
      </c>
      <c r="Z76" s="245">
        <v>5.7024179999999998</v>
      </c>
      <c r="AA76" s="245">
        <v>5.961805</v>
      </c>
      <c r="AB76" s="245">
        <v>6.1068449999999999</v>
      </c>
      <c r="AC76" s="245">
        <v>6.2612870000000003</v>
      </c>
      <c r="AD76" s="245">
        <v>6.429735</v>
      </c>
      <c r="AE76" s="245">
        <v>6.5852060000000003</v>
      </c>
      <c r="AF76" s="244">
        <v>1.0988E-2</v>
      </c>
      <c r="AG76" s="233"/>
    </row>
    <row r="77" spans="1:33" ht="15" customHeight="1">
      <c r="A77" s="234" t="s">
        <v>752</v>
      </c>
      <c r="B77" s="242" t="s">
        <v>708</v>
      </c>
      <c r="C77" s="245">
        <v>1.8904399999999999</v>
      </c>
      <c r="D77" s="245">
        <v>1.225994</v>
      </c>
      <c r="E77" s="245">
        <v>1.5065109999999999</v>
      </c>
      <c r="F77" s="245">
        <v>1.588854</v>
      </c>
      <c r="G77" s="245">
        <v>1.855299</v>
      </c>
      <c r="H77" s="245">
        <v>2.1338080000000001</v>
      </c>
      <c r="I77" s="245">
        <v>2.4391620000000001</v>
      </c>
      <c r="J77" s="245">
        <v>2.506437</v>
      </c>
      <c r="K77" s="245">
        <v>2.577671</v>
      </c>
      <c r="L77" s="245">
        <v>2.6566450000000001</v>
      </c>
      <c r="M77" s="245">
        <v>2.7361759999999999</v>
      </c>
      <c r="N77" s="245">
        <v>2.818438</v>
      </c>
      <c r="O77" s="245">
        <v>2.9058980000000001</v>
      </c>
      <c r="P77" s="245">
        <v>2.9967760000000001</v>
      </c>
      <c r="Q77" s="245">
        <v>3.0844299999999998</v>
      </c>
      <c r="R77" s="245">
        <v>3.174131</v>
      </c>
      <c r="S77" s="245">
        <v>3.2672889999999999</v>
      </c>
      <c r="T77" s="245">
        <v>3.3539669999999999</v>
      </c>
      <c r="U77" s="245">
        <v>3.4480279999999999</v>
      </c>
      <c r="V77" s="245">
        <v>3.5548630000000001</v>
      </c>
      <c r="W77" s="245">
        <v>3.6384340000000002</v>
      </c>
      <c r="X77" s="245">
        <v>3.7387009999999998</v>
      </c>
      <c r="Y77" s="245">
        <v>3.8323499999999999</v>
      </c>
      <c r="Z77" s="245">
        <v>3.9360819999999999</v>
      </c>
      <c r="AA77" s="245">
        <v>4.0711680000000001</v>
      </c>
      <c r="AB77" s="245">
        <v>4.1676789999999997</v>
      </c>
      <c r="AC77" s="245">
        <v>4.3005449999999996</v>
      </c>
      <c r="AD77" s="245">
        <v>4.428941</v>
      </c>
      <c r="AE77" s="245">
        <v>4.5555669999999999</v>
      </c>
      <c r="AF77" s="244">
        <v>3.1911000000000002E-2</v>
      </c>
      <c r="AG77" s="233"/>
    </row>
    <row r="78" spans="1:33" ht="15" customHeight="1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</row>
    <row r="79" spans="1:33" ht="12" customHeight="1">
      <c r="B79" s="241" t="s">
        <v>711</v>
      </c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</row>
    <row r="80" spans="1:33" ht="15" customHeight="1">
      <c r="A80" s="234" t="s">
        <v>753</v>
      </c>
      <c r="B80" s="242" t="s">
        <v>702</v>
      </c>
      <c r="C80" s="245">
        <v>2.1431879999999999</v>
      </c>
      <c r="D80" s="245">
        <v>2.0445669999999998</v>
      </c>
      <c r="E80" s="245">
        <v>1.8736390000000001</v>
      </c>
      <c r="F80" s="245">
        <v>1.694936</v>
      </c>
      <c r="G80" s="245">
        <v>1.622004</v>
      </c>
      <c r="H80" s="245">
        <v>1.5983339999999999</v>
      </c>
      <c r="I80" s="245">
        <v>1.622452</v>
      </c>
      <c r="J80" s="245">
        <v>1.672312</v>
      </c>
      <c r="K80" s="245">
        <v>1.74587</v>
      </c>
      <c r="L80" s="245">
        <v>1.8335589999999999</v>
      </c>
      <c r="M80" s="245">
        <v>1.9375979999999999</v>
      </c>
      <c r="N80" s="245">
        <v>2.054389</v>
      </c>
      <c r="O80" s="245">
        <v>2.1633520000000002</v>
      </c>
      <c r="P80" s="245">
        <v>2.2495449999999999</v>
      </c>
      <c r="Q80" s="245">
        <v>2.3234319999999999</v>
      </c>
      <c r="R80" s="245">
        <v>2.4023780000000001</v>
      </c>
      <c r="S80" s="245">
        <v>2.5084849999999999</v>
      </c>
      <c r="T80" s="245">
        <v>2.5638640000000001</v>
      </c>
      <c r="U80" s="245">
        <v>2.6684429999999999</v>
      </c>
      <c r="V80" s="245">
        <v>2.7663479999999998</v>
      </c>
      <c r="W80" s="245">
        <v>2.8451960000000001</v>
      </c>
      <c r="X80" s="245">
        <v>2.909697</v>
      </c>
      <c r="Y80" s="245">
        <v>2.9676619999999998</v>
      </c>
      <c r="Z80" s="245">
        <v>3.0464479999999998</v>
      </c>
      <c r="AA80" s="245">
        <v>3.1173030000000002</v>
      </c>
      <c r="AB80" s="245">
        <v>3.1981480000000002</v>
      </c>
      <c r="AC80" s="245">
        <v>3.2928540000000002</v>
      </c>
      <c r="AD80" s="245">
        <v>3.3693140000000001</v>
      </c>
      <c r="AE80" s="245">
        <v>3.4419369999999998</v>
      </c>
      <c r="AF80" s="244">
        <v>1.7062999999999998E-2</v>
      </c>
      <c r="AG80" s="233"/>
    </row>
    <row r="81" spans="1:33" ht="12" customHeight="1">
      <c r="A81" s="234" t="s">
        <v>754</v>
      </c>
      <c r="B81" s="242" t="s">
        <v>704</v>
      </c>
      <c r="C81" s="245">
        <v>4.838775</v>
      </c>
      <c r="D81" s="245">
        <v>4.6976259999999996</v>
      </c>
      <c r="E81" s="245">
        <v>4.4710539999999996</v>
      </c>
      <c r="F81" s="245">
        <v>4.142582</v>
      </c>
      <c r="G81" s="245">
        <v>3.9738169999999999</v>
      </c>
      <c r="H81" s="245">
        <v>3.8045990000000001</v>
      </c>
      <c r="I81" s="245">
        <v>3.6494239999999998</v>
      </c>
      <c r="J81" s="245">
        <v>3.74519</v>
      </c>
      <c r="K81" s="245">
        <v>3.829869</v>
      </c>
      <c r="L81" s="245">
        <v>3.946475</v>
      </c>
      <c r="M81" s="245">
        <v>4.0549039999999996</v>
      </c>
      <c r="N81" s="245">
        <v>4.1726979999999996</v>
      </c>
      <c r="O81" s="245">
        <v>4.2828749999999998</v>
      </c>
      <c r="P81" s="245">
        <v>4.4152740000000001</v>
      </c>
      <c r="Q81" s="245">
        <v>4.5222160000000002</v>
      </c>
      <c r="R81" s="245">
        <v>4.6479280000000003</v>
      </c>
      <c r="S81" s="245">
        <v>4.7687229999999996</v>
      </c>
      <c r="T81" s="245">
        <v>4.8833960000000003</v>
      </c>
      <c r="U81" s="245">
        <v>5.0037830000000003</v>
      </c>
      <c r="V81" s="245">
        <v>5.1511750000000003</v>
      </c>
      <c r="W81" s="245">
        <v>5.2676759999999998</v>
      </c>
      <c r="X81" s="245">
        <v>5.4163610000000002</v>
      </c>
      <c r="Y81" s="245">
        <v>5.5229699999999999</v>
      </c>
      <c r="Z81" s="245">
        <v>5.664974</v>
      </c>
      <c r="AA81" s="245">
        <v>5.8525840000000002</v>
      </c>
      <c r="AB81" s="245">
        <v>5.9976209999999996</v>
      </c>
      <c r="AC81" s="245">
        <v>6.1516510000000002</v>
      </c>
      <c r="AD81" s="245">
        <v>6.3192240000000002</v>
      </c>
      <c r="AE81" s="245">
        <v>6.4736200000000004</v>
      </c>
      <c r="AF81" s="244">
        <v>1.0449999999999999E-2</v>
      </c>
      <c r="AG81" s="233"/>
    </row>
    <row r="82" spans="1:33" ht="15" customHeight="1">
      <c r="A82" s="234" t="s">
        <v>755</v>
      </c>
      <c r="B82" s="242" t="s">
        <v>708</v>
      </c>
      <c r="C82" s="245">
        <v>1.9976419999999999</v>
      </c>
      <c r="D82" s="245">
        <v>1.3243659999999999</v>
      </c>
      <c r="E82" s="245">
        <v>1.6237299999999999</v>
      </c>
      <c r="F82" s="245">
        <v>1.7516430000000001</v>
      </c>
      <c r="G82" s="245">
        <v>2.0460690000000001</v>
      </c>
      <c r="H82" s="245">
        <v>2.3702610000000002</v>
      </c>
      <c r="I82" s="245">
        <v>2.7026629999999998</v>
      </c>
      <c r="J82" s="245">
        <v>2.7768000000000002</v>
      </c>
      <c r="K82" s="245">
        <v>2.8577370000000002</v>
      </c>
      <c r="L82" s="245">
        <v>2.9458009999999999</v>
      </c>
      <c r="M82" s="245">
        <v>3.0361829999999999</v>
      </c>
      <c r="N82" s="245">
        <v>3.1303339999999999</v>
      </c>
      <c r="O82" s="245">
        <v>3.2293630000000002</v>
      </c>
      <c r="P82" s="245">
        <v>3.3314560000000002</v>
      </c>
      <c r="Q82" s="245">
        <v>3.4287570000000001</v>
      </c>
      <c r="R82" s="245">
        <v>3.527644</v>
      </c>
      <c r="S82" s="245">
        <v>3.6318980000000001</v>
      </c>
      <c r="T82" s="245">
        <v>3.7287340000000002</v>
      </c>
      <c r="U82" s="245">
        <v>3.8345370000000001</v>
      </c>
      <c r="V82" s="245">
        <v>3.9524759999999999</v>
      </c>
      <c r="W82" s="245">
        <v>4.0467639999999996</v>
      </c>
      <c r="X82" s="245">
        <v>4.1574660000000003</v>
      </c>
      <c r="Y82" s="245">
        <v>4.251042</v>
      </c>
      <c r="Z82" s="245">
        <v>4.3655359999999996</v>
      </c>
      <c r="AA82" s="245">
        <v>4.5142870000000004</v>
      </c>
      <c r="AB82" s="245">
        <v>4.6228239999999996</v>
      </c>
      <c r="AC82" s="245">
        <v>4.7649359999999996</v>
      </c>
      <c r="AD82" s="245">
        <v>4.9033680000000004</v>
      </c>
      <c r="AE82" s="245">
        <v>5.0427900000000001</v>
      </c>
      <c r="AF82" s="244">
        <v>3.3624000000000001E-2</v>
      </c>
      <c r="AG82" s="233"/>
    </row>
    <row r="83" spans="1:33" ht="15" customHeight="1"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</row>
    <row r="84" spans="1:33" ht="15" customHeight="1">
      <c r="B84" s="241" t="s">
        <v>716</v>
      </c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</row>
    <row r="85" spans="1:33" ht="15" customHeight="1">
      <c r="A85" s="234" t="s">
        <v>756</v>
      </c>
      <c r="B85" s="242" t="s">
        <v>702</v>
      </c>
      <c r="C85" s="245">
        <v>2.3479260000000002</v>
      </c>
      <c r="D85" s="245">
        <v>2.2978429999999999</v>
      </c>
      <c r="E85" s="245">
        <v>2.192304</v>
      </c>
      <c r="F85" s="245">
        <v>2.07491</v>
      </c>
      <c r="G85" s="245">
        <v>2.0359720000000001</v>
      </c>
      <c r="H85" s="245">
        <v>2.0345110000000002</v>
      </c>
      <c r="I85" s="245">
        <v>2.0710459999999999</v>
      </c>
      <c r="J85" s="245">
        <v>2.1284190000000001</v>
      </c>
      <c r="K85" s="245">
        <v>2.2051470000000002</v>
      </c>
      <c r="L85" s="245">
        <v>2.293412</v>
      </c>
      <c r="M85" s="245">
        <v>2.3944860000000001</v>
      </c>
      <c r="N85" s="245">
        <v>2.5058250000000002</v>
      </c>
      <c r="O85" s="245">
        <v>2.6110389999999999</v>
      </c>
      <c r="P85" s="245">
        <v>2.6985199999999998</v>
      </c>
      <c r="Q85" s="245">
        <v>2.7769430000000002</v>
      </c>
      <c r="R85" s="245">
        <v>2.8592119999999999</v>
      </c>
      <c r="S85" s="245">
        <v>2.9621780000000002</v>
      </c>
      <c r="T85" s="245">
        <v>3.0266999999999999</v>
      </c>
      <c r="U85" s="245">
        <v>3.1297570000000001</v>
      </c>
      <c r="V85" s="245">
        <v>3.22777</v>
      </c>
      <c r="W85" s="245">
        <v>3.3122950000000002</v>
      </c>
      <c r="X85" s="245">
        <v>3.387416</v>
      </c>
      <c r="Y85" s="245">
        <v>3.4587780000000001</v>
      </c>
      <c r="Z85" s="245">
        <v>3.5487389999999999</v>
      </c>
      <c r="AA85" s="245">
        <v>3.6722700000000001</v>
      </c>
      <c r="AB85" s="245">
        <v>3.7648239999999999</v>
      </c>
      <c r="AC85" s="245">
        <v>3.8686560000000001</v>
      </c>
      <c r="AD85" s="245">
        <v>3.959622</v>
      </c>
      <c r="AE85" s="245">
        <v>4.0490159999999999</v>
      </c>
      <c r="AF85" s="244">
        <v>1.9653E-2</v>
      </c>
      <c r="AG85" s="233"/>
    </row>
    <row r="86" spans="1:33" ht="15" customHeight="1">
      <c r="A86" s="234" t="s">
        <v>757</v>
      </c>
      <c r="B86" s="242" t="s">
        <v>719</v>
      </c>
      <c r="C86" s="245">
        <v>3.6287739999999999</v>
      </c>
      <c r="D86" s="245">
        <v>3.3418939999999999</v>
      </c>
      <c r="E86" s="245">
        <v>3.2885059999999999</v>
      </c>
      <c r="F86" s="245">
        <v>3.1362009999999998</v>
      </c>
      <c r="G86" s="245">
        <v>3.172698</v>
      </c>
      <c r="H86" s="245">
        <v>3.2237529999999999</v>
      </c>
      <c r="I86" s="245">
        <v>3.2977050000000001</v>
      </c>
      <c r="J86" s="245">
        <v>3.3786689999999999</v>
      </c>
      <c r="K86" s="245">
        <v>3.4697420000000001</v>
      </c>
      <c r="L86" s="245">
        <v>3.5464349999999998</v>
      </c>
      <c r="M86" s="245">
        <v>3.6509740000000002</v>
      </c>
      <c r="N86" s="245">
        <v>3.7502279999999999</v>
      </c>
      <c r="O86" s="245">
        <v>3.8574649999999999</v>
      </c>
      <c r="P86" s="245">
        <v>3.9601790000000001</v>
      </c>
      <c r="Q86" s="245">
        <v>4.0994570000000001</v>
      </c>
      <c r="R86" s="245">
        <v>4.200761</v>
      </c>
      <c r="S86" s="245">
        <v>4.3103759999999998</v>
      </c>
      <c r="T86" s="245">
        <v>4.4271719999999997</v>
      </c>
      <c r="U86" s="245">
        <v>4.5346650000000004</v>
      </c>
      <c r="V86" s="245">
        <v>4.6389060000000004</v>
      </c>
      <c r="W86" s="245">
        <v>4.7587020000000004</v>
      </c>
      <c r="X86" s="245">
        <v>4.8500240000000003</v>
      </c>
      <c r="Y86" s="245">
        <v>4.9965770000000003</v>
      </c>
      <c r="Z86" s="245">
        <v>5.1171829999999998</v>
      </c>
      <c r="AA86" s="245">
        <v>5.3773540000000004</v>
      </c>
      <c r="AB86" s="245">
        <v>5.5067050000000002</v>
      </c>
      <c r="AC86" s="245">
        <v>5.687824</v>
      </c>
      <c r="AD86" s="245">
        <v>5.842123</v>
      </c>
      <c r="AE86" s="245">
        <v>6.0391769999999996</v>
      </c>
      <c r="AF86" s="244">
        <v>1.8357999999999999E-2</v>
      </c>
      <c r="AG86" s="233"/>
    </row>
    <row r="87" spans="1:33" ht="15" customHeight="1">
      <c r="A87" s="234" t="s">
        <v>758</v>
      </c>
      <c r="B87" s="242" t="s">
        <v>721</v>
      </c>
      <c r="C87" s="245">
        <v>1.5593049999999999</v>
      </c>
      <c r="D87" s="245">
        <v>1.623764</v>
      </c>
      <c r="E87" s="245">
        <v>1.6876059999999999</v>
      </c>
      <c r="F87" s="245">
        <v>1.607904</v>
      </c>
      <c r="G87" s="245">
        <v>1.638787</v>
      </c>
      <c r="H87" s="245">
        <v>1.6695469999999999</v>
      </c>
      <c r="I87" s="245">
        <v>1.7039519999999999</v>
      </c>
      <c r="J87" s="245">
        <v>1.739018</v>
      </c>
      <c r="K87" s="245">
        <v>1.7822899999999999</v>
      </c>
      <c r="L87" s="245">
        <v>1.821556</v>
      </c>
      <c r="M87" s="245">
        <v>1.858684</v>
      </c>
      <c r="N87" s="245">
        <v>1.8475980000000001</v>
      </c>
      <c r="O87" s="245">
        <v>1.9115660000000001</v>
      </c>
      <c r="P87" s="245">
        <v>1.9198770000000001</v>
      </c>
      <c r="Q87" s="245">
        <v>1.9933909999999999</v>
      </c>
      <c r="R87" s="245">
        <v>2.019784</v>
      </c>
      <c r="S87" s="245">
        <v>2.0396719999999999</v>
      </c>
      <c r="T87" s="245">
        <v>2.061582</v>
      </c>
      <c r="U87" s="245">
        <v>2.105588</v>
      </c>
      <c r="V87" s="245">
        <v>2.1368179999999999</v>
      </c>
      <c r="W87" s="245">
        <v>2.1806869999999998</v>
      </c>
      <c r="X87" s="245">
        <v>2.230985</v>
      </c>
      <c r="Y87" s="245">
        <v>2.375915</v>
      </c>
      <c r="Z87" s="245">
        <v>2.460896</v>
      </c>
      <c r="AA87" s="245">
        <v>2.608295</v>
      </c>
      <c r="AB87" s="245">
        <v>2.639065</v>
      </c>
      <c r="AC87" s="245">
        <v>2.6929650000000001</v>
      </c>
      <c r="AD87" s="245">
        <v>2.8228460000000002</v>
      </c>
      <c r="AE87" s="245">
        <v>3.3062849999999999</v>
      </c>
      <c r="AF87" s="244">
        <v>2.7206000000000001E-2</v>
      </c>
      <c r="AG87" s="233"/>
    </row>
    <row r="88" spans="1:33" ht="15" customHeight="1">
      <c r="A88" s="234" t="s">
        <v>759</v>
      </c>
      <c r="B88" s="242" t="s">
        <v>723</v>
      </c>
      <c r="C88" s="245">
        <v>4.1839969999999997</v>
      </c>
      <c r="D88" s="245">
        <v>3.8193779999999999</v>
      </c>
      <c r="E88" s="245">
        <v>3.546643</v>
      </c>
      <c r="F88" s="245">
        <v>3.3818709999999998</v>
      </c>
      <c r="G88" s="245">
        <v>3.4165350000000001</v>
      </c>
      <c r="H88" s="245">
        <v>3.468658</v>
      </c>
      <c r="I88" s="245">
        <v>3.5444469999999999</v>
      </c>
      <c r="J88" s="245">
        <v>3.627688</v>
      </c>
      <c r="K88" s="245">
        <v>3.7206999999999999</v>
      </c>
      <c r="L88" s="245">
        <v>3.7995350000000001</v>
      </c>
      <c r="M88" s="245">
        <v>3.906202</v>
      </c>
      <c r="N88" s="245">
        <v>4.0075830000000003</v>
      </c>
      <c r="O88" s="245">
        <v>4.1168290000000001</v>
      </c>
      <c r="P88" s="245">
        <v>4.2216589999999998</v>
      </c>
      <c r="Q88" s="245">
        <v>4.3647850000000004</v>
      </c>
      <c r="R88" s="245">
        <v>4.4682969999999997</v>
      </c>
      <c r="S88" s="245">
        <v>4.5803690000000001</v>
      </c>
      <c r="T88" s="245">
        <v>4.7007490000000001</v>
      </c>
      <c r="U88" s="245">
        <v>4.8112940000000002</v>
      </c>
      <c r="V88" s="245">
        <v>4.9186759999999996</v>
      </c>
      <c r="W88" s="245">
        <v>5.0421829999999996</v>
      </c>
      <c r="X88" s="245">
        <v>5.1363669999999999</v>
      </c>
      <c r="Y88" s="245">
        <v>5.2888909999999996</v>
      </c>
      <c r="Z88" s="245">
        <v>5.413583</v>
      </c>
      <c r="AA88" s="245">
        <v>5.6947390000000002</v>
      </c>
      <c r="AB88" s="245">
        <v>5.8288130000000002</v>
      </c>
      <c r="AC88" s="245">
        <v>6.0164059999999999</v>
      </c>
      <c r="AD88" s="245">
        <v>6.1760349999999997</v>
      </c>
      <c r="AE88" s="245">
        <v>6.379766</v>
      </c>
      <c r="AF88" s="244">
        <v>1.5181E-2</v>
      </c>
      <c r="AG88" s="233"/>
    </row>
    <row r="89" spans="1:33" ht="15" customHeight="1">
      <c r="A89" s="234" t="s">
        <v>760</v>
      </c>
      <c r="B89" s="242" t="s">
        <v>725</v>
      </c>
      <c r="C89" s="245">
        <v>3.6098750000000002</v>
      </c>
      <c r="D89" s="245">
        <v>3.172596</v>
      </c>
      <c r="E89" s="245">
        <v>3.1190829999999998</v>
      </c>
      <c r="F89" s="245">
        <v>2.9687239999999999</v>
      </c>
      <c r="G89" s="245">
        <v>2.997598</v>
      </c>
      <c r="H89" s="245">
        <v>3.0266190000000002</v>
      </c>
      <c r="I89" s="245">
        <v>3.077226</v>
      </c>
      <c r="J89" s="245">
        <v>3.162884</v>
      </c>
      <c r="K89" s="245">
        <v>3.2370730000000001</v>
      </c>
      <c r="L89" s="245">
        <v>3.3475990000000002</v>
      </c>
      <c r="M89" s="245">
        <v>3.4516439999999999</v>
      </c>
      <c r="N89" s="245">
        <v>3.548645</v>
      </c>
      <c r="O89" s="245">
        <v>3.6605509999999999</v>
      </c>
      <c r="P89" s="245">
        <v>3.7747000000000002</v>
      </c>
      <c r="Q89" s="245">
        <v>3.8803079999999999</v>
      </c>
      <c r="R89" s="245">
        <v>3.9910169999999998</v>
      </c>
      <c r="S89" s="245">
        <v>4.1034490000000003</v>
      </c>
      <c r="T89" s="245">
        <v>4.2131869999999996</v>
      </c>
      <c r="U89" s="245">
        <v>4.3319739999999998</v>
      </c>
      <c r="V89" s="245">
        <v>4.472531</v>
      </c>
      <c r="W89" s="245">
        <v>4.5840180000000004</v>
      </c>
      <c r="X89" s="245">
        <v>4.7251000000000003</v>
      </c>
      <c r="Y89" s="245">
        <v>4.8252199999999998</v>
      </c>
      <c r="Z89" s="245">
        <v>4.9734860000000003</v>
      </c>
      <c r="AA89" s="245">
        <v>5.1665530000000004</v>
      </c>
      <c r="AB89" s="245">
        <v>5.3003859999999996</v>
      </c>
      <c r="AC89" s="245">
        <v>5.4424099999999997</v>
      </c>
      <c r="AD89" s="245">
        <v>5.5983910000000003</v>
      </c>
      <c r="AE89" s="245">
        <v>5.7410059999999996</v>
      </c>
      <c r="AF89" s="244">
        <v>1.6708000000000001E-2</v>
      </c>
      <c r="AG89" s="233"/>
    </row>
    <row r="90" spans="1:33" ht="15" customHeight="1">
      <c r="A90" s="234" t="s">
        <v>761</v>
      </c>
      <c r="B90" s="242" t="s">
        <v>727</v>
      </c>
      <c r="C90" s="245">
        <v>5.1050589999999998</v>
      </c>
      <c r="D90" s="245">
        <v>4.7051970000000001</v>
      </c>
      <c r="E90" s="245">
        <v>4.5727950000000002</v>
      </c>
      <c r="F90" s="245">
        <v>4.3560030000000003</v>
      </c>
      <c r="G90" s="245">
        <v>4.307353</v>
      </c>
      <c r="H90" s="245">
        <v>4.2544740000000001</v>
      </c>
      <c r="I90" s="245">
        <v>4.2226990000000004</v>
      </c>
      <c r="J90" s="245">
        <v>4.3309350000000002</v>
      </c>
      <c r="K90" s="245">
        <v>4.4317349999999998</v>
      </c>
      <c r="L90" s="245">
        <v>4.5599129999999999</v>
      </c>
      <c r="M90" s="245">
        <v>4.6863489999999999</v>
      </c>
      <c r="N90" s="245">
        <v>4.8186739999999997</v>
      </c>
      <c r="O90" s="245">
        <v>4.9426779999999999</v>
      </c>
      <c r="P90" s="245">
        <v>5.0972239999999998</v>
      </c>
      <c r="Q90" s="245">
        <v>5.2157650000000002</v>
      </c>
      <c r="R90" s="245">
        <v>5.3596719999999998</v>
      </c>
      <c r="S90" s="245">
        <v>5.498405</v>
      </c>
      <c r="T90" s="245">
        <v>5.6279339999999998</v>
      </c>
      <c r="U90" s="245">
        <v>5.763433</v>
      </c>
      <c r="V90" s="245">
        <v>5.9291510000000001</v>
      </c>
      <c r="W90" s="245">
        <v>6.0653629999999996</v>
      </c>
      <c r="X90" s="245">
        <v>6.2312279999999998</v>
      </c>
      <c r="Y90" s="245">
        <v>6.3535009999999996</v>
      </c>
      <c r="Z90" s="245">
        <v>6.5146280000000001</v>
      </c>
      <c r="AA90" s="245">
        <v>6.8089240000000002</v>
      </c>
      <c r="AB90" s="245">
        <v>6.9768819999999998</v>
      </c>
      <c r="AC90" s="245">
        <v>7.1562799999999998</v>
      </c>
      <c r="AD90" s="245">
        <v>7.3444190000000003</v>
      </c>
      <c r="AE90" s="245">
        <v>7.523714</v>
      </c>
      <c r="AF90" s="244">
        <v>1.3946999999999999E-2</v>
      </c>
      <c r="AG90" s="233"/>
    </row>
    <row r="91" spans="1:33" ht="15" customHeight="1">
      <c r="A91" s="234" t="s">
        <v>762</v>
      </c>
      <c r="B91" s="242" t="s">
        <v>708</v>
      </c>
      <c r="C91" s="245">
        <v>2.3040080000000001</v>
      </c>
      <c r="D91" s="245">
        <v>2.4242119999999998</v>
      </c>
      <c r="E91" s="245">
        <v>2.7626430000000002</v>
      </c>
      <c r="F91" s="245">
        <v>2.6772990000000001</v>
      </c>
      <c r="G91" s="245">
        <v>2.7374160000000001</v>
      </c>
      <c r="H91" s="245">
        <v>2.8093249999999999</v>
      </c>
      <c r="I91" s="245">
        <v>2.8756930000000001</v>
      </c>
      <c r="J91" s="245">
        <v>2.9527760000000001</v>
      </c>
      <c r="K91" s="245">
        <v>3.03688</v>
      </c>
      <c r="L91" s="245">
        <v>3.12079</v>
      </c>
      <c r="M91" s="245">
        <v>3.2109960000000002</v>
      </c>
      <c r="N91" s="245">
        <v>3.305326</v>
      </c>
      <c r="O91" s="245">
        <v>3.4030550000000002</v>
      </c>
      <c r="P91" s="245">
        <v>3.5061779999999998</v>
      </c>
      <c r="Q91" s="245">
        <v>3.5990009999999999</v>
      </c>
      <c r="R91" s="245">
        <v>3.6988560000000001</v>
      </c>
      <c r="S91" s="245">
        <v>3.802257</v>
      </c>
      <c r="T91" s="245">
        <v>3.9018009999999999</v>
      </c>
      <c r="U91" s="245">
        <v>4.0036959999999997</v>
      </c>
      <c r="V91" s="245">
        <v>4.1188750000000001</v>
      </c>
      <c r="W91" s="245">
        <v>4.2181240000000004</v>
      </c>
      <c r="X91" s="245">
        <v>4.3336579999999998</v>
      </c>
      <c r="Y91" s="245">
        <v>4.4330369999999997</v>
      </c>
      <c r="Z91" s="245">
        <v>4.5477910000000001</v>
      </c>
      <c r="AA91" s="245">
        <v>4.7024039999999996</v>
      </c>
      <c r="AB91" s="245">
        <v>4.813231</v>
      </c>
      <c r="AC91" s="245">
        <v>4.9569080000000003</v>
      </c>
      <c r="AD91" s="245">
        <v>5.1001190000000003</v>
      </c>
      <c r="AE91" s="245">
        <v>5.2490309999999996</v>
      </c>
      <c r="AF91" s="244">
        <v>2.9843999999999999E-2</v>
      </c>
      <c r="AG91" s="233"/>
    </row>
    <row r="92" spans="1:33" ht="12" customHeight="1"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</row>
    <row r="93" spans="1:33" ht="15" customHeight="1">
      <c r="B93" s="241" t="s">
        <v>730</v>
      </c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</row>
    <row r="94" spans="1:33" ht="15" customHeight="1">
      <c r="A94" s="234" t="s">
        <v>763</v>
      </c>
      <c r="B94" s="242" t="s">
        <v>704</v>
      </c>
      <c r="C94" s="245">
        <v>4.8486900000000004</v>
      </c>
      <c r="D94" s="245">
        <v>4.7125170000000001</v>
      </c>
      <c r="E94" s="245">
        <v>4.5060890000000002</v>
      </c>
      <c r="F94" s="245">
        <v>4.1785100000000002</v>
      </c>
      <c r="G94" s="245">
        <v>4.0211920000000001</v>
      </c>
      <c r="H94" s="245">
        <v>3.8559369999999999</v>
      </c>
      <c r="I94" s="245">
        <v>3.6951999999999998</v>
      </c>
      <c r="J94" s="245">
        <v>3.8057099999999999</v>
      </c>
      <c r="K94" s="245">
        <v>3.913843</v>
      </c>
      <c r="L94" s="245">
        <v>4.0013069999999997</v>
      </c>
      <c r="M94" s="245">
        <v>4.112838</v>
      </c>
      <c r="N94" s="245">
        <v>4.2087240000000001</v>
      </c>
      <c r="O94" s="245">
        <v>4.334708</v>
      </c>
      <c r="P94" s="245">
        <v>4.4542960000000003</v>
      </c>
      <c r="Q94" s="245">
        <v>4.5704219999999998</v>
      </c>
      <c r="R94" s="245">
        <v>4.6825489999999999</v>
      </c>
      <c r="S94" s="245">
        <v>4.7940139999999998</v>
      </c>
      <c r="T94" s="245">
        <v>4.9146489999999998</v>
      </c>
      <c r="U94" s="245">
        <v>5.0437430000000001</v>
      </c>
      <c r="V94" s="245">
        <v>5.1907430000000003</v>
      </c>
      <c r="W94" s="245">
        <v>5.3062509999999996</v>
      </c>
      <c r="X94" s="245">
        <v>5.4530269999999996</v>
      </c>
      <c r="Y94" s="245">
        <v>5.5656299999999996</v>
      </c>
      <c r="Z94" s="245">
        <v>5.7222910000000002</v>
      </c>
      <c r="AA94" s="245">
        <v>5.9147970000000001</v>
      </c>
      <c r="AB94" s="245">
        <v>6.0645439999999997</v>
      </c>
      <c r="AC94" s="245">
        <v>6.2222289999999996</v>
      </c>
      <c r="AD94" s="245">
        <v>6.4023979999999998</v>
      </c>
      <c r="AE94" s="245">
        <v>6.5586120000000001</v>
      </c>
      <c r="AF94" s="244">
        <v>1.0847000000000001E-2</v>
      </c>
      <c r="AG94" s="233"/>
    </row>
    <row r="95" spans="1:33" ht="15" customHeight="1">
      <c r="A95" s="234" t="s">
        <v>764</v>
      </c>
      <c r="B95" s="242" t="s">
        <v>708</v>
      </c>
      <c r="C95" s="245">
        <v>3.2552680000000001</v>
      </c>
      <c r="D95" s="245">
        <v>2.8967809999999998</v>
      </c>
      <c r="E95" s="245">
        <v>2.944197</v>
      </c>
      <c r="F95" s="245">
        <v>2.843261</v>
      </c>
      <c r="G95" s="245">
        <v>2.8987919999999998</v>
      </c>
      <c r="H95" s="245">
        <v>2.9707330000000001</v>
      </c>
      <c r="I95" s="245">
        <v>3.0339779999999998</v>
      </c>
      <c r="J95" s="245">
        <v>3.110919</v>
      </c>
      <c r="K95" s="245">
        <v>3.1951369999999999</v>
      </c>
      <c r="L95" s="245">
        <v>3.2761200000000001</v>
      </c>
      <c r="M95" s="245">
        <v>3.3675489999999999</v>
      </c>
      <c r="N95" s="245">
        <v>3.4620220000000002</v>
      </c>
      <c r="O95" s="245">
        <v>3.5591539999999999</v>
      </c>
      <c r="P95" s="245">
        <v>3.6667139999999998</v>
      </c>
      <c r="Q95" s="245">
        <v>3.7621419999999999</v>
      </c>
      <c r="R95" s="245">
        <v>3.8595700000000002</v>
      </c>
      <c r="S95" s="245">
        <v>3.9603869999999999</v>
      </c>
      <c r="T95" s="245">
        <v>4.0601700000000003</v>
      </c>
      <c r="U95" s="245">
        <v>4.1535919999999997</v>
      </c>
      <c r="V95" s="245">
        <v>4.2409699999999999</v>
      </c>
      <c r="W95" s="245">
        <v>4.3119230000000002</v>
      </c>
      <c r="X95" s="245">
        <v>4.3819739999999996</v>
      </c>
      <c r="Y95" s="245">
        <v>4.4354430000000002</v>
      </c>
      <c r="Z95" s="245">
        <v>4.4835529999999997</v>
      </c>
      <c r="AA95" s="245">
        <v>4.646598</v>
      </c>
      <c r="AB95" s="245">
        <v>4.7642509999999998</v>
      </c>
      <c r="AC95" s="245">
        <v>4.9072170000000002</v>
      </c>
      <c r="AD95" s="245">
        <v>5.051749</v>
      </c>
      <c r="AE95" s="245">
        <v>5.1925460000000001</v>
      </c>
      <c r="AF95" s="244">
        <v>1.6816999999999999E-2</v>
      </c>
      <c r="AG95" s="233"/>
    </row>
    <row r="96" spans="1:33" ht="15" customHeight="1"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</row>
    <row r="97" spans="1:34" ht="15" customHeight="1">
      <c r="B97" s="241" t="s">
        <v>765</v>
      </c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</row>
    <row r="98" spans="1:34" ht="15" customHeight="1">
      <c r="A98" s="234" t="s">
        <v>766</v>
      </c>
      <c r="B98" s="242" t="s">
        <v>702</v>
      </c>
      <c r="C98" s="245">
        <v>2.567952</v>
      </c>
      <c r="D98" s="245">
        <v>2.748713</v>
      </c>
      <c r="E98" s="245">
        <v>2.690401</v>
      </c>
      <c r="F98" s="245">
        <v>2.594827</v>
      </c>
      <c r="G98" s="245">
        <v>2.5371450000000002</v>
      </c>
      <c r="H98" s="245">
        <v>2.5118640000000001</v>
      </c>
      <c r="I98" s="245">
        <v>2.5285359999999999</v>
      </c>
      <c r="J98" s="245">
        <v>2.5749610000000001</v>
      </c>
      <c r="K98" s="245">
        <v>2.6504120000000002</v>
      </c>
      <c r="L98" s="245">
        <v>2.7467830000000002</v>
      </c>
      <c r="M98" s="245">
        <v>2.8621850000000002</v>
      </c>
      <c r="N98" s="245">
        <v>2.9959530000000001</v>
      </c>
      <c r="O98" s="245">
        <v>3.1296710000000001</v>
      </c>
      <c r="P98" s="245">
        <v>3.2473390000000002</v>
      </c>
      <c r="Q98" s="245">
        <v>3.353256</v>
      </c>
      <c r="R98" s="245">
        <v>3.458637</v>
      </c>
      <c r="S98" s="245">
        <v>3.5834860000000002</v>
      </c>
      <c r="T98" s="245">
        <v>3.6739259999999998</v>
      </c>
      <c r="U98" s="245">
        <v>3.7969930000000001</v>
      </c>
      <c r="V98" s="245">
        <v>3.919721</v>
      </c>
      <c r="W98" s="245">
        <v>4.0299940000000003</v>
      </c>
      <c r="X98" s="245">
        <v>4.1286290000000001</v>
      </c>
      <c r="Y98" s="245">
        <v>4.219786</v>
      </c>
      <c r="Z98" s="245">
        <v>4.3260699999999996</v>
      </c>
      <c r="AA98" s="245">
        <v>4.4532629999999997</v>
      </c>
      <c r="AB98" s="245">
        <v>4.5625309999999999</v>
      </c>
      <c r="AC98" s="245">
        <v>4.6845780000000001</v>
      </c>
      <c r="AD98" s="245">
        <v>4.7961200000000002</v>
      </c>
      <c r="AE98" s="245">
        <v>4.9039799999999998</v>
      </c>
      <c r="AF98" s="244">
        <v>2.3373999999999999E-2</v>
      </c>
      <c r="AG98" s="233"/>
    </row>
    <row r="99" spans="1:34" ht="15" customHeight="1">
      <c r="A99" s="234" t="s">
        <v>767</v>
      </c>
      <c r="B99" s="242" t="s">
        <v>723</v>
      </c>
      <c r="C99" s="245">
        <v>4.1836200000000003</v>
      </c>
      <c r="D99" s="245">
        <v>3.8133339999999998</v>
      </c>
      <c r="E99" s="245">
        <v>3.546818</v>
      </c>
      <c r="F99" s="245">
        <v>3.3850720000000001</v>
      </c>
      <c r="G99" s="245">
        <v>3.4206259999999999</v>
      </c>
      <c r="H99" s="245">
        <v>3.4722719999999998</v>
      </c>
      <c r="I99" s="245">
        <v>3.5468540000000002</v>
      </c>
      <c r="J99" s="245">
        <v>3.630287</v>
      </c>
      <c r="K99" s="245">
        <v>3.7234970000000001</v>
      </c>
      <c r="L99" s="245">
        <v>3.802581</v>
      </c>
      <c r="M99" s="245">
        <v>3.9094630000000001</v>
      </c>
      <c r="N99" s="245">
        <v>4.0110859999999997</v>
      </c>
      <c r="O99" s="245">
        <v>4.1205439999999998</v>
      </c>
      <c r="P99" s="245">
        <v>4.2256150000000003</v>
      </c>
      <c r="Q99" s="245">
        <v>4.3688440000000002</v>
      </c>
      <c r="R99" s="245">
        <v>4.4726229999999996</v>
      </c>
      <c r="S99" s="245">
        <v>4.5849310000000001</v>
      </c>
      <c r="T99" s="245">
        <v>4.7055030000000002</v>
      </c>
      <c r="U99" s="245">
        <v>4.8162950000000002</v>
      </c>
      <c r="V99" s="245">
        <v>4.9239509999999997</v>
      </c>
      <c r="W99" s="245">
        <v>5.0477030000000003</v>
      </c>
      <c r="X99" s="245">
        <v>5.1421849999999996</v>
      </c>
      <c r="Y99" s="245">
        <v>5.2949440000000001</v>
      </c>
      <c r="Z99" s="245">
        <v>5.4199840000000004</v>
      </c>
      <c r="AA99" s="245">
        <v>5.7022740000000001</v>
      </c>
      <c r="AB99" s="245">
        <v>5.8366470000000001</v>
      </c>
      <c r="AC99" s="245">
        <v>6.0244549999999997</v>
      </c>
      <c r="AD99" s="245">
        <v>6.1843849999999998</v>
      </c>
      <c r="AE99" s="245">
        <v>6.3883479999999997</v>
      </c>
      <c r="AF99" s="244">
        <v>1.5233E-2</v>
      </c>
      <c r="AG99" s="233"/>
    </row>
    <row r="100" spans="1:34" ht="15" customHeight="1">
      <c r="A100" s="234" t="s">
        <v>768</v>
      </c>
      <c r="B100" s="242" t="s">
        <v>725</v>
      </c>
      <c r="C100" s="245">
        <v>3.6098750000000002</v>
      </c>
      <c r="D100" s="245">
        <v>3.172596</v>
      </c>
      <c r="E100" s="245">
        <v>3.1190829999999998</v>
      </c>
      <c r="F100" s="245">
        <v>2.9687239999999999</v>
      </c>
      <c r="G100" s="245">
        <v>2.997598</v>
      </c>
      <c r="H100" s="245">
        <v>3.0266190000000002</v>
      </c>
      <c r="I100" s="245">
        <v>3.077226</v>
      </c>
      <c r="J100" s="245">
        <v>3.162884</v>
      </c>
      <c r="K100" s="245">
        <v>3.2370730000000001</v>
      </c>
      <c r="L100" s="245">
        <v>3.3475990000000002</v>
      </c>
      <c r="M100" s="245">
        <v>3.4516439999999999</v>
      </c>
      <c r="N100" s="245">
        <v>3.548645</v>
      </c>
      <c r="O100" s="245">
        <v>3.6605509999999999</v>
      </c>
      <c r="P100" s="245">
        <v>3.7747000000000002</v>
      </c>
      <c r="Q100" s="245">
        <v>3.8803079999999999</v>
      </c>
      <c r="R100" s="245">
        <v>3.9910169999999998</v>
      </c>
      <c r="S100" s="245">
        <v>4.1034490000000003</v>
      </c>
      <c r="T100" s="245">
        <v>4.2131869999999996</v>
      </c>
      <c r="U100" s="245">
        <v>4.3319739999999998</v>
      </c>
      <c r="V100" s="245">
        <v>4.472531</v>
      </c>
      <c r="W100" s="245">
        <v>4.5840180000000004</v>
      </c>
      <c r="X100" s="245">
        <v>4.7251000000000003</v>
      </c>
      <c r="Y100" s="245">
        <v>4.8252199999999998</v>
      </c>
      <c r="Z100" s="245">
        <v>4.9734860000000003</v>
      </c>
      <c r="AA100" s="245">
        <v>5.1665530000000004</v>
      </c>
      <c r="AB100" s="245">
        <v>5.3003859999999996</v>
      </c>
      <c r="AC100" s="245">
        <v>5.4424099999999997</v>
      </c>
      <c r="AD100" s="245">
        <v>5.5983910000000003</v>
      </c>
      <c r="AE100" s="245">
        <v>5.7410059999999996</v>
      </c>
      <c r="AF100" s="244">
        <v>1.6708000000000001E-2</v>
      </c>
      <c r="AG100" s="233"/>
    </row>
    <row r="101" spans="1:34" ht="12" customHeight="1">
      <c r="A101" s="234" t="s">
        <v>769</v>
      </c>
      <c r="B101" s="242" t="s">
        <v>704</v>
      </c>
      <c r="C101" s="245">
        <v>5.0437149999999997</v>
      </c>
      <c r="D101" s="245">
        <v>4.7037279999999999</v>
      </c>
      <c r="E101" s="245">
        <v>4.5576949999999998</v>
      </c>
      <c r="F101" s="245">
        <v>4.3245930000000001</v>
      </c>
      <c r="G101" s="245">
        <v>4.2572089999999996</v>
      </c>
      <c r="H101" s="245">
        <v>4.1879670000000004</v>
      </c>
      <c r="I101" s="245">
        <v>4.1379219999999997</v>
      </c>
      <c r="J101" s="245">
        <v>4.2446190000000001</v>
      </c>
      <c r="K101" s="245">
        <v>4.3409810000000002</v>
      </c>
      <c r="L101" s="245">
        <v>4.4688920000000003</v>
      </c>
      <c r="M101" s="245">
        <v>4.5898709999999996</v>
      </c>
      <c r="N101" s="245">
        <v>4.7214159999999996</v>
      </c>
      <c r="O101" s="245">
        <v>4.8426429999999998</v>
      </c>
      <c r="P101" s="245">
        <v>4.9910709999999998</v>
      </c>
      <c r="Q101" s="245">
        <v>5.1081810000000001</v>
      </c>
      <c r="R101" s="245">
        <v>5.247566</v>
      </c>
      <c r="S101" s="245">
        <v>5.3814060000000001</v>
      </c>
      <c r="T101" s="245">
        <v>5.5087039999999998</v>
      </c>
      <c r="U101" s="245">
        <v>5.6418970000000002</v>
      </c>
      <c r="V101" s="245">
        <v>5.8023699999999998</v>
      </c>
      <c r="W101" s="245">
        <v>5.9324009999999996</v>
      </c>
      <c r="X101" s="245">
        <v>6.0951740000000001</v>
      </c>
      <c r="Y101" s="245">
        <v>6.216132</v>
      </c>
      <c r="Z101" s="245">
        <v>6.3745209999999997</v>
      </c>
      <c r="AA101" s="245">
        <v>6.6419829999999997</v>
      </c>
      <c r="AB101" s="245">
        <v>6.8056260000000002</v>
      </c>
      <c r="AC101" s="245">
        <v>6.9774950000000002</v>
      </c>
      <c r="AD101" s="245">
        <v>7.1632290000000003</v>
      </c>
      <c r="AE101" s="245">
        <v>7.3366480000000003</v>
      </c>
      <c r="AF101" s="244">
        <v>1.3474E-2</v>
      </c>
      <c r="AG101" s="233"/>
    </row>
    <row r="102" spans="1:34" ht="12" customHeight="1">
      <c r="A102" s="234" t="s">
        <v>770</v>
      </c>
      <c r="B102" s="242" t="s">
        <v>771</v>
      </c>
      <c r="C102" s="243">
        <v>97.775390999999999</v>
      </c>
      <c r="D102" s="243">
        <v>98.249626000000006</v>
      </c>
      <c r="E102" s="243">
        <v>112.876907</v>
      </c>
      <c r="F102" s="243">
        <v>110.262444</v>
      </c>
      <c r="G102" s="243">
        <v>113.532791</v>
      </c>
      <c r="H102" s="243">
        <v>117.281464</v>
      </c>
      <c r="I102" s="243">
        <v>120.742378</v>
      </c>
      <c r="J102" s="243">
        <v>123.976883</v>
      </c>
      <c r="K102" s="243">
        <v>127.50097700000001</v>
      </c>
      <c r="L102" s="243">
        <v>131.02647400000001</v>
      </c>
      <c r="M102" s="243">
        <v>134.81274400000001</v>
      </c>
      <c r="N102" s="243">
        <v>138.76387</v>
      </c>
      <c r="O102" s="243">
        <v>142.85798600000001</v>
      </c>
      <c r="P102" s="243">
        <v>147.18293800000001</v>
      </c>
      <c r="Q102" s="243">
        <v>151.08175700000001</v>
      </c>
      <c r="R102" s="243">
        <v>155.247559</v>
      </c>
      <c r="S102" s="243">
        <v>159.56146200000001</v>
      </c>
      <c r="T102" s="243">
        <v>163.72183200000001</v>
      </c>
      <c r="U102" s="243">
        <v>167.965836</v>
      </c>
      <c r="V102" s="243">
        <v>172.70851099999999</v>
      </c>
      <c r="W102" s="243">
        <v>176.76915</v>
      </c>
      <c r="X102" s="243">
        <v>181.495026</v>
      </c>
      <c r="Y102" s="243">
        <v>185.55419900000001</v>
      </c>
      <c r="Z102" s="243">
        <v>190.254974</v>
      </c>
      <c r="AA102" s="243">
        <v>196.750259</v>
      </c>
      <c r="AB102" s="243">
        <v>201.401093</v>
      </c>
      <c r="AC102" s="243">
        <v>207.421021</v>
      </c>
      <c r="AD102" s="243">
        <v>213.41575599999999</v>
      </c>
      <c r="AE102" s="243">
        <v>219.61142000000001</v>
      </c>
      <c r="AF102" s="244">
        <v>2.9321E-2</v>
      </c>
      <c r="AG102" s="233"/>
    </row>
    <row r="103" spans="1:34" ht="15" customHeight="1">
      <c r="A103" s="234" t="s">
        <v>772</v>
      </c>
      <c r="B103" s="241" t="s">
        <v>742</v>
      </c>
      <c r="C103" s="246">
        <v>3.6236540000000002</v>
      </c>
      <c r="D103" s="246">
        <v>3.3297249999999998</v>
      </c>
      <c r="E103" s="246">
        <v>3.1645539999999999</v>
      </c>
      <c r="F103" s="246">
        <v>2.997884</v>
      </c>
      <c r="G103" s="246">
        <v>2.9769559999999999</v>
      </c>
      <c r="H103" s="246">
        <v>2.96794</v>
      </c>
      <c r="I103" s="246">
        <v>2.9842379999999999</v>
      </c>
      <c r="J103" s="246">
        <v>3.0452379999999999</v>
      </c>
      <c r="K103" s="246">
        <v>3.111478</v>
      </c>
      <c r="L103" s="246">
        <v>3.1888200000000002</v>
      </c>
      <c r="M103" s="246">
        <v>3.2755860000000001</v>
      </c>
      <c r="N103" s="246">
        <v>3.3643740000000002</v>
      </c>
      <c r="O103" s="246">
        <v>3.4520870000000001</v>
      </c>
      <c r="P103" s="246">
        <v>3.5443250000000002</v>
      </c>
      <c r="Q103" s="246">
        <v>3.6421899999999998</v>
      </c>
      <c r="R103" s="246">
        <v>3.733625</v>
      </c>
      <c r="S103" s="246">
        <v>3.833323</v>
      </c>
      <c r="T103" s="246">
        <v>3.9181300000000001</v>
      </c>
      <c r="U103" s="246">
        <v>4.0180170000000004</v>
      </c>
      <c r="V103" s="246">
        <v>4.1167040000000004</v>
      </c>
      <c r="W103" s="246">
        <v>4.2102269999999997</v>
      </c>
      <c r="X103" s="246">
        <v>4.2992270000000001</v>
      </c>
      <c r="Y103" s="246">
        <v>4.4036689999999998</v>
      </c>
      <c r="Z103" s="246">
        <v>4.5151320000000004</v>
      </c>
      <c r="AA103" s="246">
        <v>4.7134850000000004</v>
      </c>
      <c r="AB103" s="246">
        <v>4.8317930000000002</v>
      </c>
      <c r="AC103" s="246">
        <v>4.9758649999999998</v>
      </c>
      <c r="AD103" s="246">
        <v>5.1100469999999998</v>
      </c>
      <c r="AE103" s="246">
        <v>5.2560900000000004</v>
      </c>
      <c r="AF103" s="247">
        <v>1.3370999999999999E-2</v>
      </c>
      <c r="AG103" s="233"/>
    </row>
    <row r="104" spans="1:34" ht="15" customHeight="1" thickBot="1"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</row>
    <row r="105" spans="1:34" ht="15" customHeight="1">
      <c r="B105" s="387" t="s">
        <v>773</v>
      </c>
      <c r="C105" s="388"/>
      <c r="D105" s="388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  <c r="AD105" s="388"/>
      <c r="AE105" s="388"/>
      <c r="AF105" s="388"/>
      <c r="AG105" s="388"/>
      <c r="AH105" s="248"/>
    </row>
    <row r="106" spans="1:34" ht="15" customHeight="1">
      <c r="B106" s="233" t="s">
        <v>774</v>
      </c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</row>
    <row r="107" spans="1:34" ht="15" customHeight="1">
      <c r="B107" s="233" t="s">
        <v>775</v>
      </c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</row>
    <row r="108" spans="1:34" ht="15" customHeight="1">
      <c r="B108" s="233" t="s">
        <v>776</v>
      </c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</row>
    <row r="109" spans="1:34" ht="15" customHeight="1">
      <c r="B109" s="233" t="s">
        <v>777</v>
      </c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</row>
    <row r="110" spans="1:34" ht="15" customHeight="1">
      <c r="B110" s="233" t="s">
        <v>778</v>
      </c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</row>
    <row r="111" spans="1:34" ht="15" customHeight="1">
      <c r="B111" s="233" t="s">
        <v>779</v>
      </c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</row>
    <row r="112" spans="1:34" ht="15" customHeight="1">
      <c r="B112" s="389" t="s">
        <v>780</v>
      </c>
      <c r="C112" s="389"/>
      <c r="D112" s="389"/>
      <c r="E112" s="389"/>
      <c r="F112" s="389"/>
      <c r="G112" s="389"/>
      <c r="H112" s="389"/>
      <c r="I112" s="389"/>
      <c r="J112" s="389"/>
      <c r="K112" s="38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89"/>
      <c r="Z112" s="389"/>
      <c r="AA112" s="389"/>
      <c r="AB112" s="389"/>
      <c r="AC112" s="389"/>
      <c r="AD112" s="389"/>
      <c r="AE112" s="389"/>
      <c r="AF112" s="389"/>
      <c r="AG112" s="233"/>
    </row>
    <row r="113" spans="2:33" ht="15" customHeight="1">
      <c r="B113" s="233" t="s">
        <v>781</v>
      </c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</row>
    <row r="114" spans="2:33" ht="15" customHeight="1">
      <c r="B114" s="233" t="s">
        <v>782</v>
      </c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</row>
    <row r="115" spans="2:33" ht="15" customHeight="1">
      <c r="B115" s="233" t="s">
        <v>783</v>
      </c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</row>
    <row r="116" spans="2:33" ht="15" customHeight="1"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</row>
    <row r="117" spans="2:33" ht="15" customHeight="1"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</row>
    <row r="118" spans="2:33" ht="15" customHeight="1"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</row>
    <row r="119" spans="2:33" ht="15" customHeight="1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</row>
    <row r="120" spans="2:33" ht="1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</row>
    <row r="121" spans="2:33" ht="15" customHeight="1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</row>
    <row r="122" spans="2:33" ht="15" customHeight="1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</row>
    <row r="123" spans="2:33" ht="15" customHeight="1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  <c r="AG123" s="233"/>
    </row>
    <row r="124" spans="2:33" ht="15" customHeight="1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</row>
    <row r="125" spans="2:33" ht="15" customHeight="1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</row>
    <row r="126" spans="2:33" ht="15" customHeight="1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</row>
    <row r="127" spans="2:33" ht="15" customHeight="1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33"/>
      <c r="AE127" s="233"/>
      <c r="AF127" s="233"/>
      <c r="AG127" s="233"/>
    </row>
    <row r="128" spans="2:33" ht="15" customHeight="1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</row>
    <row r="129" spans="2:33" ht="15" customHeight="1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  <c r="AG129" s="233"/>
    </row>
    <row r="130" spans="2:33" ht="15" customHeight="1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</row>
    <row r="131" spans="2:33" ht="15" customHeight="1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  <c r="AG131" s="233"/>
    </row>
    <row r="132" spans="2:33" ht="15" customHeight="1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</row>
    <row r="133" spans="2:33" ht="15" customHeight="1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</row>
    <row r="134" spans="2:33" ht="15" customHeight="1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33"/>
      <c r="AE134" s="233"/>
      <c r="AF134" s="233"/>
      <c r="AG134" s="233"/>
    </row>
    <row r="141" spans="2:33" ht="12" customHeight="1"/>
    <row r="142" spans="2:33" ht="12" customHeight="1"/>
    <row r="143" spans="2:33" ht="12" customHeight="1"/>
    <row r="144" spans="2:33" ht="12" customHeight="1"/>
    <row r="145" ht="12" customHeight="1"/>
    <row r="146" ht="12" customHeight="1"/>
    <row r="147" ht="12" customHeight="1"/>
    <row r="148" ht="12" customHeight="1"/>
    <row r="149" ht="12" customHeight="1"/>
    <row r="165" ht="12" customHeight="1"/>
    <row r="180" ht="12" customHeight="1"/>
    <row r="204" ht="12" customHeight="1"/>
    <row r="205" ht="12" customHeight="1"/>
    <row r="223" ht="12" customHeight="1"/>
    <row r="226" ht="12" customHeight="1"/>
    <row r="256" ht="12" customHeight="1"/>
    <row r="257" ht="12" customHeight="1"/>
    <row r="269" ht="12" customHeight="1"/>
    <row r="299" ht="12" customHeight="1"/>
    <row r="308" spans="2:32" ht="15" customHeight="1">
      <c r="B308" s="390"/>
      <c r="C308" s="390"/>
      <c r="D308" s="390"/>
      <c r="E308" s="390"/>
      <c r="F308" s="390"/>
      <c r="G308" s="390"/>
      <c r="H308" s="390"/>
      <c r="I308" s="390"/>
      <c r="J308" s="390"/>
      <c r="K308" s="390"/>
      <c r="L308" s="390"/>
      <c r="M308" s="390"/>
      <c r="N308" s="390"/>
      <c r="O308" s="390"/>
      <c r="P308" s="390"/>
      <c r="Q308" s="390"/>
      <c r="R308" s="390"/>
      <c r="S308" s="390"/>
      <c r="T308" s="390"/>
      <c r="U308" s="390"/>
      <c r="V308" s="390"/>
      <c r="W308" s="390"/>
      <c r="X308" s="390"/>
      <c r="Y308" s="390"/>
      <c r="Z308" s="390"/>
      <c r="AA308" s="390"/>
      <c r="AB308" s="390"/>
      <c r="AC308" s="390"/>
      <c r="AD308" s="390"/>
      <c r="AE308" s="390"/>
      <c r="AF308" s="390"/>
    </row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85" ht="12" customHeight="1"/>
    <row r="392" ht="12" customHeight="1"/>
    <row r="402" ht="12" customHeight="1"/>
    <row r="412" ht="12" customHeight="1"/>
    <row r="419" ht="12" customHeight="1"/>
    <row r="420" ht="12" customHeight="1"/>
    <row r="433" ht="12" customHeight="1"/>
    <row r="443" ht="12" customHeight="1"/>
    <row r="444" ht="12" customHeight="1"/>
    <row r="451" ht="12" customHeight="1"/>
    <row r="458" ht="12" customHeight="1"/>
    <row r="468" ht="12" customHeight="1"/>
    <row r="469" ht="12" customHeight="1"/>
    <row r="479" ht="12" customHeight="1"/>
    <row r="486" ht="12" customHeight="1"/>
    <row r="499" spans="2:32" ht="12" customHeight="1"/>
    <row r="509" spans="2:32" ht="12" customHeight="1"/>
    <row r="511" spans="2:32" ht="15" customHeight="1">
      <c r="B511" s="390"/>
      <c r="C511" s="390"/>
      <c r="D511" s="390"/>
      <c r="E511" s="390"/>
      <c r="F511" s="390"/>
      <c r="G511" s="390"/>
      <c r="H511" s="390"/>
      <c r="I511" s="390"/>
      <c r="J511" s="390"/>
      <c r="K511" s="390"/>
      <c r="L511" s="390"/>
      <c r="M511" s="390"/>
      <c r="N511" s="390"/>
      <c r="O511" s="390"/>
      <c r="P511" s="390"/>
      <c r="Q511" s="390"/>
      <c r="R511" s="390"/>
      <c r="S511" s="390"/>
      <c r="T511" s="390"/>
      <c r="U511" s="390"/>
      <c r="V511" s="390"/>
      <c r="W511" s="390"/>
      <c r="X511" s="390"/>
      <c r="Y511" s="390"/>
      <c r="Z511" s="390"/>
      <c r="AA511" s="390"/>
      <c r="AB511" s="390"/>
      <c r="AC511" s="390"/>
      <c r="AD511" s="390"/>
      <c r="AE511" s="390"/>
      <c r="AF511" s="390"/>
    </row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86" ht="12" customHeight="1"/>
    <row r="588" ht="12" customHeight="1"/>
    <row r="596" ht="12" customHeight="1"/>
    <row r="616" ht="12" customHeight="1"/>
    <row r="625" ht="12" customHeight="1"/>
    <row r="631" ht="12" customHeight="1"/>
    <row r="638" ht="12" customHeight="1"/>
    <row r="640" ht="12" customHeight="1"/>
    <row r="659" ht="12" customHeight="1"/>
    <row r="661" ht="12" customHeight="1"/>
    <row r="680" ht="12" customHeight="1"/>
    <row r="687" ht="12" customHeight="1"/>
    <row r="699" ht="12" customHeight="1"/>
    <row r="712" spans="2:32" ht="15" customHeight="1">
      <c r="B712" s="390"/>
      <c r="C712" s="390"/>
      <c r="D712" s="390"/>
      <c r="E712" s="390"/>
      <c r="F712" s="390"/>
      <c r="G712" s="390"/>
      <c r="H712" s="390"/>
      <c r="I712" s="390"/>
      <c r="J712" s="390"/>
      <c r="K712" s="390"/>
      <c r="L712" s="390"/>
      <c r="M712" s="390"/>
      <c r="N712" s="390"/>
      <c r="O712" s="390"/>
      <c r="P712" s="390"/>
      <c r="Q712" s="390"/>
      <c r="R712" s="390"/>
      <c r="S712" s="390"/>
      <c r="T712" s="390"/>
      <c r="U712" s="390"/>
      <c r="V712" s="390"/>
      <c r="W712" s="390"/>
      <c r="X712" s="390"/>
      <c r="Y712" s="390"/>
      <c r="Z712" s="390"/>
      <c r="AA712" s="390"/>
      <c r="AB712" s="390"/>
      <c r="AC712" s="390"/>
      <c r="AD712" s="390"/>
      <c r="AE712" s="390"/>
      <c r="AF712" s="390"/>
    </row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81" ht="12" customHeight="1"/>
    <row r="786" ht="12" customHeight="1"/>
    <row r="791" ht="12" customHeight="1"/>
    <row r="807" ht="12" customHeight="1"/>
    <row r="815" ht="12" customHeight="1"/>
    <row r="821" ht="12" customHeight="1"/>
    <row r="824" ht="12" customHeight="1"/>
    <row r="839" ht="12" customHeight="1"/>
    <row r="841" ht="12" customHeight="1"/>
    <row r="856" ht="12" customHeight="1"/>
    <row r="862" ht="12" customHeight="1"/>
    <row r="874" ht="12" customHeight="1"/>
    <row r="887" spans="2:32" ht="15" customHeight="1">
      <c r="B887" s="390"/>
      <c r="C887" s="390"/>
      <c r="D887" s="390"/>
      <c r="E887" s="390"/>
      <c r="F887" s="390"/>
      <c r="G887" s="390"/>
      <c r="H887" s="390"/>
      <c r="I887" s="390"/>
      <c r="J887" s="390"/>
      <c r="K887" s="390"/>
      <c r="L887" s="390"/>
      <c r="M887" s="390"/>
      <c r="N887" s="390"/>
      <c r="O887" s="390"/>
      <c r="P887" s="390"/>
      <c r="Q887" s="390"/>
      <c r="R887" s="390"/>
      <c r="S887" s="390"/>
      <c r="T887" s="390"/>
      <c r="U887" s="390"/>
      <c r="V887" s="390"/>
      <c r="W887" s="390"/>
      <c r="X887" s="390"/>
      <c r="Y887" s="390"/>
      <c r="Z887" s="390"/>
      <c r="AA887" s="390"/>
      <c r="AB887" s="390"/>
      <c r="AC887" s="390"/>
      <c r="AD887" s="390"/>
      <c r="AE887" s="390"/>
      <c r="AF887" s="390"/>
    </row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60" ht="12" customHeight="1"/>
    <row r="986" ht="12" customHeight="1"/>
    <row r="987" ht="12" customHeight="1"/>
    <row r="1017" ht="12" customHeight="1"/>
    <row r="1018" ht="12" customHeight="1"/>
    <row r="1039" ht="12" customHeight="1"/>
    <row r="1067" ht="12" customHeight="1"/>
    <row r="1096" spans="2:32" ht="12" customHeight="1"/>
    <row r="1101" spans="2:32" ht="15" customHeight="1">
      <c r="B1101" s="390"/>
      <c r="C1101" s="390"/>
      <c r="D1101" s="390"/>
      <c r="E1101" s="390"/>
      <c r="F1101" s="390"/>
      <c r="G1101" s="390"/>
      <c r="H1101" s="390"/>
      <c r="I1101" s="390"/>
      <c r="J1101" s="390"/>
      <c r="K1101" s="390"/>
      <c r="L1101" s="390"/>
      <c r="M1101" s="390"/>
      <c r="N1101" s="390"/>
      <c r="O1101" s="390"/>
      <c r="P1101" s="390"/>
      <c r="Q1101" s="390"/>
      <c r="R1101" s="390"/>
      <c r="S1101" s="390"/>
      <c r="T1101" s="390"/>
      <c r="U1101" s="390"/>
      <c r="V1101" s="390"/>
      <c r="W1101" s="390"/>
      <c r="X1101" s="390"/>
      <c r="Y1101" s="390"/>
      <c r="Z1101" s="390"/>
      <c r="AA1101" s="390"/>
      <c r="AB1101" s="390"/>
      <c r="AC1101" s="390"/>
      <c r="AD1101" s="390"/>
      <c r="AE1101" s="390"/>
      <c r="AF1101" s="390"/>
    </row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69" ht="12" customHeight="1"/>
    <row r="1193" ht="12" customHeight="1"/>
    <row r="1211" ht="12" customHeight="1"/>
    <row r="1229" spans="2:32" ht="15" customHeight="1">
      <c r="B1229" s="390"/>
      <c r="C1229" s="390"/>
      <c r="D1229" s="390"/>
      <c r="E1229" s="390"/>
      <c r="F1229" s="390"/>
      <c r="G1229" s="390"/>
      <c r="H1229" s="390"/>
      <c r="I1229" s="390"/>
      <c r="J1229" s="390"/>
      <c r="K1229" s="390"/>
      <c r="L1229" s="390"/>
      <c r="M1229" s="390"/>
      <c r="N1229" s="390"/>
      <c r="O1229" s="390"/>
      <c r="P1229" s="390"/>
      <c r="Q1229" s="390"/>
      <c r="R1229" s="390"/>
      <c r="S1229" s="390"/>
      <c r="T1229" s="390"/>
      <c r="U1229" s="390"/>
      <c r="V1229" s="390"/>
      <c r="W1229" s="390"/>
      <c r="X1229" s="390"/>
      <c r="Y1229" s="390"/>
      <c r="Z1229" s="390"/>
      <c r="AA1229" s="390"/>
      <c r="AB1229" s="390"/>
      <c r="AC1229" s="390"/>
      <c r="AD1229" s="390"/>
      <c r="AE1229" s="390"/>
      <c r="AF1229" s="390"/>
    </row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6" ht="12" customHeight="1"/>
    <row r="1326" ht="12" customHeight="1"/>
    <row r="1328" ht="12" customHeight="1"/>
    <row r="1339" ht="12" customHeight="1"/>
    <row r="1349" ht="12" customHeight="1"/>
    <row r="1351" ht="12" customHeight="1"/>
    <row r="1360" ht="12" customHeight="1"/>
    <row r="1374" ht="12" customHeight="1"/>
    <row r="1384" spans="2:32" ht="12" customHeight="1"/>
    <row r="1390" spans="2:32" ht="15" customHeight="1">
      <c r="B1390" s="390"/>
      <c r="C1390" s="390"/>
      <c r="D1390" s="390"/>
      <c r="E1390" s="390"/>
      <c r="F1390" s="390"/>
      <c r="G1390" s="390"/>
      <c r="H1390" s="390"/>
      <c r="I1390" s="390"/>
      <c r="J1390" s="390"/>
      <c r="K1390" s="390"/>
      <c r="L1390" s="390"/>
      <c r="M1390" s="390"/>
      <c r="N1390" s="390"/>
      <c r="O1390" s="390"/>
      <c r="P1390" s="390"/>
      <c r="Q1390" s="390"/>
      <c r="R1390" s="390"/>
      <c r="S1390" s="390"/>
      <c r="T1390" s="390"/>
      <c r="U1390" s="390"/>
      <c r="V1390" s="390"/>
      <c r="W1390" s="390"/>
      <c r="X1390" s="390"/>
      <c r="Y1390" s="390"/>
      <c r="Z1390" s="390"/>
      <c r="AA1390" s="390"/>
      <c r="AB1390" s="390"/>
      <c r="AC1390" s="390"/>
      <c r="AD1390" s="390"/>
      <c r="AE1390" s="390"/>
      <c r="AF1390" s="390"/>
    </row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50" ht="12" customHeight="1"/>
    <row r="1476" ht="12" customHeight="1"/>
    <row r="1488" ht="12" customHeight="1"/>
    <row r="1490" spans="2:32" ht="12" customHeight="1"/>
    <row r="1499" spans="2:32" ht="12" customHeight="1"/>
    <row r="1502" spans="2:32" ht="15" customHeight="1">
      <c r="B1502" s="390"/>
      <c r="C1502" s="390"/>
      <c r="D1502" s="390"/>
      <c r="E1502" s="390"/>
      <c r="F1502" s="390"/>
      <c r="G1502" s="390"/>
      <c r="H1502" s="390"/>
      <c r="I1502" s="390"/>
      <c r="J1502" s="390"/>
      <c r="K1502" s="390"/>
      <c r="L1502" s="390"/>
      <c r="M1502" s="390"/>
      <c r="N1502" s="390"/>
      <c r="O1502" s="390"/>
      <c r="P1502" s="390"/>
      <c r="Q1502" s="390"/>
      <c r="R1502" s="390"/>
      <c r="S1502" s="390"/>
      <c r="T1502" s="390"/>
      <c r="U1502" s="390"/>
      <c r="V1502" s="390"/>
      <c r="W1502" s="390"/>
      <c r="X1502" s="390"/>
      <c r="Y1502" s="390"/>
      <c r="Z1502" s="390"/>
      <c r="AA1502" s="390"/>
      <c r="AB1502" s="390"/>
      <c r="AC1502" s="390"/>
      <c r="AD1502" s="390"/>
      <c r="AE1502" s="390"/>
      <c r="AF1502" s="390"/>
    </row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81" ht="12" customHeight="1"/>
    <row r="1586" ht="12" customHeight="1"/>
    <row r="1591" ht="12" customHeight="1"/>
    <row r="1593" ht="12" customHeight="1"/>
    <row r="1598" ht="12" customHeight="1"/>
    <row r="1604" spans="2:32" ht="15" customHeight="1">
      <c r="B1604" s="390"/>
      <c r="C1604" s="390"/>
      <c r="D1604" s="390"/>
      <c r="E1604" s="390"/>
      <c r="F1604" s="390"/>
      <c r="G1604" s="390"/>
      <c r="H1604" s="390"/>
      <c r="I1604" s="390"/>
      <c r="J1604" s="390"/>
      <c r="K1604" s="390"/>
      <c r="L1604" s="390"/>
      <c r="M1604" s="390"/>
      <c r="N1604" s="390"/>
      <c r="O1604" s="390"/>
      <c r="P1604" s="390"/>
      <c r="Q1604" s="390"/>
      <c r="R1604" s="390"/>
      <c r="S1604" s="390"/>
      <c r="T1604" s="390"/>
      <c r="U1604" s="390"/>
      <c r="V1604" s="390"/>
      <c r="W1604" s="390"/>
      <c r="X1604" s="390"/>
      <c r="Y1604" s="390"/>
      <c r="Z1604" s="390"/>
      <c r="AA1604" s="390"/>
      <c r="AB1604" s="390"/>
      <c r="AC1604" s="390"/>
      <c r="AD1604" s="390"/>
      <c r="AE1604" s="390"/>
      <c r="AF1604" s="390"/>
    </row>
    <row r="1612" spans="2:32" ht="12" customHeight="1"/>
    <row r="1613" spans="2:32" ht="12" customHeight="1"/>
    <row r="1614" spans="2:32" ht="12" customHeight="1"/>
    <row r="1615" spans="2:32" ht="12" customHeight="1"/>
    <row r="1616" spans="2:32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39" ht="12" customHeight="1"/>
    <row r="1665" ht="12" customHeight="1"/>
    <row r="1667" ht="12" customHeight="1"/>
    <row r="1668" ht="12" customHeight="1"/>
    <row r="1686" ht="12" customHeight="1"/>
    <row r="1688" ht="12" customHeight="1"/>
    <row r="1697" spans="2:32" ht="12" customHeight="1"/>
    <row r="1699" spans="2:32" ht="15" customHeight="1">
      <c r="B1699" s="390"/>
      <c r="C1699" s="390"/>
      <c r="D1699" s="390"/>
      <c r="E1699" s="390"/>
      <c r="F1699" s="390"/>
      <c r="G1699" s="390"/>
      <c r="H1699" s="390"/>
      <c r="I1699" s="390"/>
      <c r="J1699" s="390"/>
      <c r="K1699" s="390"/>
      <c r="L1699" s="390"/>
      <c r="M1699" s="390"/>
      <c r="N1699" s="390"/>
      <c r="O1699" s="390"/>
      <c r="P1699" s="390"/>
      <c r="Q1699" s="390"/>
      <c r="R1699" s="390"/>
      <c r="S1699" s="390"/>
      <c r="T1699" s="390"/>
      <c r="U1699" s="390"/>
      <c r="V1699" s="390"/>
      <c r="W1699" s="390"/>
      <c r="X1699" s="390"/>
      <c r="Y1699" s="390"/>
      <c r="Z1699" s="390"/>
      <c r="AA1699" s="390"/>
      <c r="AB1699" s="390"/>
      <c r="AC1699" s="390"/>
      <c r="AD1699" s="390"/>
      <c r="AE1699" s="390"/>
      <c r="AF1699" s="390"/>
    </row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60" ht="12" customHeight="1"/>
    <row r="1862" ht="12" customHeight="1"/>
    <row r="1866" ht="12" customHeight="1"/>
    <row r="1871" ht="12" customHeight="1"/>
    <row r="1877" ht="12" customHeight="1"/>
    <row r="1887" ht="12" customHeight="1"/>
    <row r="1892" ht="12" customHeight="1"/>
    <row r="1901" ht="12" customHeight="1"/>
    <row r="1902" ht="12" customHeight="1"/>
    <row r="1908" ht="12" customHeight="1"/>
    <row r="1914" ht="12" customHeight="1"/>
    <row r="1918" ht="12" customHeight="1"/>
    <row r="1923" ht="12" customHeight="1"/>
    <row r="1932" ht="12" customHeight="1"/>
    <row r="1936" ht="12" customHeight="1"/>
    <row r="1945" spans="2:32" ht="15" customHeight="1">
      <c r="B1945" s="390"/>
      <c r="C1945" s="390"/>
      <c r="D1945" s="390"/>
      <c r="E1945" s="390"/>
      <c r="F1945" s="390"/>
      <c r="G1945" s="390"/>
      <c r="H1945" s="390"/>
      <c r="I1945" s="390"/>
      <c r="J1945" s="390"/>
      <c r="K1945" s="390"/>
      <c r="L1945" s="390"/>
      <c r="M1945" s="390"/>
      <c r="N1945" s="390"/>
      <c r="O1945" s="390"/>
      <c r="P1945" s="390"/>
      <c r="Q1945" s="390"/>
      <c r="R1945" s="390"/>
      <c r="S1945" s="390"/>
      <c r="T1945" s="390"/>
      <c r="U1945" s="390"/>
      <c r="V1945" s="390"/>
      <c r="W1945" s="390"/>
      <c r="X1945" s="390"/>
      <c r="Y1945" s="390"/>
      <c r="Z1945" s="390"/>
      <c r="AA1945" s="390"/>
      <c r="AB1945" s="390"/>
      <c r="AC1945" s="390"/>
      <c r="AD1945" s="390"/>
      <c r="AE1945" s="390"/>
      <c r="AF1945" s="390"/>
    </row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83" ht="12" customHeight="1"/>
    <row r="1987" ht="12" customHeight="1"/>
    <row r="1989" ht="12" customHeight="1"/>
    <row r="2003" ht="12" customHeight="1"/>
    <row r="2005" ht="12" customHeight="1"/>
    <row r="2007" ht="12" customHeight="1"/>
    <row r="2010" ht="12" customHeight="1"/>
    <row r="2021" spans="2:32" ht="12" customHeight="1"/>
    <row r="2031" spans="2:32" ht="15" customHeight="1">
      <c r="B2031" s="390"/>
      <c r="C2031" s="390"/>
      <c r="D2031" s="390"/>
      <c r="E2031" s="390"/>
      <c r="F2031" s="390"/>
      <c r="G2031" s="390"/>
      <c r="H2031" s="390"/>
      <c r="I2031" s="390"/>
      <c r="J2031" s="390"/>
      <c r="K2031" s="390"/>
      <c r="L2031" s="390"/>
      <c r="M2031" s="390"/>
      <c r="N2031" s="390"/>
      <c r="O2031" s="390"/>
      <c r="P2031" s="390"/>
      <c r="Q2031" s="390"/>
      <c r="R2031" s="390"/>
      <c r="S2031" s="390"/>
      <c r="T2031" s="390"/>
      <c r="U2031" s="390"/>
      <c r="V2031" s="390"/>
      <c r="W2031" s="390"/>
      <c r="X2031" s="390"/>
      <c r="Y2031" s="390"/>
      <c r="Z2031" s="390"/>
      <c r="AA2031" s="390"/>
      <c r="AB2031" s="390"/>
      <c r="AC2031" s="390"/>
      <c r="AD2031" s="390"/>
      <c r="AE2031" s="390"/>
      <c r="AF2031" s="390"/>
    </row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6" ht="12" customHeight="1"/>
    <row r="2109" ht="12" customHeight="1"/>
    <row r="2123" ht="12" customHeight="1"/>
    <row r="2130" ht="12" customHeight="1"/>
    <row r="2132" ht="12" customHeight="1"/>
    <row r="2135" ht="12" customHeight="1"/>
    <row r="2147" spans="2:32" ht="12" customHeight="1"/>
    <row r="2149" spans="2:32" ht="12" customHeight="1"/>
    <row r="2150" spans="2:32" ht="12" customHeight="1"/>
    <row r="2153" spans="2:32" ht="15" customHeight="1">
      <c r="B2153" s="390"/>
      <c r="C2153" s="390"/>
      <c r="D2153" s="390"/>
      <c r="E2153" s="390"/>
      <c r="F2153" s="390"/>
      <c r="G2153" s="390"/>
      <c r="H2153" s="390"/>
      <c r="I2153" s="390"/>
      <c r="J2153" s="390"/>
      <c r="K2153" s="390"/>
      <c r="L2153" s="390"/>
      <c r="M2153" s="390"/>
      <c r="N2153" s="390"/>
      <c r="O2153" s="390"/>
      <c r="P2153" s="390"/>
      <c r="Q2153" s="390"/>
      <c r="R2153" s="390"/>
      <c r="S2153" s="390"/>
      <c r="T2153" s="390"/>
      <c r="U2153" s="390"/>
      <c r="V2153" s="390"/>
      <c r="W2153" s="390"/>
      <c r="X2153" s="390"/>
      <c r="Y2153" s="390"/>
      <c r="Z2153" s="390"/>
      <c r="AA2153" s="390"/>
      <c r="AB2153" s="390"/>
      <c r="AC2153" s="390"/>
      <c r="AD2153" s="390"/>
      <c r="AE2153" s="390"/>
      <c r="AF2153" s="390"/>
    </row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9" ht="12" customHeight="1"/>
    <row r="2263" ht="12" customHeight="1"/>
    <row r="2265" ht="12" customHeight="1"/>
    <row r="2270" ht="12" customHeight="1"/>
    <row r="2272" ht="12" customHeight="1"/>
    <row r="2281" ht="12" customHeight="1"/>
    <row r="2283" ht="12" customHeight="1"/>
    <row r="2287" ht="12" customHeight="1"/>
    <row r="2299" ht="12" customHeight="1"/>
    <row r="2300" ht="12" customHeight="1"/>
    <row r="2304" ht="12" customHeight="1"/>
    <row r="2317" spans="2:32" ht="15" customHeight="1">
      <c r="B2317" s="390"/>
      <c r="C2317" s="390"/>
      <c r="D2317" s="390"/>
      <c r="E2317" s="390"/>
      <c r="F2317" s="390"/>
      <c r="G2317" s="390"/>
      <c r="H2317" s="390"/>
      <c r="I2317" s="390"/>
      <c r="J2317" s="390"/>
      <c r="K2317" s="390"/>
      <c r="L2317" s="390"/>
      <c r="M2317" s="390"/>
      <c r="N2317" s="390"/>
      <c r="O2317" s="390"/>
      <c r="P2317" s="390"/>
      <c r="Q2317" s="390"/>
      <c r="R2317" s="390"/>
      <c r="S2317" s="390"/>
      <c r="T2317" s="390"/>
      <c r="U2317" s="390"/>
      <c r="V2317" s="390"/>
      <c r="W2317" s="390"/>
      <c r="X2317" s="390"/>
      <c r="Y2317" s="390"/>
      <c r="Z2317" s="390"/>
      <c r="AA2317" s="390"/>
      <c r="AB2317" s="390"/>
      <c r="AC2317" s="390"/>
      <c r="AD2317" s="390"/>
      <c r="AE2317" s="390"/>
      <c r="AF2317" s="390"/>
    </row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66" ht="12" customHeight="1"/>
    <row r="2379" ht="12" customHeight="1"/>
    <row r="2389" ht="12" customHeight="1"/>
    <row r="2398" ht="12" customHeight="1"/>
    <row r="2399" ht="12" customHeight="1"/>
    <row r="2409" ht="12" customHeight="1"/>
    <row r="2419" spans="2:32" ht="15" customHeight="1">
      <c r="B2419" s="390"/>
      <c r="C2419" s="390"/>
      <c r="D2419" s="390"/>
      <c r="E2419" s="390"/>
      <c r="F2419" s="390"/>
      <c r="G2419" s="390"/>
      <c r="H2419" s="390"/>
      <c r="I2419" s="390"/>
      <c r="J2419" s="390"/>
      <c r="K2419" s="390"/>
      <c r="L2419" s="390"/>
      <c r="M2419" s="390"/>
      <c r="N2419" s="390"/>
      <c r="O2419" s="390"/>
      <c r="P2419" s="390"/>
      <c r="Q2419" s="390"/>
      <c r="R2419" s="390"/>
      <c r="S2419" s="390"/>
      <c r="T2419" s="390"/>
      <c r="U2419" s="390"/>
      <c r="V2419" s="390"/>
      <c r="W2419" s="390"/>
      <c r="X2419" s="390"/>
      <c r="Y2419" s="390"/>
      <c r="Z2419" s="390"/>
      <c r="AA2419" s="390"/>
      <c r="AB2419" s="390"/>
      <c r="AC2419" s="390"/>
      <c r="AD2419" s="390"/>
      <c r="AE2419" s="390"/>
      <c r="AF2419" s="390"/>
    </row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6" ht="12" customHeight="1"/>
    <row r="2458" ht="12" customHeight="1"/>
    <row r="2460" ht="12" customHeight="1"/>
    <row r="2466" ht="12" customHeight="1"/>
    <row r="2474" ht="12" customHeight="1"/>
    <row r="2485" ht="12" customHeight="1"/>
    <row r="2487" ht="12" customHeight="1"/>
    <row r="2493" ht="12" customHeight="1"/>
    <row r="2494" ht="12" customHeight="1"/>
    <row r="2497" spans="2:32" ht="12" customHeight="1"/>
    <row r="2503" spans="2:32" ht="12" customHeight="1"/>
    <row r="2509" spans="2:32" ht="15" customHeight="1">
      <c r="B2509" s="390"/>
      <c r="C2509" s="390"/>
      <c r="D2509" s="390"/>
      <c r="E2509" s="390"/>
      <c r="F2509" s="390"/>
      <c r="G2509" s="390"/>
      <c r="H2509" s="390"/>
      <c r="I2509" s="390"/>
      <c r="J2509" s="390"/>
      <c r="K2509" s="390"/>
      <c r="L2509" s="390"/>
      <c r="M2509" s="390"/>
      <c r="N2509" s="390"/>
      <c r="O2509" s="390"/>
      <c r="P2509" s="390"/>
      <c r="Q2509" s="390"/>
      <c r="R2509" s="390"/>
      <c r="S2509" s="390"/>
      <c r="T2509" s="390"/>
      <c r="U2509" s="390"/>
      <c r="V2509" s="390"/>
      <c r="W2509" s="390"/>
      <c r="X2509" s="390"/>
      <c r="Y2509" s="390"/>
      <c r="Z2509" s="390"/>
      <c r="AA2509" s="390"/>
      <c r="AB2509" s="390"/>
      <c r="AC2509" s="390"/>
      <c r="AD2509" s="390"/>
      <c r="AE2509" s="390"/>
      <c r="AF2509" s="390"/>
    </row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60" ht="12" customHeight="1"/>
    <row r="2567" ht="12" customHeight="1"/>
    <row r="2574" ht="12" customHeight="1"/>
    <row r="2580" ht="12" customHeight="1"/>
    <row r="2587" ht="12" customHeight="1"/>
    <row r="2594" spans="2:32" ht="12" customHeight="1"/>
    <row r="2598" spans="2:32" ht="15" customHeight="1">
      <c r="B2598" s="390"/>
      <c r="C2598" s="390"/>
      <c r="D2598" s="390"/>
      <c r="E2598" s="390"/>
      <c r="F2598" s="390"/>
      <c r="G2598" s="390"/>
      <c r="H2598" s="390"/>
      <c r="I2598" s="390"/>
      <c r="J2598" s="390"/>
      <c r="K2598" s="390"/>
      <c r="L2598" s="390"/>
      <c r="M2598" s="390"/>
      <c r="N2598" s="390"/>
      <c r="O2598" s="390"/>
      <c r="P2598" s="390"/>
      <c r="Q2598" s="390"/>
      <c r="R2598" s="390"/>
      <c r="S2598" s="390"/>
      <c r="T2598" s="390"/>
      <c r="U2598" s="390"/>
      <c r="V2598" s="390"/>
      <c r="W2598" s="390"/>
      <c r="X2598" s="390"/>
      <c r="Y2598" s="390"/>
      <c r="Z2598" s="390"/>
      <c r="AA2598" s="390"/>
      <c r="AB2598" s="390"/>
      <c r="AC2598" s="390"/>
      <c r="AD2598" s="390"/>
      <c r="AE2598" s="390"/>
      <c r="AF2598" s="390"/>
    </row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47" ht="12" customHeight="1"/>
    <row r="2660" ht="12" customHeight="1"/>
    <row r="2661" ht="12" customHeight="1"/>
    <row r="2688" ht="12" customHeight="1"/>
    <row r="2705" spans="2:32" ht="12" customHeight="1"/>
    <row r="2706" spans="2:32" ht="12" customHeight="1"/>
    <row r="2719" spans="2:32" ht="15" customHeight="1">
      <c r="B2719" s="390"/>
      <c r="C2719" s="390"/>
      <c r="D2719" s="390"/>
      <c r="E2719" s="390"/>
      <c r="F2719" s="390"/>
      <c r="G2719" s="390"/>
      <c r="H2719" s="390"/>
      <c r="I2719" s="390"/>
      <c r="J2719" s="390"/>
      <c r="K2719" s="390"/>
      <c r="L2719" s="390"/>
      <c r="M2719" s="390"/>
      <c r="N2719" s="390"/>
      <c r="O2719" s="390"/>
      <c r="P2719" s="390"/>
      <c r="Q2719" s="390"/>
      <c r="R2719" s="390"/>
      <c r="S2719" s="390"/>
      <c r="T2719" s="390"/>
      <c r="U2719" s="390"/>
      <c r="V2719" s="390"/>
      <c r="W2719" s="390"/>
      <c r="X2719" s="390"/>
      <c r="Y2719" s="390"/>
      <c r="Z2719" s="390"/>
      <c r="AA2719" s="390"/>
      <c r="AB2719" s="390"/>
      <c r="AC2719" s="390"/>
      <c r="AD2719" s="390"/>
      <c r="AE2719" s="390"/>
      <c r="AF2719" s="390"/>
    </row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87" ht="12" customHeight="1"/>
    <row r="2792" ht="12" customHeight="1"/>
    <row r="2803" ht="12" customHeight="1"/>
    <row r="2808" ht="12" customHeight="1"/>
    <row r="2817" ht="12" customHeight="1"/>
    <row r="2824" ht="12" customHeight="1"/>
    <row r="2829" ht="12" customHeight="1"/>
    <row r="2830" ht="12" customHeight="1"/>
    <row r="2837" spans="2:32" ht="15" customHeight="1">
      <c r="B2837" s="390"/>
      <c r="C2837" s="390"/>
      <c r="D2837" s="390"/>
      <c r="E2837" s="390"/>
      <c r="F2837" s="390"/>
      <c r="G2837" s="390"/>
      <c r="H2837" s="390"/>
      <c r="I2837" s="390"/>
      <c r="J2837" s="390"/>
      <c r="K2837" s="390"/>
      <c r="L2837" s="390"/>
      <c r="M2837" s="390"/>
      <c r="N2837" s="390"/>
      <c r="O2837" s="390"/>
      <c r="P2837" s="390"/>
      <c r="Q2837" s="390"/>
      <c r="R2837" s="390"/>
      <c r="S2837" s="390"/>
      <c r="T2837" s="390"/>
      <c r="U2837" s="390"/>
      <c r="V2837" s="390"/>
      <c r="W2837" s="390"/>
      <c r="X2837" s="390"/>
      <c r="Y2837" s="390"/>
      <c r="Z2837" s="390"/>
      <c r="AA2837" s="390"/>
      <c r="AB2837" s="390"/>
      <c r="AC2837" s="390"/>
      <c r="AD2837" s="390"/>
      <c r="AE2837" s="390"/>
      <c r="AF2837" s="390"/>
    </row>
  </sheetData>
  <mergeCells count="21">
    <mergeCell ref="B1699:AF1699"/>
    <mergeCell ref="B105:AG105"/>
    <mergeCell ref="B112:AF112"/>
    <mergeCell ref="B308:AF308"/>
    <mergeCell ref="B511:AF511"/>
    <mergeCell ref="B712:AF712"/>
    <mergeCell ref="B887:AF887"/>
    <mergeCell ref="B1101:AF1101"/>
    <mergeCell ref="B1229:AF1229"/>
    <mergeCell ref="B1390:AF1390"/>
    <mergeCell ref="B1502:AF1502"/>
    <mergeCell ref="B1604:AF1604"/>
    <mergeCell ref="B2598:AF2598"/>
    <mergeCell ref="B2719:AF2719"/>
    <mergeCell ref="B2837:AF2837"/>
    <mergeCell ref="B1945:AF1945"/>
    <mergeCell ref="B2031:AF2031"/>
    <mergeCell ref="B2153:AF2153"/>
    <mergeCell ref="B2317:AF2317"/>
    <mergeCell ref="B2419:AF2419"/>
    <mergeCell ref="B2509:AF2509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F530-5741-4A7A-9BE6-142C93EC8B5A}">
  <sheetPr>
    <tabColor theme="0" tint="-0.499984740745262"/>
  </sheetPr>
  <dimension ref="B1:T3"/>
  <sheetViews>
    <sheetView showGridLines="0" zoomScale="85" zoomScaleNormal="85" workbookViewId="0">
      <selection activeCell="P33" sqref="P33"/>
    </sheetView>
  </sheetViews>
  <sheetFormatPr defaultRowHeight="14.45"/>
  <cols>
    <col min="1" max="1" width="3.140625" customWidth="1"/>
    <col min="2" max="2" width="4.42578125" customWidth="1"/>
    <col min="3" max="3" width="3.140625" customWidth="1"/>
  </cols>
  <sheetData>
    <row r="1" spans="2:20">
      <c r="B1" s="7">
        <f>SUM(A:A)</f>
        <v>0</v>
      </c>
    </row>
    <row r="2" spans="2:20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21EA-A4CB-4519-84D5-2D7AA44FF4D7}">
  <dimension ref="A2:AH36"/>
  <sheetViews>
    <sheetView topLeftCell="A16" zoomScale="115" zoomScaleNormal="115" workbookViewId="0">
      <selection activeCell="J24" sqref="J24"/>
    </sheetView>
  </sheetViews>
  <sheetFormatPr defaultRowHeight="14.45"/>
  <cols>
    <col min="1" max="1" width="1.85546875" customWidth="1"/>
    <col min="3" max="3" width="10.42578125" bestFit="1" customWidth="1"/>
    <col min="4" max="7" width="10.140625" bestFit="1" customWidth="1"/>
    <col min="8" max="8" width="10.140625" style="82" bestFit="1" customWidth="1"/>
    <col min="9" max="13" width="10.140625" bestFit="1" customWidth="1"/>
  </cols>
  <sheetData>
    <row r="2" spans="2:34">
      <c r="B2" s="70" t="s">
        <v>784</v>
      </c>
      <c r="C2" s="71">
        <v>2017</v>
      </c>
      <c r="D2" s="71">
        <v>2018</v>
      </c>
      <c r="E2" s="71">
        <v>2019</v>
      </c>
      <c r="F2" s="71">
        <v>2020</v>
      </c>
      <c r="G2" s="71">
        <v>2021</v>
      </c>
      <c r="H2" s="71">
        <v>2022</v>
      </c>
      <c r="I2" s="71">
        <v>2023</v>
      </c>
      <c r="J2" s="71">
        <v>2024</v>
      </c>
      <c r="K2" s="71">
        <v>2025</v>
      </c>
      <c r="L2" s="71">
        <v>2026</v>
      </c>
      <c r="M2" s="71">
        <v>2027</v>
      </c>
      <c r="N2" s="71">
        <v>2028</v>
      </c>
      <c r="O2" s="71">
        <v>2029</v>
      </c>
      <c r="P2" s="71">
        <v>2030</v>
      </c>
      <c r="Q2" s="71">
        <v>2031</v>
      </c>
      <c r="R2" s="71">
        <v>2032</v>
      </c>
      <c r="S2" s="71">
        <v>2033</v>
      </c>
      <c r="T2" s="71">
        <v>2034</v>
      </c>
      <c r="U2" s="71">
        <v>2035</v>
      </c>
      <c r="V2" s="71">
        <v>2036</v>
      </c>
      <c r="W2" s="71">
        <v>2037</v>
      </c>
      <c r="X2" s="71">
        <v>2038</v>
      </c>
      <c r="Y2" s="71">
        <v>2039</v>
      </c>
      <c r="Z2" s="71">
        <v>2040</v>
      </c>
      <c r="AA2" s="71">
        <v>2041</v>
      </c>
      <c r="AB2" s="71">
        <v>2042</v>
      </c>
      <c r="AC2" s="71">
        <v>2043</v>
      </c>
      <c r="AD2" s="71">
        <v>2044</v>
      </c>
      <c r="AE2" s="71">
        <v>2045</v>
      </c>
      <c r="AF2" s="71">
        <v>2046</v>
      </c>
      <c r="AG2" s="71">
        <v>2047</v>
      </c>
      <c r="AH2" s="71">
        <v>2048</v>
      </c>
    </row>
    <row r="3" spans="2:34">
      <c r="B3" s="72" t="s">
        <v>785</v>
      </c>
      <c r="C3" s="73">
        <f>'IMT Reefer Container Data'!B21</f>
        <v>2629</v>
      </c>
      <c r="D3" s="73">
        <f>'IMT Reefer Container Data'!C21</f>
        <v>2764</v>
      </c>
      <c r="E3" s="73">
        <f>'IMT Reefer Container Data'!D21</f>
        <v>3036</v>
      </c>
      <c r="F3" s="73">
        <f>'IMT Reefer Container Data'!E21</f>
        <v>3401</v>
      </c>
      <c r="G3" s="73">
        <f>'IMT Reefer Container Data'!F21</f>
        <v>5349</v>
      </c>
      <c r="H3" s="73">
        <f>'IMT Reefer Container Data'!G21</f>
        <v>6127</v>
      </c>
      <c r="I3" s="74">
        <f>'IMT Reefer Container Data'!H21</f>
        <v>6400.4553324516246</v>
      </c>
      <c r="J3" s="74">
        <f>'IMT Reefer Container Data'!I21</f>
        <v>6912.4917590477562</v>
      </c>
      <c r="K3" s="74">
        <f>'IMT Reefer Container Data'!J21</f>
        <v>7465.491099771576</v>
      </c>
      <c r="L3" s="74">
        <f>'IMT Reefer Container Data'!K21</f>
        <v>8062.7303877533022</v>
      </c>
      <c r="M3" s="74">
        <f>'IMT Reefer Container Data'!L21</f>
        <v>8707.7488187735671</v>
      </c>
      <c r="N3" s="74">
        <f>'IMT Reefer Container Data'!M21</f>
        <v>9404.368724275455</v>
      </c>
      <c r="O3" s="74">
        <f>'IMT Reefer Container Data'!N21</f>
        <v>10156.718222217492</v>
      </c>
      <c r="P3" s="74">
        <f>'IMT Reefer Container Data'!O21</f>
        <v>10969.255679994892</v>
      </c>
      <c r="Q3" s="74">
        <f>'IMT Reefer Container Data'!P21</f>
        <v>11846.796134394484</v>
      </c>
      <c r="R3" s="74">
        <f>'IMT Reefer Container Data'!Q21</f>
        <v>12794.539825146045</v>
      </c>
      <c r="S3" s="74">
        <f>'IMT Reefer Container Data'!R21</f>
        <v>13818.103011157729</v>
      </c>
      <c r="T3" s="74">
        <f>'IMT Reefer Container Data'!S21</f>
        <v>14923.551252050349</v>
      </c>
      <c r="U3" s="74">
        <f>'IMT Reefer Container Data'!T21</f>
        <v>16117.435352214379</v>
      </c>
      <c r="V3" s="74">
        <f>'IMT Reefer Container Data'!U21</f>
        <v>17406.830180391527</v>
      </c>
      <c r="W3" s="74">
        <f>'IMT Reefer Container Data'!V21</f>
        <v>18799.376594822854</v>
      </c>
      <c r="X3" s="74">
        <f>'IMT Reefer Container Data'!W21</f>
        <v>20303.326722408681</v>
      </c>
      <c r="Y3" s="74">
        <f>'IMT Reefer Container Data'!X21</f>
        <v>21927.592860201377</v>
      </c>
      <c r="Z3" s="74">
        <f>'IMT Reefer Container Data'!Y21</f>
        <v>23681.800289017487</v>
      </c>
      <c r="AA3" s="74">
        <f>'IMT Reefer Container Data'!Z21</f>
        <v>25576.344312138885</v>
      </c>
      <c r="AB3" s="74">
        <f>'IMT Reefer Container Data'!AA21</f>
        <v>27622.451857109998</v>
      </c>
      <c r="AC3" s="74">
        <f>'IMT Reefer Container Data'!AB21</f>
        <v>29832.248005678801</v>
      </c>
      <c r="AD3" s="74">
        <f>'IMT Reefer Container Data'!AC21</f>
        <v>32218.827846133107</v>
      </c>
      <c r="AE3" s="74">
        <f>'IMT Reefer Container Data'!AD21</f>
        <v>34796.334073823753</v>
      </c>
      <c r="AF3" s="74">
        <f>'IMT Reefer Container Data'!AE21</f>
        <v>37580.040799729657</v>
      </c>
      <c r="AG3" s="74">
        <f>'IMT Reefer Container Data'!AF21</f>
        <v>40586.444063708033</v>
      </c>
      <c r="AH3" s="74">
        <f>'IMT Reefer Container Data'!AG21</f>
        <v>43833.359588804677</v>
      </c>
    </row>
    <row r="4" spans="2:34">
      <c r="B4" s="72" t="s">
        <v>786</v>
      </c>
      <c r="C4" s="73">
        <f>'IMT Reefer Container Data'!B22</f>
        <v>9850.5555555555547</v>
      </c>
      <c r="D4" s="73">
        <f>'IMT Reefer Container Data'!C22</f>
        <v>12402.777777777777</v>
      </c>
      <c r="E4" s="73">
        <f>'IMT Reefer Container Data'!D22</f>
        <v>15414.444444444443</v>
      </c>
      <c r="F4" s="73">
        <f>'IMT Reefer Container Data'!E22</f>
        <v>15954.444444444443</v>
      </c>
      <c r="G4" s="73">
        <f>'IMT Reefer Container Data'!F22</f>
        <v>21207.777777777777</v>
      </c>
      <c r="H4" s="73">
        <f>'IMT Reefer Container Data'!G22</f>
        <v>24130.555555555555</v>
      </c>
      <c r="I4" s="75">
        <f>'IMT Reefer Container Data'!H22</f>
        <v>27313.492473825096</v>
      </c>
      <c r="J4" s="75">
        <f>'IMT Reefer Container Data'!I22</f>
        <v>29498.571871731107</v>
      </c>
      <c r="K4" s="75">
        <f>'IMT Reefer Container Data'!J22</f>
        <v>31858.457621469595</v>
      </c>
      <c r="L4" s="75">
        <f>'IMT Reefer Container Data'!K22</f>
        <v>34407.134231187163</v>
      </c>
      <c r="M4" s="75">
        <f>'IMT Reefer Container Data'!L22</f>
        <v>37159.704969682141</v>
      </c>
      <c r="N4" s="75">
        <f>'IMT Reefer Container Data'!M22</f>
        <v>40132.481367256718</v>
      </c>
      <c r="O4" s="75">
        <f>'IMT Reefer Container Data'!N22</f>
        <v>43343.079876637261</v>
      </c>
      <c r="P4" s="75">
        <f>'IMT Reefer Container Data'!O22</f>
        <v>46810.526266768247</v>
      </c>
      <c r="Q4" s="75">
        <f>'IMT Reefer Container Data'!P22</f>
        <v>50555.36836810971</v>
      </c>
      <c r="R4" s="75">
        <f>'IMT Reefer Container Data'!Q22</f>
        <v>54599.797837558493</v>
      </c>
      <c r="S4" s="75">
        <f>'IMT Reefer Container Data'!R22</f>
        <v>58967.781664563176</v>
      </c>
      <c r="T4" s="75">
        <f>'IMT Reefer Container Data'!S22</f>
        <v>63685.204197728235</v>
      </c>
      <c r="U4" s="75">
        <f>'IMT Reefer Container Data'!T22</f>
        <v>68780.0205335465</v>
      </c>
      <c r="V4" s="75">
        <f>'IMT Reefer Container Data'!U22</f>
        <v>74282.422176230219</v>
      </c>
      <c r="W4" s="75">
        <f>'IMT Reefer Container Data'!V22</f>
        <v>80225.015950328641</v>
      </c>
      <c r="X4" s="75">
        <f>'IMT Reefer Container Data'!W22</f>
        <v>86643.017226354932</v>
      </c>
      <c r="Y4" s="75">
        <f>'IMT Reefer Container Data'!X22</f>
        <v>93574.458604463332</v>
      </c>
      <c r="Z4" s="75">
        <f>'IMT Reefer Container Data'!Y22</f>
        <v>101060.4152928204</v>
      </c>
      <c r="AA4" s="75">
        <f>'IMT Reefer Container Data'!Z22</f>
        <v>109145.24851624604</v>
      </c>
      <c r="AB4" s="75">
        <f>'IMT Reefer Container Data'!AA22</f>
        <v>117876.86839754572</v>
      </c>
      <c r="AC4" s="75">
        <f>'IMT Reefer Container Data'!AB22</f>
        <v>127307.01786934939</v>
      </c>
      <c r="AD4" s="75">
        <f>'IMT Reefer Container Data'!AC22</f>
        <v>137491.57929889736</v>
      </c>
      <c r="AE4" s="75">
        <f>'IMT Reefer Container Data'!AD22</f>
        <v>148490.90564280914</v>
      </c>
      <c r="AF4" s="75">
        <f>'IMT Reefer Container Data'!AE22</f>
        <v>160370.17809423388</v>
      </c>
      <c r="AG4" s="75">
        <f>'IMT Reefer Container Data'!AF22</f>
        <v>173199.79234177261</v>
      </c>
      <c r="AH4" s="75">
        <f>'IMT Reefer Container Data'!AG22</f>
        <v>187055.77572911442</v>
      </c>
    </row>
    <row r="5" spans="2:34">
      <c r="B5" s="72"/>
      <c r="C5" s="76"/>
      <c r="D5" s="76"/>
      <c r="E5" s="76"/>
      <c r="F5" s="76"/>
      <c r="G5" s="76"/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2:34" ht="17.45" customHeight="1">
      <c r="B6" s="72" t="s">
        <v>787</v>
      </c>
      <c r="C6" s="78">
        <f>'IMT Reefer Container Data'!B24</f>
        <v>0.26688850036658962</v>
      </c>
      <c r="D6" s="78">
        <f>'IMT Reefer Container Data'!C24</f>
        <v>0.22285330347144458</v>
      </c>
      <c r="E6" s="78">
        <f>'IMT Reefer Container Data'!D24</f>
        <v>0.19695812008938227</v>
      </c>
      <c r="F6" s="78">
        <f>'IMT Reefer Container Data'!E24</f>
        <v>0.21316944076885577</v>
      </c>
      <c r="G6" s="78">
        <f>'IMT Reefer Container Data'!F24</f>
        <v>0.25221878765652017</v>
      </c>
      <c r="H6" s="78">
        <f>'IMT Reefer Container Data'!G24</f>
        <v>0.25391044088868425</v>
      </c>
      <c r="I6" s="79">
        <f>'IMT Reefer Container Data'!H24</f>
        <v>0.23433309887357945</v>
      </c>
      <c r="J6" s="79">
        <f>'IMT Reefer Container Data'!I24</f>
        <v>0.2343330988735795</v>
      </c>
      <c r="K6" s="79">
        <f>'IMT Reefer Container Data'!J24</f>
        <v>0.23433309887357948</v>
      </c>
      <c r="L6" s="79">
        <f>'IMT Reefer Container Data'!K24</f>
        <v>0.23433309887357948</v>
      </c>
      <c r="M6" s="79">
        <f>'IMT Reefer Container Data'!L24</f>
        <v>0.23433309887357945</v>
      </c>
      <c r="N6" s="79">
        <f>'IMT Reefer Container Data'!M24</f>
        <v>0.23433309887357948</v>
      </c>
      <c r="O6" s="79">
        <f>'IMT Reefer Container Data'!N24</f>
        <v>0.23433309887357948</v>
      </c>
      <c r="P6" s="79">
        <f>'IMT Reefer Container Data'!O24</f>
        <v>0.23433309887357948</v>
      </c>
      <c r="Q6" s="79">
        <f>'IMT Reefer Container Data'!P24</f>
        <v>0.23433309887357948</v>
      </c>
      <c r="R6" s="79">
        <f>'IMT Reefer Container Data'!Q24</f>
        <v>0.23433309887357948</v>
      </c>
      <c r="S6" s="79">
        <f>'IMT Reefer Container Data'!R24</f>
        <v>0.23433309887357948</v>
      </c>
      <c r="T6" s="79">
        <f>'IMT Reefer Container Data'!S24</f>
        <v>0.23433309887357948</v>
      </c>
      <c r="U6" s="79">
        <f>'IMT Reefer Container Data'!T24</f>
        <v>0.23433309887357948</v>
      </c>
      <c r="V6" s="79">
        <f>'IMT Reefer Container Data'!U24</f>
        <v>0.23433309887357945</v>
      </c>
      <c r="W6" s="79">
        <f>'IMT Reefer Container Data'!V24</f>
        <v>0.2343330988735795</v>
      </c>
      <c r="X6" s="79">
        <f>'IMT Reefer Container Data'!W24</f>
        <v>0.23433309887357948</v>
      </c>
      <c r="Y6" s="79">
        <f>'IMT Reefer Container Data'!X24</f>
        <v>0.2343330988735795</v>
      </c>
      <c r="Z6" s="79">
        <f>'IMT Reefer Container Data'!Y24</f>
        <v>0.23433309887357948</v>
      </c>
      <c r="AA6" s="79">
        <f>'IMT Reefer Container Data'!Z24</f>
        <v>0.23433309887357948</v>
      </c>
      <c r="AB6" s="79">
        <f>'IMT Reefer Container Data'!AA24</f>
        <v>0.23433309887357948</v>
      </c>
      <c r="AC6" s="79">
        <f>'IMT Reefer Container Data'!AB24</f>
        <v>0.23433309887357948</v>
      </c>
      <c r="AD6" s="79">
        <f>'IMT Reefer Container Data'!AC24</f>
        <v>0.23433309887357948</v>
      </c>
      <c r="AE6" s="79">
        <f>'IMT Reefer Container Data'!AD24</f>
        <v>0.23433309887357945</v>
      </c>
      <c r="AF6" s="79">
        <f>'IMT Reefer Container Data'!AE24</f>
        <v>0.23433309887357948</v>
      </c>
      <c r="AG6" s="79">
        <f>'IMT Reefer Container Data'!AF24</f>
        <v>0.23433309887357948</v>
      </c>
      <c r="AH6" s="79">
        <f>'IMT Reefer Container Data'!AG24</f>
        <v>0.23433309887357948</v>
      </c>
    </row>
    <row r="7" spans="2:34">
      <c r="B7" s="72"/>
      <c r="C7" s="76"/>
      <c r="D7" s="76"/>
      <c r="E7" s="76"/>
      <c r="F7" s="76"/>
      <c r="G7" s="76"/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</row>
    <row r="8" spans="2:34" ht="7.35" customHeight="1">
      <c r="B8" s="72"/>
      <c r="C8" s="76"/>
      <c r="D8" s="76"/>
      <c r="E8" s="76"/>
      <c r="F8" s="76"/>
      <c r="G8" s="76"/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</row>
    <row r="9" spans="2:34">
      <c r="B9" s="72" t="s">
        <v>201</v>
      </c>
      <c r="C9" s="80">
        <f>'IMT Reefer Container Data'!B27</f>
        <v>0.25446937999239255</v>
      </c>
      <c r="D9" s="80">
        <f>'IMT Reefer Container Data'!C27</f>
        <v>0.23082489146164978</v>
      </c>
      <c r="E9" s="80">
        <f>'IMT Reefer Container Data'!D27</f>
        <v>0.25032938076416339</v>
      </c>
      <c r="F9" s="80">
        <f>'IMT Reefer Container Data'!E27</f>
        <v>0.1693619523669509</v>
      </c>
      <c r="G9" s="80">
        <f>'IMT Reefer Container Data'!F27</f>
        <v>0.26341372219106374</v>
      </c>
      <c r="H9" s="80">
        <f>'IMT Reefer Container Data'!G27</f>
        <v>0.2722376366900604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</row>
    <row r="10" spans="2:34">
      <c r="B10" s="72" t="s">
        <v>202</v>
      </c>
      <c r="C10" s="80">
        <f>'IMT Reefer Container Data'!B28</f>
        <v>0.7455306200076075</v>
      </c>
      <c r="D10" s="80">
        <f>'IMT Reefer Container Data'!C28</f>
        <v>0.76917510853835025</v>
      </c>
      <c r="E10" s="80">
        <f>'IMT Reefer Container Data'!D28</f>
        <v>0.74967061923583667</v>
      </c>
      <c r="F10" s="80">
        <f>'IMT Reefer Container Data'!E28</f>
        <v>0.83063804763304905</v>
      </c>
      <c r="G10" s="80">
        <f>'IMT Reefer Container Data'!F28</f>
        <v>0.73658627780893626</v>
      </c>
      <c r="H10" s="80">
        <f>'IMT Reefer Container Data'!G28</f>
        <v>0.7277623633099396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</row>
    <row r="11" spans="2:34" ht="3.6" customHeight="1">
      <c r="B11" s="72"/>
      <c r="C11" s="80">
        <f>'IMT Reefer Container Data'!B29</f>
        <v>0</v>
      </c>
      <c r="D11" s="80">
        <f>'IMT Reefer Container Data'!C29</f>
        <v>0</v>
      </c>
      <c r="E11" s="80">
        <f>'IMT Reefer Container Data'!D29</f>
        <v>0</v>
      </c>
      <c r="F11" s="80">
        <f>'IMT Reefer Container Data'!E29</f>
        <v>0</v>
      </c>
      <c r="G11" s="80">
        <f>'IMT Reefer Container Data'!F29</f>
        <v>0</v>
      </c>
      <c r="H11" s="80">
        <f>'IMT Reefer Container Data'!G29</f>
        <v>0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2:34">
      <c r="B12" s="72" t="s">
        <v>788</v>
      </c>
      <c r="C12" s="73">
        <f>'IMT Reefer Container Data'!B30</f>
        <v>669</v>
      </c>
      <c r="D12" s="73">
        <f>'IMT Reefer Container Data'!C30</f>
        <v>638</v>
      </c>
      <c r="E12" s="73">
        <f>'IMT Reefer Container Data'!D30</f>
        <v>760</v>
      </c>
      <c r="F12" s="73">
        <f>'IMT Reefer Container Data'!E30</f>
        <v>576</v>
      </c>
      <c r="G12" s="73">
        <f>'IMT Reefer Container Data'!F30</f>
        <v>1409</v>
      </c>
      <c r="H12" s="73">
        <f>'IMT Reefer Container Data'!G30</f>
        <v>1668</v>
      </c>
      <c r="I12" s="81">
        <f>'IMT Reefer Container Data'!H30</f>
        <v>1536.1092797883898</v>
      </c>
      <c r="J12" s="81">
        <f>'IMT Reefer Container Data'!I30</f>
        <v>1658.9980221714613</v>
      </c>
      <c r="K12" s="81">
        <f>'IMT Reefer Container Data'!J30</f>
        <v>1791.7178639451781</v>
      </c>
      <c r="L12" s="81">
        <f>'IMT Reefer Container Data'!K30</f>
        <v>1935.0552930607926</v>
      </c>
      <c r="M12" s="81">
        <f>'IMT Reefer Container Data'!L30</f>
        <v>2089.8597165056563</v>
      </c>
      <c r="N12" s="81">
        <f>'IMT Reefer Container Data'!M30</f>
        <v>2257.0484938261093</v>
      </c>
      <c r="O12" s="81">
        <f>'IMT Reefer Container Data'!N30</f>
        <v>2437.6123733321979</v>
      </c>
      <c r="P12" s="81">
        <f>'IMT Reefer Container Data'!O30</f>
        <v>2632.6213631987739</v>
      </c>
      <c r="Q12" s="81">
        <f>'IMT Reefer Container Data'!P30</f>
        <v>2843.2310722546763</v>
      </c>
      <c r="R12" s="81">
        <f>'IMT Reefer Container Data'!Q30</f>
        <v>3070.6895580350506</v>
      </c>
      <c r="S12" s="81">
        <f>'IMT Reefer Container Data'!R30</f>
        <v>3316.3447226778549</v>
      </c>
      <c r="T12" s="81">
        <f>'IMT Reefer Container Data'!S30</f>
        <v>3581.6523004920837</v>
      </c>
      <c r="U12" s="81">
        <f>'IMT Reefer Container Data'!T30</f>
        <v>3868.1844845314508</v>
      </c>
      <c r="V12" s="81">
        <f>'IMT Reefer Container Data'!U30</f>
        <v>4177.6392432939665</v>
      </c>
      <c r="W12" s="81">
        <f>'IMT Reefer Container Data'!V30</f>
        <v>4511.850382757485</v>
      </c>
      <c r="X12" s="81">
        <f>'IMT Reefer Container Data'!W30</f>
        <v>4872.7984133780838</v>
      </c>
      <c r="Y12" s="81">
        <f>'IMT Reefer Container Data'!X30</f>
        <v>5262.6222864483307</v>
      </c>
      <c r="Z12" s="81">
        <f>'IMT Reefer Container Data'!Y30</f>
        <v>5683.6320693641965</v>
      </c>
      <c r="AA12" s="81">
        <f>'IMT Reefer Container Data'!Z30</f>
        <v>6138.322634913332</v>
      </c>
      <c r="AB12" s="81">
        <f>'IMT Reefer Container Data'!AA30</f>
        <v>6629.3884457063996</v>
      </c>
      <c r="AC12" s="81">
        <f>'IMT Reefer Container Data'!AB30</f>
        <v>7159.7395213629115</v>
      </c>
      <c r="AD12" s="81">
        <f>'IMT Reefer Container Data'!AC30</f>
        <v>7732.5186830719449</v>
      </c>
      <c r="AE12" s="81">
        <f>'IMT Reefer Container Data'!AD30</f>
        <v>8351.1201777177012</v>
      </c>
      <c r="AF12" s="81">
        <f>'IMT Reefer Container Data'!AE30</f>
        <v>9019.2097919351181</v>
      </c>
      <c r="AG12" s="81">
        <f>'IMT Reefer Container Data'!AF30</f>
        <v>9740.7465752899279</v>
      </c>
      <c r="AH12" s="81">
        <f>'IMT Reefer Container Data'!AG30</f>
        <v>10520.006301313122</v>
      </c>
    </row>
    <row r="13" spans="2:34">
      <c r="B13" s="72" t="s">
        <v>789</v>
      </c>
      <c r="C13" s="73">
        <f>'IMT Reefer Container Data'!B31</f>
        <v>1960</v>
      </c>
      <c r="D13" s="73">
        <f>'IMT Reefer Container Data'!C31</f>
        <v>2126</v>
      </c>
      <c r="E13" s="73">
        <f>'IMT Reefer Container Data'!D31</f>
        <v>2276</v>
      </c>
      <c r="F13" s="73">
        <f>'IMT Reefer Container Data'!E31</f>
        <v>2825</v>
      </c>
      <c r="G13" s="73">
        <f>'IMT Reefer Container Data'!F31</f>
        <v>3940</v>
      </c>
      <c r="H13" s="73">
        <f>'IMT Reefer Container Data'!G31</f>
        <v>4459</v>
      </c>
      <c r="I13" s="81">
        <f>'IMT Reefer Container Data'!H31</f>
        <v>4864.3460526632343</v>
      </c>
      <c r="J13" s="81">
        <f>'IMT Reefer Container Data'!I31</f>
        <v>5253.4937368762949</v>
      </c>
      <c r="K13" s="81">
        <f>'IMT Reefer Container Data'!J31</f>
        <v>5673.7732358263975</v>
      </c>
      <c r="L13" s="81">
        <f>'IMT Reefer Container Data'!K31</f>
        <v>6127.6750946925094</v>
      </c>
      <c r="M13" s="81">
        <f>'IMT Reefer Container Data'!L31</f>
        <v>6617.8891022679109</v>
      </c>
      <c r="N13" s="81">
        <f>'IMT Reefer Container Data'!M31</f>
        <v>7147.3202304493461</v>
      </c>
      <c r="O13" s="81">
        <f>'IMT Reefer Container Data'!N31</f>
        <v>7719.1058488852941</v>
      </c>
      <c r="P13" s="81">
        <f>'IMT Reefer Container Data'!O31</f>
        <v>8336.6343167961186</v>
      </c>
      <c r="Q13" s="81">
        <f>'IMT Reefer Container Data'!P31</f>
        <v>9003.565062139809</v>
      </c>
      <c r="R13" s="81">
        <f>'IMT Reefer Container Data'!Q31</f>
        <v>9723.8502671109945</v>
      </c>
      <c r="S13" s="81">
        <f>'IMT Reefer Container Data'!R31</f>
        <v>10501.758288479874</v>
      </c>
      <c r="T13" s="81">
        <f>'IMT Reefer Container Data'!S31</f>
        <v>11341.898951558265</v>
      </c>
      <c r="U13" s="81">
        <f>'IMT Reefer Container Data'!T31</f>
        <v>12249.250867682927</v>
      </c>
      <c r="V13" s="81">
        <f>'IMT Reefer Container Data'!U31</f>
        <v>13229.190937097561</v>
      </c>
      <c r="W13" s="81">
        <f>'IMT Reefer Container Data'!V31</f>
        <v>14287.52621206537</v>
      </c>
      <c r="X13" s="81">
        <f>'IMT Reefer Container Data'!W31</f>
        <v>15430.528309030598</v>
      </c>
      <c r="Y13" s="81">
        <f>'IMT Reefer Container Data'!X31</f>
        <v>16664.970573753046</v>
      </c>
      <c r="Z13" s="81">
        <f>'IMT Reefer Container Data'!Y31</f>
        <v>17998.168219653289</v>
      </c>
      <c r="AA13" s="81">
        <f>'IMT Reefer Container Data'!Z31</f>
        <v>19438.021677225552</v>
      </c>
      <c r="AB13" s="81">
        <f>'IMT Reefer Container Data'!AA31</f>
        <v>20993.0634114036</v>
      </c>
      <c r="AC13" s="81">
        <f>'IMT Reefer Container Data'!AB31</f>
        <v>22672.508484315887</v>
      </c>
      <c r="AD13" s="81">
        <f>'IMT Reefer Container Data'!AC31</f>
        <v>24486.30916306116</v>
      </c>
      <c r="AE13" s="81">
        <f>'IMT Reefer Container Data'!AD31</f>
        <v>26445.213896106052</v>
      </c>
      <c r="AF13" s="81">
        <f>'IMT Reefer Container Data'!AE31</f>
        <v>28560.831007794539</v>
      </c>
      <c r="AG13" s="81">
        <f>'IMT Reefer Container Data'!AF31</f>
        <v>30845.697488418107</v>
      </c>
      <c r="AH13" s="81">
        <f>'IMT Reefer Container Data'!AG31</f>
        <v>33313.353287491555</v>
      </c>
    </row>
    <row r="15" spans="2:34" ht="15" thickBot="1"/>
    <row r="16" spans="2:34">
      <c r="B16" s="370" t="s">
        <v>790</v>
      </c>
      <c r="C16" s="371"/>
      <c r="F16" s="83">
        <f>'IMT Reefer Container Data'!B33</f>
        <v>0.08</v>
      </c>
      <c r="G16" s="72" t="s">
        <v>791</v>
      </c>
      <c r="H16"/>
    </row>
    <row r="17" spans="1:34">
      <c r="B17" s="372" t="s">
        <v>792</v>
      </c>
      <c r="C17" s="373"/>
      <c r="F17" s="83">
        <f>'IMT Reefer Container Data'!B35</f>
        <v>0.23433309887357948</v>
      </c>
      <c r="G17" s="72" t="s">
        <v>793</v>
      </c>
      <c r="H17"/>
    </row>
    <row r="18" spans="1:34">
      <c r="B18" s="16" t="s">
        <v>202</v>
      </c>
      <c r="C18" s="16" t="s">
        <v>794</v>
      </c>
      <c r="D18">
        <v>8.33</v>
      </c>
      <c r="F18" s="83">
        <f>'IMT Reefer Container Data'!B37</f>
        <v>0.24</v>
      </c>
      <c r="G18" s="72" t="s">
        <v>795</v>
      </c>
      <c r="H18"/>
    </row>
    <row r="19" spans="1:34">
      <c r="B19" s="16" t="s">
        <v>201</v>
      </c>
      <c r="C19" s="16" t="s">
        <v>796</v>
      </c>
      <c r="D19">
        <v>6.02</v>
      </c>
      <c r="F19" s="83">
        <f>'IMT Reefer Container Data'!B38</f>
        <v>0.76</v>
      </c>
      <c r="G19" s="72" t="s">
        <v>797</v>
      </c>
      <c r="H19"/>
    </row>
    <row r="22" spans="1:34">
      <c r="B22" t="s">
        <v>798</v>
      </c>
      <c r="C22" s="84">
        <v>2</v>
      </c>
    </row>
    <row r="23" spans="1:34">
      <c r="B23" t="s">
        <v>201</v>
      </c>
      <c r="C23" s="85">
        <f>C12*$C$22</f>
        <v>1338</v>
      </c>
      <c r="D23" s="85">
        <f t="shared" ref="D23:AH24" si="0">D12*$C$22</f>
        <v>1276</v>
      </c>
      <c r="E23" s="85">
        <f t="shared" si="0"/>
        <v>1520</v>
      </c>
      <c r="F23" s="85">
        <f t="shared" si="0"/>
        <v>1152</v>
      </c>
      <c r="G23" s="85">
        <f t="shared" si="0"/>
        <v>2818</v>
      </c>
      <c r="H23" s="86">
        <f t="shared" si="0"/>
        <v>3336</v>
      </c>
      <c r="I23" s="85">
        <f t="shared" si="0"/>
        <v>3072.2185595767796</v>
      </c>
      <c r="J23" s="85">
        <f t="shared" si="0"/>
        <v>3317.9960443429227</v>
      </c>
      <c r="K23" s="85">
        <f t="shared" si="0"/>
        <v>3583.4357278903562</v>
      </c>
      <c r="L23" s="85">
        <f t="shared" si="0"/>
        <v>3870.1105861215851</v>
      </c>
      <c r="M23" s="87">
        <f t="shared" si="0"/>
        <v>4179.7194330113125</v>
      </c>
      <c r="N23" s="87">
        <f t="shared" si="0"/>
        <v>4514.0969876522186</v>
      </c>
      <c r="O23" s="87">
        <f t="shared" si="0"/>
        <v>4875.2247466643958</v>
      </c>
      <c r="P23" s="87">
        <f t="shared" si="0"/>
        <v>5265.2427263975478</v>
      </c>
      <c r="Q23" s="87">
        <f t="shared" si="0"/>
        <v>5686.4621445093526</v>
      </c>
      <c r="R23" s="87">
        <f t="shared" si="0"/>
        <v>6141.3791160701012</v>
      </c>
      <c r="S23" s="87">
        <f t="shared" si="0"/>
        <v>6632.6894453557097</v>
      </c>
      <c r="T23" s="87">
        <f t="shared" si="0"/>
        <v>7163.3046009841673</v>
      </c>
      <c r="U23" s="87">
        <f t="shared" si="0"/>
        <v>7736.3689690629017</v>
      </c>
      <c r="V23" s="87">
        <f t="shared" si="0"/>
        <v>8355.278486587933</v>
      </c>
      <c r="W23" s="87">
        <f t="shared" si="0"/>
        <v>9023.70076551497</v>
      </c>
      <c r="X23" s="87">
        <f t="shared" si="0"/>
        <v>9745.5968267561675</v>
      </c>
      <c r="Y23" s="87">
        <f t="shared" si="0"/>
        <v>10525.244572896661</v>
      </c>
      <c r="Z23" s="87">
        <f t="shared" si="0"/>
        <v>11367.264138728393</v>
      </c>
      <c r="AA23" s="87">
        <f t="shared" si="0"/>
        <v>12276.645269826664</v>
      </c>
      <c r="AB23" s="87">
        <f t="shared" si="0"/>
        <v>13258.776891412799</v>
      </c>
      <c r="AC23" s="87">
        <f t="shared" si="0"/>
        <v>14319.479042725823</v>
      </c>
      <c r="AD23" s="87">
        <f t="shared" si="0"/>
        <v>15465.03736614389</v>
      </c>
      <c r="AE23" s="87">
        <f t="shared" si="0"/>
        <v>16702.240355435402</v>
      </c>
      <c r="AF23" s="87">
        <f t="shared" si="0"/>
        <v>18038.419583870236</v>
      </c>
      <c r="AG23" s="87">
        <f t="shared" si="0"/>
        <v>19481.493150579856</v>
      </c>
      <c r="AH23" s="87">
        <f t="shared" si="0"/>
        <v>21040.012602626244</v>
      </c>
    </row>
    <row r="24" spans="1:34">
      <c r="B24" t="s">
        <v>789</v>
      </c>
      <c r="C24" s="85">
        <f>C13*$C$22</f>
        <v>3920</v>
      </c>
      <c r="D24" s="85">
        <f t="shared" si="0"/>
        <v>4252</v>
      </c>
      <c r="E24" s="85">
        <f t="shared" si="0"/>
        <v>4552</v>
      </c>
      <c r="F24" s="85">
        <f t="shared" si="0"/>
        <v>5650</v>
      </c>
      <c r="G24" s="85">
        <f t="shared" si="0"/>
        <v>7880</v>
      </c>
      <c r="H24" s="86">
        <f t="shared" si="0"/>
        <v>8918</v>
      </c>
      <c r="I24" s="85">
        <f t="shared" si="0"/>
        <v>9728.6921053264687</v>
      </c>
      <c r="J24" s="85">
        <f t="shared" si="0"/>
        <v>10506.98747375259</v>
      </c>
      <c r="K24" s="85">
        <f t="shared" si="0"/>
        <v>11347.546471652795</v>
      </c>
      <c r="L24" s="85">
        <f t="shared" si="0"/>
        <v>12255.350189385019</v>
      </c>
      <c r="M24" s="87">
        <f t="shared" si="0"/>
        <v>13235.778204535822</v>
      </c>
      <c r="N24" s="87">
        <f t="shared" si="0"/>
        <v>14294.640460898692</v>
      </c>
      <c r="O24" s="87">
        <f t="shared" si="0"/>
        <v>15438.211697770588</v>
      </c>
      <c r="P24" s="87">
        <f t="shared" si="0"/>
        <v>16673.268633592237</v>
      </c>
      <c r="Q24" s="87">
        <f t="shared" si="0"/>
        <v>18007.130124279618</v>
      </c>
      <c r="R24" s="87">
        <f t="shared" si="0"/>
        <v>19447.700534221989</v>
      </c>
      <c r="S24" s="87">
        <f t="shared" si="0"/>
        <v>21003.516576959748</v>
      </c>
      <c r="T24" s="87">
        <f t="shared" si="0"/>
        <v>22683.797903116531</v>
      </c>
      <c r="U24" s="87">
        <f t="shared" si="0"/>
        <v>24498.501735365855</v>
      </c>
      <c r="V24" s="87">
        <f t="shared" si="0"/>
        <v>26458.381874195122</v>
      </c>
      <c r="W24" s="87">
        <f t="shared" si="0"/>
        <v>28575.052424130739</v>
      </c>
      <c r="X24" s="87">
        <f t="shared" si="0"/>
        <v>30861.056618061197</v>
      </c>
      <c r="Y24" s="87">
        <f t="shared" si="0"/>
        <v>33329.941147506092</v>
      </c>
      <c r="Z24" s="87">
        <f t="shared" si="0"/>
        <v>35996.336439306579</v>
      </c>
      <c r="AA24" s="87">
        <f t="shared" si="0"/>
        <v>38876.043354451103</v>
      </c>
      <c r="AB24" s="87">
        <f t="shared" si="0"/>
        <v>41986.1268228072</v>
      </c>
      <c r="AC24" s="87">
        <f t="shared" si="0"/>
        <v>45345.016968631775</v>
      </c>
      <c r="AD24" s="87">
        <f t="shared" si="0"/>
        <v>48972.61832612232</v>
      </c>
      <c r="AE24" s="87">
        <f t="shared" si="0"/>
        <v>52890.427792212104</v>
      </c>
      <c r="AF24" s="87">
        <f t="shared" si="0"/>
        <v>57121.662015589078</v>
      </c>
      <c r="AG24" s="87">
        <f t="shared" si="0"/>
        <v>61691.394976836214</v>
      </c>
      <c r="AH24" s="87">
        <f t="shared" si="0"/>
        <v>66626.706574983109</v>
      </c>
    </row>
    <row r="25" spans="1:34">
      <c r="C25" s="88">
        <f>SUM(C23:C24)</f>
        <v>5258</v>
      </c>
      <c r="D25" s="88">
        <f t="shared" ref="D25:AH25" si="1">SUM(D23:D24)</f>
        <v>5528</v>
      </c>
      <c r="E25" s="88">
        <f t="shared" si="1"/>
        <v>6072</v>
      </c>
      <c r="F25" s="88">
        <f t="shared" si="1"/>
        <v>6802</v>
      </c>
      <c r="G25" s="88">
        <f t="shared" si="1"/>
        <v>10698</v>
      </c>
      <c r="H25" s="89">
        <f t="shared" si="1"/>
        <v>12254</v>
      </c>
      <c r="I25" s="88">
        <f t="shared" si="1"/>
        <v>12800.910664903247</v>
      </c>
      <c r="J25" s="88">
        <f t="shared" si="1"/>
        <v>13824.983518095512</v>
      </c>
      <c r="K25" s="88">
        <f t="shared" si="1"/>
        <v>14930.982199543152</v>
      </c>
      <c r="L25" s="88">
        <f t="shared" si="1"/>
        <v>16125.460775506604</v>
      </c>
      <c r="M25" s="90">
        <f t="shared" si="1"/>
        <v>17415.497637547134</v>
      </c>
      <c r="N25" s="90">
        <f t="shared" si="1"/>
        <v>18808.73744855091</v>
      </c>
      <c r="O25" s="90">
        <f t="shared" si="1"/>
        <v>20313.436444434985</v>
      </c>
      <c r="P25" s="90">
        <f t="shared" si="1"/>
        <v>21938.511359989785</v>
      </c>
      <c r="Q25" s="90">
        <f t="shared" si="1"/>
        <v>23693.592268788969</v>
      </c>
      <c r="R25" s="90">
        <f t="shared" si="1"/>
        <v>25589.079650292089</v>
      </c>
      <c r="S25" s="90">
        <f t="shared" si="1"/>
        <v>27636.206022315459</v>
      </c>
      <c r="T25" s="90">
        <f t="shared" si="1"/>
        <v>29847.102504100698</v>
      </c>
      <c r="U25" s="90">
        <f t="shared" si="1"/>
        <v>32234.870704428758</v>
      </c>
      <c r="V25" s="90">
        <f t="shared" si="1"/>
        <v>34813.660360783055</v>
      </c>
      <c r="W25" s="90">
        <f t="shared" si="1"/>
        <v>37598.753189645708</v>
      </c>
      <c r="X25" s="90">
        <f t="shared" si="1"/>
        <v>40606.653444817362</v>
      </c>
      <c r="Y25" s="90">
        <f t="shared" si="1"/>
        <v>43855.185720402755</v>
      </c>
      <c r="Z25" s="90">
        <f t="shared" si="1"/>
        <v>47363.600578034973</v>
      </c>
      <c r="AA25" s="90">
        <f t="shared" si="1"/>
        <v>51152.688624277769</v>
      </c>
      <c r="AB25" s="90">
        <f t="shared" si="1"/>
        <v>55244.903714219996</v>
      </c>
      <c r="AC25" s="90">
        <f t="shared" si="1"/>
        <v>59664.496011357594</v>
      </c>
      <c r="AD25" s="90">
        <f t="shared" si="1"/>
        <v>64437.655692266213</v>
      </c>
      <c r="AE25" s="90">
        <f t="shared" si="1"/>
        <v>69592.668147647506</v>
      </c>
      <c r="AF25" s="90">
        <f t="shared" si="1"/>
        <v>75160.081599459314</v>
      </c>
      <c r="AG25" s="90">
        <f t="shared" si="1"/>
        <v>81172.888127416067</v>
      </c>
      <c r="AH25" s="90">
        <f t="shared" si="1"/>
        <v>87666.719177609353</v>
      </c>
    </row>
    <row r="26" spans="1:34"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</row>
    <row r="27" spans="1:34"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</row>
    <row r="28" spans="1:34">
      <c r="B28" s="45" t="s">
        <v>799</v>
      </c>
      <c r="C28" s="29">
        <f>C23*$D$19</f>
        <v>8054.7599999999993</v>
      </c>
      <c r="D28" s="29">
        <f t="shared" ref="D28:AH28" si="2">D23*$D$19</f>
        <v>7681.5199999999995</v>
      </c>
      <c r="E28" s="29">
        <f t="shared" si="2"/>
        <v>9150.4</v>
      </c>
      <c r="F28" s="29">
        <f t="shared" si="2"/>
        <v>6935.0399999999991</v>
      </c>
      <c r="G28" s="29">
        <f t="shared" si="2"/>
        <v>16964.36</v>
      </c>
      <c r="H28" s="92">
        <f t="shared" si="2"/>
        <v>20082.719999999998</v>
      </c>
      <c r="I28" s="29">
        <f t="shared" si="2"/>
        <v>18494.755728652213</v>
      </c>
      <c r="J28" s="29">
        <f t="shared" si="2"/>
        <v>19974.336186944394</v>
      </c>
      <c r="K28" s="29">
        <f t="shared" si="2"/>
        <v>21572.283081899943</v>
      </c>
      <c r="L28" s="29">
        <f t="shared" si="2"/>
        <v>23298.06572845194</v>
      </c>
      <c r="M28" s="93">
        <f t="shared" si="2"/>
        <v>25161.9109867281</v>
      </c>
      <c r="N28" s="93">
        <f t="shared" si="2"/>
        <v>27174.863865666353</v>
      </c>
      <c r="O28" s="93">
        <f t="shared" si="2"/>
        <v>29348.85297491966</v>
      </c>
      <c r="P28" s="93">
        <f t="shared" si="2"/>
        <v>31696.761212913236</v>
      </c>
      <c r="Q28" s="93">
        <f t="shared" si="2"/>
        <v>34232.502109946297</v>
      </c>
      <c r="R28" s="93">
        <f t="shared" si="2"/>
        <v>36971.102278742008</v>
      </c>
      <c r="S28" s="93">
        <f t="shared" si="2"/>
        <v>39928.790461041368</v>
      </c>
      <c r="T28" s="93">
        <f t="shared" si="2"/>
        <v>43123.093697924684</v>
      </c>
      <c r="U28" s="93">
        <f t="shared" si="2"/>
        <v>46572.941193758663</v>
      </c>
      <c r="V28" s="93">
        <f t="shared" si="2"/>
        <v>50298.776489259355</v>
      </c>
      <c r="W28" s="93">
        <f t="shared" si="2"/>
        <v>54322.678608400114</v>
      </c>
      <c r="X28" s="93">
        <f t="shared" si="2"/>
        <v>58668.492897072123</v>
      </c>
      <c r="Y28" s="93">
        <f t="shared" si="2"/>
        <v>63361.972328837895</v>
      </c>
      <c r="Z28" s="93">
        <f t="shared" si="2"/>
        <v>68430.930115144918</v>
      </c>
      <c r="AA28" s="93">
        <f t="shared" si="2"/>
        <v>73905.404524356505</v>
      </c>
      <c r="AB28" s="93">
        <f t="shared" si="2"/>
        <v>79817.836886305042</v>
      </c>
      <c r="AC28" s="93">
        <f t="shared" si="2"/>
        <v>86203.263837209452</v>
      </c>
      <c r="AD28" s="93">
        <f t="shared" si="2"/>
        <v>93099.524944186211</v>
      </c>
      <c r="AE28" s="93">
        <f t="shared" si="2"/>
        <v>100547.48693972112</v>
      </c>
      <c r="AF28" s="93">
        <f t="shared" si="2"/>
        <v>108591.28589489881</v>
      </c>
      <c r="AG28" s="93">
        <f t="shared" si="2"/>
        <v>117278.58876649072</v>
      </c>
      <c r="AH28" s="93">
        <f t="shared" si="2"/>
        <v>126660.87586780998</v>
      </c>
    </row>
    <row r="29" spans="1:34">
      <c r="B29" s="45" t="s">
        <v>800</v>
      </c>
      <c r="C29" s="29">
        <f>C24*$D$18</f>
        <v>32653.599999999999</v>
      </c>
      <c r="D29" s="29">
        <f t="shared" ref="D29:AH29" si="3">D24*$D$18</f>
        <v>35419.160000000003</v>
      </c>
      <c r="E29" s="29">
        <f t="shared" si="3"/>
        <v>37918.160000000003</v>
      </c>
      <c r="F29" s="29">
        <f t="shared" si="3"/>
        <v>47064.5</v>
      </c>
      <c r="G29" s="29">
        <f t="shared" si="3"/>
        <v>65640.399999999994</v>
      </c>
      <c r="H29" s="92">
        <f t="shared" si="3"/>
        <v>74286.94</v>
      </c>
      <c r="I29" s="29">
        <f t="shared" si="3"/>
        <v>81040.005237369478</v>
      </c>
      <c r="J29" s="29">
        <f t="shared" si="3"/>
        <v>87523.205656359074</v>
      </c>
      <c r="K29" s="29">
        <f t="shared" si="3"/>
        <v>94525.062108867787</v>
      </c>
      <c r="L29" s="29">
        <f t="shared" si="3"/>
        <v>102087.0670775772</v>
      </c>
      <c r="M29" s="93">
        <f t="shared" si="3"/>
        <v>110254.03244378339</v>
      </c>
      <c r="N29" s="93">
        <f t="shared" si="3"/>
        <v>119074.35503928611</v>
      </c>
      <c r="O29" s="93">
        <f t="shared" si="3"/>
        <v>128600.30344242899</v>
      </c>
      <c r="P29" s="93">
        <f t="shared" si="3"/>
        <v>138888.32771782333</v>
      </c>
      <c r="Q29" s="93">
        <f t="shared" si="3"/>
        <v>149999.39393524922</v>
      </c>
      <c r="R29" s="93">
        <f t="shared" si="3"/>
        <v>161999.34545006917</v>
      </c>
      <c r="S29" s="93">
        <f t="shared" si="3"/>
        <v>174959.2930860747</v>
      </c>
      <c r="T29" s="93">
        <f t="shared" si="3"/>
        <v>188956.03653296069</v>
      </c>
      <c r="U29" s="93">
        <f t="shared" si="3"/>
        <v>204072.51945559756</v>
      </c>
      <c r="V29" s="93">
        <f t="shared" si="3"/>
        <v>220398.32101204537</v>
      </c>
      <c r="W29" s="93">
        <f t="shared" si="3"/>
        <v>238030.18669300905</v>
      </c>
      <c r="X29" s="93">
        <f t="shared" si="3"/>
        <v>257072.60162844977</v>
      </c>
      <c r="Y29" s="93">
        <f t="shared" si="3"/>
        <v>277638.40975872573</v>
      </c>
      <c r="Z29" s="93">
        <f t="shared" si="3"/>
        <v>299849.4825394238</v>
      </c>
      <c r="AA29" s="93">
        <f t="shared" si="3"/>
        <v>323837.44114257768</v>
      </c>
      <c r="AB29" s="93">
        <f t="shared" si="3"/>
        <v>349744.43643398397</v>
      </c>
      <c r="AC29" s="93">
        <f t="shared" si="3"/>
        <v>377723.99134870269</v>
      </c>
      <c r="AD29" s="93">
        <f t="shared" si="3"/>
        <v>407941.91065659892</v>
      </c>
      <c r="AE29" s="93">
        <f t="shared" si="3"/>
        <v>440577.26350912685</v>
      </c>
      <c r="AF29" s="93">
        <f t="shared" si="3"/>
        <v>475823.44458985701</v>
      </c>
      <c r="AG29" s="93">
        <f t="shared" si="3"/>
        <v>513889.32015704567</v>
      </c>
      <c r="AH29" s="93">
        <f t="shared" si="3"/>
        <v>555000.46576960932</v>
      </c>
    </row>
    <row r="30" spans="1:34">
      <c r="B30" s="45" t="s">
        <v>801</v>
      </c>
      <c r="C30" s="29">
        <f>SUM(C28:C29)</f>
        <v>40708.36</v>
      </c>
      <c r="D30" s="29">
        <f t="shared" ref="D30:AH30" si="4">SUM(D28:D29)</f>
        <v>43100.68</v>
      </c>
      <c r="E30" s="29">
        <f t="shared" si="4"/>
        <v>47068.560000000005</v>
      </c>
      <c r="F30" s="29">
        <f t="shared" si="4"/>
        <v>53999.54</v>
      </c>
      <c r="G30" s="29">
        <f t="shared" si="4"/>
        <v>82604.759999999995</v>
      </c>
      <c r="H30" s="92">
        <f t="shared" si="4"/>
        <v>94369.66</v>
      </c>
      <c r="I30" s="29">
        <f t="shared" si="4"/>
        <v>99534.760966021684</v>
      </c>
      <c r="J30" s="29">
        <f t="shared" si="4"/>
        <v>107497.54184330346</v>
      </c>
      <c r="K30" s="29">
        <f t="shared" si="4"/>
        <v>116097.34519076772</v>
      </c>
      <c r="L30" s="29">
        <f t="shared" si="4"/>
        <v>125385.13280602914</v>
      </c>
      <c r="M30" s="93">
        <f t="shared" si="4"/>
        <v>135415.94343051148</v>
      </c>
      <c r="N30" s="93">
        <f t="shared" si="4"/>
        <v>146249.21890495246</v>
      </c>
      <c r="O30" s="93">
        <f t="shared" si="4"/>
        <v>157949.15641734865</v>
      </c>
      <c r="P30" s="93">
        <f t="shared" si="4"/>
        <v>170585.08893073656</v>
      </c>
      <c r="Q30" s="93">
        <f t="shared" si="4"/>
        <v>184231.89604519552</v>
      </c>
      <c r="R30" s="93">
        <f t="shared" si="4"/>
        <v>198970.44772881118</v>
      </c>
      <c r="S30" s="93">
        <f t="shared" si="4"/>
        <v>214888.08354711608</v>
      </c>
      <c r="T30" s="93">
        <f t="shared" si="4"/>
        <v>232079.13023088538</v>
      </c>
      <c r="U30" s="93">
        <f t="shared" si="4"/>
        <v>250645.46064935622</v>
      </c>
      <c r="V30" s="93">
        <f t="shared" si="4"/>
        <v>270697.0975013047</v>
      </c>
      <c r="W30" s="93">
        <f t="shared" si="4"/>
        <v>292352.86530140915</v>
      </c>
      <c r="X30" s="93">
        <f t="shared" si="4"/>
        <v>315741.09452552191</v>
      </c>
      <c r="Y30" s="93">
        <f t="shared" si="4"/>
        <v>341000.38208756363</v>
      </c>
      <c r="Z30" s="93">
        <f t="shared" si="4"/>
        <v>368280.41265456873</v>
      </c>
      <c r="AA30" s="93">
        <f t="shared" si="4"/>
        <v>397742.84566693415</v>
      </c>
      <c r="AB30" s="93">
        <f t="shared" si="4"/>
        <v>429562.27332028898</v>
      </c>
      <c r="AC30" s="93">
        <f t="shared" si="4"/>
        <v>463927.25518591213</v>
      </c>
      <c r="AD30" s="93">
        <f t="shared" si="4"/>
        <v>501041.43560078513</v>
      </c>
      <c r="AE30" s="93">
        <f t="shared" si="4"/>
        <v>541124.750448848</v>
      </c>
      <c r="AF30" s="93">
        <f t="shared" si="4"/>
        <v>584414.73048475583</v>
      </c>
      <c r="AG30" s="93">
        <f t="shared" si="4"/>
        <v>631167.90892353642</v>
      </c>
      <c r="AH30" s="93">
        <f t="shared" si="4"/>
        <v>681661.3416374193</v>
      </c>
    </row>
    <row r="32" spans="1:34">
      <c r="A32" t="s">
        <v>802</v>
      </c>
      <c r="B32">
        <v>150</v>
      </c>
    </row>
    <row r="33" spans="2:13">
      <c r="B33">
        <v>2</v>
      </c>
      <c r="C33">
        <f>$B$32*$B$33*365</f>
        <v>109500</v>
      </c>
      <c r="D33">
        <f t="shared" ref="D33:M33" si="5">$B$32*$B$33*365</f>
        <v>109500</v>
      </c>
      <c r="E33">
        <f t="shared" si="5"/>
        <v>109500</v>
      </c>
      <c r="F33">
        <f t="shared" si="5"/>
        <v>109500</v>
      </c>
      <c r="G33">
        <f t="shared" si="5"/>
        <v>109500</v>
      </c>
      <c r="H33" s="82">
        <f t="shared" si="5"/>
        <v>109500</v>
      </c>
      <c r="I33">
        <f t="shared" si="5"/>
        <v>109500</v>
      </c>
      <c r="J33">
        <f t="shared" si="5"/>
        <v>109500</v>
      </c>
      <c r="K33">
        <f t="shared" si="5"/>
        <v>109500</v>
      </c>
      <c r="L33">
        <f t="shared" si="5"/>
        <v>109500</v>
      </c>
      <c r="M33">
        <f t="shared" si="5"/>
        <v>109500</v>
      </c>
    </row>
    <row r="36" spans="2:13">
      <c r="B36" t="s">
        <v>803</v>
      </c>
      <c r="C36" s="94">
        <f>C30/C33</f>
        <v>0.37176584474885843</v>
      </c>
      <c r="D36" s="94">
        <f t="shared" ref="D36:M36" si="6">D30/D33</f>
        <v>0.39361351598173516</v>
      </c>
      <c r="E36" s="94">
        <f t="shared" si="6"/>
        <v>0.42984986301369865</v>
      </c>
      <c r="F36" s="94">
        <f t="shared" si="6"/>
        <v>0.49314648401826483</v>
      </c>
      <c r="G36" s="94">
        <f t="shared" si="6"/>
        <v>0.75438136986301363</v>
      </c>
      <c r="H36" s="95">
        <f t="shared" si="6"/>
        <v>0.86182337899543382</v>
      </c>
      <c r="I36" s="94">
        <f t="shared" si="6"/>
        <v>0.90899325083124827</v>
      </c>
      <c r="J36" s="94">
        <f t="shared" si="6"/>
        <v>0.98171271089774859</v>
      </c>
      <c r="K36" s="94">
        <f t="shared" si="6"/>
        <v>1.0602497277695682</v>
      </c>
      <c r="L36" s="94">
        <f t="shared" si="6"/>
        <v>1.1450697059911337</v>
      </c>
      <c r="M36" s="94">
        <f t="shared" si="6"/>
        <v>1.2366752824704246</v>
      </c>
    </row>
  </sheetData>
  <mergeCells count="2">
    <mergeCell ref="B16:C16"/>
    <mergeCell ref="B17:C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671E-F9CA-47E8-B0D3-D2E904274F1F}">
  <dimension ref="A1:AB93"/>
  <sheetViews>
    <sheetView showGridLines="0" topLeftCell="A37" zoomScaleNormal="100" zoomScaleSheetLayoutView="100" workbookViewId="0">
      <selection activeCell="E78" sqref="E78"/>
    </sheetView>
  </sheetViews>
  <sheetFormatPr defaultRowHeight="12.95"/>
  <cols>
    <col min="1" max="1" width="19.5703125" style="100" customWidth="1"/>
    <col min="2" max="2" width="8.5703125" style="100" customWidth="1"/>
    <col min="3" max="3" width="9.42578125" style="100" customWidth="1"/>
    <col min="4" max="5" width="8.5703125" style="100" customWidth="1"/>
    <col min="6" max="6" width="9.5703125" style="169" customWidth="1"/>
    <col min="7" max="9" width="8.85546875" style="169" customWidth="1"/>
    <col min="10" max="10" width="8.85546875" style="100" hidden="1" customWidth="1"/>
    <col min="11" max="11" width="8.85546875" style="100" customWidth="1"/>
    <col min="12" max="12" width="8.85546875" style="169" customWidth="1"/>
    <col min="13" max="13" width="8.85546875" style="169"/>
    <col min="14" max="15" width="8.85546875" style="169" customWidth="1"/>
    <col min="16" max="16" width="9.5703125" style="169" customWidth="1"/>
    <col min="17" max="18" width="8.85546875" style="169" customWidth="1"/>
    <col min="19" max="25" width="10.140625" style="169" customWidth="1"/>
    <col min="26" max="27" width="10" style="169" customWidth="1"/>
    <col min="28" max="28" width="8.85546875" style="169"/>
    <col min="29" max="232" width="8.85546875" style="100"/>
    <col min="233" max="233" width="19.5703125" style="100" customWidth="1"/>
    <col min="234" max="237" width="8.5703125" style="100" customWidth="1"/>
    <col min="238" max="238" width="1.140625" style="100" customWidth="1"/>
    <col min="239" max="239" width="6.140625" style="100" customWidth="1"/>
    <col min="240" max="240" width="1" style="100" customWidth="1"/>
    <col min="241" max="244" width="8.85546875" style="100"/>
    <col min="245" max="245" width="0" style="100" hidden="1" customWidth="1"/>
    <col min="246" max="246" width="1.140625" style="100" customWidth="1"/>
    <col min="247" max="247" width="0" style="100" hidden="1" customWidth="1"/>
    <col min="248" max="248" width="8.85546875" style="100"/>
    <col min="249" max="249" width="19.5703125" style="100" customWidth="1"/>
    <col min="250" max="253" width="8.5703125" style="100" customWidth="1"/>
    <col min="254" max="488" width="8.85546875" style="100"/>
    <col min="489" max="489" width="19.5703125" style="100" customWidth="1"/>
    <col min="490" max="493" width="8.5703125" style="100" customWidth="1"/>
    <col min="494" max="494" width="1.140625" style="100" customWidth="1"/>
    <col min="495" max="495" width="6.140625" style="100" customWidth="1"/>
    <col min="496" max="496" width="1" style="100" customWidth="1"/>
    <col min="497" max="500" width="8.85546875" style="100"/>
    <col min="501" max="501" width="0" style="100" hidden="1" customWidth="1"/>
    <col min="502" max="502" width="1.140625" style="100" customWidth="1"/>
    <col min="503" max="503" width="0" style="100" hidden="1" customWidth="1"/>
    <col min="504" max="504" width="8.85546875" style="100"/>
    <col min="505" max="505" width="19.5703125" style="100" customWidth="1"/>
    <col min="506" max="509" width="8.5703125" style="100" customWidth="1"/>
    <col min="510" max="744" width="8.85546875" style="100"/>
    <col min="745" max="745" width="19.5703125" style="100" customWidth="1"/>
    <col min="746" max="749" width="8.5703125" style="100" customWidth="1"/>
    <col min="750" max="750" width="1.140625" style="100" customWidth="1"/>
    <col min="751" max="751" width="6.140625" style="100" customWidth="1"/>
    <col min="752" max="752" width="1" style="100" customWidth="1"/>
    <col min="753" max="756" width="8.85546875" style="100"/>
    <col min="757" max="757" width="0" style="100" hidden="1" customWidth="1"/>
    <col min="758" max="758" width="1.140625" style="100" customWidth="1"/>
    <col min="759" max="759" width="0" style="100" hidden="1" customWidth="1"/>
    <col min="760" max="760" width="8.85546875" style="100"/>
    <col min="761" max="761" width="19.5703125" style="100" customWidth="1"/>
    <col min="762" max="765" width="8.5703125" style="100" customWidth="1"/>
    <col min="766" max="1000" width="8.85546875" style="100"/>
    <col min="1001" max="1001" width="19.5703125" style="100" customWidth="1"/>
    <col min="1002" max="1005" width="8.5703125" style="100" customWidth="1"/>
    <col min="1006" max="1006" width="1.140625" style="100" customWidth="1"/>
    <col min="1007" max="1007" width="6.140625" style="100" customWidth="1"/>
    <col min="1008" max="1008" width="1" style="100" customWidth="1"/>
    <col min="1009" max="1012" width="8.85546875" style="100"/>
    <col min="1013" max="1013" width="0" style="100" hidden="1" customWidth="1"/>
    <col min="1014" max="1014" width="1.140625" style="100" customWidth="1"/>
    <col min="1015" max="1015" width="0" style="100" hidden="1" customWidth="1"/>
    <col min="1016" max="1016" width="8.85546875" style="100"/>
    <col min="1017" max="1017" width="19.5703125" style="100" customWidth="1"/>
    <col min="1018" max="1021" width="8.5703125" style="100" customWidth="1"/>
    <col min="1022" max="1256" width="8.85546875" style="100"/>
    <col min="1257" max="1257" width="19.5703125" style="100" customWidth="1"/>
    <col min="1258" max="1261" width="8.5703125" style="100" customWidth="1"/>
    <col min="1262" max="1262" width="1.140625" style="100" customWidth="1"/>
    <col min="1263" max="1263" width="6.140625" style="100" customWidth="1"/>
    <col min="1264" max="1264" width="1" style="100" customWidth="1"/>
    <col min="1265" max="1268" width="8.85546875" style="100"/>
    <col min="1269" max="1269" width="0" style="100" hidden="1" customWidth="1"/>
    <col min="1270" max="1270" width="1.140625" style="100" customWidth="1"/>
    <col min="1271" max="1271" width="0" style="100" hidden="1" customWidth="1"/>
    <col min="1272" max="1272" width="8.85546875" style="100"/>
    <col min="1273" max="1273" width="19.5703125" style="100" customWidth="1"/>
    <col min="1274" max="1277" width="8.5703125" style="100" customWidth="1"/>
    <col min="1278" max="1512" width="8.85546875" style="100"/>
    <col min="1513" max="1513" width="19.5703125" style="100" customWidth="1"/>
    <col min="1514" max="1517" width="8.5703125" style="100" customWidth="1"/>
    <col min="1518" max="1518" width="1.140625" style="100" customWidth="1"/>
    <col min="1519" max="1519" width="6.140625" style="100" customWidth="1"/>
    <col min="1520" max="1520" width="1" style="100" customWidth="1"/>
    <col min="1521" max="1524" width="8.85546875" style="100"/>
    <col min="1525" max="1525" width="0" style="100" hidden="1" customWidth="1"/>
    <col min="1526" max="1526" width="1.140625" style="100" customWidth="1"/>
    <col min="1527" max="1527" width="0" style="100" hidden="1" customWidth="1"/>
    <col min="1528" max="1528" width="8.85546875" style="100"/>
    <col min="1529" max="1529" width="19.5703125" style="100" customWidth="1"/>
    <col min="1530" max="1533" width="8.5703125" style="100" customWidth="1"/>
    <col min="1534" max="1768" width="8.85546875" style="100"/>
    <col min="1769" max="1769" width="19.5703125" style="100" customWidth="1"/>
    <col min="1770" max="1773" width="8.5703125" style="100" customWidth="1"/>
    <col min="1774" max="1774" width="1.140625" style="100" customWidth="1"/>
    <col min="1775" max="1775" width="6.140625" style="100" customWidth="1"/>
    <col min="1776" max="1776" width="1" style="100" customWidth="1"/>
    <col min="1777" max="1780" width="8.85546875" style="100"/>
    <col min="1781" max="1781" width="0" style="100" hidden="1" customWidth="1"/>
    <col min="1782" max="1782" width="1.140625" style="100" customWidth="1"/>
    <col min="1783" max="1783" width="0" style="100" hidden="1" customWidth="1"/>
    <col min="1784" max="1784" width="8.85546875" style="100"/>
    <col min="1785" max="1785" width="19.5703125" style="100" customWidth="1"/>
    <col min="1786" max="1789" width="8.5703125" style="100" customWidth="1"/>
    <col min="1790" max="2024" width="8.85546875" style="100"/>
    <col min="2025" max="2025" width="19.5703125" style="100" customWidth="1"/>
    <col min="2026" max="2029" width="8.5703125" style="100" customWidth="1"/>
    <col min="2030" max="2030" width="1.140625" style="100" customWidth="1"/>
    <col min="2031" max="2031" width="6.140625" style="100" customWidth="1"/>
    <col min="2032" max="2032" width="1" style="100" customWidth="1"/>
    <col min="2033" max="2036" width="8.85546875" style="100"/>
    <col min="2037" max="2037" width="0" style="100" hidden="1" customWidth="1"/>
    <col min="2038" max="2038" width="1.140625" style="100" customWidth="1"/>
    <col min="2039" max="2039" width="0" style="100" hidden="1" customWidth="1"/>
    <col min="2040" max="2040" width="8.85546875" style="100"/>
    <col min="2041" max="2041" width="19.5703125" style="100" customWidth="1"/>
    <col min="2042" max="2045" width="8.5703125" style="100" customWidth="1"/>
    <col min="2046" max="2280" width="8.85546875" style="100"/>
    <col min="2281" max="2281" width="19.5703125" style="100" customWidth="1"/>
    <col min="2282" max="2285" width="8.5703125" style="100" customWidth="1"/>
    <col min="2286" max="2286" width="1.140625" style="100" customWidth="1"/>
    <col min="2287" max="2287" width="6.140625" style="100" customWidth="1"/>
    <col min="2288" max="2288" width="1" style="100" customWidth="1"/>
    <col min="2289" max="2292" width="8.85546875" style="100"/>
    <col min="2293" max="2293" width="0" style="100" hidden="1" customWidth="1"/>
    <col min="2294" max="2294" width="1.140625" style="100" customWidth="1"/>
    <col min="2295" max="2295" width="0" style="100" hidden="1" customWidth="1"/>
    <col min="2296" max="2296" width="8.85546875" style="100"/>
    <col min="2297" max="2297" width="19.5703125" style="100" customWidth="1"/>
    <col min="2298" max="2301" width="8.5703125" style="100" customWidth="1"/>
    <col min="2302" max="2536" width="8.85546875" style="100"/>
    <col min="2537" max="2537" width="19.5703125" style="100" customWidth="1"/>
    <col min="2538" max="2541" width="8.5703125" style="100" customWidth="1"/>
    <col min="2542" max="2542" width="1.140625" style="100" customWidth="1"/>
    <col min="2543" max="2543" width="6.140625" style="100" customWidth="1"/>
    <col min="2544" max="2544" width="1" style="100" customWidth="1"/>
    <col min="2545" max="2548" width="8.85546875" style="100"/>
    <col min="2549" max="2549" width="0" style="100" hidden="1" customWidth="1"/>
    <col min="2550" max="2550" width="1.140625" style="100" customWidth="1"/>
    <col min="2551" max="2551" width="0" style="100" hidden="1" customWidth="1"/>
    <col min="2552" max="2552" width="8.85546875" style="100"/>
    <col min="2553" max="2553" width="19.5703125" style="100" customWidth="1"/>
    <col min="2554" max="2557" width="8.5703125" style="100" customWidth="1"/>
    <col min="2558" max="2792" width="8.85546875" style="100"/>
    <col min="2793" max="2793" width="19.5703125" style="100" customWidth="1"/>
    <col min="2794" max="2797" width="8.5703125" style="100" customWidth="1"/>
    <col min="2798" max="2798" width="1.140625" style="100" customWidth="1"/>
    <col min="2799" max="2799" width="6.140625" style="100" customWidth="1"/>
    <col min="2800" max="2800" width="1" style="100" customWidth="1"/>
    <col min="2801" max="2804" width="8.85546875" style="100"/>
    <col min="2805" max="2805" width="0" style="100" hidden="1" customWidth="1"/>
    <col min="2806" max="2806" width="1.140625" style="100" customWidth="1"/>
    <col min="2807" max="2807" width="0" style="100" hidden="1" customWidth="1"/>
    <col min="2808" max="2808" width="8.85546875" style="100"/>
    <col min="2809" max="2809" width="19.5703125" style="100" customWidth="1"/>
    <col min="2810" max="2813" width="8.5703125" style="100" customWidth="1"/>
    <col min="2814" max="3048" width="8.85546875" style="100"/>
    <col min="3049" max="3049" width="19.5703125" style="100" customWidth="1"/>
    <col min="3050" max="3053" width="8.5703125" style="100" customWidth="1"/>
    <col min="3054" max="3054" width="1.140625" style="100" customWidth="1"/>
    <col min="3055" max="3055" width="6.140625" style="100" customWidth="1"/>
    <col min="3056" max="3056" width="1" style="100" customWidth="1"/>
    <col min="3057" max="3060" width="8.85546875" style="100"/>
    <col min="3061" max="3061" width="0" style="100" hidden="1" customWidth="1"/>
    <col min="3062" max="3062" width="1.140625" style="100" customWidth="1"/>
    <col min="3063" max="3063" width="0" style="100" hidden="1" customWidth="1"/>
    <col min="3064" max="3064" width="8.85546875" style="100"/>
    <col min="3065" max="3065" width="19.5703125" style="100" customWidth="1"/>
    <col min="3066" max="3069" width="8.5703125" style="100" customWidth="1"/>
    <col min="3070" max="3304" width="8.85546875" style="100"/>
    <col min="3305" max="3305" width="19.5703125" style="100" customWidth="1"/>
    <col min="3306" max="3309" width="8.5703125" style="100" customWidth="1"/>
    <col min="3310" max="3310" width="1.140625" style="100" customWidth="1"/>
    <col min="3311" max="3311" width="6.140625" style="100" customWidth="1"/>
    <col min="3312" max="3312" width="1" style="100" customWidth="1"/>
    <col min="3313" max="3316" width="8.85546875" style="100"/>
    <col min="3317" max="3317" width="0" style="100" hidden="1" customWidth="1"/>
    <col min="3318" max="3318" width="1.140625" style="100" customWidth="1"/>
    <col min="3319" max="3319" width="0" style="100" hidden="1" customWidth="1"/>
    <col min="3320" max="3320" width="8.85546875" style="100"/>
    <col min="3321" max="3321" width="19.5703125" style="100" customWidth="1"/>
    <col min="3322" max="3325" width="8.5703125" style="100" customWidth="1"/>
    <col min="3326" max="3560" width="8.85546875" style="100"/>
    <col min="3561" max="3561" width="19.5703125" style="100" customWidth="1"/>
    <col min="3562" max="3565" width="8.5703125" style="100" customWidth="1"/>
    <col min="3566" max="3566" width="1.140625" style="100" customWidth="1"/>
    <col min="3567" max="3567" width="6.140625" style="100" customWidth="1"/>
    <col min="3568" max="3568" width="1" style="100" customWidth="1"/>
    <col min="3569" max="3572" width="8.85546875" style="100"/>
    <col min="3573" max="3573" width="0" style="100" hidden="1" customWidth="1"/>
    <col min="3574" max="3574" width="1.140625" style="100" customWidth="1"/>
    <col min="3575" max="3575" width="0" style="100" hidden="1" customWidth="1"/>
    <col min="3576" max="3576" width="8.85546875" style="100"/>
    <col min="3577" max="3577" width="19.5703125" style="100" customWidth="1"/>
    <col min="3578" max="3581" width="8.5703125" style="100" customWidth="1"/>
    <col min="3582" max="3816" width="8.85546875" style="100"/>
    <col min="3817" max="3817" width="19.5703125" style="100" customWidth="1"/>
    <col min="3818" max="3821" width="8.5703125" style="100" customWidth="1"/>
    <col min="3822" max="3822" width="1.140625" style="100" customWidth="1"/>
    <col min="3823" max="3823" width="6.140625" style="100" customWidth="1"/>
    <col min="3824" max="3824" width="1" style="100" customWidth="1"/>
    <col min="3825" max="3828" width="8.85546875" style="100"/>
    <col min="3829" max="3829" width="0" style="100" hidden="1" customWidth="1"/>
    <col min="3830" max="3830" width="1.140625" style="100" customWidth="1"/>
    <col min="3831" max="3831" width="0" style="100" hidden="1" customWidth="1"/>
    <col min="3832" max="3832" width="8.85546875" style="100"/>
    <col min="3833" max="3833" width="19.5703125" style="100" customWidth="1"/>
    <col min="3834" max="3837" width="8.5703125" style="100" customWidth="1"/>
    <col min="3838" max="4072" width="8.85546875" style="100"/>
    <col min="4073" max="4073" width="19.5703125" style="100" customWidth="1"/>
    <col min="4074" max="4077" width="8.5703125" style="100" customWidth="1"/>
    <col min="4078" max="4078" width="1.140625" style="100" customWidth="1"/>
    <col min="4079" max="4079" width="6.140625" style="100" customWidth="1"/>
    <col min="4080" max="4080" width="1" style="100" customWidth="1"/>
    <col min="4081" max="4084" width="8.85546875" style="100"/>
    <col min="4085" max="4085" width="0" style="100" hidden="1" customWidth="1"/>
    <col min="4086" max="4086" width="1.140625" style="100" customWidth="1"/>
    <col min="4087" max="4087" width="0" style="100" hidden="1" customWidth="1"/>
    <col min="4088" max="4088" width="8.85546875" style="100"/>
    <col min="4089" max="4089" width="19.5703125" style="100" customWidth="1"/>
    <col min="4090" max="4093" width="8.5703125" style="100" customWidth="1"/>
    <col min="4094" max="4328" width="8.85546875" style="100"/>
    <col min="4329" max="4329" width="19.5703125" style="100" customWidth="1"/>
    <col min="4330" max="4333" width="8.5703125" style="100" customWidth="1"/>
    <col min="4334" max="4334" width="1.140625" style="100" customWidth="1"/>
    <col min="4335" max="4335" width="6.140625" style="100" customWidth="1"/>
    <col min="4336" max="4336" width="1" style="100" customWidth="1"/>
    <col min="4337" max="4340" width="8.85546875" style="100"/>
    <col min="4341" max="4341" width="0" style="100" hidden="1" customWidth="1"/>
    <col min="4342" max="4342" width="1.140625" style="100" customWidth="1"/>
    <col min="4343" max="4343" width="0" style="100" hidden="1" customWidth="1"/>
    <col min="4344" max="4344" width="8.85546875" style="100"/>
    <col min="4345" max="4345" width="19.5703125" style="100" customWidth="1"/>
    <col min="4346" max="4349" width="8.5703125" style="100" customWidth="1"/>
    <col min="4350" max="4584" width="8.85546875" style="100"/>
    <col min="4585" max="4585" width="19.5703125" style="100" customWidth="1"/>
    <col min="4586" max="4589" width="8.5703125" style="100" customWidth="1"/>
    <col min="4590" max="4590" width="1.140625" style="100" customWidth="1"/>
    <col min="4591" max="4591" width="6.140625" style="100" customWidth="1"/>
    <col min="4592" max="4592" width="1" style="100" customWidth="1"/>
    <col min="4593" max="4596" width="8.85546875" style="100"/>
    <col min="4597" max="4597" width="0" style="100" hidden="1" customWidth="1"/>
    <col min="4598" max="4598" width="1.140625" style="100" customWidth="1"/>
    <col min="4599" max="4599" width="0" style="100" hidden="1" customWidth="1"/>
    <col min="4600" max="4600" width="8.85546875" style="100"/>
    <col min="4601" max="4601" width="19.5703125" style="100" customWidth="1"/>
    <col min="4602" max="4605" width="8.5703125" style="100" customWidth="1"/>
    <col min="4606" max="4840" width="8.85546875" style="100"/>
    <col min="4841" max="4841" width="19.5703125" style="100" customWidth="1"/>
    <col min="4842" max="4845" width="8.5703125" style="100" customWidth="1"/>
    <col min="4846" max="4846" width="1.140625" style="100" customWidth="1"/>
    <col min="4847" max="4847" width="6.140625" style="100" customWidth="1"/>
    <col min="4848" max="4848" width="1" style="100" customWidth="1"/>
    <col min="4849" max="4852" width="8.85546875" style="100"/>
    <col min="4853" max="4853" width="0" style="100" hidden="1" customWidth="1"/>
    <col min="4854" max="4854" width="1.140625" style="100" customWidth="1"/>
    <col min="4855" max="4855" width="0" style="100" hidden="1" customWidth="1"/>
    <col min="4856" max="4856" width="8.85546875" style="100"/>
    <col min="4857" max="4857" width="19.5703125" style="100" customWidth="1"/>
    <col min="4858" max="4861" width="8.5703125" style="100" customWidth="1"/>
    <col min="4862" max="5096" width="8.85546875" style="100"/>
    <col min="5097" max="5097" width="19.5703125" style="100" customWidth="1"/>
    <col min="5098" max="5101" width="8.5703125" style="100" customWidth="1"/>
    <col min="5102" max="5102" width="1.140625" style="100" customWidth="1"/>
    <col min="5103" max="5103" width="6.140625" style="100" customWidth="1"/>
    <col min="5104" max="5104" width="1" style="100" customWidth="1"/>
    <col min="5105" max="5108" width="8.85546875" style="100"/>
    <col min="5109" max="5109" width="0" style="100" hidden="1" customWidth="1"/>
    <col min="5110" max="5110" width="1.140625" style="100" customWidth="1"/>
    <col min="5111" max="5111" width="0" style="100" hidden="1" customWidth="1"/>
    <col min="5112" max="5112" width="8.85546875" style="100"/>
    <col min="5113" max="5113" width="19.5703125" style="100" customWidth="1"/>
    <col min="5114" max="5117" width="8.5703125" style="100" customWidth="1"/>
    <col min="5118" max="5352" width="8.85546875" style="100"/>
    <col min="5353" max="5353" width="19.5703125" style="100" customWidth="1"/>
    <col min="5354" max="5357" width="8.5703125" style="100" customWidth="1"/>
    <col min="5358" max="5358" width="1.140625" style="100" customWidth="1"/>
    <col min="5359" max="5359" width="6.140625" style="100" customWidth="1"/>
    <col min="5360" max="5360" width="1" style="100" customWidth="1"/>
    <col min="5361" max="5364" width="8.85546875" style="100"/>
    <col min="5365" max="5365" width="0" style="100" hidden="1" customWidth="1"/>
    <col min="5366" max="5366" width="1.140625" style="100" customWidth="1"/>
    <col min="5367" max="5367" width="0" style="100" hidden="1" customWidth="1"/>
    <col min="5368" max="5368" width="8.85546875" style="100"/>
    <col min="5369" max="5369" width="19.5703125" style="100" customWidth="1"/>
    <col min="5370" max="5373" width="8.5703125" style="100" customWidth="1"/>
    <col min="5374" max="5608" width="8.85546875" style="100"/>
    <col min="5609" max="5609" width="19.5703125" style="100" customWidth="1"/>
    <col min="5610" max="5613" width="8.5703125" style="100" customWidth="1"/>
    <col min="5614" max="5614" width="1.140625" style="100" customWidth="1"/>
    <col min="5615" max="5615" width="6.140625" style="100" customWidth="1"/>
    <col min="5616" max="5616" width="1" style="100" customWidth="1"/>
    <col min="5617" max="5620" width="8.85546875" style="100"/>
    <col min="5621" max="5621" width="0" style="100" hidden="1" customWidth="1"/>
    <col min="5622" max="5622" width="1.140625" style="100" customWidth="1"/>
    <col min="5623" max="5623" width="0" style="100" hidden="1" customWidth="1"/>
    <col min="5624" max="5624" width="8.85546875" style="100"/>
    <col min="5625" max="5625" width="19.5703125" style="100" customWidth="1"/>
    <col min="5626" max="5629" width="8.5703125" style="100" customWidth="1"/>
    <col min="5630" max="5864" width="8.85546875" style="100"/>
    <col min="5865" max="5865" width="19.5703125" style="100" customWidth="1"/>
    <col min="5866" max="5869" width="8.5703125" style="100" customWidth="1"/>
    <col min="5870" max="5870" width="1.140625" style="100" customWidth="1"/>
    <col min="5871" max="5871" width="6.140625" style="100" customWidth="1"/>
    <col min="5872" max="5872" width="1" style="100" customWidth="1"/>
    <col min="5873" max="5876" width="8.85546875" style="100"/>
    <col min="5877" max="5877" width="0" style="100" hidden="1" customWidth="1"/>
    <col min="5878" max="5878" width="1.140625" style="100" customWidth="1"/>
    <col min="5879" max="5879" width="0" style="100" hidden="1" customWidth="1"/>
    <col min="5880" max="5880" width="8.85546875" style="100"/>
    <col min="5881" max="5881" width="19.5703125" style="100" customWidth="1"/>
    <col min="5882" max="5885" width="8.5703125" style="100" customWidth="1"/>
    <col min="5886" max="6120" width="8.85546875" style="100"/>
    <col min="6121" max="6121" width="19.5703125" style="100" customWidth="1"/>
    <col min="6122" max="6125" width="8.5703125" style="100" customWidth="1"/>
    <col min="6126" max="6126" width="1.140625" style="100" customWidth="1"/>
    <col min="6127" max="6127" width="6.140625" style="100" customWidth="1"/>
    <col min="6128" max="6128" width="1" style="100" customWidth="1"/>
    <col min="6129" max="6132" width="8.85546875" style="100"/>
    <col min="6133" max="6133" width="0" style="100" hidden="1" customWidth="1"/>
    <col min="6134" max="6134" width="1.140625" style="100" customWidth="1"/>
    <col min="6135" max="6135" width="0" style="100" hidden="1" customWidth="1"/>
    <col min="6136" max="6136" width="8.85546875" style="100"/>
    <col min="6137" max="6137" width="19.5703125" style="100" customWidth="1"/>
    <col min="6138" max="6141" width="8.5703125" style="100" customWidth="1"/>
    <col min="6142" max="6376" width="8.85546875" style="100"/>
    <col min="6377" max="6377" width="19.5703125" style="100" customWidth="1"/>
    <col min="6378" max="6381" width="8.5703125" style="100" customWidth="1"/>
    <col min="6382" max="6382" width="1.140625" style="100" customWidth="1"/>
    <col min="6383" max="6383" width="6.140625" style="100" customWidth="1"/>
    <col min="6384" max="6384" width="1" style="100" customWidth="1"/>
    <col min="6385" max="6388" width="8.85546875" style="100"/>
    <col min="6389" max="6389" width="0" style="100" hidden="1" customWidth="1"/>
    <col min="6390" max="6390" width="1.140625" style="100" customWidth="1"/>
    <col min="6391" max="6391" width="0" style="100" hidden="1" customWidth="1"/>
    <col min="6392" max="6392" width="8.85546875" style="100"/>
    <col min="6393" max="6393" width="19.5703125" style="100" customWidth="1"/>
    <col min="6394" max="6397" width="8.5703125" style="100" customWidth="1"/>
    <col min="6398" max="6632" width="8.85546875" style="100"/>
    <col min="6633" max="6633" width="19.5703125" style="100" customWidth="1"/>
    <col min="6634" max="6637" width="8.5703125" style="100" customWidth="1"/>
    <col min="6638" max="6638" width="1.140625" style="100" customWidth="1"/>
    <col min="6639" max="6639" width="6.140625" style="100" customWidth="1"/>
    <col min="6640" max="6640" width="1" style="100" customWidth="1"/>
    <col min="6641" max="6644" width="8.85546875" style="100"/>
    <col min="6645" max="6645" width="0" style="100" hidden="1" customWidth="1"/>
    <col min="6646" max="6646" width="1.140625" style="100" customWidth="1"/>
    <col min="6647" max="6647" width="0" style="100" hidden="1" customWidth="1"/>
    <col min="6648" max="6648" width="8.85546875" style="100"/>
    <col min="6649" max="6649" width="19.5703125" style="100" customWidth="1"/>
    <col min="6650" max="6653" width="8.5703125" style="100" customWidth="1"/>
    <col min="6654" max="6888" width="8.85546875" style="100"/>
    <col min="6889" max="6889" width="19.5703125" style="100" customWidth="1"/>
    <col min="6890" max="6893" width="8.5703125" style="100" customWidth="1"/>
    <col min="6894" max="6894" width="1.140625" style="100" customWidth="1"/>
    <col min="6895" max="6895" width="6.140625" style="100" customWidth="1"/>
    <col min="6896" max="6896" width="1" style="100" customWidth="1"/>
    <col min="6897" max="6900" width="8.85546875" style="100"/>
    <col min="6901" max="6901" width="0" style="100" hidden="1" customWidth="1"/>
    <col min="6902" max="6902" width="1.140625" style="100" customWidth="1"/>
    <col min="6903" max="6903" width="0" style="100" hidden="1" customWidth="1"/>
    <col min="6904" max="6904" width="8.85546875" style="100"/>
    <col min="6905" max="6905" width="19.5703125" style="100" customWidth="1"/>
    <col min="6906" max="6909" width="8.5703125" style="100" customWidth="1"/>
    <col min="6910" max="7144" width="8.85546875" style="100"/>
    <col min="7145" max="7145" width="19.5703125" style="100" customWidth="1"/>
    <col min="7146" max="7149" width="8.5703125" style="100" customWidth="1"/>
    <col min="7150" max="7150" width="1.140625" style="100" customWidth="1"/>
    <col min="7151" max="7151" width="6.140625" style="100" customWidth="1"/>
    <col min="7152" max="7152" width="1" style="100" customWidth="1"/>
    <col min="7153" max="7156" width="8.85546875" style="100"/>
    <col min="7157" max="7157" width="0" style="100" hidden="1" customWidth="1"/>
    <col min="7158" max="7158" width="1.140625" style="100" customWidth="1"/>
    <col min="7159" max="7159" width="0" style="100" hidden="1" customWidth="1"/>
    <col min="7160" max="7160" width="8.85546875" style="100"/>
    <col min="7161" max="7161" width="19.5703125" style="100" customWidth="1"/>
    <col min="7162" max="7165" width="8.5703125" style="100" customWidth="1"/>
    <col min="7166" max="7400" width="8.85546875" style="100"/>
    <col min="7401" max="7401" width="19.5703125" style="100" customWidth="1"/>
    <col min="7402" max="7405" width="8.5703125" style="100" customWidth="1"/>
    <col min="7406" max="7406" width="1.140625" style="100" customWidth="1"/>
    <col min="7407" max="7407" width="6.140625" style="100" customWidth="1"/>
    <col min="7408" max="7408" width="1" style="100" customWidth="1"/>
    <col min="7409" max="7412" width="8.85546875" style="100"/>
    <col min="7413" max="7413" width="0" style="100" hidden="1" customWidth="1"/>
    <col min="7414" max="7414" width="1.140625" style="100" customWidth="1"/>
    <col min="7415" max="7415" width="0" style="100" hidden="1" customWidth="1"/>
    <col min="7416" max="7416" width="8.85546875" style="100"/>
    <col min="7417" max="7417" width="19.5703125" style="100" customWidth="1"/>
    <col min="7418" max="7421" width="8.5703125" style="100" customWidth="1"/>
    <col min="7422" max="7656" width="8.85546875" style="100"/>
    <col min="7657" max="7657" width="19.5703125" style="100" customWidth="1"/>
    <col min="7658" max="7661" width="8.5703125" style="100" customWidth="1"/>
    <col min="7662" max="7662" width="1.140625" style="100" customWidth="1"/>
    <col min="7663" max="7663" width="6.140625" style="100" customWidth="1"/>
    <col min="7664" max="7664" width="1" style="100" customWidth="1"/>
    <col min="7665" max="7668" width="8.85546875" style="100"/>
    <col min="7669" max="7669" width="0" style="100" hidden="1" customWidth="1"/>
    <col min="7670" max="7670" width="1.140625" style="100" customWidth="1"/>
    <col min="7671" max="7671" width="0" style="100" hidden="1" customWidth="1"/>
    <col min="7672" max="7672" width="8.85546875" style="100"/>
    <col min="7673" max="7673" width="19.5703125" style="100" customWidth="1"/>
    <col min="7674" max="7677" width="8.5703125" style="100" customWidth="1"/>
    <col min="7678" max="7912" width="8.85546875" style="100"/>
    <col min="7913" max="7913" width="19.5703125" style="100" customWidth="1"/>
    <col min="7914" max="7917" width="8.5703125" style="100" customWidth="1"/>
    <col min="7918" max="7918" width="1.140625" style="100" customWidth="1"/>
    <col min="7919" max="7919" width="6.140625" style="100" customWidth="1"/>
    <col min="7920" max="7920" width="1" style="100" customWidth="1"/>
    <col min="7921" max="7924" width="8.85546875" style="100"/>
    <col min="7925" max="7925" width="0" style="100" hidden="1" customWidth="1"/>
    <col min="7926" max="7926" width="1.140625" style="100" customWidth="1"/>
    <col min="7927" max="7927" width="0" style="100" hidden="1" customWidth="1"/>
    <col min="7928" max="7928" width="8.85546875" style="100"/>
    <col min="7929" max="7929" width="19.5703125" style="100" customWidth="1"/>
    <col min="7930" max="7933" width="8.5703125" style="100" customWidth="1"/>
    <col min="7934" max="8168" width="8.85546875" style="100"/>
    <col min="8169" max="8169" width="19.5703125" style="100" customWidth="1"/>
    <col min="8170" max="8173" width="8.5703125" style="100" customWidth="1"/>
    <col min="8174" max="8174" width="1.140625" style="100" customWidth="1"/>
    <col min="8175" max="8175" width="6.140625" style="100" customWidth="1"/>
    <col min="8176" max="8176" width="1" style="100" customWidth="1"/>
    <col min="8177" max="8180" width="8.85546875" style="100"/>
    <col min="8181" max="8181" width="0" style="100" hidden="1" customWidth="1"/>
    <col min="8182" max="8182" width="1.140625" style="100" customWidth="1"/>
    <col min="8183" max="8183" width="0" style="100" hidden="1" customWidth="1"/>
    <col min="8184" max="8184" width="8.85546875" style="100"/>
    <col min="8185" max="8185" width="19.5703125" style="100" customWidth="1"/>
    <col min="8186" max="8189" width="8.5703125" style="100" customWidth="1"/>
    <col min="8190" max="8424" width="8.85546875" style="100"/>
    <col min="8425" max="8425" width="19.5703125" style="100" customWidth="1"/>
    <col min="8426" max="8429" width="8.5703125" style="100" customWidth="1"/>
    <col min="8430" max="8430" width="1.140625" style="100" customWidth="1"/>
    <col min="8431" max="8431" width="6.140625" style="100" customWidth="1"/>
    <col min="8432" max="8432" width="1" style="100" customWidth="1"/>
    <col min="8433" max="8436" width="8.85546875" style="100"/>
    <col min="8437" max="8437" width="0" style="100" hidden="1" customWidth="1"/>
    <col min="8438" max="8438" width="1.140625" style="100" customWidth="1"/>
    <col min="8439" max="8439" width="0" style="100" hidden="1" customWidth="1"/>
    <col min="8440" max="8440" width="8.85546875" style="100"/>
    <col min="8441" max="8441" width="19.5703125" style="100" customWidth="1"/>
    <col min="8442" max="8445" width="8.5703125" style="100" customWidth="1"/>
    <col min="8446" max="8680" width="8.85546875" style="100"/>
    <col min="8681" max="8681" width="19.5703125" style="100" customWidth="1"/>
    <col min="8682" max="8685" width="8.5703125" style="100" customWidth="1"/>
    <col min="8686" max="8686" width="1.140625" style="100" customWidth="1"/>
    <col min="8687" max="8687" width="6.140625" style="100" customWidth="1"/>
    <col min="8688" max="8688" width="1" style="100" customWidth="1"/>
    <col min="8689" max="8692" width="8.85546875" style="100"/>
    <col min="8693" max="8693" width="0" style="100" hidden="1" customWidth="1"/>
    <col min="8694" max="8694" width="1.140625" style="100" customWidth="1"/>
    <col min="8695" max="8695" width="0" style="100" hidden="1" customWidth="1"/>
    <col min="8696" max="8696" width="8.85546875" style="100"/>
    <col min="8697" max="8697" width="19.5703125" style="100" customWidth="1"/>
    <col min="8698" max="8701" width="8.5703125" style="100" customWidth="1"/>
    <col min="8702" max="8936" width="8.85546875" style="100"/>
    <col min="8937" max="8937" width="19.5703125" style="100" customWidth="1"/>
    <col min="8938" max="8941" width="8.5703125" style="100" customWidth="1"/>
    <col min="8942" max="8942" width="1.140625" style="100" customWidth="1"/>
    <col min="8943" max="8943" width="6.140625" style="100" customWidth="1"/>
    <col min="8944" max="8944" width="1" style="100" customWidth="1"/>
    <col min="8945" max="8948" width="8.85546875" style="100"/>
    <col min="8949" max="8949" width="0" style="100" hidden="1" customWidth="1"/>
    <col min="8950" max="8950" width="1.140625" style="100" customWidth="1"/>
    <col min="8951" max="8951" width="0" style="100" hidden="1" customWidth="1"/>
    <col min="8952" max="8952" width="8.85546875" style="100"/>
    <col min="8953" max="8953" width="19.5703125" style="100" customWidth="1"/>
    <col min="8954" max="8957" width="8.5703125" style="100" customWidth="1"/>
    <col min="8958" max="9192" width="8.85546875" style="100"/>
    <col min="9193" max="9193" width="19.5703125" style="100" customWidth="1"/>
    <col min="9194" max="9197" width="8.5703125" style="100" customWidth="1"/>
    <col min="9198" max="9198" width="1.140625" style="100" customWidth="1"/>
    <col min="9199" max="9199" width="6.140625" style="100" customWidth="1"/>
    <col min="9200" max="9200" width="1" style="100" customWidth="1"/>
    <col min="9201" max="9204" width="8.85546875" style="100"/>
    <col min="9205" max="9205" width="0" style="100" hidden="1" customWidth="1"/>
    <col min="9206" max="9206" width="1.140625" style="100" customWidth="1"/>
    <col min="9207" max="9207" width="0" style="100" hidden="1" customWidth="1"/>
    <col min="9208" max="9208" width="8.85546875" style="100"/>
    <col min="9209" max="9209" width="19.5703125" style="100" customWidth="1"/>
    <col min="9210" max="9213" width="8.5703125" style="100" customWidth="1"/>
    <col min="9214" max="9448" width="8.85546875" style="100"/>
    <col min="9449" max="9449" width="19.5703125" style="100" customWidth="1"/>
    <col min="9450" max="9453" width="8.5703125" style="100" customWidth="1"/>
    <col min="9454" max="9454" width="1.140625" style="100" customWidth="1"/>
    <col min="9455" max="9455" width="6.140625" style="100" customWidth="1"/>
    <col min="9456" max="9456" width="1" style="100" customWidth="1"/>
    <col min="9457" max="9460" width="8.85546875" style="100"/>
    <col min="9461" max="9461" width="0" style="100" hidden="1" customWidth="1"/>
    <col min="9462" max="9462" width="1.140625" style="100" customWidth="1"/>
    <col min="9463" max="9463" width="0" style="100" hidden="1" customWidth="1"/>
    <col min="9464" max="9464" width="8.85546875" style="100"/>
    <col min="9465" max="9465" width="19.5703125" style="100" customWidth="1"/>
    <col min="9466" max="9469" width="8.5703125" style="100" customWidth="1"/>
    <col min="9470" max="9704" width="8.85546875" style="100"/>
    <col min="9705" max="9705" width="19.5703125" style="100" customWidth="1"/>
    <col min="9706" max="9709" width="8.5703125" style="100" customWidth="1"/>
    <col min="9710" max="9710" width="1.140625" style="100" customWidth="1"/>
    <col min="9711" max="9711" width="6.140625" style="100" customWidth="1"/>
    <col min="9712" max="9712" width="1" style="100" customWidth="1"/>
    <col min="9713" max="9716" width="8.85546875" style="100"/>
    <col min="9717" max="9717" width="0" style="100" hidden="1" customWidth="1"/>
    <col min="9718" max="9718" width="1.140625" style="100" customWidth="1"/>
    <col min="9719" max="9719" width="0" style="100" hidden="1" customWidth="1"/>
    <col min="9720" max="9720" width="8.85546875" style="100"/>
    <col min="9721" max="9721" width="19.5703125" style="100" customWidth="1"/>
    <col min="9722" max="9725" width="8.5703125" style="100" customWidth="1"/>
    <col min="9726" max="9960" width="8.85546875" style="100"/>
    <col min="9961" max="9961" width="19.5703125" style="100" customWidth="1"/>
    <col min="9962" max="9965" width="8.5703125" style="100" customWidth="1"/>
    <col min="9966" max="9966" width="1.140625" style="100" customWidth="1"/>
    <col min="9967" max="9967" width="6.140625" style="100" customWidth="1"/>
    <col min="9968" max="9968" width="1" style="100" customWidth="1"/>
    <col min="9969" max="9972" width="8.85546875" style="100"/>
    <col min="9973" max="9973" width="0" style="100" hidden="1" customWidth="1"/>
    <col min="9974" max="9974" width="1.140625" style="100" customWidth="1"/>
    <col min="9975" max="9975" width="0" style="100" hidden="1" customWidth="1"/>
    <col min="9976" max="9976" width="8.85546875" style="100"/>
    <col min="9977" max="9977" width="19.5703125" style="100" customWidth="1"/>
    <col min="9978" max="9981" width="8.5703125" style="100" customWidth="1"/>
    <col min="9982" max="10216" width="8.85546875" style="100"/>
    <col min="10217" max="10217" width="19.5703125" style="100" customWidth="1"/>
    <col min="10218" max="10221" width="8.5703125" style="100" customWidth="1"/>
    <col min="10222" max="10222" width="1.140625" style="100" customWidth="1"/>
    <col min="10223" max="10223" width="6.140625" style="100" customWidth="1"/>
    <col min="10224" max="10224" width="1" style="100" customWidth="1"/>
    <col min="10225" max="10228" width="8.85546875" style="100"/>
    <col min="10229" max="10229" width="0" style="100" hidden="1" customWidth="1"/>
    <col min="10230" max="10230" width="1.140625" style="100" customWidth="1"/>
    <col min="10231" max="10231" width="0" style="100" hidden="1" customWidth="1"/>
    <col min="10232" max="10232" width="8.85546875" style="100"/>
    <col min="10233" max="10233" width="19.5703125" style="100" customWidth="1"/>
    <col min="10234" max="10237" width="8.5703125" style="100" customWidth="1"/>
    <col min="10238" max="10472" width="8.85546875" style="100"/>
    <col min="10473" max="10473" width="19.5703125" style="100" customWidth="1"/>
    <col min="10474" max="10477" width="8.5703125" style="100" customWidth="1"/>
    <col min="10478" max="10478" width="1.140625" style="100" customWidth="1"/>
    <col min="10479" max="10479" width="6.140625" style="100" customWidth="1"/>
    <col min="10480" max="10480" width="1" style="100" customWidth="1"/>
    <col min="10481" max="10484" width="8.85546875" style="100"/>
    <col min="10485" max="10485" width="0" style="100" hidden="1" customWidth="1"/>
    <col min="10486" max="10486" width="1.140625" style="100" customWidth="1"/>
    <col min="10487" max="10487" width="0" style="100" hidden="1" customWidth="1"/>
    <col min="10488" max="10488" width="8.85546875" style="100"/>
    <col min="10489" max="10489" width="19.5703125" style="100" customWidth="1"/>
    <col min="10490" max="10493" width="8.5703125" style="100" customWidth="1"/>
    <col min="10494" max="10728" width="8.85546875" style="100"/>
    <col min="10729" max="10729" width="19.5703125" style="100" customWidth="1"/>
    <col min="10730" max="10733" width="8.5703125" style="100" customWidth="1"/>
    <col min="10734" max="10734" width="1.140625" style="100" customWidth="1"/>
    <col min="10735" max="10735" width="6.140625" style="100" customWidth="1"/>
    <col min="10736" max="10736" width="1" style="100" customWidth="1"/>
    <col min="10737" max="10740" width="8.85546875" style="100"/>
    <col min="10741" max="10741" width="0" style="100" hidden="1" customWidth="1"/>
    <col min="10742" max="10742" width="1.140625" style="100" customWidth="1"/>
    <col min="10743" max="10743" width="0" style="100" hidden="1" customWidth="1"/>
    <col min="10744" max="10744" width="8.85546875" style="100"/>
    <col min="10745" max="10745" width="19.5703125" style="100" customWidth="1"/>
    <col min="10746" max="10749" width="8.5703125" style="100" customWidth="1"/>
    <col min="10750" max="10984" width="8.85546875" style="100"/>
    <col min="10985" max="10985" width="19.5703125" style="100" customWidth="1"/>
    <col min="10986" max="10989" width="8.5703125" style="100" customWidth="1"/>
    <col min="10990" max="10990" width="1.140625" style="100" customWidth="1"/>
    <col min="10991" max="10991" width="6.140625" style="100" customWidth="1"/>
    <col min="10992" max="10992" width="1" style="100" customWidth="1"/>
    <col min="10993" max="10996" width="8.85546875" style="100"/>
    <col min="10997" max="10997" width="0" style="100" hidden="1" customWidth="1"/>
    <col min="10998" max="10998" width="1.140625" style="100" customWidth="1"/>
    <col min="10999" max="10999" width="0" style="100" hidden="1" customWidth="1"/>
    <col min="11000" max="11000" width="8.85546875" style="100"/>
    <col min="11001" max="11001" width="19.5703125" style="100" customWidth="1"/>
    <col min="11002" max="11005" width="8.5703125" style="100" customWidth="1"/>
    <col min="11006" max="11240" width="8.85546875" style="100"/>
    <col min="11241" max="11241" width="19.5703125" style="100" customWidth="1"/>
    <col min="11242" max="11245" width="8.5703125" style="100" customWidth="1"/>
    <col min="11246" max="11246" width="1.140625" style="100" customWidth="1"/>
    <col min="11247" max="11247" width="6.140625" style="100" customWidth="1"/>
    <col min="11248" max="11248" width="1" style="100" customWidth="1"/>
    <col min="11249" max="11252" width="8.85546875" style="100"/>
    <col min="11253" max="11253" width="0" style="100" hidden="1" customWidth="1"/>
    <col min="11254" max="11254" width="1.140625" style="100" customWidth="1"/>
    <col min="11255" max="11255" width="0" style="100" hidden="1" customWidth="1"/>
    <col min="11256" max="11256" width="8.85546875" style="100"/>
    <col min="11257" max="11257" width="19.5703125" style="100" customWidth="1"/>
    <col min="11258" max="11261" width="8.5703125" style="100" customWidth="1"/>
    <col min="11262" max="11496" width="8.85546875" style="100"/>
    <col min="11497" max="11497" width="19.5703125" style="100" customWidth="1"/>
    <col min="11498" max="11501" width="8.5703125" style="100" customWidth="1"/>
    <col min="11502" max="11502" width="1.140625" style="100" customWidth="1"/>
    <col min="11503" max="11503" width="6.140625" style="100" customWidth="1"/>
    <col min="11504" max="11504" width="1" style="100" customWidth="1"/>
    <col min="11505" max="11508" width="8.85546875" style="100"/>
    <col min="11509" max="11509" width="0" style="100" hidden="1" customWidth="1"/>
    <col min="11510" max="11510" width="1.140625" style="100" customWidth="1"/>
    <col min="11511" max="11511" width="0" style="100" hidden="1" customWidth="1"/>
    <col min="11512" max="11512" width="8.85546875" style="100"/>
    <col min="11513" max="11513" width="19.5703125" style="100" customWidth="1"/>
    <col min="11514" max="11517" width="8.5703125" style="100" customWidth="1"/>
    <col min="11518" max="11752" width="8.85546875" style="100"/>
    <col min="11753" max="11753" width="19.5703125" style="100" customWidth="1"/>
    <col min="11754" max="11757" width="8.5703125" style="100" customWidth="1"/>
    <col min="11758" max="11758" width="1.140625" style="100" customWidth="1"/>
    <col min="11759" max="11759" width="6.140625" style="100" customWidth="1"/>
    <col min="11760" max="11760" width="1" style="100" customWidth="1"/>
    <col min="11761" max="11764" width="8.85546875" style="100"/>
    <col min="11765" max="11765" width="0" style="100" hidden="1" customWidth="1"/>
    <col min="11766" max="11766" width="1.140625" style="100" customWidth="1"/>
    <col min="11767" max="11767" width="0" style="100" hidden="1" customWidth="1"/>
    <col min="11768" max="11768" width="8.85546875" style="100"/>
    <col min="11769" max="11769" width="19.5703125" style="100" customWidth="1"/>
    <col min="11770" max="11773" width="8.5703125" style="100" customWidth="1"/>
    <col min="11774" max="12008" width="8.85546875" style="100"/>
    <col min="12009" max="12009" width="19.5703125" style="100" customWidth="1"/>
    <col min="12010" max="12013" width="8.5703125" style="100" customWidth="1"/>
    <col min="12014" max="12014" width="1.140625" style="100" customWidth="1"/>
    <col min="12015" max="12015" width="6.140625" style="100" customWidth="1"/>
    <col min="12016" max="12016" width="1" style="100" customWidth="1"/>
    <col min="12017" max="12020" width="8.85546875" style="100"/>
    <col min="12021" max="12021" width="0" style="100" hidden="1" customWidth="1"/>
    <col min="12022" max="12022" width="1.140625" style="100" customWidth="1"/>
    <col min="12023" max="12023" width="0" style="100" hidden="1" customWidth="1"/>
    <col min="12024" max="12024" width="8.85546875" style="100"/>
    <col min="12025" max="12025" width="19.5703125" style="100" customWidth="1"/>
    <col min="12026" max="12029" width="8.5703125" style="100" customWidth="1"/>
    <col min="12030" max="12264" width="8.85546875" style="100"/>
    <col min="12265" max="12265" width="19.5703125" style="100" customWidth="1"/>
    <col min="12266" max="12269" width="8.5703125" style="100" customWidth="1"/>
    <col min="12270" max="12270" width="1.140625" style="100" customWidth="1"/>
    <col min="12271" max="12271" width="6.140625" style="100" customWidth="1"/>
    <col min="12272" max="12272" width="1" style="100" customWidth="1"/>
    <col min="12273" max="12276" width="8.85546875" style="100"/>
    <col min="12277" max="12277" width="0" style="100" hidden="1" customWidth="1"/>
    <col min="12278" max="12278" width="1.140625" style="100" customWidth="1"/>
    <col min="12279" max="12279" width="0" style="100" hidden="1" customWidth="1"/>
    <col min="12280" max="12280" width="8.85546875" style="100"/>
    <col min="12281" max="12281" width="19.5703125" style="100" customWidth="1"/>
    <col min="12282" max="12285" width="8.5703125" style="100" customWidth="1"/>
    <col min="12286" max="12520" width="8.85546875" style="100"/>
    <col min="12521" max="12521" width="19.5703125" style="100" customWidth="1"/>
    <col min="12522" max="12525" width="8.5703125" style="100" customWidth="1"/>
    <col min="12526" max="12526" width="1.140625" style="100" customWidth="1"/>
    <col min="12527" max="12527" width="6.140625" style="100" customWidth="1"/>
    <col min="12528" max="12528" width="1" style="100" customWidth="1"/>
    <col min="12529" max="12532" width="8.85546875" style="100"/>
    <col min="12533" max="12533" width="0" style="100" hidden="1" customWidth="1"/>
    <col min="12534" max="12534" width="1.140625" style="100" customWidth="1"/>
    <col min="12535" max="12535" width="0" style="100" hidden="1" customWidth="1"/>
    <col min="12536" max="12536" width="8.85546875" style="100"/>
    <col min="12537" max="12537" width="19.5703125" style="100" customWidth="1"/>
    <col min="12538" max="12541" width="8.5703125" style="100" customWidth="1"/>
    <col min="12542" max="12776" width="8.85546875" style="100"/>
    <col min="12777" max="12777" width="19.5703125" style="100" customWidth="1"/>
    <col min="12778" max="12781" width="8.5703125" style="100" customWidth="1"/>
    <col min="12782" max="12782" width="1.140625" style="100" customWidth="1"/>
    <col min="12783" max="12783" width="6.140625" style="100" customWidth="1"/>
    <col min="12784" max="12784" width="1" style="100" customWidth="1"/>
    <col min="12785" max="12788" width="8.85546875" style="100"/>
    <col min="12789" max="12789" width="0" style="100" hidden="1" customWidth="1"/>
    <col min="12790" max="12790" width="1.140625" style="100" customWidth="1"/>
    <col min="12791" max="12791" width="0" style="100" hidden="1" customWidth="1"/>
    <col min="12792" max="12792" width="8.85546875" style="100"/>
    <col min="12793" max="12793" width="19.5703125" style="100" customWidth="1"/>
    <col min="12794" max="12797" width="8.5703125" style="100" customWidth="1"/>
    <col min="12798" max="13032" width="8.85546875" style="100"/>
    <col min="13033" max="13033" width="19.5703125" style="100" customWidth="1"/>
    <col min="13034" max="13037" width="8.5703125" style="100" customWidth="1"/>
    <col min="13038" max="13038" width="1.140625" style="100" customWidth="1"/>
    <col min="13039" max="13039" width="6.140625" style="100" customWidth="1"/>
    <col min="13040" max="13040" width="1" style="100" customWidth="1"/>
    <col min="13041" max="13044" width="8.85546875" style="100"/>
    <col min="13045" max="13045" width="0" style="100" hidden="1" customWidth="1"/>
    <col min="13046" max="13046" width="1.140625" style="100" customWidth="1"/>
    <col min="13047" max="13047" width="0" style="100" hidden="1" customWidth="1"/>
    <col min="13048" max="13048" width="8.85546875" style="100"/>
    <col min="13049" max="13049" width="19.5703125" style="100" customWidth="1"/>
    <col min="13050" max="13053" width="8.5703125" style="100" customWidth="1"/>
    <col min="13054" max="13288" width="8.85546875" style="100"/>
    <col min="13289" max="13289" width="19.5703125" style="100" customWidth="1"/>
    <col min="13290" max="13293" width="8.5703125" style="100" customWidth="1"/>
    <col min="13294" max="13294" width="1.140625" style="100" customWidth="1"/>
    <col min="13295" max="13295" width="6.140625" style="100" customWidth="1"/>
    <col min="13296" max="13296" width="1" style="100" customWidth="1"/>
    <col min="13297" max="13300" width="8.85546875" style="100"/>
    <col min="13301" max="13301" width="0" style="100" hidden="1" customWidth="1"/>
    <col min="13302" max="13302" width="1.140625" style="100" customWidth="1"/>
    <col min="13303" max="13303" width="0" style="100" hidden="1" customWidth="1"/>
    <col min="13304" max="13304" width="8.85546875" style="100"/>
    <col min="13305" max="13305" width="19.5703125" style="100" customWidth="1"/>
    <col min="13306" max="13309" width="8.5703125" style="100" customWidth="1"/>
    <col min="13310" max="13544" width="8.85546875" style="100"/>
    <col min="13545" max="13545" width="19.5703125" style="100" customWidth="1"/>
    <col min="13546" max="13549" width="8.5703125" style="100" customWidth="1"/>
    <col min="13550" max="13550" width="1.140625" style="100" customWidth="1"/>
    <col min="13551" max="13551" width="6.140625" style="100" customWidth="1"/>
    <col min="13552" max="13552" width="1" style="100" customWidth="1"/>
    <col min="13553" max="13556" width="8.85546875" style="100"/>
    <col min="13557" max="13557" width="0" style="100" hidden="1" customWidth="1"/>
    <col min="13558" max="13558" width="1.140625" style="100" customWidth="1"/>
    <col min="13559" max="13559" width="0" style="100" hidden="1" customWidth="1"/>
    <col min="13560" max="13560" width="8.85546875" style="100"/>
    <col min="13561" max="13561" width="19.5703125" style="100" customWidth="1"/>
    <col min="13562" max="13565" width="8.5703125" style="100" customWidth="1"/>
    <col min="13566" max="13800" width="8.85546875" style="100"/>
    <col min="13801" max="13801" width="19.5703125" style="100" customWidth="1"/>
    <col min="13802" max="13805" width="8.5703125" style="100" customWidth="1"/>
    <col min="13806" max="13806" width="1.140625" style="100" customWidth="1"/>
    <col min="13807" max="13807" width="6.140625" style="100" customWidth="1"/>
    <col min="13808" max="13808" width="1" style="100" customWidth="1"/>
    <col min="13809" max="13812" width="8.85546875" style="100"/>
    <col min="13813" max="13813" width="0" style="100" hidden="1" customWidth="1"/>
    <col min="13814" max="13814" width="1.140625" style="100" customWidth="1"/>
    <col min="13815" max="13815" width="0" style="100" hidden="1" customWidth="1"/>
    <col min="13816" max="13816" width="8.85546875" style="100"/>
    <col min="13817" max="13817" width="19.5703125" style="100" customWidth="1"/>
    <col min="13818" max="13821" width="8.5703125" style="100" customWidth="1"/>
    <col min="13822" max="14056" width="8.85546875" style="100"/>
    <col min="14057" max="14057" width="19.5703125" style="100" customWidth="1"/>
    <col min="14058" max="14061" width="8.5703125" style="100" customWidth="1"/>
    <col min="14062" max="14062" width="1.140625" style="100" customWidth="1"/>
    <col min="14063" max="14063" width="6.140625" style="100" customWidth="1"/>
    <col min="14064" max="14064" width="1" style="100" customWidth="1"/>
    <col min="14065" max="14068" width="8.85546875" style="100"/>
    <col min="14069" max="14069" width="0" style="100" hidden="1" customWidth="1"/>
    <col min="14070" max="14070" width="1.140625" style="100" customWidth="1"/>
    <col min="14071" max="14071" width="0" style="100" hidden="1" customWidth="1"/>
    <col min="14072" max="14072" width="8.85546875" style="100"/>
    <col min="14073" max="14073" width="19.5703125" style="100" customWidth="1"/>
    <col min="14074" max="14077" width="8.5703125" style="100" customWidth="1"/>
    <col min="14078" max="14312" width="8.85546875" style="100"/>
    <col min="14313" max="14313" width="19.5703125" style="100" customWidth="1"/>
    <col min="14314" max="14317" width="8.5703125" style="100" customWidth="1"/>
    <col min="14318" max="14318" width="1.140625" style="100" customWidth="1"/>
    <col min="14319" max="14319" width="6.140625" style="100" customWidth="1"/>
    <col min="14320" max="14320" width="1" style="100" customWidth="1"/>
    <col min="14321" max="14324" width="8.85546875" style="100"/>
    <col min="14325" max="14325" width="0" style="100" hidden="1" customWidth="1"/>
    <col min="14326" max="14326" width="1.140625" style="100" customWidth="1"/>
    <col min="14327" max="14327" width="0" style="100" hidden="1" customWidth="1"/>
    <col min="14328" max="14328" width="8.85546875" style="100"/>
    <col min="14329" max="14329" width="19.5703125" style="100" customWidth="1"/>
    <col min="14330" max="14333" width="8.5703125" style="100" customWidth="1"/>
    <col min="14334" max="14568" width="8.85546875" style="100"/>
    <col min="14569" max="14569" width="19.5703125" style="100" customWidth="1"/>
    <col min="14570" max="14573" width="8.5703125" style="100" customWidth="1"/>
    <col min="14574" max="14574" width="1.140625" style="100" customWidth="1"/>
    <col min="14575" max="14575" width="6.140625" style="100" customWidth="1"/>
    <col min="14576" max="14576" width="1" style="100" customWidth="1"/>
    <col min="14577" max="14580" width="8.85546875" style="100"/>
    <col min="14581" max="14581" width="0" style="100" hidden="1" customWidth="1"/>
    <col min="14582" max="14582" width="1.140625" style="100" customWidth="1"/>
    <col min="14583" max="14583" width="0" style="100" hidden="1" customWidth="1"/>
    <col min="14584" max="14584" width="8.85546875" style="100"/>
    <col min="14585" max="14585" width="19.5703125" style="100" customWidth="1"/>
    <col min="14586" max="14589" width="8.5703125" style="100" customWidth="1"/>
    <col min="14590" max="14824" width="8.85546875" style="100"/>
    <col min="14825" max="14825" width="19.5703125" style="100" customWidth="1"/>
    <col min="14826" max="14829" width="8.5703125" style="100" customWidth="1"/>
    <col min="14830" max="14830" width="1.140625" style="100" customWidth="1"/>
    <col min="14831" max="14831" width="6.140625" style="100" customWidth="1"/>
    <col min="14832" max="14832" width="1" style="100" customWidth="1"/>
    <col min="14833" max="14836" width="8.85546875" style="100"/>
    <col min="14837" max="14837" width="0" style="100" hidden="1" customWidth="1"/>
    <col min="14838" max="14838" width="1.140625" style="100" customWidth="1"/>
    <col min="14839" max="14839" width="0" style="100" hidden="1" customWidth="1"/>
    <col min="14840" max="14840" width="8.85546875" style="100"/>
    <col min="14841" max="14841" width="19.5703125" style="100" customWidth="1"/>
    <col min="14842" max="14845" width="8.5703125" style="100" customWidth="1"/>
    <col min="14846" max="15080" width="8.85546875" style="100"/>
    <col min="15081" max="15081" width="19.5703125" style="100" customWidth="1"/>
    <col min="15082" max="15085" width="8.5703125" style="100" customWidth="1"/>
    <col min="15086" max="15086" width="1.140625" style="100" customWidth="1"/>
    <col min="15087" max="15087" width="6.140625" style="100" customWidth="1"/>
    <col min="15088" max="15088" width="1" style="100" customWidth="1"/>
    <col min="15089" max="15092" width="8.85546875" style="100"/>
    <col min="15093" max="15093" width="0" style="100" hidden="1" customWidth="1"/>
    <col min="15094" max="15094" width="1.140625" style="100" customWidth="1"/>
    <col min="15095" max="15095" width="0" style="100" hidden="1" customWidth="1"/>
    <col min="15096" max="15096" width="8.85546875" style="100"/>
    <col min="15097" max="15097" width="19.5703125" style="100" customWidth="1"/>
    <col min="15098" max="15101" width="8.5703125" style="100" customWidth="1"/>
    <col min="15102" max="15336" width="8.85546875" style="100"/>
    <col min="15337" max="15337" width="19.5703125" style="100" customWidth="1"/>
    <col min="15338" max="15341" width="8.5703125" style="100" customWidth="1"/>
    <col min="15342" max="15342" width="1.140625" style="100" customWidth="1"/>
    <col min="15343" max="15343" width="6.140625" style="100" customWidth="1"/>
    <col min="15344" max="15344" width="1" style="100" customWidth="1"/>
    <col min="15345" max="15348" width="8.85546875" style="100"/>
    <col min="15349" max="15349" width="0" style="100" hidden="1" customWidth="1"/>
    <col min="15350" max="15350" width="1.140625" style="100" customWidth="1"/>
    <col min="15351" max="15351" width="0" style="100" hidden="1" customWidth="1"/>
    <col min="15352" max="15352" width="8.85546875" style="100"/>
    <col min="15353" max="15353" width="19.5703125" style="100" customWidth="1"/>
    <col min="15354" max="15357" width="8.5703125" style="100" customWidth="1"/>
    <col min="15358" max="15592" width="8.85546875" style="100"/>
    <col min="15593" max="15593" width="19.5703125" style="100" customWidth="1"/>
    <col min="15594" max="15597" width="8.5703125" style="100" customWidth="1"/>
    <col min="15598" max="15598" width="1.140625" style="100" customWidth="1"/>
    <col min="15599" max="15599" width="6.140625" style="100" customWidth="1"/>
    <col min="15600" max="15600" width="1" style="100" customWidth="1"/>
    <col min="15601" max="15604" width="8.85546875" style="100"/>
    <col min="15605" max="15605" width="0" style="100" hidden="1" customWidth="1"/>
    <col min="15606" max="15606" width="1.140625" style="100" customWidth="1"/>
    <col min="15607" max="15607" width="0" style="100" hidden="1" customWidth="1"/>
    <col min="15608" max="15608" width="8.85546875" style="100"/>
    <col min="15609" max="15609" width="19.5703125" style="100" customWidth="1"/>
    <col min="15610" max="15613" width="8.5703125" style="100" customWidth="1"/>
    <col min="15614" max="15848" width="8.85546875" style="100"/>
    <col min="15849" max="15849" width="19.5703125" style="100" customWidth="1"/>
    <col min="15850" max="15853" width="8.5703125" style="100" customWidth="1"/>
    <col min="15854" max="15854" width="1.140625" style="100" customWidth="1"/>
    <col min="15855" max="15855" width="6.140625" style="100" customWidth="1"/>
    <col min="15856" max="15856" width="1" style="100" customWidth="1"/>
    <col min="15857" max="15860" width="8.85546875" style="100"/>
    <col min="15861" max="15861" width="0" style="100" hidden="1" customWidth="1"/>
    <col min="15862" max="15862" width="1.140625" style="100" customWidth="1"/>
    <col min="15863" max="15863" width="0" style="100" hidden="1" customWidth="1"/>
    <col min="15864" max="15864" width="8.85546875" style="100"/>
    <col min="15865" max="15865" width="19.5703125" style="100" customWidth="1"/>
    <col min="15866" max="15869" width="8.5703125" style="100" customWidth="1"/>
    <col min="15870" max="16104" width="8.85546875" style="100"/>
    <col min="16105" max="16105" width="19.5703125" style="100" customWidth="1"/>
    <col min="16106" max="16109" width="8.5703125" style="100" customWidth="1"/>
    <col min="16110" max="16110" width="1.140625" style="100" customWidth="1"/>
    <col min="16111" max="16111" width="6.140625" style="100" customWidth="1"/>
    <col min="16112" max="16112" width="1" style="100" customWidth="1"/>
    <col min="16113" max="16116" width="8.85546875" style="100"/>
    <col min="16117" max="16117" width="0" style="100" hidden="1" customWidth="1"/>
    <col min="16118" max="16118" width="1.140625" style="100" customWidth="1"/>
    <col min="16119" max="16119" width="0" style="100" hidden="1" customWidth="1"/>
    <col min="16120" max="16120" width="8.85546875" style="100"/>
    <col min="16121" max="16121" width="19.5703125" style="100" customWidth="1"/>
    <col min="16122" max="16125" width="8.5703125" style="100" customWidth="1"/>
    <col min="16126" max="16384" width="8.85546875" style="100"/>
  </cols>
  <sheetData>
    <row r="1" spans="1:28">
      <c r="A1" s="96" t="s">
        <v>804</v>
      </c>
      <c r="B1" s="97"/>
      <c r="C1" s="98" t="s">
        <v>805</v>
      </c>
      <c r="D1" s="99">
        <v>1</v>
      </c>
      <c r="E1" s="99">
        <f t="shared" ref="E1:M2" si="0">D1+1</f>
        <v>2</v>
      </c>
      <c r="F1" s="99">
        <f t="shared" si="0"/>
        <v>3</v>
      </c>
      <c r="G1" s="99">
        <f t="shared" si="0"/>
        <v>4</v>
      </c>
      <c r="H1" s="99">
        <f>G1+1</f>
        <v>5</v>
      </c>
      <c r="I1" s="99">
        <f t="shared" ref="I1:X1" si="1">H1+1</f>
        <v>6</v>
      </c>
      <c r="J1" s="99">
        <f t="shared" si="1"/>
        <v>7</v>
      </c>
      <c r="K1" s="99">
        <f t="shared" si="1"/>
        <v>8</v>
      </c>
      <c r="L1" s="99">
        <f t="shared" si="1"/>
        <v>9</v>
      </c>
      <c r="M1" s="99">
        <f t="shared" si="1"/>
        <v>10</v>
      </c>
      <c r="N1" s="99">
        <f t="shared" si="1"/>
        <v>11</v>
      </c>
      <c r="O1" s="99">
        <f t="shared" si="1"/>
        <v>12</v>
      </c>
      <c r="P1" s="99">
        <f t="shared" si="1"/>
        <v>13</v>
      </c>
      <c r="Q1" s="99">
        <f t="shared" si="1"/>
        <v>14</v>
      </c>
      <c r="R1" s="99">
        <f t="shared" si="1"/>
        <v>15</v>
      </c>
      <c r="S1" s="99">
        <f t="shared" si="1"/>
        <v>16</v>
      </c>
      <c r="T1" s="99">
        <f t="shared" si="1"/>
        <v>17</v>
      </c>
      <c r="U1" s="99">
        <f t="shared" si="1"/>
        <v>18</v>
      </c>
      <c r="V1" s="99">
        <f t="shared" si="1"/>
        <v>19</v>
      </c>
      <c r="W1" s="99">
        <f t="shared" si="1"/>
        <v>20</v>
      </c>
      <c r="X1" s="99">
        <f t="shared" si="1"/>
        <v>21</v>
      </c>
      <c r="Y1" s="99">
        <f t="shared" ref="N1:AB2" si="2">X1+1</f>
        <v>22</v>
      </c>
      <c r="Z1" s="99">
        <f t="shared" si="2"/>
        <v>23</v>
      </c>
      <c r="AA1" s="99">
        <f t="shared" si="2"/>
        <v>24</v>
      </c>
      <c r="AB1" s="99">
        <f t="shared" si="2"/>
        <v>25</v>
      </c>
    </row>
    <row r="2" spans="1:28">
      <c r="A2" s="96" t="s">
        <v>806</v>
      </c>
      <c r="B2" s="101">
        <v>2022</v>
      </c>
      <c r="C2" s="101">
        <v>2023</v>
      </c>
      <c r="D2" s="102">
        <v>2024</v>
      </c>
      <c r="E2" s="101">
        <v>2025</v>
      </c>
      <c r="F2" s="101">
        <f t="shared" si="0"/>
        <v>2026</v>
      </c>
      <c r="G2" s="101">
        <f t="shared" si="0"/>
        <v>2027</v>
      </c>
      <c r="H2" s="101">
        <f t="shared" si="0"/>
        <v>2028</v>
      </c>
      <c r="I2" s="101">
        <f t="shared" si="0"/>
        <v>2029</v>
      </c>
      <c r="J2" s="101">
        <f t="shared" si="0"/>
        <v>2030</v>
      </c>
      <c r="K2" s="101">
        <f t="shared" si="0"/>
        <v>2031</v>
      </c>
      <c r="L2" s="101">
        <f t="shared" si="0"/>
        <v>2032</v>
      </c>
      <c r="M2" s="101">
        <f t="shared" si="0"/>
        <v>2033</v>
      </c>
      <c r="N2" s="101">
        <f t="shared" si="2"/>
        <v>2034</v>
      </c>
      <c r="O2" s="101">
        <f t="shared" si="2"/>
        <v>2035</v>
      </c>
      <c r="P2" s="101">
        <f t="shared" si="2"/>
        <v>2036</v>
      </c>
      <c r="Q2" s="101">
        <f t="shared" si="2"/>
        <v>2037</v>
      </c>
      <c r="R2" s="101">
        <f t="shared" si="2"/>
        <v>2038</v>
      </c>
      <c r="S2" s="101">
        <f t="shared" si="2"/>
        <v>2039</v>
      </c>
      <c r="T2" s="101">
        <f t="shared" si="2"/>
        <v>2040</v>
      </c>
      <c r="U2" s="101">
        <f t="shared" si="2"/>
        <v>2041</v>
      </c>
      <c r="V2" s="101">
        <f t="shared" si="2"/>
        <v>2042</v>
      </c>
      <c r="W2" s="101">
        <f t="shared" si="2"/>
        <v>2043</v>
      </c>
      <c r="X2" s="101">
        <f t="shared" si="2"/>
        <v>2044</v>
      </c>
      <c r="Y2" s="101">
        <f t="shared" si="2"/>
        <v>2045</v>
      </c>
      <c r="Z2" s="101">
        <f t="shared" si="2"/>
        <v>2046</v>
      </c>
      <c r="AA2" s="101">
        <f t="shared" si="2"/>
        <v>2047</v>
      </c>
      <c r="AB2" s="101">
        <f t="shared" si="2"/>
        <v>2048</v>
      </c>
    </row>
    <row r="3" spans="1:28" ht="9" customHeight="1">
      <c r="A3" s="103"/>
      <c r="B3" s="104"/>
      <c r="C3" s="105"/>
      <c r="D3" s="106"/>
      <c r="E3" s="105"/>
      <c r="F3" s="105"/>
      <c r="G3" s="105"/>
      <c r="H3" s="105"/>
      <c r="I3" s="104"/>
      <c r="J3" s="104"/>
      <c r="K3" s="104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>
      <c r="A4" s="105" t="s">
        <v>807</v>
      </c>
      <c r="B4" s="107">
        <v>364</v>
      </c>
      <c r="C4" s="108">
        <v>364</v>
      </c>
      <c r="D4" s="107">
        <v>364</v>
      </c>
      <c r="E4" s="108">
        <v>364</v>
      </c>
      <c r="F4" s="108">
        <v>364</v>
      </c>
      <c r="G4" s="108">
        <v>364</v>
      </c>
      <c r="H4" s="108">
        <v>364</v>
      </c>
      <c r="I4" s="107">
        <v>364</v>
      </c>
      <c r="J4" s="107">
        <v>364</v>
      </c>
      <c r="K4" s="107">
        <v>364</v>
      </c>
      <c r="L4" s="107">
        <v>364</v>
      </c>
      <c r="M4" s="107">
        <v>364</v>
      </c>
      <c r="N4" s="107">
        <v>364</v>
      </c>
      <c r="O4" s="107">
        <v>364</v>
      </c>
      <c r="P4" s="107">
        <v>364</v>
      </c>
      <c r="Q4" s="107">
        <v>364</v>
      </c>
      <c r="R4" s="107">
        <v>364</v>
      </c>
      <c r="S4" s="107">
        <v>364</v>
      </c>
      <c r="T4" s="107">
        <v>364</v>
      </c>
      <c r="U4" s="107">
        <v>364</v>
      </c>
      <c r="V4" s="107">
        <v>364</v>
      </c>
      <c r="W4" s="107">
        <v>364</v>
      </c>
      <c r="X4" s="107">
        <v>364</v>
      </c>
      <c r="Y4" s="107">
        <v>364</v>
      </c>
      <c r="Z4" s="107">
        <v>364</v>
      </c>
      <c r="AA4" s="107">
        <v>364</v>
      </c>
      <c r="AB4" s="107">
        <v>364</v>
      </c>
    </row>
    <row r="5" spans="1:28" ht="6.75" customHeight="1">
      <c r="A5" s="105"/>
      <c r="B5" s="104"/>
      <c r="C5" s="105"/>
      <c r="D5" s="106"/>
      <c r="E5" s="105"/>
      <c r="F5" s="105"/>
      <c r="G5" s="105"/>
      <c r="H5" s="105"/>
      <c r="I5" s="104"/>
      <c r="J5" s="104"/>
      <c r="K5" s="104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spans="1:28" ht="12.75" customHeight="1">
      <c r="A6" s="105" t="s">
        <v>808</v>
      </c>
      <c r="B6" s="109">
        <v>2</v>
      </c>
      <c r="C6" s="109">
        <v>2</v>
      </c>
      <c r="D6" s="109">
        <v>2</v>
      </c>
      <c r="E6" s="109">
        <v>2</v>
      </c>
      <c r="F6" s="110">
        <f>B6</f>
        <v>2</v>
      </c>
      <c r="G6" s="110">
        <f>C6</f>
        <v>2</v>
      </c>
      <c r="H6" s="110">
        <f>D6</f>
        <v>2</v>
      </c>
      <c r="I6" s="109">
        <f>E6</f>
        <v>2</v>
      </c>
      <c r="J6" s="109">
        <f t="shared" ref="J6:AB6" si="3">F6</f>
        <v>2</v>
      </c>
      <c r="K6" s="109">
        <f t="shared" si="3"/>
        <v>2</v>
      </c>
      <c r="L6" s="110">
        <f t="shared" si="3"/>
        <v>2</v>
      </c>
      <c r="M6" s="110">
        <f t="shared" si="3"/>
        <v>2</v>
      </c>
      <c r="N6" s="110">
        <f t="shared" si="3"/>
        <v>2</v>
      </c>
      <c r="O6" s="110">
        <f t="shared" si="3"/>
        <v>2</v>
      </c>
      <c r="P6" s="110">
        <f t="shared" si="3"/>
        <v>2</v>
      </c>
      <c r="Q6" s="110">
        <f t="shared" si="3"/>
        <v>2</v>
      </c>
      <c r="R6" s="110">
        <f t="shared" si="3"/>
        <v>2</v>
      </c>
      <c r="S6" s="110">
        <f t="shared" si="3"/>
        <v>2</v>
      </c>
      <c r="T6" s="110">
        <f t="shared" si="3"/>
        <v>2</v>
      </c>
      <c r="U6" s="110">
        <f t="shared" si="3"/>
        <v>2</v>
      </c>
      <c r="V6" s="110">
        <f t="shared" si="3"/>
        <v>2</v>
      </c>
      <c r="W6" s="110">
        <f t="shared" si="3"/>
        <v>2</v>
      </c>
      <c r="X6" s="110">
        <f t="shared" si="3"/>
        <v>2</v>
      </c>
      <c r="Y6" s="110">
        <f t="shared" si="3"/>
        <v>2</v>
      </c>
      <c r="Z6" s="110">
        <f t="shared" si="3"/>
        <v>2</v>
      </c>
      <c r="AA6" s="110">
        <f t="shared" si="3"/>
        <v>2</v>
      </c>
      <c r="AB6" s="110">
        <f t="shared" si="3"/>
        <v>2</v>
      </c>
    </row>
    <row r="7" spans="1:28" ht="12.6" customHeight="1">
      <c r="A7" s="105" t="s">
        <v>202</v>
      </c>
      <c r="B7" s="107">
        <f>'CAP #'!H24</f>
        <v>8918</v>
      </c>
      <c r="C7" s="107">
        <f>'CAP #'!I24</f>
        <v>9728.6921053264687</v>
      </c>
      <c r="D7" s="107">
        <f>'CAP #'!J24</f>
        <v>10506.98747375259</v>
      </c>
      <c r="E7" s="107">
        <f>'CAP #'!K24</f>
        <v>11347.546471652795</v>
      </c>
      <c r="F7" s="107">
        <f>'CAP #'!L24</f>
        <v>12255.350189385019</v>
      </c>
      <c r="G7" s="107">
        <f>'CAP #'!M24</f>
        <v>13235.778204535822</v>
      </c>
      <c r="H7" s="107">
        <f>'CAP #'!N24</f>
        <v>14294.640460898692</v>
      </c>
      <c r="I7" s="107">
        <f>'CAP #'!O24</f>
        <v>15438.211697770588</v>
      </c>
      <c r="J7" s="107">
        <f>'CAP #'!P24</f>
        <v>16673.268633592237</v>
      </c>
      <c r="K7" s="107">
        <f>'CAP #'!Q24</f>
        <v>18007.130124279618</v>
      </c>
      <c r="L7" s="107">
        <f>'CAP #'!R24</f>
        <v>19447.700534221989</v>
      </c>
      <c r="M7" s="107">
        <f>'CAP #'!S24</f>
        <v>21003.516576959748</v>
      </c>
      <c r="N7" s="107">
        <f>'CAP #'!T24</f>
        <v>22683.797903116531</v>
      </c>
      <c r="O7" s="107">
        <f>'CAP #'!U24</f>
        <v>24498.501735365855</v>
      </c>
      <c r="P7" s="107">
        <f>'CAP #'!V24</f>
        <v>26458.381874195122</v>
      </c>
      <c r="Q7" s="107">
        <f>'CAP #'!W24</f>
        <v>28575.052424130739</v>
      </c>
      <c r="R7" s="107">
        <f>'CAP #'!X24</f>
        <v>30861.056618061197</v>
      </c>
      <c r="S7" s="107">
        <f>'CAP #'!Y24</f>
        <v>33329.941147506092</v>
      </c>
      <c r="T7" s="107">
        <f>'CAP #'!Z24</f>
        <v>35996.336439306579</v>
      </c>
      <c r="U7" s="107">
        <f>'CAP #'!AA24</f>
        <v>38876.043354451103</v>
      </c>
      <c r="V7" s="107">
        <f>'CAP #'!AB24</f>
        <v>41986.1268228072</v>
      </c>
      <c r="W7" s="107">
        <f>'CAP #'!AC24</f>
        <v>45345.016968631775</v>
      </c>
      <c r="X7" s="107">
        <f>'CAP #'!AD24</f>
        <v>48972.61832612232</v>
      </c>
      <c r="Y7" s="107">
        <f>'CAP #'!AE24</f>
        <v>52890.427792212104</v>
      </c>
      <c r="Z7" s="107">
        <f>'CAP #'!AF24</f>
        <v>57121.662015589078</v>
      </c>
      <c r="AA7" s="107">
        <f>'CAP #'!AG24</f>
        <v>61691.394976836214</v>
      </c>
      <c r="AB7" s="107">
        <f>'CAP #'!AH24</f>
        <v>66626.706574983109</v>
      </c>
    </row>
    <row r="8" spans="1:28" ht="15" customHeight="1">
      <c r="A8" s="105" t="s">
        <v>201</v>
      </c>
      <c r="B8" s="107">
        <f>'CAP #'!H23</f>
        <v>3336</v>
      </c>
      <c r="C8" s="107">
        <f>'CAP #'!I23</f>
        <v>3072.2185595767796</v>
      </c>
      <c r="D8" s="107">
        <f>'CAP #'!J23</f>
        <v>3317.9960443429227</v>
      </c>
      <c r="E8" s="107">
        <f>'CAP #'!K23</f>
        <v>3583.4357278903562</v>
      </c>
      <c r="F8" s="107">
        <f>'CAP #'!L23</f>
        <v>3870.1105861215851</v>
      </c>
      <c r="G8" s="107">
        <f>'CAP #'!M23</f>
        <v>4179.7194330113125</v>
      </c>
      <c r="H8" s="107">
        <f>'CAP #'!N23</f>
        <v>4514.0969876522186</v>
      </c>
      <c r="I8" s="107">
        <f>'CAP #'!O23</f>
        <v>4875.2247466643958</v>
      </c>
      <c r="J8" s="107">
        <f>'CAP #'!P23</f>
        <v>5265.2427263975478</v>
      </c>
      <c r="K8" s="107">
        <f>'CAP #'!Q23</f>
        <v>5686.4621445093526</v>
      </c>
      <c r="L8" s="107">
        <f>'CAP #'!R23</f>
        <v>6141.3791160701012</v>
      </c>
      <c r="M8" s="107">
        <f>'CAP #'!S23</f>
        <v>6632.6894453557097</v>
      </c>
      <c r="N8" s="107">
        <f>'CAP #'!T23</f>
        <v>7163.3046009841673</v>
      </c>
      <c r="O8" s="107">
        <f>'CAP #'!U23</f>
        <v>7736.3689690629017</v>
      </c>
      <c r="P8" s="107">
        <f>'CAP #'!V23</f>
        <v>8355.278486587933</v>
      </c>
      <c r="Q8" s="107">
        <f>'CAP #'!W23</f>
        <v>9023.70076551497</v>
      </c>
      <c r="R8" s="107">
        <f>'CAP #'!X23</f>
        <v>9745.5968267561675</v>
      </c>
      <c r="S8" s="107">
        <f>'CAP #'!Y23</f>
        <v>10525.244572896661</v>
      </c>
      <c r="T8" s="107">
        <f>'CAP #'!Z23</f>
        <v>11367.264138728393</v>
      </c>
      <c r="U8" s="107">
        <f>'CAP #'!AA23</f>
        <v>12276.645269826664</v>
      </c>
      <c r="V8" s="107">
        <f>'CAP #'!AB23</f>
        <v>13258.776891412799</v>
      </c>
      <c r="W8" s="107">
        <f>'CAP #'!AC23</f>
        <v>14319.479042725823</v>
      </c>
      <c r="X8" s="107">
        <f>'CAP #'!AD23</f>
        <v>15465.03736614389</v>
      </c>
      <c r="Y8" s="107">
        <f>'CAP #'!AE23</f>
        <v>16702.240355435402</v>
      </c>
      <c r="Z8" s="107">
        <f>'CAP #'!AF23</f>
        <v>18038.419583870236</v>
      </c>
      <c r="AA8" s="107">
        <f>'CAP #'!AG23</f>
        <v>19481.493150579856</v>
      </c>
      <c r="AB8" s="107">
        <f>'CAP #'!AH23</f>
        <v>21040.012602626244</v>
      </c>
    </row>
    <row r="9" spans="1:28" ht="14.45" customHeight="1">
      <c r="A9" s="105" t="s">
        <v>809</v>
      </c>
      <c r="B9" s="107"/>
      <c r="C9" s="107"/>
      <c r="D9" s="107"/>
      <c r="E9" s="107"/>
      <c r="F9" s="108"/>
      <c r="G9" s="108"/>
      <c r="H9" s="108"/>
      <c r="I9" s="107"/>
      <c r="J9" s="107"/>
      <c r="K9" s="107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</row>
    <row r="10" spans="1:28" ht="14.1" customHeight="1">
      <c r="A10" s="111"/>
      <c r="B10" s="112"/>
      <c r="C10" s="113"/>
      <c r="D10" s="114"/>
      <c r="E10" s="115"/>
      <c r="F10" s="115"/>
      <c r="G10" s="113"/>
      <c r="H10" s="115"/>
      <c r="I10" s="112"/>
      <c r="J10" s="112"/>
      <c r="K10" s="112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8">
      <c r="A11" s="116" t="s">
        <v>810</v>
      </c>
      <c r="B11" s="117">
        <f t="shared" ref="B11:AB11" si="4">B12/B6</f>
        <v>6127</v>
      </c>
      <c r="C11" s="118">
        <f t="shared" si="4"/>
        <v>6400.4553324516237</v>
      </c>
      <c r="D11" s="119">
        <f t="shared" si="4"/>
        <v>6912.4917590477562</v>
      </c>
      <c r="E11" s="117">
        <f t="shared" si="4"/>
        <v>7465.491099771576</v>
      </c>
      <c r="F11" s="117">
        <f t="shared" si="4"/>
        <v>8062.7303877533022</v>
      </c>
      <c r="G11" s="118">
        <f t="shared" si="4"/>
        <v>8707.7488187735671</v>
      </c>
      <c r="H11" s="117">
        <f t="shared" si="4"/>
        <v>9404.368724275455</v>
      </c>
      <c r="I11" s="118">
        <f t="shared" si="4"/>
        <v>10156.718222217492</v>
      </c>
      <c r="J11" s="118">
        <f t="shared" si="4"/>
        <v>10969.255679994892</v>
      </c>
      <c r="K11" s="118">
        <f t="shared" si="4"/>
        <v>11846.796134394484</v>
      </c>
      <c r="L11" s="118">
        <f t="shared" si="4"/>
        <v>12794.539825146045</v>
      </c>
      <c r="M11" s="118">
        <f t="shared" si="4"/>
        <v>13818.103011157729</v>
      </c>
      <c r="N11" s="118">
        <f t="shared" si="4"/>
        <v>14923.551252050349</v>
      </c>
      <c r="O11" s="118">
        <f t="shared" si="4"/>
        <v>16117.435352214379</v>
      </c>
      <c r="P11" s="118">
        <f t="shared" si="4"/>
        <v>17406.830180391527</v>
      </c>
      <c r="Q11" s="118">
        <f t="shared" si="4"/>
        <v>18799.376594822854</v>
      </c>
      <c r="R11" s="118">
        <f t="shared" si="4"/>
        <v>20303.326722408681</v>
      </c>
      <c r="S11" s="118">
        <f t="shared" si="4"/>
        <v>21927.592860201377</v>
      </c>
      <c r="T11" s="118">
        <f t="shared" si="4"/>
        <v>23681.800289017487</v>
      </c>
      <c r="U11" s="118">
        <f t="shared" si="4"/>
        <v>25576.344312138885</v>
      </c>
      <c r="V11" s="118">
        <f t="shared" si="4"/>
        <v>27622.451857109998</v>
      </c>
      <c r="W11" s="118">
        <f t="shared" si="4"/>
        <v>29832.248005678797</v>
      </c>
      <c r="X11" s="118">
        <f t="shared" si="4"/>
        <v>32218.827846133107</v>
      </c>
      <c r="Y11" s="118">
        <f t="shared" si="4"/>
        <v>34796.334073823753</v>
      </c>
      <c r="Z11" s="118">
        <f t="shared" si="4"/>
        <v>37580.040799729657</v>
      </c>
      <c r="AA11" s="118">
        <f t="shared" si="4"/>
        <v>40586.444063708033</v>
      </c>
      <c r="AB11" s="118">
        <f t="shared" si="4"/>
        <v>43833.359588804677</v>
      </c>
    </row>
    <row r="12" spans="1:28">
      <c r="A12" s="105" t="s">
        <v>811</v>
      </c>
      <c r="B12" s="113">
        <f t="shared" ref="B12:I12" si="5">SUM(B7:B9)</f>
        <v>12254</v>
      </c>
      <c r="C12" s="113">
        <f t="shared" si="5"/>
        <v>12800.910664903247</v>
      </c>
      <c r="D12" s="120">
        <f t="shared" si="5"/>
        <v>13824.983518095512</v>
      </c>
      <c r="E12" s="113">
        <f t="shared" si="5"/>
        <v>14930.982199543152</v>
      </c>
      <c r="F12" s="113">
        <f t="shared" si="5"/>
        <v>16125.460775506604</v>
      </c>
      <c r="G12" s="121">
        <f t="shared" si="5"/>
        <v>17415.497637547134</v>
      </c>
      <c r="H12" s="113">
        <f t="shared" si="5"/>
        <v>18808.73744855091</v>
      </c>
      <c r="I12" s="113">
        <f t="shared" si="5"/>
        <v>20313.436444434985</v>
      </c>
      <c r="J12" s="113">
        <f t="shared" ref="J12:AB12" si="6">SUM(J7:J9)</f>
        <v>21938.511359989785</v>
      </c>
      <c r="K12" s="113">
        <f t="shared" si="6"/>
        <v>23693.592268788969</v>
      </c>
      <c r="L12" s="121">
        <f t="shared" si="6"/>
        <v>25589.079650292089</v>
      </c>
      <c r="M12" s="121">
        <f t="shared" si="6"/>
        <v>27636.206022315459</v>
      </c>
      <c r="N12" s="121">
        <f t="shared" si="6"/>
        <v>29847.102504100698</v>
      </c>
      <c r="O12" s="121">
        <f t="shared" si="6"/>
        <v>32234.870704428758</v>
      </c>
      <c r="P12" s="121">
        <f t="shared" si="6"/>
        <v>34813.660360783055</v>
      </c>
      <c r="Q12" s="121">
        <f t="shared" si="6"/>
        <v>37598.753189645708</v>
      </c>
      <c r="R12" s="121">
        <f t="shared" si="6"/>
        <v>40606.653444817362</v>
      </c>
      <c r="S12" s="121">
        <f t="shared" si="6"/>
        <v>43855.185720402755</v>
      </c>
      <c r="T12" s="121">
        <f t="shared" si="6"/>
        <v>47363.600578034973</v>
      </c>
      <c r="U12" s="121">
        <f t="shared" si="6"/>
        <v>51152.688624277769</v>
      </c>
      <c r="V12" s="121">
        <f t="shared" si="6"/>
        <v>55244.903714219996</v>
      </c>
      <c r="W12" s="121">
        <f t="shared" si="6"/>
        <v>59664.496011357594</v>
      </c>
      <c r="X12" s="121">
        <f t="shared" si="6"/>
        <v>64437.655692266213</v>
      </c>
      <c r="Y12" s="121">
        <f t="shared" si="6"/>
        <v>69592.668147647506</v>
      </c>
      <c r="Z12" s="121">
        <f t="shared" si="6"/>
        <v>75160.081599459314</v>
      </c>
      <c r="AA12" s="121">
        <f t="shared" si="6"/>
        <v>81172.888127416067</v>
      </c>
      <c r="AB12" s="121">
        <f t="shared" si="6"/>
        <v>87666.719177609353</v>
      </c>
    </row>
    <row r="13" spans="1:28" ht="19.5" customHeight="1">
      <c r="A13" s="103"/>
      <c r="B13" s="122">
        <f t="shared" ref="B13:AB13" si="7">B2</f>
        <v>2022</v>
      </c>
      <c r="C13" s="122">
        <f t="shared" si="7"/>
        <v>2023</v>
      </c>
      <c r="D13" s="123">
        <f t="shared" si="7"/>
        <v>2024</v>
      </c>
      <c r="E13" s="122">
        <f t="shared" si="7"/>
        <v>2025</v>
      </c>
      <c r="F13" s="122">
        <f t="shared" si="7"/>
        <v>2026</v>
      </c>
      <c r="G13" s="124">
        <f t="shared" si="7"/>
        <v>2027</v>
      </c>
      <c r="H13" s="122">
        <f t="shared" si="7"/>
        <v>2028</v>
      </c>
      <c r="I13" s="122">
        <f t="shared" si="7"/>
        <v>2029</v>
      </c>
      <c r="J13" s="122">
        <f t="shared" si="7"/>
        <v>2030</v>
      </c>
      <c r="K13" s="122">
        <f t="shared" si="7"/>
        <v>2031</v>
      </c>
      <c r="L13" s="124">
        <f t="shared" si="7"/>
        <v>2032</v>
      </c>
      <c r="M13" s="124">
        <f t="shared" si="7"/>
        <v>2033</v>
      </c>
      <c r="N13" s="124">
        <f t="shared" si="7"/>
        <v>2034</v>
      </c>
      <c r="O13" s="124">
        <f t="shared" si="7"/>
        <v>2035</v>
      </c>
      <c r="P13" s="124">
        <f t="shared" si="7"/>
        <v>2036</v>
      </c>
      <c r="Q13" s="124">
        <f t="shared" si="7"/>
        <v>2037</v>
      </c>
      <c r="R13" s="124">
        <f t="shared" si="7"/>
        <v>2038</v>
      </c>
      <c r="S13" s="124">
        <f t="shared" si="7"/>
        <v>2039</v>
      </c>
      <c r="T13" s="124">
        <f t="shared" si="7"/>
        <v>2040</v>
      </c>
      <c r="U13" s="124">
        <f t="shared" si="7"/>
        <v>2041</v>
      </c>
      <c r="V13" s="124">
        <f t="shared" si="7"/>
        <v>2042</v>
      </c>
      <c r="W13" s="124">
        <f t="shared" si="7"/>
        <v>2043</v>
      </c>
      <c r="X13" s="124">
        <f t="shared" si="7"/>
        <v>2044</v>
      </c>
      <c r="Y13" s="124">
        <f t="shared" si="7"/>
        <v>2045</v>
      </c>
      <c r="Z13" s="124">
        <f t="shared" si="7"/>
        <v>2046</v>
      </c>
      <c r="AA13" s="124">
        <f t="shared" si="7"/>
        <v>2047</v>
      </c>
      <c r="AB13" s="124">
        <f t="shared" si="7"/>
        <v>2048</v>
      </c>
    </row>
    <row r="14" spans="1:28">
      <c r="A14" s="103" t="s">
        <v>812</v>
      </c>
      <c r="B14" s="125">
        <v>6.02</v>
      </c>
      <c r="C14" s="125">
        <f>B14</f>
        <v>6.02</v>
      </c>
      <c r="D14" s="125">
        <f>C14</f>
        <v>6.02</v>
      </c>
      <c r="E14" s="125">
        <f>D14</f>
        <v>6.02</v>
      </c>
      <c r="F14" s="125">
        <f t="shared" ref="F14:AB14" si="8">E14</f>
        <v>6.02</v>
      </c>
      <c r="G14" s="125">
        <f t="shared" si="8"/>
        <v>6.02</v>
      </c>
      <c r="H14" s="125">
        <f t="shared" si="8"/>
        <v>6.02</v>
      </c>
      <c r="I14" s="125">
        <f t="shared" si="8"/>
        <v>6.02</v>
      </c>
      <c r="J14" s="125">
        <f t="shared" si="8"/>
        <v>6.02</v>
      </c>
      <c r="K14" s="125">
        <f t="shared" si="8"/>
        <v>6.02</v>
      </c>
      <c r="L14" s="125">
        <f t="shared" si="8"/>
        <v>6.02</v>
      </c>
      <c r="M14" s="125">
        <f t="shared" si="8"/>
        <v>6.02</v>
      </c>
      <c r="N14" s="125">
        <f t="shared" si="8"/>
        <v>6.02</v>
      </c>
      <c r="O14" s="125">
        <f t="shared" si="8"/>
        <v>6.02</v>
      </c>
      <c r="P14" s="125">
        <f t="shared" si="8"/>
        <v>6.02</v>
      </c>
      <c r="Q14" s="125">
        <f t="shared" si="8"/>
        <v>6.02</v>
      </c>
      <c r="R14" s="125">
        <f t="shared" si="8"/>
        <v>6.02</v>
      </c>
      <c r="S14" s="125">
        <f t="shared" si="8"/>
        <v>6.02</v>
      </c>
      <c r="T14" s="125">
        <f t="shared" si="8"/>
        <v>6.02</v>
      </c>
      <c r="U14" s="125">
        <f t="shared" si="8"/>
        <v>6.02</v>
      </c>
      <c r="V14" s="125">
        <f t="shared" si="8"/>
        <v>6.02</v>
      </c>
      <c r="W14" s="125">
        <f t="shared" si="8"/>
        <v>6.02</v>
      </c>
      <c r="X14" s="125">
        <f t="shared" si="8"/>
        <v>6.02</v>
      </c>
      <c r="Y14" s="125">
        <f t="shared" si="8"/>
        <v>6.02</v>
      </c>
      <c r="Z14" s="125">
        <f t="shared" si="8"/>
        <v>6.02</v>
      </c>
      <c r="AA14" s="125">
        <f t="shared" si="8"/>
        <v>6.02</v>
      </c>
      <c r="AB14" s="125">
        <f t="shared" si="8"/>
        <v>6.02</v>
      </c>
    </row>
    <row r="15" spans="1:28">
      <c r="A15" s="105" t="s">
        <v>813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</row>
    <row r="16" spans="1:28">
      <c r="A16" s="105" t="s">
        <v>814</v>
      </c>
      <c r="B16" s="125">
        <v>8.33</v>
      </c>
      <c r="C16" s="125">
        <f>B16</f>
        <v>8.33</v>
      </c>
      <c r="D16" s="125">
        <f>C16</f>
        <v>8.33</v>
      </c>
      <c r="E16" s="125">
        <f>D16</f>
        <v>8.33</v>
      </c>
      <c r="F16" s="125">
        <f t="shared" ref="F16:AB16" si="9">E16</f>
        <v>8.33</v>
      </c>
      <c r="G16" s="125">
        <f t="shared" si="9"/>
        <v>8.33</v>
      </c>
      <c r="H16" s="125">
        <f t="shared" si="9"/>
        <v>8.33</v>
      </c>
      <c r="I16" s="125">
        <f t="shared" si="9"/>
        <v>8.33</v>
      </c>
      <c r="J16" s="125">
        <f t="shared" si="9"/>
        <v>8.33</v>
      </c>
      <c r="K16" s="125">
        <f t="shared" si="9"/>
        <v>8.33</v>
      </c>
      <c r="L16" s="125">
        <f t="shared" si="9"/>
        <v>8.33</v>
      </c>
      <c r="M16" s="125">
        <f t="shared" si="9"/>
        <v>8.33</v>
      </c>
      <c r="N16" s="125">
        <f t="shared" si="9"/>
        <v>8.33</v>
      </c>
      <c r="O16" s="125">
        <f t="shared" si="9"/>
        <v>8.33</v>
      </c>
      <c r="P16" s="125">
        <f t="shared" si="9"/>
        <v>8.33</v>
      </c>
      <c r="Q16" s="125">
        <f t="shared" si="9"/>
        <v>8.33</v>
      </c>
      <c r="R16" s="125">
        <f t="shared" si="9"/>
        <v>8.33</v>
      </c>
      <c r="S16" s="125">
        <f t="shared" si="9"/>
        <v>8.33</v>
      </c>
      <c r="T16" s="125">
        <f t="shared" si="9"/>
        <v>8.33</v>
      </c>
      <c r="U16" s="125">
        <f t="shared" si="9"/>
        <v>8.33</v>
      </c>
      <c r="V16" s="125">
        <f t="shared" si="9"/>
        <v>8.33</v>
      </c>
      <c r="W16" s="125">
        <f t="shared" si="9"/>
        <v>8.33</v>
      </c>
      <c r="X16" s="125">
        <f t="shared" si="9"/>
        <v>8.33</v>
      </c>
      <c r="Y16" s="125">
        <f t="shared" si="9"/>
        <v>8.33</v>
      </c>
      <c r="Z16" s="125">
        <f t="shared" si="9"/>
        <v>8.33</v>
      </c>
      <c r="AA16" s="125">
        <f t="shared" si="9"/>
        <v>8.33</v>
      </c>
      <c r="AB16" s="125">
        <f t="shared" si="9"/>
        <v>8.33</v>
      </c>
    </row>
    <row r="17" spans="1:28">
      <c r="A17" s="111" t="s">
        <v>815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spans="1:28" ht="7.5" customHeight="1">
      <c r="A18" s="105"/>
      <c r="B18" s="105"/>
      <c r="C18" s="105"/>
      <c r="D18" s="126"/>
      <c r="E18" s="105"/>
      <c r="F18" s="105"/>
      <c r="G18" s="104"/>
      <c r="H18" s="105"/>
      <c r="I18" s="105"/>
      <c r="J18" s="105"/>
      <c r="K18" s="105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</row>
    <row r="19" spans="1:28">
      <c r="A19" s="105" t="s">
        <v>816</v>
      </c>
      <c r="B19" s="108">
        <v>300</v>
      </c>
      <c r="C19" s="108">
        <v>300</v>
      </c>
      <c r="D19" s="108">
        <v>300</v>
      </c>
      <c r="E19" s="108">
        <v>300</v>
      </c>
      <c r="F19" s="108">
        <v>300</v>
      </c>
      <c r="G19" s="108">
        <v>300</v>
      </c>
      <c r="H19" s="108">
        <v>300</v>
      </c>
      <c r="I19" s="108">
        <v>300</v>
      </c>
      <c r="J19" s="108">
        <v>300</v>
      </c>
      <c r="K19" s="108">
        <v>300</v>
      </c>
      <c r="L19" s="108">
        <v>300</v>
      </c>
      <c r="M19" s="108">
        <v>300</v>
      </c>
      <c r="N19" s="108">
        <v>300</v>
      </c>
      <c r="O19" s="108">
        <v>300</v>
      </c>
      <c r="P19" s="108">
        <v>300</v>
      </c>
      <c r="Q19" s="108">
        <v>300</v>
      </c>
      <c r="R19" s="108">
        <v>300</v>
      </c>
      <c r="S19" s="108">
        <v>300</v>
      </c>
      <c r="T19" s="108">
        <v>300</v>
      </c>
      <c r="U19" s="108">
        <v>300</v>
      </c>
      <c r="V19" s="108">
        <v>300</v>
      </c>
      <c r="W19" s="108">
        <v>300</v>
      </c>
      <c r="X19" s="108">
        <v>300</v>
      </c>
      <c r="Y19" s="108">
        <v>300</v>
      </c>
      <c r="Z19" s="108">
        <v>300</v>
      </c>
      <c r="AA19" s="108">
        <v>300</v>
      </c>
      <c r="AB19" s="108">
        <v>300</v>
      </c>
    </row>
    <row r="20" spans="1:28">
      <c r="A20" s="105" t="s">
        <v>817</v>
      </c>
      <c r="B20" s="108">
        <v>0</v>
      </c>
      <c r="C20" s="108">
        <v>0</v>
      </c>
      <c r="D20" s="108">
        <v>0</v>
      </c>
      <c r="E20" s="108">
        <v>0</v>
      </c>
      <c r="F20" s="127">
        <f>B20</f>
        <v>0</v>
      </c>
      <c r="G20" s="127">
        <f>C20</f>
        <v>0</v>
      </c>
      <c r="H20" s="127">
        <f>D20</f>
        <v>0</v>
      </c>
      <c r="I20" s="127">
        <f>E20</f>
        <v>0</v>
      </c>
      <c r="J20" s="127">
        <f t="shared" ref="J20:AB20" si="10">F20</f>
        <v>0</v>
      </c>
      <c r="K20" s="127">
        <f t="shared" si="10"/>
        <v>0</v>
      </c>
      <c r="L20" s="127">
        <f t="shared" si="10"/>
        <v>0</v>
      </c>
      <c r="M20" s="127">
        <f t="shared" si="10"/>
        <v>0</v>
      </c>
      <c r="N20" s="127">
        <f t="shared" si="10"/>
        <v>0</v>
      </c>
      <c r="O20" s="127">
        <f t="shared" si="10"/>
        <v>0</v>
      </c>
      <c r="P20" s="127">
        <f t="shared" si="10"/>
        <v>0</v>
      </c>
      <c r="Q20" s="127">
        <f t="shared" si="10"/>
        <v>0</v>
      </c>
      <c r="R20" s="127">
        <f t="shared" si="10"/>
        <v>0</v>
      </c>
      <c r="S20" s="127">
        <f t="shared" si="10"/>
        <v>0</v>
      </c>
      <c r="T20" s="127">
        <f t="shared" si="10"/>
        <v>0</v>
      </c>
      <c r="U20" s="127">
        <f t="shared" si="10"/>
        <v>0</v>
      </c>
      <c r="V20" s="127">
        <f t="shared" si="10"/>
        <v>0</v>
      </c>
      <c r="W20" s="127">
        <f t="shared" si="10"/>
        <v>0</v>
      </c>
      <c r="X20" s="127">
        <f t="shared" si="10"/>
        <v>0</v>
      </c>
      <c r="Y20" s="127">
        <f t="shared" si="10"/>
        <v>0</v>
      </c>
      <c r="Z20" s="127">
        <f t="shared" si="10"/>
        <v>0</v>
      </c>
      <c r="AA20" s="127">
        <f t="shared" si="10"/>
        <v>0</v>
      </c>
      <c r="AB20" s="127">
        <f t="shared" si="10"/>
        <v>0</v>
      </c>
    </row>
    <row r="21" spans="1:28">
      <c r="A21" s="105" t="s">
        <v>818</v>
      </c>
      <c r="B21" s="128">
        <v>0</v>
      </c>
      <c r="C21" s="128">
        <v>0</v>
      </c>
      <c r="D21" s="128">
        <v>0</v>
      </c>
      <c r="E21" s="128">
        <v>0</v>
      </c>
      <c r="F21" s="127">
        <f>E21</f>
        <v>0</v>
      </c>
      <c r="G21" s="129">
        <f>F21</f>
        <v>0</v>
      </c>
      <c r="H21" s="127">
        <f>G21</f>
        <v>0</v>
      </c>
      <c r="I21" s="127">
        <f>H21</f>
        <v>0</v>
      </c>
      <c r="J21" s="127">
        <f t="shared" ref="J21:AB21" si="11">I21</f>
        <v>0</v>
      </c>
      <c r="K21" s="127">
        <f t="shared" si="11"/>
        <v>0</v>
      </c>
      <c r="L21" s="129">
        <f t="shared" si="11"/>
        <v>0</v>
      </c>
      <c r="M21" s="129">
        <f t="shared" si="11"/>
        <v>0</v>
      </c>
      <c r="N21" s="129">
        <f t="shared" si="11"/>
        <v>0</v>
      </c>
      <c r="O21" s="129">
        <f t="shared" si="11"/>
        <v>0</v>
      </c>
      <c r="P21" s="129">
        <f t="shared" si="11"/>
        <v>0</v>
      </c>
      <c r="Q21" s="129">
        <f t="shared" si="11"/>
        <v>0</v>
      </c>
      <c r="R21" s="129">
        <f t="shared" si="11"/>
        <v>0</v>
      </c>
      <c r="S21" s="129">
        <f t="shared" si="11"/>
        <v>0</v>
      </c>
      <c r="T21" s="129">
        <f t="shared" si="11"/>
        <v>0</v>
      </c>
      <c r="U21" s="129">
        <f t="shared" si="11"/>
        <v>0</v>
      </c>
      <c r="V21" s="129">
        <f t="shared" si="11"/>
        <v>0</v>
      </c>
      <c r="W21" s="129">
        <f t="shared" si="11"/>
        <v>0</v>
      </c>
      <c r="X21" s="129">
        <f t="shared" si="11"/>
        <v>0</v>
      </c>
      <c r="Y21" s="129">
        <f t="shared" si="11"/>
        <v>0</v>
      </c>
      <c r="Z21" s="129">
        <f t="shared" si="11"/>
        <v>0</v>
      </c>
      <c r="AA21" s="129">
        <f t="shared" si="11"/>
        <v>0</v>
      </c>
      <c r="AB21" s="129">
        <f t="shared" si="11"/>
        <v>0</v>
      </c>
    </row>
    <row r="22" spans="1:28" ht="15.6" customHeight="1">
      <c r="A22" s="105" t="s">
        <v>819</v>
      </c>
      <c r="B22" s="130">
        <f t="shared" ref="B22:I22" si="12">SUM(B19:B20)-B21</f>
        <v>300</v>
      </c>
      <c r="C22" s="130">
        <f t="shared" si="12"/>
        <v>300</v>
      </c>
      <c r="D22" s="130">
        <f t="shared" si="12"/>
        <v>300</v>
      </c>
      <c r="E22" s="130">
        <f t="shared" si="12"/>
        <v>300</v>
      </c>
      <c r="F22" s="130">
        <f t="shared" si="12"/>
        <v>300</v>
      </c>
      <c r="G22" s="130">
        <f t="shared" si="12"/>
        <v>300</v>
      </c>
      <c r="H22" s="130">
        <f t="shared" si="12"/>
        <v>300</v>
      </c>
      <c r="I22" s="130">
        <f t="shared" si="12"/>
        <v>300</v>
      </c>
      <c r="J22" s="130">
        <f t="shared" ref="J22:AB22" si="13">SUM(J19:J20)-J21</f>
        <v>300</v>
      </c>
      <c r="K22" s="130">
        <f t="shared" si="13"/>
        <v>300</v>
      </c>
      <c r="L22" s="130">
        <f t="shared" si="13"/>
        <v>300</v>
      </c>
      <c r="M22" s="130">
        <f t="shared" si="13"/>
        <v>300</v>
      </c>
      <c r="N22" s="130">
        <f t="shared" si="13"/>
        <v>300</v>
      </c>
      <c r="O22" s="130">
        <f t="shared" si="13"/>
        <v>300</v>
      </c>
      <c r="P22" s="130">
        <f t="shared" si="13"/>
        <v>300</v>
      </c>
      <c r="Q22" s="130">
        <f t="shared" si="13"/>
        <v>300</v>
      </c>
      <c r="R22" s="130">
        <f t="shared" si="13"/>
        <v>300</v>
      </c>
      <c r="S22" s="130">
        <f t="shared" si="13"/>
        <v>300</v>
      </c>
      <c r="T22" s="130">
        <f t="shared" si="13"/>
        <v>300</v>
      </c>
      <c r="U22" s="130">
        <f t="shared" si="13"/>
        <v>300</v>
      </c>
      <c r="V22" s="130">
        <f t="shared" si="13"/>
        <v>300</v>
      </c>
      <c r="W22" s="130">
        <f t="shared" si="13"/>
        <v>300</v>
      </c>
      <c r="X22" s="130">
        <f t="shared" si="13"/>
        <v>300</v>
      </c>
      <c r="Y22" s="130">
        <f t="shared" si="13"/>
        <v>300</v>
      </c>
      <c r="Z22" s="130">
        <f t="shared" si="13"/>
        <v>300</v>
      </c>
      <c r="AA22" s="130">
        <f t="shared" si="13"/>
        <v>300</v>
      </c>
      <c r="AB22" s="130">
        <f t="shared" si="13"/>
        <v>300</v>
      </c>
    </row>
    <row r="23" spans="1:28">
      <c r="A23" s="131" t="s">
        <v>820</v>
      </c>
      <c r="B23" s="132">
        <f t="shared" ref="B23:AB23" si="14">B19+B20</f>
        <v>300</v>
      </c>
      <c r="C23" s="132">
        <f t="shared" si="14"/>
        <v>300</v>
      </c>
      <c r="D23" s="133">
        <f t="shared" si="14"/>
        <v>300</v>
      </c>
      <c r="E23" s="133">
        <f t="shared" si="14"/>
        <v>300</v>
      </c>
      <c r="F23" s="133">
        <f t="shared" si="14"/>
        <v>300</v>
      </c>
      <c r="G23" s="133">
        <f t="shared" si="14"/>
        <v>300</v>
      </c>
      <c r="H23" s="133">
        <f t="shared" si="14"/>
        <v>300</v>
      </c>
      <c r="I23" s="133">
        <f t="shared" si="14"/>
        <v>300</v>
      </c>
      <c r="J23" s="133">
        <f t="shared" si="14"/>
        <v>300</v>
      </c>
      <c r="K23" s="133">
        <f t="shared" si="14"/>
        <v>300</v>
      </c>
      <c r="L23" s="133">
        <f t="shared" si="14"/>
        <v>300</v>
      </c>
      <c r="M23" s="133">
        <f t="shared" si="14"/>
        <v>300</v>
      </c>
      <c r="N23" s="133">
        <f t="shared" si="14"/>
        <v>300</v>
      </c>
      <c r="O23" s="133">
        <f t="shared" si="14"/>
        <v>300</v>
      </c>
      <c r="P23" s="133">
        <f t="shared" si="14"/>
        <v>300</v>
      </c>
      <c r="Q23" s="133">
        <f t="shared" si="14"/>
        <v>300</v>
      </c>
      <c r="R23" s="133">
        <f t="shared" si="14"/>
        <v>300</v>
      </c>
      <c r="S23" s="133">
        <f t="shared" si="14"/>
        <v>300</v>
      </c>
      <c r="T23" s="133">
        <f t="shared" si="14"/>
        <v>300</v>
      </c>
      <c r="U23" s="133">
        <f t="shared" si="14"/>
        <v>300</v>
      </c>
      <c r="V23" s="133">
        <f t="shared" si="14"/>
        <v>300</v>
      </c>
      <c r="W23" s="133">
        <f t="shared" si="14"/>
        <v>300</v>
      </c>
      <c r="X23" s="133">
        <f t="shared" si="14"/>
        <v>300</v>
      </c>
      <c r="Y23" s="133">
        <f t="shared" si="14"/>
        <v>300</v>
      </c>
      <c r="Z23" s="133">
        <f t="shared" si="14"/>
        <v>300</v>
      </c>
      <c r="AA23" s="133">
        <f t="shared" si="14"/>
        <v>300</v>
      </c>
      <c r="AB23" s="133">
        <f t="shared" si="14"/>
        <v>300</v>
      </c>
    </row>
    <row r="24" spans="1:28" ht="16.350000000000001" customHeight="1">
      <c r="A24" s="126"/>
      <c r="B24" s="134">
        <f>B2</f>
        <v>2022</v>
      </c>
      <c r="C24" s="135">
        <f t="shared" ref="C24:E24" si="15">C2</f>
        <v>2023</v>
      </c>
      <c r="D24" s="135">
        <f t="shared" si="15"/>
        <v>2024</v>
      </c>
      <c r="E24" s="135">
        <f t="shared" si="15"/>
        <v>2025</v>
      </c>
      <c r="F24" s="136">
        <f>F2</f>
        <v>2026</v>
      </c>
      <c r="G24" s="135">
        <f t="shared" ref="G24:AB24" si="16">G2</f>
        <v>2027</v>
      </c>
      <c r="H24" s="135">
        <f t="shared" si="16"/>
        <v>2028</v>
      </c>
      <c r="I24" s="135">
        <f t="shared" si="16"/>
        <v>2029</v>
      </c>
      <c r="J24" s="135">
        <f t="shared" si="16"/>
        <v>2030</v>
      </c>
      <c r="K24" s="135">
        <f t="shared" si="16"/>
        <v>2031</v>
      </c>
      <c r="L24" s="135">
        <f t="shared" si="16"/>
        <v>2032</v>
      </c>
      <c r="M24" s="135">
        <f t="shared" si="16"/>
        <v>2033</v>
      </c>
      <c r="N24" s="135">
        <f t="shared" si="16"/>
        <v>2034</v>
      </c>
      <c r="O24" s="135">
        <f t="shared" si="16"/>
        <v>2035</v>
      </c>
      <c r="P24" s="135">
        <f t="shared" si="16"/>
        <v>2036</v>
      </c>
      <c r="Q24" s="135">
        <f t="shared" si="16"/>
        <v>2037</v>
      </c>
      <c r="R24" s="135">
        <f t="shared" si="16"/>
        <v>2038</v>
      </c>
      <c r="S24" s="135">
        <f t="shared" si="16"/>
        <v>2039</v>
      </c>
      <c r="T24" s="135">
        <f t="shared" si="16"/>
        <v>2040</v>
      </c>
      <c r="U24" s="135">
        <f t="shared" si="16"/>
        <v>2041</v>
      </c>
      <c r="V24" s="135">
        <f t="shared" si="16"/>
        <v>2042</v>
      </c>
      <c r="W24" s="135">
        <f t="shared" si="16"/>
        <v>2043</v>
      </c>
      <c r="X24" s="135">
        <f t="shared" si="16"/>
        <v>2044</v>
      </c>
      <c r="Y24" s="135">
        <f t="shared" si="16"/>
        <v>2045</v>
      </c>
      <c r="Z24" s="135">
        <f t="shared" si="16"/>
        <v>2046</v>
      </c>
      <c r="AA24" s="135">
        <f t="shared" si="16"/>
        <v>2047</v>
      </c>
      <c r="AB24" s="135">
        <f t="shared" si="16"/>
        <v>2048</v>
      </c>
    </row>
    <row r="25" spans="1:28">
      <c r="A25" s="126" t="s">
        <v>821</v>
      </c>
      <c r="B25" s="137">
        <f t="shared" ref="B25:AB25" si="17">B28+B29</f>
        <v>74286.94</v>
      </c>
      <c r="C25" s="130">
        <f t="shared" si="17"/>
        <v>81040.005237369478</v>
      </c>
      <c r="D25" s="130">
        <f t="shared" si="17"/>
        <v>87523.205656359074</v>
      </c>
      <c r="E25" s="130">
        <f>E28+E29</f>
        <v>94525.062108867787</v>
      </c>
      <c r="F25" s="130">
        <f t="shared" si="17"/>
        <v>102087.0670775772</v>
      </c>
      <c r="G25" s="130">
        <f t="shared" si="17"/>
        <v>110254.03244378339</v>
      </c>
      <c r="H25" s="130">
        <f t="shared" si="17"/>
        <v>119074.35503928611</v>
      </c>
      <c r="I25" s="130">
        <f t="shared" si="17"/>
        <v>128600.30344242899</v>
      </c>
      <c r="J25" s="130">
        <f t="shared" si="17"/>
        <v>138888.32771782333</v>
      </c>
      <c r="K25" s="130">
        <f t="shared" si="17"/>
        <v>149999.39393524922</v>
      </c>
      <c r="L25" s="130">
        <f t="shared" si="17"/>
        <v>161999.34545006917</v>
      </c>
      <c r="M25" s="130">
        <f t="shared" si="17"/>
        <v>174959.2930860747</v>
      </c>
      <c r="N25" s="130">
        <f t="shared" si="17"/>
        <v>188956.03653296069</v>
      </c>
      <c r="O25" s="130">
        <f t="shared" si="17"/>
        <v>204072.51945559756</v>
      </c>
      <c r="P25" s="130">
        <f t="shared" si="17"/>
        <v>220398.32101204537</v>
      </c>
      <c r="Q25" s="130">
        <f t="shared" si="17"/>
        <v>238030.18669300905</v>
      </c>
      <c r="R25" s="130">
        <f t="shared" si="17"/>
        <v>257072.60162844977</v>
      </c>
      <c r="S25" s="130">
        <f t="shared" si="17"/>
        <v>277638.40975872573</v>
      </c>
      <c r="T25" s="130">
        <f t="shared" si="17"/>
        <v>299849.4825394238</v>
      </c>
      <c r="U25" s="130">
        <f t="shared" si="17"/>
        <v>323837.44114257768</v>
      </c>
      <c r="V25" s="130">
        <f t="shared" si="17"/>
        <v>349744.43643398397</v>
      </c>
      <c r="W25" s="130">
        <f t="shared" si="17"/>
        <v>377723.99134870269</v>
      </c>
      <c r="X25" s="130">
        <f t="shared" si="17"/>
        <v>407941.91065659892</v>
      </c>
      <c r="Y25" s="130">
        <f t="shared" si="17"/>
        <v>440577.26350912685</v>
      </c>
      <c r="Z25" s="130">
        <f t="shared" si="17"/>
        <v>475823.44458985701</v>
      </c>
      <c r="AA25" s="130">
        <f t="shared" si="17"/>
        <v>513889.32015704567</v>
      </c>
      <c r="AB25" s="130">
        <f t="shared" si="17"/>
        <v>555000.46576960932</v>
      </c>
    </row>
    <row r="26" spans="1:28">
      <c r="A26" s="126" t="s">
        <v>822</v>
      </c>
      <c r="B26" s="137">
        <f t="shared" ref="B26:AB27" si="18">B8*B14</f>
        <v>20082.719999999998</v>
      </c>
      <c r="C26" s="130">
        <f t="shared" si="18"/>
        <v>18494.755728652213</v>
      </c>
      <c r="D26" s="130">
        <f t="shared" si="18"/>
        <v>19974.336186944394</v>
      </c>
      <c r="E26" s="130">
        <f>E8*E14</f>
        <v>21572.283081899943</v>
      </c>
      <c r="F26" s="130">
        <f t="shared" si="18"/>
        <v>23298.06572845194</v>
      </c>
      <c r="G26" s="130">
        <f t="shared" si="18"/>
        <v>25161.9109867281</v>
      </c>
      <c r="H26" s="130">
        <f t="shared" si="18"/>
        <v>27174.863865666353</v>
      </c>
      <c r="I26" s="130">
        <f t="shared" si="18"/>
        <v>29348.85297491966</v>
      </c>
      <c r="J26" s="130">
        <f t="shared" si="18"/>
        <v>31696.761212913236</v>
      </c>
      <c r="K26" s="130">
        <f t="shared" si="18"/>
        <v>34232.502109946297</v>
      </c>
      <c r="L26" s="130">
        <f t="shared" si="18"/>
        <v>36971.102278742008</v>
      </c>
      <c r="M26" s="130">
        <f t="shared" si="18"/>
        <v>39928.790461041368</v>
      </c>
      <c r="N26" s="130">
        <f t="shared" si="18"/>
        <v>43123.093697924684</v>
      </c>
      <c r="O26" s="130">
        <f t="shared" si="18"/>
        <v>46572.941193758663</v>
      </c>
      <c r="P26" s="130">
        <f t="shared" si="18"/>
        <v>50298.776489259355</v>
      </c>
      <c r="Q26" s="130">
        <f t="shared" si="18"/>
        <v>54322.678608400114</v>
      </c>
      <c r="R26" s="130">
        <f t="shared" si="18"/>
        <v>58668.492897072123</v>
      </c>
      <c r="S26" s="130">
        <f t="shared" si="18"/>
        <v>63361.972328837895</v>
      </c>
      <c r="T26" s="130">
        <f t="shared" si="18"/>
        <v>68430.930115144918</v>
      </c>
      <c r="U26" s="130">
        <f t="shared" si="18"/>
        <v>73905.404524356505</v>
      </c>
      <c r="V26" s="130">
        <f t="shared" si="18"/>
        <v>79817.836886305042</v>
      </c>
      <c r="W26" s="130">
        <f t="shared" si="18"/>
        <v>86203.263837209452</v>
      </c>
      <c r="X26" s="130">
        <f t="shared" si="18"/>
        <v>93099.524944186211</v>
      </c>
      <c r="Y26" s="130">
        <f t="shared" si="18"/>
        <v>100547.48693972112</v>
      </c>
      <c r="Z26" s="130">
        <f t="shared" si="18"/>
        <v>108591.28589489881</v>
      </c>
      <c r="AA26" s="130">
        <f t="shared" si="18"/>
        <v>117278.58876649072</v>
      </c>
      <c r="AB26" s="130">
        <f t="shared" si="18"/>
        <v>126660.87586780998</v>
      </c>
    </row>
    <row r="27" spans="1:28">
      <c r="A27" s="126" t="s">
        <v>823</v>
      </c>
      <c r="B27" s="137">
        <f t="shared" si="18"/>
        <v>0</v>
      </c>
      <c r="C27" s="130">
        <f t="shared" si="18"/>
        <v>0</v>
      </c>
      <c r="D27" s="130">
        <f t="shared" si="18"/>
        <v>0</v>
      </c>
      <c r="E27" s="130">
        <f t="shared" si="18"/>
        <v>0</v>
      </c>
      <c r="F27" s="130">
        <f t="shared" si="18"/>
        <v>0</v>
      </c>
      <c r="G27" s="130">
        <f t="shared" si="18"/>
        <v>0</v>
      </c>
      <c r="H27" s="130">
        <f t="shared" si="18"/>
        <v>0</v>
      </c>
      <c r="I27" s="130">
        <f t="shared" si="18"/>
        <v>0</v>
      </c>
      <c r="J27" s="130">
        <f t="shared" si="18"/>
        <v>0</v>
      </c>
      <c r="K27" s="130">
        <f t="shared" si="18"/>
        <v>0</v>
      </c>
      <c r="L27" s="130">
        <f t="shared" si="18"/>
        <v>0</v>
      </c>
      <c r="M27" s="130">
        <f t="shared" si="18"/>
        <v>0</v>
      </c>
      <c r="N27" s="130">
        <f t="shared" si="18"/>
        <v>0</v>
      </c>
      <c r="O27" s="130">
        <f t="shared" si="18"/>
        <v>0</v>
      </c>
      <c r="P27" s="130">
        <f t="shared" si="18"/>
        <v>0</v>
      </c>
      <c r="Q27" s="130">
        <f t="shared" si="18"/>
        <v>0</v>
      </c>
      <c r="R27" s="130">
        <f t="shared" si="18"/>
        <v>0</v>
      </c>
      <c r="S27" s="130">
        <f t="shared" si="18"/>
        <v>0</v>
      </c>
      <c r="T27" s="130">
        <f t="shared" si="18"/>
        <v>0</v>
      </c>
      <c r="U27" s="130">
        <f t="shared" si="18"/>
        <v>0</v>
      </c>
      <c r="V27" s="130">
        <f t="shared" si="18"/>
        <v>0</v>
      </c>
      <c r="W27" s="130">
        <f t="shared" si="18"/>
        <v>0</v>
      </c>
      <c r="X27" s="130">
        <f t="shared" si="18"/>
        <v>0</v>
      </c>
      <c r="Y27" s="130">
        <f t="shared" si="18"/>
        <v>0</v>
      </c>
      <c r="Z27" s="130">
        <f t="shared" si="18"/>
        <v>0</v>
      </c>
      <c r="AA27" s="130">
        <f t="shared" si="18"/>
        <v>0</v>
      </c>
      <c r="AB27" s="130">
        <f t="shared" si="18"/>
        <v>0</v>
      </c>
    </row>
    <row r="28" spans="1:28">
      <c r="A28" s="126" t="s">
        <v>824</v>
      </c>
      <c r="B28" s="137">
        <f t="shared" ref="B28:AB28" si="19">(B7*B37)*B16</f>
        <v>74286.94</v>
      </c>
      <c r="C28" s="130">
        <f t="shared" si="19"/>
        <v>81040.005237369478</v>
      </c>
      <c r="D28" s="130">
        <f t="shared" si="19"/>
        <v>87523.205656359074</v>
      </c>
      <c r="E28" s="130">
        <f>(E7*E37)*E16</f>
        <v>94525.062108867787</v>
      </c>
      <c r="F28" s="130">
        <f t="shared" si="19"/>
        <v>102087.0670775772</v>
      </c>
      <c r="G28" s="130">
        <f t="shared" si="19"/>
        <v>110254.03244378339</v>
      </c>
      <c r="H28" s="130">
        <f t="shared" si="19"/>
        <v>119074.35503928611</v>
      </c>
      <c r="I28" s="130">
        <f t="shared" si="19"/>
        <v>128600.30344242899</v>
      </c>
      <c r="J28" s="130">
        <f t="shared" si="19"/>
        <v>138888.32771782333</v>
      </c>
      <c r="K28" s="130">
        <f t="shared" si="19"/>
        <v>149999.39393524922</v>
      </c>
      <c r="L28" s="130">
        <f t="shared" si="19"/>
        <v>161999.34545006917</v>
      </c>
      <c r="M28" s="130">
        <f t="shared" si="19"/>
        <v>174959.2930860747</v>
      </c>
      <c r="N28" s="130">
        <f t="shared" si="19"/>
        <v>188956.03653296069</v>
      </c>
      <c r="O28" s="130">
        <f t="shared" si="19"/>
        <v>204072.51945559756</v>
      </c>
      <c r="P28" s="130">
        <f t="shared" si="19"/>
        <v>220398.32101204537</v>
      </c>
      <c r="Q28" s="130">
        <f t="shared" si="19"/>
        <v>238030.18669300905</v>
      </c>
      <c r="R28" s="130">
        <f t="shared" si="19"/>
        <v>257072.60162844977</v>
      </c>
      <c r="S28" s="130">
        <f t="shared" si="19"/>
        <v>277638.40975872573</v>
      </c>
      <c r="T28" s="130">
        <f t="shared" si="19"/>
        <v>299849.4825394238</v>
      </c>
      <c r="U28" s="130">
        <f t="shared" si="19"/>
        <v>323837.44114257768</v>
      </c>
      <c r="V28" s="130">
        <f t="shared" si="19"/>
        <v>349744.43643398397</v>
      </c>
      <c r="W28" s="130">
        <f t="shared" si="19"/>
        <v>377723.99134870269</v>
      </c>
      <c r="X28" s="130">
        <f t="shared" si="19"/>
        <v>407941.91065659892</v>
      </c>
      <c r="Y28" s="130">
        <f t="shared" si="19"/>
        <v>440577.26350912685</v>
      </c>
      <c r="Z28" s="130">
        <f t="shared" si="19"/>
        <v>475823.44458985701</v>
      </c>
      <c r="AA28" s="130">
        <f t="shared" si="19"/>
        <v>513889.32015704567</v>
      </c>
      <c r="AB28" s="130">
        <f t="shared" si="19"/>
        <v>555000.46576960932</v>
      </c>
    </row>
    <row r="29" spans="1:28">
      <c r="A29" s="126" t="s">
        <v>825</v>
      </c>
      <c r="B29" s="138">
        <f t="shared" ref="B29:AB29" si="20">((1-B37)*B7)*B17</f>
        <v>0</v>
      </c>
      <c r="C29" s="139">
        <f t="shared" si="20"/>
        <v>0</v>
      </c>
      <c r="D29" s="139">
        <f t="shared" si="20"/>
        <v>0</v>
      </c>
      <c r="E29" s="139">
        <f t="shared" si="20"/>
        <v>0</v>
      </c>
      <c r="F29" s="130">
        <f t="shared" si="20"/>
        <v>0</v>
      </c>
      <c r="G29" s="139">
        <f t="shared" si="20"/>
        <v>0</v>
      </c>
      <c r="H29" s="139">
        <f t="shared" si="20"/>
        <v>0</v>
      </c>
      <c r="I29" s="139">
        <f t="shared" si="20"/>
        <v>0</v>
      </c>
      <c r="J29" s="139">
        <f t="shared" si="20"/>
        <v>0</v>
      </c>
      <c r="K29" s="139">
        <f t="shared" si="20"/>
        <v>0</v>
      </c>
      <c r="L29" s="139">
        <f t="shared" si="20"/>
        <v>0</v>
      </c>
      <c r="M29" s="139">
        <f t="shared" si="20"/>
        <v>0</v>
      </c>
      <c r="N29" s="139">
        <f t="shared" si="20"/>
        <v>0</v>
      </c>
      <c r="O29" s="139">
        <f t="shared" si="20"/>
        <v>0</v>
      </c>
      <c r="P29" s="139">
        <f t="shared" si="20"/>
        <v>0</v>
      </c>
      <c r="Q29" s="139">
        <f t="shared" si="20"/>
        <v>0</v>
      </c>
      <c r="R29" s="139">
        <f t="shared" si="20"/>
        <v>0</v>
      </c>
      <c r="S29" s="139">
        <f t="shared" si="20"/>
        <v>0</v>
      </c>
      <c r="T29" s="139">
        <f t="shared" si="20"/>
        <v>0</v>
      </c>
      <c r="U29" s="139">
        <f t="shared" si="20"/>
        <v>0</v>
      </c>
      <c r="V29" s="139">
        <f t="shared" si="20"/>
        <v>0</v>
      </c>
      <c r="W29" s="139">
        <f t="shared" si="20"/>
        <v>0</v>
      </c>
      <c r="X29" s="139">
        <f t="shared" si="20"/>
        <v>0</v>
      </c>
      <c r="Y29" s="139">
        <f t="shared" si="20"/>
        <v>0</v>
      </c>
      <c r="Z29" s="139">
        <f t="shared" si="20"/>
        <v>0</v>
      </c>
      <c r="AA29" s="139">
        <f t="shared" si="20"/>
        <v>0</v>
      </c>
      <c r="AB29" s="139">
        <f t="shared" si="20"/>
        <v>0</v>
      </c>
    </row>
    <row r="30" spans="1:28" ht="19.350000000000001" customHeight="1">
      <c r="A30" s="140" t="s">
        <v>826</v>
      </c>
      <c r="B30" s="141">
        <f t="shared" ref="B30:I30" si="21">SUM(B25:B27)/B12</f>
        <v>7.7011310592459612</v>
      </c>
      <c r="C30" s="141">
        <f t="shared" si="21"/>
        <v>7.7755999999999998</v>
      </c>
      <c r="D30" s="141">
        <f t="shared" si="21"/>
        <v>7.7755999999999998</v>
      </c>
      <c r="E30" s="141">
        <f t="shared" si="21"/>
        <v>7.775599999999999</v>
      </c>
      <c r="F30" s="141">
        <f t="shared" si="21"/>
        <v>7.775599999999999</v>
      </c>
      <c r="G30" s="141">
        <f t="shared" si="21"/>
        <v>7.775599999999999</v>
      </c>
      <c r="H30" s="141">
        <f t="shared" si="21"/>
        <v>7.7755999999999998</v>
      </c>
      <c r="I30" s="141">
        <f t="shared" si="21"/>
        <v>7.775599999999999</v>
      </c>
      <c r="J30" s="141">
        <f t="shared" ref="J30:AB30" si="22">SUM(J25:J27)/J12</f>
        <v>7.775599999999999</v>
      </c>
      <c r="K30" s="141">
        <f t="shared" si="22"/>
        <v>7.7756000000000007</v>
      </c>
      <c r="L30" s="141">
        <f t="shared" si="22"/>
        <v>7.7756000000000007</v>
      </c>
      <c r="M30" s="141">
        <f t="shared" si="22"/>
        <v>7.7755999999999998</v>
      </c>
      <c r="N30" s="141">
        <f t="shared" si="22"/>
        <v>7.7755999999999998</v>
      </c>
      <c r="O30" s="141">
        <f t="shared" si="22"/>
        <v>7.775599999999999</v>
      </c>
      <c r="P30" s="141">
        <f t="shared" si="22"/>
        <v>7.775599999999999</v>
      </c>
      <c r="Q30" s="141">
        <f t="shared" si="22"/>
        <v>7.7755999999999998</v>
      </c>
      <c r="R30" s="141">
        <f t="shared" si="22"/>
        <v>7.7756000000000007</v>
      </c>
      <c r="S30" s="141">
        <f t="shared" si="22"/>
        <v>7.775599999999999</v>
      </c>
      <c r="T30" s="141">
        <f t="shared" si="22"/>
        <v>7.7755999999999998</v>
      </c>
      <c r="U30" s="141">
        <f t="shared" si="22"/>
        <v>7.775599999999999</v>
      </c>
      <c r="V30" s="141">
        <f t="shared" si="22"/>
        <v>7.7755999999999998</v>
      </c>
      <c r="W30" s="141">
        <f t="shared" si="22"/>
        <v>7.7756000000000007</v>
      </c>
      <c r="X30" s="141">
        <f t="shared" si="22"/>
        <v>7.7755999999999998</v>
      </c>
      <c r="Y30" s="141">
        <f t="shared" si="22"/>
        <v>7.7756000000000007</v>
      </c>
      <c r="Z30" s="141">
        <f t="shared" si="22"/>
        <v>7.7755999999999998</v>
      </c>
      <c r="AA30" s="141">
        <f t="shared" si="22"/>
        <v>7.7756000000000007</v>
      </c>
      <c r="AB30" s="141">
        <f t="shared" si="22"/>
        <v>7.7755999999999998</v>
      </c>
    </row>
    <row r="31" spans="1:28">
      <c r="A31" s="142" t="s">
        <v>827</v>
      </c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1</v>
      </c>
      <c r="K31" s="143">
        <v>2</v>
      </c>
      <c r="L31" s="143">
        <v>3</v>
      </c>
      <c r="M31" s="143">
        <v>4</v>
      </c>
      <c r="N31" s="143">
        <v>5</v>
      </c>
      <c r="O31" s="143">
        <v>6</v>
      </c>
      <c r="P31" s="143">
        <v>7</v>
      </c>
      <c r="Q31" s="143">
        <v>8</v>
      </c>
      <c r="R31" s="143">
        <v>9</v>
      </c>
      <c r="S31" s="143">
        <v>10</v>
      </c>
      <c r="T31" s="143">
        <v>11</v>
      </c>
      <c r="U31" s="143">
        <v>12</v>
      </c>
      <c r="V31" s="143">
        <v>13</v>
      </c>
      <c r="W31" s="143">
        <v>14</v>
      </c>
      <c r="X31" s="143">
        <v>15</v>
      </c>
      <c r="Y31" s="143">
        <v>16</v>
      </c>
      <c r="Z31" s="143">
        <v>17</v>
      </c>
      <c r="AA31" s="143">
        <v>18</v>
      </c>
      <c r="AB31" s="143">
        <v>19</v>
      </c>
    </row>
    <row r="32" spans="1:28">
      <c r="A32" s="126" t="s">
        <v>828</v>
      </c>
      <c r="B32" s="144" t="e">
        <f t="shared" ref="B32:AB32" si="23">MIN((B26/(B20*B4)),B31)</f>
        <v>#DIV/0!</v>
      </c>
      <c r="C32" s="144" t="e">
        <f t="shared" si="23"/>
        <v>#DIV/0!</v>
      </c>
      <c r="D32" s="145" t="e">
        <f t="shared" si="23"/>
        <v>#DIV/0!</v>
      </c>
      <c r="E32" s="144" t="e">
        <f t="shared" si="23"/>
        <v>#DIV/0!</v>
      </c>
      <c r="F32" s="144" t="e">
        <f t="shared" si="23"/>
        <v>#DIV/0!</v>
      </c>
      <c r="G32" s="146" t="e">
        <f t="shared" si="23"/>
        <v>#DIV/0!</v>
      </c>
      <c r="H32" s="144" t="e">
        <f>MIN((H26/(H20*H4)),H31)</f>
        <v>#DIV/0!</v>
      </c>
      <c r="I32" s="144" t="e">
        <f t="shared" si="23"/>
        <v>#DIV/0!</v>
      </c>
      <c r="J32" s="144" t="e">
        <f t="shared" si="23"/>
        <v>#DIV/0!</v>
      </c>
      <c r="K32" s="144" t="e">
        <f t="shared" si="23"/>
        <v>#DIV/0!</v>
      </c>
      <c r="L32" s="146" t="e">
        <f t="shared" si="23"/>
        <v>#DIV/0!</v>
      </c>
      <c r="M32" s="146" t="e">
        <f t="shared" si="23"/>
        <v>#DIV/0!</v>
      </c>
      <c r="N32" s="146" t="e">
        <f t="shared" si="23"/>
        <v>#DIV/0!</v>
      </c>
      <c r="O32" s="146" t="e">
        <f t="shared" si="23"/>
        <v>#DIV/0!</v>
      </c>
      <c r="P32" s="146" t="e">
        <f t="shared" si="23"/>
        <v>#DIV/0!</v>
      </c>
      <c r="Q32" s="146" t="e">
        <f t="shared" si="23"/>
        <v>#DIV/0!</v>
      </c>
      <c r="R32" s="146" t="e">
        <f t="shared" si="23"/>
        <v>#DIV/0!</v>
      </c>
      <c r="S32" s="146" t="e">
        <f t="shared" si="23"/>
        <v>#DIV/0!</v>
      </c>
      <c r="T32" s="146" t="e">
        <f t="shared" si="23"/>
        <v>#DIV/0!</v>
      </c>
      <c r="U32" s="146" t="e">
        <f t="shared" si="23"/>
        <v>#DIV/0!</v>
      </c>
      <c r="V32" s="146" t="e">
        <f t="shared" si="23"/>
        <v>#DIV/0!</v>
      </c>
      <c r="W32" s="146" t="e">
        <f t="shared" si="23"/>
        <v>#DIV/0!</v>
      </c>
      <c r="X32" s="146" t="e">
        <f t="shared" si="23"/>
        <v>#DIV/0!</v>
      </c>
      <c r="Y32" s="146" t="e">
        <f t="shared" si="23"/>
        <v>#DIV/0!</v>
      </c>
      <c r="Z32" s="146" t="e">
        <f t="shared" si="23"/>
        <v>#DIV/0!</v>
      </c>
      <c r="AA32" s="146" t="e">
        <f t="shared" si="23"/>
        <v>#DIV/0!</v>
      </c>
      <c r="AB32" s="146" t="e">
        <f t="shared" si="23"/>
        <v>#DIV/0!</v>
      </c>
    </row>
    <row r="33" spans="1:28">
      <c r="A33" s="126" t="s">
        <v>829</v>
      </c>
      <c r="B33" s="144">
        <f t="shared" ref="B33:AB33" si="24">(B25+B27+(B34*B14))/(B22*B4)</f>
        <v>0.86419102564102568</v>
      </c>
      <c r="C33" s="144">
        <f t="shared" si="24"/>
        <v>0.91149048503682861</v>
      </c>
      <c r="D33" s="145">
        <f t="shared" si="24"/>
        <v>0.98440972383977532</v>
      </c>
      <c r="E33" s="144">
        <f t="shared" si="24"/>
        <v>1.0631625017469573</v>
      </c>
      <c r="F33" s="144">
        <f t="shared" si="24"/>
        <v>1.1482155018867137</v>
      </c>
      <c r="G33" s="146">
        <f t="shared" si="24"/>
        <v>1.2400727420376509</v>
      </c>
      <c r="H33" s="144">
        <f t="shared" si="24"/>
        <v>1.3392785614006635</v>
      </c>
      <c r="I33" s="144">
        <f t="shared" si="24"/>
        <v>1.4464208463127166</v>
      </c>
      <c r="J33" s="144">
        <f t="shared" si="24"/>
        <v>1.5621345140177341</v>
      </c>
      <c r="K33" s="144">
        <f t="shared" si="24"/>
        <v>1.6871052751391531</v>
      </c>
      <c r="L33" s="146">
        <f t="shared" si="24"/>
        <v>1.8220736971502856</v>
      </c>
      <c r="M33" s="146">
        <f t="shared" si="24"/>
        <v>1.9678395929223085</v>
      </c>
      <c r="N33" s="146">
        <f t="shared" si="24"/>
        <v>2.1252667603560931</v>
      </c>
      <c r="O33" s="146">
        <f t="shared" si="24"/>
        <v>2.2952881011845809</v>
      </c>
      <c r="P33" s="146">
        <f t="shared" si="24"/>
        <v>2.4789111492793472</v>
      </c>
      <c r="Q33" s="146">
        <f t="shared" si="24"/>
        <v>2.6772240412216957</v>
      </c>
      <c r="R33" s="146">
        <f t="shared" si="24"/>
        <v>2.8914019645194315</v>
      </c>
      <c r="S33" s="146">
        <f t="shared" si="24"/>
        <v>3.1227141216809855</v>
      </c>
      <c r="T33" s="146">
        <f t="shared" si="24"/>
        <v>3.3725312514154644</v>
      </c>
      <c r="U33" s="146">
        <f t="shared" si="24"/>
        <v>3.6423337515287009</v>
      </c>
      <c r="V33" s="146">
        <f t="shared" si="24"/>
        <v>3.933720451650998</v>
      </c>
      <c r="W33" s="146">
        <f t="shared" si="24"/>
        <v>4.2484180877830777</v>
      </c>
      <c r="X33" s="146">
        <f t="shared" si="24"/>
        <v>4.5882915348057249</v>
      </c>
      <c r="Y33" s="146">
        <f t="shared" si="24"/>
        <v>4.9553548575901836</v>
      </c>
      <c r="Z33" s="146">
        <f t="shared" si="24"/>
        <v>5.3517832461973978</v>
      </c>
      <c r="AA33" s="146">
        <f t="shared" si="24"/>
        <v>5.7799259058931911</v>
      </c>
      <c r="AB33" s="146">
        <f t="shared" si="24"/>
        <v>6.2423199783646455</v>
      </c>
    </row>
    <row r="34" spans="1:28">
      <c r="A34" s="147" t="s">
        <v>830</v>
      </c>
      <c r="B34" s="147">
        <f t="shared" ref="B34:AB34" si="25">MAX(B26-(B4*B20*B31),0)/B14</f>
        <v>3336</v>
      </c>
      <c r="C34" s="147">
        <f t="shared" si="25"/>
        <v>3072.2185595767796</v>
      </c>
      <c r="D34" s="148">
        <f t="shared" si="25"/>
        <v>3317.9960443429227</v>
      </c>
      <c r="E34" s="147">
        <f t="shared" si="25"/>
        <v>3583.4357278903562</v>
      </c>
      <c r="F34" s="147">
        <f t="shared" si="25"/>
        <v>3870.1105861215851</v>
      </c>
      <c r="G34" s="149">
        <f t="shared" si="25"/>
        <v>4179.7194330113125</v>
      </c>
      <c r="H34" s="147">
        <f t="shared" si="25"/>
        <v>4514.0969876522186</v>
      </c>
      <c r="I34" s="147">
        <f t="shared" si="25"/>
        <v>4875.2247466643958</v>
      </c>
      <c r="J34" s="147">
        <f t="shared" si="25"/>
        <v>5265.2427263975478</v>
      </c>
      <c r="K34" s="147">
        <f t="shared" si="25"/>
        <v>5686.4621445093526</v>
      </c>
      <c r="L34" s="149">
        <f t="shared" si="25"/>
        <v>6141.3791160701012</v>
      </c>
      <c r="M34" s="149">
        <f t="shared" si="25"/>
        <v>6632.6894453557097</v>
      </c>
      <c r="N34" s="149">
        <f t="shared" si="25"/>
        <v>7163.3046009841673</v>
      </c>
      <c r="O34" s="149">
        <f t="shared" si="25"/>
        <v>7736.3689690629017</v>
      </c>
      <c r="P34" s="149">
        <f t="shared" si="25"/>
        <v>8355.278486587933</v>
      </c>
      <c r="Q34" s="149">
        <f t="shared" si="25"/>
        <v>9023.70076551497</v>
      </c>
      <c r="R34" s="149">
        <f t="shared" si="25"/>
        <v>9745.5968267561675</v>
      </c>
      <c r="S34" s="149">
        <f t="shared" si="25"/>
        <v>10525.244572896661</v>
      </c>
      <c r="T34" s="149">
        <f t="shared" si="25"/>
        <v>11367.264138728393</v>
      </c>
      <c r="U34" s="149">
        <f t="shared" si="25"/>
        <v>12276.645269826662</v>
      </c>
      <c r="V34" s="149">
        <f t="shared" si="25"/>
        <v>13258.776891412799</v>
      </c>
      <c r="W34" s="149">
        <f t="shared" si="25"/>
        <v>14319.479042725823</v>
      </c>
      <c r="X34" s="149">
        <f t="shared" si="25"/>
        <v>15465.03736614389</v>
      </c>
      <c r="Y34" s="149">
        <f t="shared" si="25"/>
        <v>16702.240355435402</v>
      </c>
      <c r="Z34" s="149">
        <f t="shared" si="25"/>
        <v>18038.419583870236</v>
      </c>
      <c r="AA34" s="149">
        <f t="shared" si="25"/>
        <v>19481.493150579856</v>
      </c>
      <c r="AB34" s="149">
        <f t="shared" si="25"/>
        <v>21040.012602626244</v>
      </c>
    </row>
    <row r="35" spans="1:28" s="154" customFormat="1" ht="7.5" customHeight="1">
      <c r="A35" s="150" t="s">
        <v>831</v>
      </c>
      <c r="B35" s="151">
        <f>B34/B4</f>
        <v>9.1648351648351642</v>
      </c>
      <c r="C35" s="151">
        <f t="shared" ref="C35:AB35" si="26">C34/C4*C14</f>
        <v>50.809768485308268</v>
      </c>
      <c r="D35" s="151">
        <f t="shared" si="26"/>
        <v>54.874549964132953</v>
      </c>
      <c r="E35" s="152">
        <f t="shared" si="26"/>
        <v>59.264513961263575</v>
      </c>
      <c r="F35" s="152">
        <f t="shared" si="26"/>
        <v>64.005675078164671</v>
      </c>
      <c r="G35" s="151">
        <f t="shared" si="26"/>
        <v>69.126129084417855</v>
      </c>
      <c r="H35" s="151">
        <f t="shared" si="26"/>
        <v>74.656219411171293</v>
      </c>
      <c r="I35" s="153">
        <f t="shared" si="26"/>
        <v>80.628716964064992</v>
      </c>
      <c r="J35" s="153">
        <f t="shared" si="26"/>
        <v>87.079014321190201</v>
      </c>
      <c r="K35" s="153">
        <f t="shared" si="26"/>
        <v>94.045335466885447</v>
      </c>
      <c r="L35" s="151">
        <f t="shared" si="26"/>
        <v>101.56896230423628</v>
      </c>
      <c r="M35" s="151">
        <f t="shared" si="26"/>
        <v>109.6944792885752</v>
      </c>
      <c r="N35" s="151">
        <f t="shared" si="26"/>
        <v>118.47003763166123</v>
      </c>
      <c r="O35" s="151">
        <f t="shared" si="26"/>
        <v>127.94764064219413</v>
      </c>
      <c r="P35" s="151">
        <f t="shared" si="26"/>
        <v>138.18345189356964</v>
      </c>
      <c r="Q35" s="151">
        <f t="shared" si="26"/>
        <v>149.23812804505528</v>
      </c>
      <c r="R35" s="151">
        <f t="shared" si="26"/>
        <v>161.17717828865969</v>
      </c>
      <c r="S35" s="151">
        <f t="shared" si="26"/>
        <v>174.07135255175245</v>
      </c>
      <c r="T35" s="151">
        <f t="shared" si="26"/>
        <v>187.99706075589265</v>
      </c>
      <c r="U35" s="151">
        <f t="shared" si="26"/>
        <v>203.03682561636401</v>
      </c>
      <c r="V35" s="151">
        <f t="shared" si="26"/>
        <v>219.2797716656732</v>
      </c>
      <c r="W35" s="151">
        <f t="shared" si="26"/>
        <v>236.82215339892704</v>
      </c>
      <c r="X35" s="151">
        <f t="shared" si="26"/>
        <v>255.76792567084121</v>
      </c>
      <c r="Y35" s="151">
        <f t="shared" si="26"/>
        <v>276.22935972450858</v>
      </c>
      <c r="Z35" s="151">
        <f t="shared" si="26"/>
        <v>298.32770850246925</v>
      </c>
      <c r="AA35" s="151">
        <f t="shared" si="26"/>
        <v>322.19392518266682</v>
      </c>
      <c r="AB35" s="151">
        <f t="shared" si="26"/>
        <v>347.96943919728017</v>
      </c>
    </row>
    <row r="36" spans="1:28" ht="7.5" customHeight="1">
      <c r="A36" s="116"/>
      <c r="B36" s="155"/>
      <c r="C36" s="155"/>
      <c r="D36" s="155"/>
      <c r="E36" s="111"/>
      <c r="F36" s="111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</row>
    <row r="37" spans="1:28">
      <c r="A37" s="103" t="s">
        <v>832</v>
      </c>
      <c r="B37" s="156">
        <v>1</v>
      </c>
      <c r="C37" s="156">
        <v>1</v>
      </c>
      <c r="D37" s="156">
        <v>1</v>
      </c>
      <c r="E37" s="156">
        <v>1</v>
      </c>
      <c r="F37" s="156">
        <f>B37</f>
        <v>1</v>
      </c>
      <c r="G37" s="156">
        <f>C37</f>
        <v>1</v>
      </c>
      <c r="H37" s="156">
        <f>D37</f>
        <v>1</v>
      </c>
      <c r="I37" s="156">
        <f>E37</f>
        <v>1</v>
      </c>
      <c r="J37" s="156">
        <f t="shared" ref="J37:AB37" si="27">F37</f>
        <v>1</v>
      </c>
      <c r="K37" s="156">
        <f t="shared" si="27"/>
        <v>1</v>
      </c>
      <c r="L37" s="156">
        <f t="shared" si="27"/>
        <v>1</v>
      </c>
      <c r="M37" s="156">
        <f t="shared" si="27"/>
        <v>1</v>
      </c>
      <c r="N37" s="156">
        <f t="shared" si="27"/>
        <v>1</v>
      </c>
      <c r="O37" s="156">
        <f t="shared" si="27"/>
        <v>1</v>
      </c>
      <c r="P37" s="156">
        <f t="shared" si="27"/>
        <v>1</v>
      </c>
      <c r="Q37" s="156">
        <f t="shared" si="27"/>
        <v>1</v>
      </c>
      <c r="R37" s="156">
        <f t="shared" si="27"/>
        <v>1</v>
      </c>
      <c r="S37" s="156">
        <f t="shared" si="27"/>
        <v>1</v>
      </c>
      <c r="T37" s="156">
        <f t="shared" si="27"/>
        <v>1</v>
      </c>
      <c r="U37" s="156">
        <f t="shared" si="27"/>
        <v>1</v>
      </c>
      <c r="V37" s="156">
        <f t="shared" si="27"/>
        <v>1</v>
      </c>
      <c r="W37" s="156">
        <f t="shared" si="27"/>
        <v>1</v>
      </c>
      <c r="X37" s="156">
        <f t="shared" si="27"/>
        <v>1</v>
      </c>
      <c r="Y37" s="156">
        <f t="shared" si="27"/>
        <v>1</v>
      </c>
      <c r="Z37" s="156">
        <f t="shared" si="27"/>
        <v>1</v>
      </c>
      <c r="AA37" s="156">
        <f t="shared" si="27"/>
        <v>1</v>
      </c>
      <c r="AB37" s="156">
        <f t="shared" si="27"/>
        <v>1</v>
      </c>
    </row>
    <row r="38" spans="1:28" ht="6" customHeight="1">
      <c r="A38" s="105"/>
      <c r="B38" s="105"/>
      <c r="C38" s="105"/>
      <c r="D38" s="126"/>
      <c r="E38" s="105"/>
      <c r="F38" s="105"/>
      <c r="G38" s="104"/>
      <c r="H38" s="105"/>
      <c r="I38" s="105"/>
      <c r="J38" s="105"/>
      <c r="K38" s="105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</row>
    <row r="39" spans="1:28">
      <c r="A39" s="105" t="s">
        <v>833</v>
      </c>
      <c r="B39" s="157">
        <v>0.85</v>
      </c>
      <c r="C39" s="157">
        <v>0.85</v>
      </c>
      <c r="D39" s="157">
        <v>0.85</v>
      </c>
      <c r="E39" s="157">
        <v>0.85</v>
      </c>
      <c r="F39" s="157">
        <f t="shared" ref="F39:U41" si="28">B39</f>
        <v>0.85</v>
      </c>
      <c r="G39" s="157">
        <f t="shared" si="28"/>
        <v>0.85</v>
      </c>
      <c r="H39" s="157">
        <f t="shared" si="28"/>
        <v>0.85</v>
      </c>
      <c r="I39" s="157">
        <f t="shared" si="28"/>
        <v>0.85</v>
      </c>
      <c r="J39" s="157">
        <f t="shared" si="28"/>
        <v>0.85</v>
      </c>
      <c r="K39" s="157">
        <f t="shared" si="28"/>
        <v>0.85</v>
      </c>
      <c r="L39" s="157">
        <f t="shared" si="28"/>
        <v>0.85</v>
      </c>
      <c r="M39" s="157">
        <f t="shared" si="28"/>
        <v>0.85</v>
      </c>
      <c r="N39" s="157">
        <f t="shared" si="28"/>
        <v>0.85</v>
      </c>
      <c r="O39" s="157">
        <f t="shared" si="28"/>
        <v>0.85</v>
      </c>
      <c r="P39" s="157">
        <f t="shared" si="28"/>
        <v>0.85</v>
      </c>
      <c r="Q39" s="157">
        <f t="shared" si="28"/>
        <v>0.85</v>
      </c>
      <c r="R39" s="157">
        <f t="shared" si="28"/>
        <v>0.85</v>
      </c>
      <c r="S39" s="157">
        <f t="shared" si="28"/>
        <v>0.85</v>
      </c>
      <c r="T39" s="157">
        <f t="shared" si="28"/>
        <v>0.85</v>
      </c>
      <c r="U39" s="157">
        <f t="shared" si="28"/>
        <v>0.85</v>
      </c>
      <c r="V39" s="157">
        <f t="shared" ref="V39:AB41" si="29">R39</f>
        <v>0.85</v>
      </c>
      <c r="W39" s="157">
        <f t="shared" si="29"/>
        <v>0.85</v>
      </c>
      <c r="X39" s="157">
        <f t="shared" si="29"/>
        <v>0.85</v>
      </c>
      <c r="Y39" s="157">
        <f t="shared" si="29"/>
        <v>0.85</v>
      </c>
      <c r="Z39" s="157">
        <f t="shared" si="29"/>
        <v>0.85</v>
      </c>
      <c r="AA39" s="157">
        <f t="shared" si="29"/>
        <v>0.85</v>
      </c>
      <c r="AB39" s="157">
        <f t="shared" si="29"/>
        <v>0.85</v>
      </c>
    </row>
    <row r="40" spans="1:28">
      <c r="A40" s="105" t="s">
        <v>834</v>
      </c>
      <c r="B40" s="157">
        <v>0.85</v>
      </c>
      <c r="C40" s="157">
        <v>0.85</v>
      </c>
      <c r="D40" s="157">
        <v>0.85</v>
      </c>
      <c r="E40" s="157">
        <v>0.85</v>
      </c>
      <c r="F40" s="157">
        <f t="shared" si="28"/>
        <v>0.85</v>
      </c>
      <c r="G40" s="157">
        <f t="shared" si="28"/>
        <v>0.85</v>
      </c>
      <c r="H40" s="157">
        <f t="shared" si="28"/>
        <v>0.85</v>
      </c>
      <c r="I40" s="157">
        <f t="shared" si="28"/>
        <v>0.85</v>
      </c>
      <c r="J40" s="157">
        <f t="shared" si="28"/>
        <v>0.85</v>
      </c>
      <c r="K40" s="157">
        <f t="shared" si="28"/>
        <v>0.85</v>
      </c>
      <c r="L40" s="157">
        <f t="shared" si="28"/>
        <v>0.85</v>
      </c>
      <c r="M40" s="157">
        <f t="shared" si="28"/>
        <v>0.85</v>
      </c>
      <c r="N40" s="157">
        <f t="shared" si="28"/>
        <v>0.85</v>
      </c>
      <c r="O40" s="157">
        <f t="shared" si="28"/>
        <v>0.85</v>
      </c>
      <c r="P40" s="157">
        <f t="shared" si="28"/>
        <v>0.85</v>
      </c>
      <c r="Q40" s="157">
        <f t="shared" si="28"/>
        <v>0.85</v>
      </c>
      <c r="R40" s="157">
        <f t="shared" si="28"/>
        <v>0.85</v>
      </c>
      <c r="S40" s="157">
        <f t="shared" si="28"/>
        <v>0.85</v>
      </c>
      <c r="T40" s="157">
        <f t="shared" si="28"/>
        <v>0.85</v>
      </c>
      <c r="U40" s="157">
        <f t="shared" si="28"/>
        <v>0.85</v>
      </c>
      <c r="V40" s="157">
        <f t="shared" si="29"/>
        <v>0.85</v>
      </c>
      <c r="W40" s="157">
        <f t="shared" si="29"/>
        <v>0.85</v>
      </c>
      <c r="X40" s="157">
        <f t="shared" si="29"/>
        <v>0.85</v>
      </c>
      <c r="Y40" s="157">
        <f t="shared" si="29"/>
        <v>0.85</v>
      </c>
      <c r="Z40" s="157">
        <f t="shared" si="29"/>
        <v>0.85</v>
      </c>
      <c r="AA40" s="157">
        <f t="shared" si="29"/>
        <v>0.85</v>
      </c>
      <c r="AB40" s="157">
        <f t="shared" si="29"/>
        <v>0.85</v>
      </c>
    </row>
    <row r="41" spans="1:28">
      <c r="A41" s="105" t="s">
        <v>835</v>
      </c>
      <c r="B41" s="157">
        <v>0.9</v>
      </c>
      <c r="C41" s="157">
        <v>0.9</v>
      </c>
      <c r="D41" s="157">
        <v>0.9</v>
      </c>
      <c r="E41" s="157">
        <v>0.9</v>
      </c>
      <c r="F41" s="157">
        <f t="shared" si="28"/>
        <v>0.9</v>
      </c>
      <c r="G41" s="157">
        <f t="shared" si="28"/>
        <v>0.9</v>
      </c>
      <c r="H41" s="157">
        <f t="shared" si="28"/>
        <v>0.9</v>
      </c>
      <c r="I41" s="157">
        <f t="shared" si="28"/>
        <v>0.9</v>
      </c>
      <c r="J41" s="157">
        <f t="shared" si="28"/>
        <v>0.9</v>
      </c>
      <c r="K41" s="157">
        <f t="shared" si="28"/>
        <v>0.9</v>
      </c>
      <c r="L41" s="157">
        <f t="shared" si="28"/>
        <v>0.9</v>
      </c>
      <c r="M41" s="157">
        <f t="shared" si="28"/>
        <v>0.9</v>
      </c>
      <c r="N41" s="157">
        <f t="shared" si="28"/>
        <v>0.9</v>
      </c>
      <c r="O41" s="157">
        <f t="shared" si="28"/>
        <v>0.9</v>
      </c>
      <c r="P41" s="157">
        <f t="shared" si="28"/>
        <v>0.9</v>
      </c>
      <c r="Q41" s="157">
        <f t="shared" si="28"/>
        <v>0.9</v>
      </c>
      <c r="R41" s="157">
        <f t="shared" si="28"/>
        <v>0.9</v>
      </c>
      <c r="S41" s="157">
        <f t="shared" si="28"/>
        <v>0.9</v>
      </c>
      <c r="T41" s="157">
        <f t="shared" si="28"/>
        <v>0.9</v>
      </c>
      <c r="U41" s="157">
        <f t="shared" si="28"/>
        <v>0.9</v>
      </c>
      <c r="V41" s="157">
        <f t="shared" si="29"/>
        <v>0.9</v>
      </c>
      <c r="W41" s="157">
        <f t="shared" si="29"/>
        <v>0.9</v>
      </c>
      <c r="X41" s="157">
        <f t="shared" si="29"/>
        <v>0.9</v>
      </c>
      <c r="Y41" s="157">
        <f t="shared" si="29"/>
        <v>0.9</v>
      </c>
      <c r="Z41" s="157">
        <f t="shared" si="29"/>
        <v>0.9</v>
      </c>
      <c r="AA41" s="157">
        <f t="shared" si="29"/>
        <v>0.9</v>
      </c>
      <c r="AB41" s="157">
        <f t="shared" si="29"/>
        <v>0.9</v>
      </c>
    </row>
    <row r="42" spans="1:28">
      <c r="A42" s="105" t="s">
        <v>836</v>
      </c>
      <c r="B42" s="157">
        <v>0.7</v>
      </c>
      <c r="C42" s="157">
        <v>0.7</v>
      </c>
      <c r="D42" s="157">
        <v>0.7</v>
      </c>
      <c r="E42" s="157">
        <v>0.7</v>
      </c>
      <c r="F42" s="157">
        <v>0.7</v>
      </c>
      <c r="G42" s="157">
        <v>0.7</v>
      </c>
      <c r="H42" s="157">
        <v>0.7</v>
      </c>
      <c r="I42" s="157">
        <v>0.7</v>
      </c>
      <c r="J42" s="157">
        <v>1.7</v>
      </c>
      <c r="K42" s="157">
        <v>2.7</v>
      </c>
      <c r="L42" s="157">
        <v>3.7</v>
      </c>
      <c r="M42" s="157">
        <v>4.7</v>
      </c>
      <c r="N42" s="157">
        <v>5.7</v>
      </c>
      <c r="O42" s="157">
        <v>6.7</v>
      </c>
      <c r="P42" s="157">
        <v>7.7</v>
      </c>
      <c r="Q42" s="157">
        <v>8.6999999999999993</v>
      </c>
      <c r="R42" s="157">
        <v>9.6999999999999993</v>
      </c>
      <c r="S42" s="157">
        <v>10.7</v>
      </c>
      <c r="T42" s="157">
        <v>11.7</v>
      </c>
      <c r="U42" s="157">
        <v>12.7</v>
      </c>
      <c r="V42" s="157">
        <v>13.7</v>
      </c>
      <c r="W42" s="157">
        <v>14.7</v>
      </c>
      <c r="X42" s="157">
        <v>15.7</v>
      </c>
      <c r="Y42" s="157">
        <v>16.7</v>
      </c>
      <c r="Z42" s="157">
        <v>17.7</v>
      </c>
      <c r="AA42" s="157">
        <v>18.7</v>
      </c>
      <c r="AB42" s="157">
        <v>19.7</v>
      </c>
    </row>
    <row r="43" spans="1:28">
      <c r="A43" s="105" t="s">
        <v>837</v>
      </c>
      <c r="B43" s="130">
        <f t="shared" ref="B43:AB44" si="30">(B28/B39)/B$4</f>
        <v>240.10000000000002</v>
      </c>
      <c r="C43" s="130">
        <f t="shared" si="30"/>
        <v>261.92632591263566</v>
      </c>
      <c r="D43" s="137">
        <f t="shared" si="30"/>
        <v>282.88043198564662</v>
      </c>
      <c r="E43" s="130">
        <f t="shared" si="30"/>
        <v>305.51086654449836</v>
      </c>
      <c r="F43" s="130">
        <f t="shared" si="30"/>
        <v>329.95173586805817</v>
      </c>
      <c r="G43" s="158">
        <f t="shared" si="30"/>
        <v>356.34787473750288</v>
      </c>
      <c r="H43" s="130">
        <f t="shared" si="30"/>
        <v>384.85570471650328</v>
      </c>
      <c r="I43" s="130">
        <f t="shared" si="30"/>
        <v>415.64416109382353</v>
      </c>
      <c r="J43" s="130">
        <f t="shared" si="30"/>
        <v>448.89569398132943</v>
      </c>
      <c r="K43" s="130">
        <f t="shared" si="30"/>
        <v>484.80734949983588</v>
      </c>
      <c r="L43" s="158">
        <f t="shared" si="30"/>
        <v>523.59193745982282</v>
      </c>
      <c r="M43" s="158">
        <f t="shared" si="30"/>
        <v>565.47929245660862</v>
      </c>
      <c r="N43" s="158">
        <f t="shared" si="30"/>
        <v>610.71763585313727</v>
      </c>
      <c r="O43" s="158">
        <f t="shared" si="30"/>
        <v>659.57504672138839</v>
      </c>
      <c r="P43" s="158">
        <f t="shared" si="30"/>
        <v>712.34105045909951</v>
      </c>
      <c r="Q43" s="158">
        <f t="shared" si="30"/>
        <v>769.32833449582756</v>
      </c>
      <c r="R43" s="158">
        <f t="shared" si="30"/>
        <v>830.87460125549387</v>
      </c>
      <c r="S43" s="158">
        <f t="shared" si="30"/>
        <v>897.34456935593323</v>
      </c>
      <c r="T43" s="158">
        <f t="shared" si="30"/>
        <v>969.13213490440785</v>
      </c>
      <c r="U43" s="158">
        <f t="shared" si="30"/>
        <v>1046.6627056967604</v>
      </c>
      <c r="V43" s="158">
        <f t="shared" si="30"/>
        <v>1130.3957221525015</v>
      </c>
      <c r="W43" s="158">
        <f t="shared" si="30"/>
        <v>1220.8273799247017</v>
      </c>
      <c r="X43" s="158">
        <f t="shared" si="30"/>
        <v>1318.4935703186779</v>
      </c>
      <c r="Y43" s="158">
        <f t="shared" si="30"/>
        <v>1423.9730559441721</v>
      </c>
      <c r="Z43" s="158">
        <f t="shared" si="30"/>
        <v>1537.8909004197058</v>
      </c>
      <c r="AA43" s="158">
        <f t="shared" si="30"/>
        <v>1660.9221724532827</v>
      </c>
      <c r="AB43" s="158">
        <f t="shared" si="30"/>
        <v>1793.7959462495455</v>
      </c>
    </row>
    <row r="44" spans="1:28">
      <c r="B44" s="130">
        <f t="shared" si="30"/>
        <v>0</v>
      </c>
      <c r="C44" s="130">
        <f t="shared" si="30"/>
        <v>0</v>
      </c>
      <c r="D44" s="137">
        <f t="shared" si="30"/>
        <v>0</v>
      </c>
      <c r="E44" s="130">
        <f t="shared" si="30"/>
        <v>0</v>
      </c>
      <c r="F44" s="130">
        <f t="shared" si="30"/>
        <v>0</v>
      </c>
      <c r="G44" s="158">
        <f t="shared" si="30"/>
        <v>0</v>
      </c>
      <c r="H44" s="130">
        <f t="shared" si="30"/>
        <v>0</v>
      </c>
      <c r="I44" s="130">
        <f t="shared" si="30"/>
        <v>0</v>
      </c>
      <c r="J44" s="130">
        <f t="shared" si="30"/>
        <v>0</v>
      </c>
      <c r="K44" s="130">
        <f t="shared" si="30"/>
        <v>0</v>
      </c>
      <c r="L44" s="158">
        <f t="shared" si="30"/>
        <v>0</v>
      </c>
      <c r="M44" s="158">
        <f t="shared" si="30"/>
        <v>0</v>
      </c>
      <c r="N44" s="158">
        <f t="shared" si="30"/>
        <v>0</v>
      </c>
      <c r="O44" s="158">
        <f t="shared" si="30"/>
        <v>0</v>
      </c>
      <c r="P44" s="158">
        <f t="shared" si="30"/>
        <v>0</v>
      </c>
      <c r="Q44" s="158">
        <f t="shared" si="30"/>
        <v>0</v>
      </c>
      <c r="R44" s="158">
        <f t="shared" si="30"/>
        <v>0</v>
      </c>
      <c r="S44" s="158">
        <f t="shared" si="30"/>
        <v>0</v>
      </c>
      <c r="T44" s="158">
        <f t="shared" si="30"/>
        <v>0</v>
      </c>
      <c r="U44" s="158">
        <f t="shared" si="30"/>
        <v>0</v>
      </c>
      <c r="V44" s="158">
        <f t="shared" si="30"/>
        <v>0</v>
      </c>
      <c r="W44" s="158">
        <f t="shared" si="30"/>
        <v>0</v>
      </c>
      <c r="X44" s="158">
        <f t="shared" si="30"/>
        <v>0</v>
      </c>
      <c r="Y44" s="158">
        <f t="shared" si="30"/>
        <v>0</v>
      </c>
      <c r="Z44" s="158">
        <f t="shared" si="30"/>
        <v>0</v>
      </c>
      <c r="AA44" s="158">
        <f t="shared" si="30"/>
        <v>0</v>
      </c>
      <c r="AB44" s="158">
        <f t="shared" si="30"/>
        <v>0</v>
      </c>
    </row>
    <row r="45" spans="1:28">
      <c r="A45" s="105" t="s">
        <v>838</v>
      </c>
      <c r="B45" s="130">
        <f t="shared" ref="B45:AB46" si="31">(B26/B41)/B$4</f>
        <v>61.302564102564098</v>
      </c>
      <c r="C45" s="130">
        <f t="shared" si="31"/>
        <v>56.455298317009195</v>
      </c>
      <c r="D45" s="137">
        <f t="shared" si="31"/>
        <v>60.971722182369945</v>
      </c>
      <c r="E45" s="130">
        <f t="shared" si="31"/>
        <v>65.849459956959535</v>
      </c>
      <c r="F45" s="130">
        <f t="shared" si="31"/>
        <v>71.117416753516295</v>
      </c>
      <c r="G45" s="158">
        <f t="shared" si="31"/>
        <v>76.806810093797623</v>
      </c>
      <c r="H45" s="130">
        <f t="shared" si="31"/>
        <v>82.951354901301443</v>
      </c>
      <c r="I45" s="130">
        <f t="shared" si="31"/>
        <v>89.587463293405548</v>
      </c>
      <c r="J45" s="130">
        <f t="shared" si="31"/>
        <v>96.754460356878013</v>
      </c>
      <c r="K45" s="130">
        <f t="shared" si="31"/>
        <v>104.49481718542826</v>
      </c>
      <c r="L45" s="158">
        <f t="shared" si="31"/>
        <v>112.85440256026253</v>
      </c>
      <c r="M45" s="158">
        <f t="shared" si="31"/>
        <v>121.88275476508353</v>
      </c>
      <c r="N45" s="158">
        <f t="shared" si="31"/>
        <v>131.63337514629023</v>
      </c>
      <c r="O45" s="158">
        <f t="shared" si="31"/>
        <v>142.16404515799348</v>
      </c>
      <c r="P45" s="158">
        <f t="shared" si="31"/>
        <v>153.53716877063295</v>
      </c>
      <c r="Q45" s="158">
        <f t="shared" si="31"/>
        <v>165.82014227228362</v>
      </c>
      <c r="R45" s="158">
        <f t="shared" si="31"/>
        <v>179.08575365406631</v>
      </c>
      <c r="S45" s="158">
        <f t="shared" si="31"/>
        <v>193.41261394639162</v>
      </c>
      <c r="T45" s="158">
        <f t="shared" si="31"/>
        <v>208.88562306210292</v>
      </c>
      <c r="U45" s="158">
        <f t="shared" si="31"/>
        <v>225.59647290707113</v>
      </c>
      <c r="V45" s="158">
        <f t="shared" si="31"/>
        <v>243.64419073963685</v>
      </c>
      <c r="W45" s="158">
        <f t="shared" si="31"/>
        <v>263.13572599880786</v>
      </c>
      <c r="X45" s="158">
        <f t="shared" si="31"/>
        <v>284.18658407871249</v>
      </c>
      <c r="Y45" s="158">
        <f t="shared" si="31"/>
        <v>306.92151080500952</v>
      </c>
      <c r="Z45" s="158">
        <f t="shared" si="31"/>
        <v>331.47523166941028</v>
      </c>
      <c r="AA45" s="158">
        <f t="shared" si="31"/>
        <v>357.99325020296311</v>
      </c>
      <c r="AB45" s="158">
        <f t="shared" si="31"/>
        <v>386.63271021920019</v>
      </c>
    </row>
    <row r="46" spans="1:28" ht="2.1" customHeight="1">
      <c r="A46" s="105" t="s">
        <v>839</v>
      </c>
      <c r="B46" s="130">
        <f t="shared" si="31"/>
        <v>0</v>
      </c>
      <c r="C46" s="130">
        <f t="shared" si="31"/>
        <v>0</v>
      </c>
      <c r="D46" s="137">
        <f t="shared" si="31"/>
        <v>0</v>
      </c>
      <c r="E46" s="130">
        <f t="shared" si="31"/>
        <v>0</v>
      </c>
      <c r="F46" s="130">
        <f t="shared" si="31"/>
        <v>0</v>
      </c>
      <c r="G46" s="158">
        <f t="shared" si="31"/>
        <v>0</v>
      </c>
      <c r="H46" s="130">
        <f t="shared" si="31"/>
        <v>0</v>
      </c>
      <c r="I46" s="130">
        <f t="shared" si="31"/>
        <v>0</v>
      </c>
      <c r="J46" s="130">
        <f t="shared" si="31"/>
        <v>0</v>
      </c>
      <c r="K46" s="130">
        <f t="shared" si="31"/>
        <v>0</v>
      </c>
      <c r="L46" s="158">
        <f t="shared" si="31"/>
        <v>0</v>
      </c>
      <c r="M46" s="158">
        <f t="shared" si="31"/>
        <v>0</v>
      </c>
      <c r="N46" s="158">
        <f t="shared" si="31"/>
        <v>0</v>
      </c>
      <c r="O46" s="158">
        <f t="shared" si="31"/>
        <v>0</v>
      </c>
      <c r="P46" s="158">
        <f t="shared" si="31"/>
        <v>0</v>
      </c>
      <c r="Q46" s="158">
        <f t="shared" si="31"/>
        <v>0</v>
      </c>
      <c r="R46" s="158">
        <f t="shared" si="31"/>
        <v>0</v>
      </c>
      <c r="S46" s="158">
        <f t="shared" si="31"/>
        <v>0</v>
      </c>
      <c r="T46" s="158">
        <f t="shared" si="31"/>
        <v>0</v>
      </c>
      <c r="U46" s="158">
        <f t="shared" si="31"/>
        <v>0</v>
      </c>
      <c r="V46" s="158">
        <f t="shared" si="31"/>
        <v>0</v>
      </c>
      <c r="W46" s="158">
        <f t="shared" si="31"/>
        <v>0</v>
      </c>
      <c r="X46" s="158">
        <f t="shared" si="31"/>
        <v>0</v>
      </c>
      <c r="Y46" s="158">
        <f t="shared" si="31"/>
        <v>0</v>
      </c>
      <c r="Z46" s="158">
        <f t="shared" si="31"/>
        <v>0</v>
      </c>
      <c r="AA46" s="158">
        <f t="shared" si="31"/>
        <v>0</v>
      </c>
      <c r="AB46" s="158">
        <f t="shared" si="31"/>
        <v>0</v>
      </c>
    </row>
    <row r="47" spans="1:28">
      <c r="A47" s="159" t="s">
        <v>840</v>
      </c>
      <c r="B47" s="160">
        <f t="shared" ref="B47:I47" si="32">SUM(B43:B46)/(B23-B21)</f>
        <v>1.0046752136752137</v>
      </c>
      <c r="C47" s="160">
        <f t="shared" si="32"/>
        <v>1.0612720807654827</v>
      </c>
      <c r="D47" s="161">
        <f t="shared" si="32"/>
        <v>1.146173847226722</v>
      </c>
      <c r="E47" s="160">
        <f t="shared" si="32"/>
        <v>1.2378677550048598</v>
      </c>
      <c r="F47" s="160">
        <f t="shared" si="32"/>
        <v>1.3368971754052481</v>
      </c>
      <c r="G47" s="162">
        <f t="shared" si="32"/>
        <v>1.4438489494376685</v>
      </c>
      <c r="H47" s="160">
        <f t="shared" si="32"/>
        <v>1.5593568653926824</v>
      </c>
      <c r="I47" s="160">
        <f t="shared" si="32"/>
        <v>1.684105414624097</v>
      </c>
      <c r="J47" s="160">
        <f t="shared" ref="J47:AB47" si="33">SUM(J43:J46)/(J23-J21)</f>
        <v>1.8188338477940249</v>
      </c>
      <c r="K47" s="160">
        <f t="shared" si="33"/>
        <v>1.9643405556175473</v>
      </c>
      <c r="L47" s="162">
        <f t="shared" si="33"/>
        <v>2.121487800066951</v>
      </c>
      <c r="M47" s="162">
        <f t="shared" si="33"/>
        <v>2.2912068240723071</v>
      </c>
      <c r="N47" s="162">
        <f t="shared" si="33"/>
        <v>2.4745033699980916</v>
      </c>
      <c r="O47" s="162">
        <f t="shared" si="33"/>
        <v>2.67246363959794</v>
      </c>
      <c r="P47" s="162">
        <f t="shared" si="33"/>
        <v>2.8862607307657746</v>
      </c>
      <c r="Q47" s="162">
        <f t="shared" si="33"/>
        <v>3.1171615892270372</v>
      </c>
      <c r="R47" s="162">
        <f t="shared" si="33"/>
        <v>3.366534516365201</v>
      </c>
      <c r="S47" s="162">
        <f t="shared" si="33"/>
        <v>3.635857277674416</v>
      </c>
      <c r="T47" s="162">
        <f t="shared" si="33"/>
        <v>3.9267258598883692</v>
      </c>
      <c r="U47" s="162">
        <f t="shared" si="33"/>
        <v>4.2408639286794383</v>
      </c>
      <c r="V47" s="162">
        <f t="shared" si="33"/>
        <v>4.5801330429737943</v>
      </c>
      <c r="W47" s="162">
        <f t="shared" si="33"/>
        <v>4.9465436864116983</v>
      </c>
      <c r="X47" s="162">
        <f t="shared" si="33"/>
        <v>5.342267181324635</v>
      </c>
      <c r="Y47" s="162">
        <f t="shared" si="33"/>
        <v>5.7696485558306057</v>
      </c>
      <c r="Z47" s="162">
        <f t="shared" si="33"/>
        <v>6.2312204402970535</v>
      </c>
      <c r="AA47" s="162">
        <f t="shared" si="33"/>
        <v>6.729718075520819</v>
      </c>
      <c r="AB47" s="162">
        <f t="shared" si="33"/>
        <v>7.2680955215624863</v>
      </c>
    </row>
    <row r="48" spans="1:28">
      <c r="A48" s="159" t="s">
        <v>841</v>
      </c>
      <c r="B48" s="163">
        <f t="shared" ref="B48:I48" si="34">SUM((B23-B21)-SUM(B43:B46))</f>
        <v>-1.4025641025640994</v>
      </c>
      <c r="C48" s="163">
        <f t="shared" si="34"/>
        <v>-18.381624229644842</v>
      </c>
      <c r="D48" s="163">
        <f t="shared" si="34"/>
        <v>-43.852154168016568</v>
      </c>
      <c r="E48" s="163">
        <f t="shared" si="34"/>
        <v>-71.360326501457905</v>
      </c>
      <c r="F48" s="163">
        <f t="shared" si="34"/>
        <v>-101.06915262157446</v>
      </c>
      <c r="G48" s="164">
        <f t="shared" si="34"/>
        <v>-133.15468483130053</v>
      </c>
      <c r="H48" s="163">
        <f t="shared" si="34"/>
        <v>-167.80705961780473</v>
      </c>
      <c r="I48" s="163">
        <f t="shared" si="34"/>
        <v>-205.23162438722909</v>
      </c>
      <c r="J48" s="163">
        <f t="shared" ref="J48:AB48" si="35">SUM((J23-J21)-SUM(J43:J46))</f>
        <v>-245.65015433820747</v>
      </c>
      <c r="K48" s="163">
        <f t="shared" si="35"/>
        <v>-289.30216668526418</v>
      </c>
      <c r="L48" s="164">
        <f t="shared" si="35"/>
        <v>-336.44634002008536</v>
      </c>
      <c r="M48" s="164">
        <f t="shared" si="35"/>
        <v>-387.36204722169214</v>
      </c>
      <c r="N48" s="164">
        <f t="shared" si="35"/>
        <v>-442.35101099942744</v>
      </c>
      <c r="O48" s="164">
        <f t="shared" si="35"/>
        <v>-501.73909187938193</v>
      </c>
      <c r="P48" s="164">
        <f t="shared" si="35"/>
        <v>-565.87821922973239</v>
      </c>
      <c r="Q48" s="164">
        <f t="shared" si="35"/>
        <v>-635.14847676811121</v>
      </c>
      <c r="R48" s="164">
        <f t="shared" si="35"/>
        <v>-709.96035490956024</v>
      </c>
      <c r="S48" s="164">
        <f t="shared" si="35"/>
        <v>-790.75718330232485</v>
      </c>
      <c r="T48" s="164">
        <f t="shared" si="35"/>
        <v>-878.01775796651077</v>
      </c>
      <c r="U48" s="164">
        <f t="shared" si="35"/>
        <v>-972.25917860383151</v>
      </c>
      <c r="V48" s="164">
        <f t="shared" si="35"/>
        <v>-1074.0399128921383</v>
      </c>
      <c r="W48" s="164">
        <f t="shared" si="35"/>
        <v>-1183.9631059235096</v>
      </c>
      <c r="X48" s="164">
        <f t="shared" si="35"/>
        <v>-1302.6801543973904</v>
      </c>
      <c r="Y48" s="164">
        <f t="shared" si="35"/>
        <v>-1430.8945667491816</v>
      </c>
      <c r="Z48" s="164">
        <f t="shared" si="35"/>
        <v>-1569.366132089116</v>
      </c>
      <c r="AA48" s="164">
        <f t="shared" si="35"/>
        <v>-1718.9154226562457</v>
      </c>
      <c r="AB48" s="164">
        <f t="shared" si="35"/>
        <v>-1880.4286564687459</v>
      </c>
    </row>
    <row r="49" spans="1:28">
      <c r="A49" s="131" t="s">
        <v>842</v>
      </c>
      <c r="B49" s="165">
        <f t="shared" ref="B49:I49" si="36">SUM(B25:B27)/(B4*B23)</f>
        <v>0.86419102564102568</v>
      </c>
      <c r="C49" s="165">
        <f t="shared" si="36"/>
        <v>0.91149048503682861</v>
      </c>
      <c r="D49" s="165">
        <f t="shared" si="36"/>
        <v>0.98440972383977532</v>
      </c>
      <c r="E49" s="165">
        <f t="shared" si="36"/>
        <v>1.0631625017469573</v>
      </c>
      <c r="F49" s="165">
        <f t="shared" si="36"/>
        <v>1.1482155018867137</v>
      </c>
      <c r="G49" s="165">
        <f t="shared" si="36"/>
        <v>1.2400727420376509</v>
      </c>
      <c r="H49" s="165">
        <f t="shared" si="36"/>
        <v>1.3392785614006635</v>
      </c>
      <c r="I49" s="165">
        <f t="shared" si="36"/>
        <v>1.4464208463127166</v>
      </c>
      <c r="J49" s="165">
        <f t="shared" ref="J49:AB49" si="37">SUM(J25:J27)/(J4*J23)</f>
        <v>1.5621345140177341</v>
      </c>
      <c r="K49" s="165">
        <f t="shared" si="37"/>
        <v>1.6871052751391531</v>
      </c>
      <c r="L49" s="165">
        <f t="shared" si="37"/>
        <v>1.8220736971502856</v>
      </c>
      <c r="M49" s="165">
        <f t="shared" si="37"/>
        <v>1.9678395929223085</v>
      </c>
      <c r="N49" s="165">
        <f t="shared" si="37"/>
        <v>2.1252667603560931</v>
      </c>
      <c r="O49" s="165">
        <f t="shared" si="37"/>
        <v>2.2952881011845809</v>
      </c>
      <c r="P49" s="165">
        <f t="shared" si="37"/>
        <v>2.4789111492793472</v>
      </c>
      <c r="Q49" s="165">
        <f t="shared" si="37"/>
        <v>2.6772240412216957</v>
      </c>
      <c r="R49" s="165">
        <f t="shared" si="37"/>
        <v>2.8914019645194315</v>
      </c>
      <c r="S49" s="165">
        <f t="shared" si="37"/>
        <v>3.1227141216809855</v>
      </c>
      <c r="T49" s="165">
        <f t="shared" si="37"/>
        <v>3.3725312514154644</v>
      </c>
      <c r="U49" s="165">
        <f t="shared" si="37"/>
        <v>3.6423337515287009</v>
      </c>
      <c r="V49" s="165">
        <f t="shared" si="37"/>
        <v>3.933720451650998</v>
      </c>
      <c r="W49" s="165">
        <f t="shared" si="37"/>
        <v>4.2484180877830777</v>
      </c>
      <c r="X49" s="165">
        <f t="shared" si="37"/>
        <v>4.5882915348057249</v>
      </c>
      <c r="Y49" s="165">
        <f t="shared" si="37"/>
        <v>4.9553548575901836</v>
      </c>
      <c r="Z49" s="165">
        <f t="shared" si="37"/>
        <v>5.3517832461973978</v>
      </c>
      <c r="AA49" s="165">
        <f t="shared" si="37"/>
        <v>5.7799259058931911</v>
      </c>
      <c r="AB49" s="165">
        <f t="shared" si="37"/>
        <v>6.2423199783646455</v>
      </c>
    </row>
    <row r="50" spans="1:28" ht="8.25" customHeight="1">
      <c r="A50" s="1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</row>
    <row r="51" spans="1:28" ht="8.25" customHeight="1">
      <c r="B51" s="168"/>
      <c r="J51" s="169"/>
      <c r="K51" s="169"/>
    </row>
    <row r="52" spans="1:28" ht="12.75" customHeight="1">
      <c r="A52" s="170"/>
      <c r="B52" s="147">
        <f>B53*1</f>
        <v>109200</v>
      </c>
      <c r="C52" s="147">
        <f t="shared" ref="C52:E52" si="38">C53*1</f>
        <v>109200</v>
      </c>
      <c r="D52" s="147">
        <f t="shared" si="38"/>
        <v>109200</v>
      </c>
      <c r="E52" s="147">
        <f t="shared" si="38"/>
        <v>109200</v>
      </c>
      <c r="F52" s="147">
        <f>F53*1</f>
        <v>109200</v>
      </c>
      <c r="G52" s="147">
        <f t="shared" ref="G52:AB52" si="39">G53*1</f>
        <v>109200</v>
      </c>
      <c r="H52" s="147">
        <f t="shared" si="39"/>
        <v>109200</v>
      </c>
      <c r="I52" s="147">
        <f t="shared" si="39"/>
        <v>109200</v>
      </c>
      <c r="J52" s="147">
        <f t="shared" si="39"/>
        <v>109200</v>
      </c>
      <c r="K52" s="147">
        <f t="shared" si="39"/>
        <v>109200</v>
      </c>
      <c r="L52" s="147">
        <f t="shared" si="39"/>
        <v>109200</v>
      </c>
      <c r="M52" s="147">
        <f t="shared" si="39"/>
        <v>109200</v>
      </c>
      <c r="N52" s="147">
        <f t="shared" si="39"/>
        <v>109200</v>
      </c>
      <c r="O52" s="147">
        <f t="shared" si="39"/>
        <v>109200</v>
      </c>
      <c r="P52" s="147">
        <f t="shared" si="39"/>
        <v>109200</v>
      </c>
      <c r="Q52" s="147">
        <f t="shared" si="39"/>
        <v>109200</v>
      </c>
      <c r="R52" s="147">
        <f t="shared" si="39"/>
        <v>109200</v>
      </c>
      <c r="S52" s="147">
        <f t="shared" si="39"/>
        <v>109200</v>
      </c>
      <c r="T52" s="147">
        <f t="shared" si="39"/>
        <v>109200</v>
      </c>
      <c r="U52" s="147">
        <f t="shared" si="39"/>
        <v>109200</v>
      </c>
      <c r="V52" s="147">
        <f t="shared" si="39"/>
        <v>109200</v>
      </c>
      <c r="W52" s="147">
        <f t="shared" si="39"/>
        <v>109200</v>
      </c>
      <c r="X52" s="147">
        <f t="shared" si="39"/>
        <v>109200</v>
      </c>
      <c r="Y52" s="147">
        <f t="shared" si="39"/>
        <v>109200</v>
      </c>
      <c r="Z52" s="147">
        <f t="shared" si="39"/>
        <v>109200</v>
      </c>
      <c r="AA52" s="147">
        <f t="shared" si="39"/>
        <v>109200</v>
      </c>
      <c r="AB52" s="147">
        <f t="shared" si="39"/>
        <v>109200</v>
      </c>
    </row>
    <row r="53" spans="1:28" ht="12.75" customHeight="1">
      <c r="A53" s="96" t="s">
        <v>843</v>
      </c>
      <c r="B53" s="147">
        <f t="shared" ref="B53:I53" si="40">SUM(B19*B4)</f>
        <v>109200</v>
      </c>
      <c r="C53" s="147">
        <f t="shared" si="40"/>
        <v>109200</v>
      </c>
      <c r="D53" s="147">
        <f t="shared" si="40"/>
        <v>109200</v>
      </c>
      <c r="E53" s="147">
        <f t="shared" si="40"/>
        <v>109200</v>
      </c>
      <c r="F53" s="147">
        <f t="shared" si="40"/>
        <v>109200</v>
      </c>
      <c r="G53" s="147">
        <f t="shared" si="40"/>
        <v>109200</v>
      </c>
      <c r="H53" s="147">
        <f t="shared" si="40"/>
        <v>109200</v>
      </c>
      <c r="I53" s="147">
        <f t="shared" si="40"/>
        <v>109200</v>
      </c>
      <c r="J53" s="147">
        <f t="shared" ref="J53:AB53" si="41">SUM(J19*J4)</f>
        <v>109200</v>
      </c>
      <c r="K53" s="147">
        <f t="shared" si="41"/>
        <v>109200</v>
      </c>
      <c r="L53" s="147">
        <f t="shared" si="41"/>
        <v>109200</v>
      </c>
      <c r="M53" s="147">
        <f t="shared" si="41"/>
        <v>109200</v>
      </c>
      <c r="N53" s="147">
        <f t="shared" si="41"/>
        <v>109200</v>
      </c>
      <c r="O53" s="147">
        <f t="shared" si="41"/>
        <v>109200</v>
      </c>
      <c r="P53" s="147">
        <f t="shared" si="41"/>
        <v>109200</v>
      </c>
      <c r="Q53" s="147">
        <f t="shared" si="41"/>
        <v>109200</v>
      </c>
      <c r="R53" s="147">
        <f t="shared" si="41"/>
        <v>109200</v>
      </c>
      <c r="S53" s="147">
        <f t="shared" si="41"/>
        <v>109200</v>
      </c>
      <c r="T53" s="147">
        <f t="shared" si="41"/>
        <v>109200</v>
      </c>
      <c r="U53" s="147">
        <f t="shared" si="41"/>
        <v>109200</v>
      </c>
      <c r="V53" s="147">
        <f t="shared" si="41"/>
        <v>109200</v>
      </c>
      <c r="W53" s="147">
        <f t="shared" si="41"/>
        <v>109200</v>
      </c>
      <c r="X53" s="147">
        <f t="shared" si="41"/>
        <v>109200</v>
      </c>
      <c r="Y53" s="147">
        <f t="shared" si="41"/>
        <v>109200</v>
      </c>
      <c r="Z53" s="147">
        <f t="shared" si="41"/>
        <v>109200</v>
      </c>
      <c r="AA53" s="147">
        <f t="shared" si="41"/>
        <v>109200</v>
      </c>
      <c r="AB53" s="147">
        <f t="shared" si="41"/>
        <v>109200</v>
      </c>
    </row>
    <row r="54" spans="1:28">
      <c r="A54" s="171" t="s">
        <v>844</v>
      </c>
      <c r="B54" s="130">
        <f t="shared" ref="B54:I54" si="42">SUM(B25:B27)</f>
        <v>94369.66</v>
      </c>
      <c r="C54" s="130">
        <f t="shared" si="42"/>
        <v>99534.760966021684</v>
      </c>
      <c r="D54" s="130">
        <f t="shared" si="42"/>
        <v>107497.54184330346</v>
      </c>
      <c r="E54" s="130">
        <f>SUM(E25:E27)</f>
        <v>116097.34519076772</v>
      </c>
      <c r="F54" s="130">
        <f t="shared" si="42"/>
        <v>125385.13280602914</v>
      </c>
      <c r="G54" s="130">
        <f t="shared" si="42"/>
        <v>135415.94343051148</v>
      </c>
      <c r="H54" s="130">
        <f t="shared" si="42"/>
        <v>146249.21890495246</v>
      </c>
      <c r="I54" s="130">
        <f t="shared" si="42"/>
        <v>157949.15641734865</v>
      </c>
      <c r="J54" s="130">
        <f t="shared" ref="J54:AB54" si="43">SUM(J25:J27)</f>
        <v>170585.08893073656</v>
      </c>
      <c r="K54" s="130">
        <f t="shared" si="43"/>
        <v>184231.89604519552</v>
      </c>
      <c r="L54" s="130">
        <f t="shared" si="43"/>
        <v>198970.44772881118</v>
      </c>
      <c r="M54" s="130">
        <f t="shared" si="43"/>
        <v>214888.08354711608</v>
      </c>
      <c r="N54" s="130">
        <f t="shared" si="43"/>
        <v>232079.13023088538</v>
      </c>
      <c r="O54" s="130">
        <f t="shared" si="43"/>
        <v>250645.46064935622</v>
      </c>
      <c r="P54" s="130">
        <f t="shared" si="43"/>
        <v>270697.0975013047</v>
      </c>
      <c r="Q54" s="130">
        <f t="shared" si="43"/>
        <v>292352.86530140915</v>
      </c>
      <c r="R54" s="130">
        <f t="shared" si="43"/>
        <v>315741.09452552191</v>
      </c>
      <c r="S54" s="130">
        <f t="shared" si="43"/>
        <v>341000.38208756363</v>
      </c>
      <c r="T54" s="130">
        <f t="shared" si="43"/>
        <v>368280.41265456873</v>
      </c>
      <c r="U54" s="130">
        <f t="shared" si="43"/>
        <v>397742.84566693415</v>
      </c>
      <c r="V54" s="130">
        <f t="shared" si="43"/>
        <v>429562.27332028898</v>
      </c>
      <c r="W54" s="130">
        <f t="shared" si="43"/>
        <v>463927.25518591213</v>
      </c>
      <c r="X54" s="130">
        <f t="shared" si="43"/>
        <v>501041.43560078513</v>
      </c>
      <c r="Y54" s="130">
        <f t="shared" si="43"/>
        <v>541124.750448848</v>
      </c>
      <c r="Z54" s="130">
        <f t="shared" si="43"/>
        <v>584414.73048475583</v>
      </c>
      <c r="AA54" s="130">
        <f t="shared" si="43"/>
        <v>631167.90892353642</v>
      </c>
      <c r="AB54" s="130">
        <f t="shared" si="43"/>
        <v>681661.3416374193</v>
      </c>
    </row>
    <row r="55" spans="1:28">
      <c r="A55" s="172" t="s">
        <v>845</v>
      </c>
      <c r="B55" s="173">
        <f t="shared" ref="B55:I55" si="44">SUM(B54-B52)/B4</f>
        <v>-40.742692307692295</v>
      </c>
      <c r="C55" s="173">
        <f t="shared" si="44"/>
        <v>-26.552854488951418</v>
      </c>
      <c r="D55" s="173">
        <f t="shared" si="44"/>
        <v>-4.6770828480674043</v>
      </c>
      <c r="E55" s="173">
        <f t="shared" si="44"/>
        <v>18.948750524087149</v>
      </c>
      <c r="F55" s="173">
        <f t="shared" si="44"/>
        <v>44.464650566014129</v>
      </c>
      <c r="G55" s="173">
        <f t="shared" si="44"/>
        <v>72.021822611295292</v>
      </c>
      <c r="H55" s="173">
        <f t="shared" si="44"/>
        <v>101.78356842019906</v>
      </c>
      <c r="I55" s="173">
        <f t="shared" si="44"/>
        <v>133.92625389381499</v>
      </c>
      <c r="J55" s="173">
        <f t="shared" ref="J55:AB55" si="45">SUM(J54-J52)/J4</f>
        <v>168.64035420532022</v>
      </c>
      <c r="K55" s="173">
        <f t="shared" si="45"/>
        <v>206.13158254174593</v>
      </c>
      <c r="L55" s="173">
        <f t="shared" si="45"/>
        <v>246.62210914508566</v>
      </c>
      <c r="M55" s="173">
        <f t="shared" si="45"/>
        <v>290.35187787669253</v>
      </c>
      <c r="N55" s="173">
        <f t="shared" si="45"/>
        <v>337.58002810682797</v>
      </c>
      <c r="O55" s="173">
        <f t="shared" si="45"/>
        <v>388.5864303553742</v>
      </c>
      <c r="P55" s="173">
        <f t="shared" si="45"/>
        <v>443.67334478380411</v>
      </c>
      <c r="Q55" s="173">
        <f t="shared" si="45"/>
        <v>503.16721236650869</v>
      </c>
      <c r="R55" s="173">
        <f t="shared" si="45"/>
        <v>567.42058935582941</v>
      </c>
      <c r="S55" s="173">
        <f t="shared" si="45"/>
        <v>636.81423650429565</v>
      </c>
      <c r="T55" s="173">
        <f t="shared" si="45"/>
        <v>711.75937542463942</v>
      </c>
      <c r="U55" s="173">
        <f t="shared" ref="U55" si="46">SUM(U54-U52)/U4</f>
        <v>792.70012545861027</v>
      </c>
      <c r="V55" s="173">
        <f>SUM(V54-V52)/V4</f>
        <v>880.11613549529943</v>
      </c>
      <c r="W55" s="173">
        <f t="shared" si="45"/>
        <v>974.5254263349234</v>
      </c>
      <c r="X55" s="173">
        <f t="shared" si="45"/>
        <v>1076.4874604417173</v>
      </c>
      <c r="Y55" s="173">
        <f t="shared" si="45"/>
        <v>1186.6064572770549</v>
      </c>
      <c r="Z55" s="173">
        <f t="shared" si="45"/>
        <v>1305.5349738592192</v>
      </c>
      <c r="AA55" s="173">
        <f t="shared" si="45"/>
        <v>1433.9777717679572</v>
      </c>
      <c r="AB55" s="173">
        <f t="shared" si="45"/>
        <v>1572.6959935093937</v>
      </c>
    </row>
    <row r="56" spans="1:28" ht="10.35" customHeight="1">
      <c r="J56" s="169"/>
      <c r="K56" s="169"/>
    </row>
    <row r="57" spans="1:28">
      <c r="A57" s="174"/>
      <c r="B57" s="175">
        <f t="shared" ref="B57:AB57" si="47">B2</f>
        <v>2022</v>
      </c>
      <c r="C57" s="175">
        <f t="shared" si="47"/>
        <v>2023</v>
      </c>
      <c r="D57" s="175">
        <f t="shared" si="47"/>
        <v>2024</v>
      </c>
      <c r="E57" s="175">
        <f t="shared" si="47"/>
        <v>2025</v>
      </c>
      <c r="F57" s="175">
        <f t="shared" si="47"/>
        <v>2026</v>
      </c>
      <c r="G57" s="175">
        <f t="shared" si="47"/>
        <v>2027</v>
      </c>
      <c r="H57" s="175">
        <f t="shared" si="47"/>
        <v>2028</v>
      </c>
      <c r="I57" s="175">
        <f t="shared" si="47"/>
        <v>2029</v>
      </c>
      <c r="J57" s="175">
        <f t="shared" si="47"/>
        <v>2030</v>
      </c>
      <c r="K57" s="175">
        <f t="shared" si="47"/>
        <v>2031</v>
      </c>
      <c r="L57" s="175">
        <f t="shared" si="47"/>
        <v>2032</v>
      </c>
      <c r="M57" s="175">
        <f t="shared" si="47"/>
        <v>2033</v>
      </c>
      <c r="N57" s="175">
        <f t="shared" si="47"/>
        <v>2034</v>
      </c>
      <c r="O57" s="175">
        <f t="shared" si="47"/>
        <v>2035</v>
      </c>
      <c r="P57" s="175">
        <f t="shared" si="47"/>
        <v>2036</v>
      </c>
      <c r="Q57" s="175">
        <f t="shared" si="47"/>
        <v>2037</v>
      </c>
      <c r="R57" s="175">
        <f t="shared" si="47"/>
        <v>2038</v>
      </c>
      <c r="S57" s="175">
        <f t="shared" si="47"/>
        <v>2039</v>
      </c>
      <c r="T57" s="175">
        <f t="shared" si="47"/>
        <v>2040</v>
      </c>
      <c r="U57" s="175">
        <f t="shared" si="47"/>
        <v>2041</v>
      </c>
      <c r="V57" s="175">
        <f t="shared" si="47"/>
        <v>2042</v>
      </c>
      <c r="W57" s="175">
        <f t="shared" si="47"/>
        <v>2043</v>
      </c>
      <c r="X57" s="175">
        <f t="shared" si="47"/>
        <v>2044</v>
      </c>
      <c r="Y57" s="175">
        <f t="shared" si="47"/>
        <v>2045</v>
      </c>
      <c r="Z57" s="175">
        <f t="shared" si="47"/>
        <v>2046</v>
      </c>
      <c r="AA57" s="175">
        <f t="shared" si="47"/>
        <v>2047</v>
      </c>
      <c r="AB57" s="175">
        <f t="shared" si="47"/>
        <v>2048</v>
      </c>
    </row>
    <row r="58" spans="1:28">
      <c r="A58" s="140" t="s">
        <v>846</v>
      </c>
      <c r="B58" s="176">
        <f t="shared" ref="B58:AB58" si="48">B12</f>
        <v>12254</v>
      </c>
      <c r="C58" s="176">
        <f t="shared" si="48"/>
        <v>12800.910664903247</v>
      </c>
      <c r="D58" s="176">
        <f t="shared" si="48"/>
        <v>13824.983518095512</v>
      </c>
      <c r="E58" s="176">
        <f t="shared" si="48"/>
        <v>14930.982199543152</v>
      </c>
      <c r="F58" s="176">
        <f t="shared" si="48"/>
        <v>16125.460775506604</v>
      </c>
      <c r="G58" s="176">
        <f t="shared" si="48"/>
        <v>17415.497637547134</v>
      </c>
      <c r="H58" s="176">
        <f t="shared" si="48"/>
        <v>18808.73744855091</v>
      </c>
      <c r="I58" s="176">
        <f t="shared" si="48"/>
        <v>20313.436444434985</v>
      </c>
      <c r="J58" s="176">
        <f t="shared" si="48"/>
        <v>21938.511359989785</v>
      </c>
      <c r="K58" s="176">
        <f t="shared" si="48"/>
        <v>23693.592268788969</v>
      </c>
      <c r="L58" s="176">
        <f t="shared" si="48"/>
        <v>25589.079650292089</v>
      </c>
      <c r="M58" s="176">
        <f t="shared" si="48"/>
        <v>27636.206022315459</v>
      </c>
      <c r="N58" s="176">
        <f t="shared" si="48"/>
        <v>29847.102504100698</v>
      </c>
      <c r="O58" s="176">
        <f t="shared" si="48"/>
        <v>32234.870704428758</v>
      </c>
      <c r="P58" s="176">
        <f t="shared" si="48"/>
        <v>34813.660360783055</v>
      </c>
      <c r="Q58" s="176">
        <f t="shared" si="48"/>
        <v>37598.753189645708</v>
      </c>
      <c r="R58" s="176">
        <f t="shared" si="48"/>
        <v>40606.653444817362</v>
      </c>
      <c r="S58" s="176">
        <f t="shared" si="48"/>
        <v>43855.185720402755</v>
      </c>
      <c r="T58" s="176">
        <f t="shared" si="48"/>
        <v>47363.600578034973</v>
      </c>
      <c r="U58" s="176">
        <f t="shared" si="48"/>
        <v>51152.688624277769</v>
      </c>
      <c r="V58" s="176">
        <f t="shared" si="48"/>
        <v>55244.903714219996</v>
      </c>
      <c r="W58" s="176">
        <f t="shared" si="48"/>
        <v>59664.496011357594</v>
      </c>
      <c r="X58" s="176">
        <f t="shared" si="48"/>
        <v>64437.655692266213</v>
      </c>
      <c r="Y58" s="176">
        <f t="shared" si="48"/>
        <v>69592.668147647506</v>
      </c>
      <c r="Z58" s="176">
        <f t="shared" si="48"/>
        <v>75160.081599459314</v>
      </c>
      <c r="AA58" s="176">
        <f t="shared" si="48"/>
        <v>81172.888127416067</v>
      </c>
      <c r="AB58" s="176">
        <f t="shared" si="48"/>
        <v>87666.719177609353</v>
      </c>
    </row>
    <row r="59" spans="1:28" ht="7.5" customHeight="1">
      <c r="J59" s="169"/>
      <c r="K59" s="169"/>
    </row>
    <row r="60" spans="1:28">
      <c r="A60" s="174" t="s">
        <v>847</v>
      </c>
      <c r="B60" s="106"/>
      <c r="C60" s="106"/>
      <c r="D60" s="106"/>
      <c r="E60" s="106"/>
      <c r="F60" s="174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</row>
    <row r="61" spans="1:28">
      <c r="A61" s="106"/>
      <c r="B61" s="175">
        <f t="shared" ref="B61:AB61" si="49">B2</f>
        <v>2022</v>
      </c>
      <c r="C61" s="175">
        <f t="shared" si="49"/>
        <v>2023</v>
      </c>
      <c r="D61" s="175">
        <f t="shared" si="49"/>
        <v>2024</v>
      </c>
      <c r="E61" s="175">
        <f t="shared" si="49"/>
        <v>2025</v>
      </c>
      <c r="F61" s="175">
        <f t="shared" si="49"/>
        <v>2026</v>
      </c>
      <c r="G61" s="175">
        <f t="shared" si="49"/>
        <v>2027</v>
      </c>
      <c r="H61" s="175">
        <f t="shared" si="49"/>
        <v>2028</v>
      </c>
      <c r="I61" s="175">
        <f t="shared" si="49"/>
        <v>2029</v>
      </c>
      <c r="J61" s="175">
        <f t="shared" si="49"/>
        <v>2030</v>
      </c>
      <c r="K61" s="175">
        <f t="shared" si="49"/>
        <v>2031</v>
      </c>
      <c r="L61" s="175">
        <f t="shared" si="49"/>
        <v>2032</v>
      </c>
      <c r="M61" s="175">
        <f t="shared" si="49"/>
        <v>2033</v>
      </c>
      <c r="N61" s="175">
        <f t="shared" si="49"/>
        <v>2034</v>
      </c>
      <c r="O61" s="175">
        <f t="shared" si="49"/>
        <v>2035</v>
      </c>
      <c r="P61" s="175">
        <f t="shared" si="49"/>
        <v>2036</v>
      </c>
      <c r="Q61" s="175">
        <f t="shared" si="49"/>
        <v>2037</v>
      </c>
      <c r="R61" s="175">
        <f t="shared" si="49"/>
        <v>2038</v>
      </c>
      <c r="S61" s="175">
        <f t="shared" si="49"/>
        <v>2039</v>
      </c>
      <c r="T61" s="175">
        <f t="shared" si="49"/>
        <v>2040</v>
      </c>
      <c r="U61" s="175">
        <f t="shared" si="49"/>
        <v>2041</v>
      </c>
      <c r="V61" s="175">
        <f t="shared" si="49"/>
        <v>2042</v>
      </c>
      <c r="W61" s="175">
        <f t="shared" si="49"/>
        <v>2043</v>
      </c>
      <c r="X61" s="175">
        <f t="shared" si="49"/>
        <v>2044</v>
      </c>
      <c r="Y61" s="175">
        <f t="shared" si="49"/>
        <v>2045</v>
      </c>
      <c r="Z61" s="175">
        <f t="shared" si="49"/>
        <v>2046</v>
      </c>
      <c r="AA61" s="175">
        <f t="shared" si="49"/>
        <v>2047</v>
      </c>
      <c r="AB61" s="175">
        <f t="shared" si="49"/>
        <v>2048</v>
      </c>
    </row>
    <row r="62" spans="1:28">
      <c r="A62" s="140" t="s">
        <v>848</v>
      </c>
      <c r="B62" s="176">
        <f t="shared" ref="B62:I62" si="50">SUM(B43:B46)</f>
        <v>301.4025641025641</v>
      </c>
      <c r="C62" s="176">
        <f t="shared" si="50"/>
        <v>318.38162422964484</v>
      </c>
      <c r="D62" s="176">
        <f t="shared" si="50"/>
        <v>343.85215416801657</v>
      </c>
      <c r="E62" s="176">
        <f t="shared" si="50"/>
        <v>371.36032650145791</v>
      </c>
      <c r="F62" s="176">
        <f t="shared" si="50"/>
        <v>401.06915262157446</v>
      </c>
      <c r="G62" s="176">
        <f t="shared" si="50"/>
        <v>433.15468483130053</v>
      </c>
      <c r="H62" s="176">
        <f t="shared" si="50"/>
        <v>467.80705961780473</v>
      </c>
      <c r="I62" s="176">
        <f t="shared" si="50"/>
        <v>505.23162438722909</v>
      </c>
      <c r="J62" s="176">
        <f t="shared" ref="J62:AB62" si="51">SUM(J43:J46)</f>
        <v>545.65015433820747</v>
      </c>
      <c r="K62" s="176">
        <f t="shared" si="51"/>
        <v>589.30216668526418</v>
      </c>
      <c r="L62" s="176">
        <f t="shared" si="51"/>
        <v>636.44634002008536</v>
      </c>
      <c r="M62" s="176">
        <f t="shared" si="51"/>
        <v>687.36204722169214</v>
      </c>
      <c r="N62" s="176">
        <f t="shared" si="51"/>
        <v>742.35101099942744</v>
      </c>
      <c r="O62" s="176">
        <f t="shared" si="51"/>
        <v>801.73909187938193</v>
      </c>
      <c r="P62" s="176">
        <f t="shared" si="51"/>
        <v>865.87821922973239</v>
      </c>
      <c r="Q62" s="176">
        <f t="shared" si="51"/>
        <v>935.14847676811121</v>
      </c>
      <c r="R62" s="176">
        <f t="shared" si="51"/>
        <v>1009.9603549095602</v>
      </c>
      <c r="S62" s="176">
        <f t="shared" si="51"/>
        <v>1090.7571833023248</v>
      </c>
      <c r="T62" s="176">
        <f t="shared" si="51"/>
        <v>1178.0177579665108</v>
      </c>
      <c r="U62" s="176">
        <f t="shared" si="51"/>
        <v>1272.2591786038315</v>
      </c>
      <c r="V62" s="176">
        <f t="shared" si="51"/>
        <v>1374.0399128921383</v>
      </c>
      <c r="W62" s="176">
        <f t="shared" si="51"/>
        <v>1483.9631059235096</v>
      </c>
      <c r="X62" s="176">
        <f t="shared" si="51"/>
        <v>1602.6801543973904</v>
      </c>
      <c r="Y62" s="176">
        <f t="shared" si="51"/>
        <v>1730.8945667491816</v>
      </c>
      <c r="Z62" s="176">
        <f t="shared" si="51"/>
        <v>1869.366132089116</v>
      </c>
      <c r="AA62" s="176">
        <f t="shared" si="51"/>
        <v>2018.9154226562457</v>
      </c>
      <c r="AB62" s="176">
        <f t="shared" si="51"/>
        <v>2180.4286564687459</v>
      </c>
    </row>
    <row r="63" spans="1:28">
      <c r="A63" s="140" t="s">
        <v>849</v>
      </c>
      <c r="B63" s="176">
        <f t="shared" ref="B63:AB63" si="52">B23-B21</f>
        <v>300</v>
      </c>
      <c r="C63" s="176">
        <f t="shared" si="52"/>
        <v>300</v>
      </c>
      <c r="D63" s="176">
        <f t="shared" si="52"/>
        <v>300</v>
      </c>
      <c r="E63" s="176">
        <f t="shared" si="52"/>
        <v>300</v>
      </c>
      <c r="F63" s="176">
        <f t="shared" si="52"/>
        <v>300</v>
      </c>
      <c r="G63" s="176">
        <f t="shared" si="52"/>
        <v>300</v>
      </c>
      <c r="H63" s="176">
        <f t="shared" si="52"/>
        <v>300</v>
      </c>
      <c r="I63" s="176">
        <f t="shared" si="52"/>
        <v>300</v>
      </c>
      <c r="J63" s="176">
        <f t="shared" si="52"/>
        <v>300</v>
      </c>
      <c r="K63" s="176">
        <f t="shared" si="52"/>
        <v>300</v>
      </c>
      <c r="L63" s="176">
        <f t="shared" si="52"/>
        <v>300</v>
      </c>
      <c r="M63" s="176">
        <f t="shared" si="52"/>
        <v>300</v>
      </c>
      <c r="N63" s="176">
        <f t="shared" si="52"/>
        <v>300</v>
      </c>
      <c r="O63" s="176">
        <f t="shared" si="52"/>
        <v>300</v>
      </c>
      <c r="P63" s="176">
        <f t="shared" si="52"/>
        <v>300</v>
      </c>
      <c r="Q63" s="176">
        <f t="shared" si="52"/>
        <v>300</v>
      </c>
      <c r="R63" s="176">
        <f t="shared" si="52"/>
        <v>300</v>
      </c>
      <c r="S63" s="176">
        <f t="shared" si="52"/>
        <v>300</v>
      </c>
      <c r="T63" s="176">
        <f t="shared" si="52"/>
        <v>300</v>
      </c>
      <c r="U63" s="176">
        <f t="shared" si="52"/>
        <v>300</v>
      </c>
      <c r="V63" s="176">
        <f t="shared" si="52"/>
        <v>300</v>
      </c>
      <c r="W63" s="176">
        <f t="shared" si="52"/>
        <v>300</v>
      </c>
      <c r="X63" s="176">
        <f t="shared" si="52"/>
        <v>300</v>
      </c>
      <c r="Y63" s="176">
        <f t="shared" si="52"/>
        <v>300</v>
      </c>
      <c r="Z63" s="176">
        <f t="shared" si="52"/>
        <v>300</v>
      </c>
      <c r="AA63" s="176">
        <f t="shared" si="52"/>
        <v>300</v>
      </c>
      <c r="AB63" s="176">
        <f t="shared" si="52"/>
        <v>300</v>
      </c>
    </row>
    <row r="64" spans="1:28">
      <c r="A64" s="140" t="s">
        <v>841</v>
      </c>
      <c r="B64" s="176">
        <f t="shared" ref="B64:AB64" si="53">B63-B62</f>
        <v>-1.4025641025640994</v>
      </c>
      <c r="C64" s="176">
        <f t="shared" si="53"/>
        <v>-18.381624229644842</v>
      </c>
      <c r="D64" s="176">
        <f t="shared" si="53"/>
        <v>-43.852154168016568</v>
      </c>
      <c r="E64" s="176">
        <f t="shared" si="53"/>
        <v>-71.360326501457905</v>
      </c>
      <c r="F64" s="176">
        <f t="shared" si="53"/>
        <v>-101.06915262157446</v>
      </c>
      <c r="G64" s="176">
        <f t="shared" si="53"/>
        <v>-133.15468483130053</v>
      </c>
      <c r="H64" s="176">
        <f t="shared" si="53"/>
        <v>-167.80705961780473</v>
      </c>
      <c r="I64" s="176">
        <f t="shared" si="53"/>
        <v>-205.23162438722909</v>
      </c>
      <c r="J64" s="176">
        <f t="shared" si="53"/>
        <v>-245.65015433820747</v>
      </c>
      <c r="K64" s="176">
        <f t="shared" si="53"/>
        <v>-289.30216668526418</v>
      </c>
      <c r="L64" s="176">
        <f t="shared" si="53"/>
        <v>-336.44634002008536</v>
      </c>
      <c r="M64" s="176">
        <f t="shared" si="53"/>
        <v>-387.36204722169214</v>
      </c>
      <c r="N64" s="176">
        <f t="shared" si="53"/>
        <v>-442.35101099942744</v>
      </c>
      <c r="O64" s="176">
        <f t="shared" si="53"/>
        <v>-501.73909187938193</v>
      </c>
      <c r="P64" s="176">
        <f t="shared" si="53"/>
        <v>-565.87821922973239</v>
      </c>
      <c r="Q64" s="176">
        <f t="shared" si="53"/>
        <v>-635.14847676811121</v>
      </c>
      <c r="R64" s="176">
        <f t="shared" si="53"/>
        <v>-709.96035490956024</v>
      </c>
      <c r="S64" s="176">
        <f t="shared" si="53"/>
        <v>-790.75718330232485</v>
      </c>
      <c r="T64" s="176">
        <f t="shared" si="53"/>
        <v>-878.01775796651077</v>
      </c>
      <c r="U64" s="176">
        <f t="shared" si="53"/>
        <v>-972.25917860383151</v>
      </c>
      <c r="V64" s="176">
        <f t="shared" si="53"/>
        <v>-1074.0399128921383</v>
      </c>
      <c r="W64" s="176">
        <f t="shared" si="53"/>
        <v>-1183.9631059235096</v>
      </c>
      <c r="X64" s="176">
        <f t="shared" si="53"/>
        <v>-1302.6801543973904</v>
      </c>
      <c r="Y64" s="176">
        <f t="shared" si="53"/>
        <v>-1430.8945667491816</v>
      </c>
      <c r="Z64" s="176">
        <f t="shared" si="53"/>
        <v>-1569.366132089116</v>
      </c>
      <c r="AA64" s="176">
        <f t="shared" si="53"/>
        <v>-1718.9154226562457</v>
      </c>
      <c r="AB64" s="176">
        <f t="shared" si="53"/>
        <v>-1880.4286564687459</v>
      </c>
    </row>
    <row r="65" spans="1:28">
      <c r="A65" s="140" t="s">
        <v>840</v>
      </c>
      <c r="B65" s="177">
        <f t="shared" ref="B65:AB65" si="54">B47</f>
        <v>1.0046752136752137</v>
      </c>
      <c r="C65" s="177">
        <f t="shared" si="54"/>
        <v>1.0612720807654827</v>
      </c>
      <c r="D65" s="177">
        <f t="shared" si="54"/>
        <v>1.146173847226722</v>
      </c>
      <c r="E65" s="177">
        <f t="shared" si="54"/>
        <v>1.2378677550048598</v>
      </c>
      <c r="F65" s="177">
        <f t="shared" si="54"/>
        <v>1.3368971754052481</v>
      </c>
      <c r="G65" s="177">
        <f t="shared" si="54"/>
        <v>1.4438489494376685</v>
      </c>
      <c r="H65" s="177">
        <f t="shared" si="54"/>
        <v>1.5593568653926824</v>
      </c>
      <c r="I65" s="177">
        <f t="shared" si="54"/>
        <v>1.684105414624097</v>
      </c>
      <c r="J65" s="177">
        <f t="shared" si="54"/>
        <v>1.8188338477940249</v>
      </c>
      <c r="K65" s="177">
        <f t="shared" si="54"/>
        <v>1.9643405556175473</v>
      </c>
      <c r="L65" s="177">
        <f t="shared" si="54"/>
        <v>2.121487800066951</v>
      </c>
      <c r="M65" s="177">
        <f t="shared" si="54"/>
        <v>2.2912068240723071</v>
      </c>
      <c r="N65" s="177">
        <f t="shared" si="54"/>
        <v>2.4745033699980916</v>
      </c>
      <c r="O65" s="177">
        <f t="shared" si="54"/>
        <v>2.67246363959794</v>
      </c>
      <c r="P65" s="177">
        <f t="shared" si="54"/>
        <v>2.8862607307657746</v>
      </c>
      <c r="Q65" s="177">
        <f t="shared" si="54"/>
        <v>3.1171615892270372</v>
      </c>
      <c r="R65" s="177">
        <f t="shared" si="54"/>
        <v>3.366534516365201</v>
      </c>
      <c r="S65" s="177">
        <f t="shared" si="54"/>
        <v>3.635857277674416</v>
      </c>
      <c r="T65" s="177">
        <f t="shared" si="54"/>
        <v>3.9267258598883692</v>
      </c>
      <c r="U65" s="177">
        <f t="shared" si="54"/>
        <v>4.2408639286794383</v>
      </c>
      <c r="V65" s="177">
        <f t="shared" si="54"/>
        <v>4.5801330429737943</v>
      </c>
      <c r="W65" s="177">
        <f t="shared" si="54"/>
        <v>4.9465436864116983</v>
      </c>
      <c r="X65" s="177">
        <f t="shared" si="54"/>
        <v>5.342267181324635</v>
      </c>
      <c r="Y65" s="177">
        <f t="shared" si="54"/>
        <v>5.7696485558306057</v>
      </c>
      <c r="Z65" s="177">
        <f t="shared" si="54"/>
        <v>6.2312204402970535</v>
      </c>
      <c r="AA65" s="177">
        <f t="shared" si="54"/>
        <v>6.729718075520819</v>
      </c>
      <c r="AB65" s="177">
        <f t="shared" si="54"/>
        <v>7.2680955215624863</v>
      </c>
    </row>
    <row r="66" spans="1:28">
      <c r="A66" s="140" t="s">
        <v>842</v>
      </c>
      <c r="B66" s="177">
        <f t="shared" ref="B66:AB66" si="55">B49</f>
        <v>0.86419102564102568</v>
      </c>
      <c r="C66" s="177">
        <f t="shared" si="55"/>
        <v>0.91149048503682861</v>
      </c>
      <c r="D66" s="177">
        <f t="shared" si="55"/>
        <v>0.98440972383977532</v>
      </c>
      <c r="E66" s="177">
        <f t="shared" si="55"/>
        <v>1.0631625017469573</v>
      </c>
      <c r="F66" s="177">
        <f t="shared" si="55"/>
        <v>1.1482155018867137</v>
      </c>
      <c r="G66" s="177">
        <f t="shared" si="55"/>
        <v>1.2400727420376509</v>
      </c>
      <c r="H66" s="177">
        <f t="shared" si="55"/>
        <v>1.3392785614006635</v>
      </c>
      <c r="I66" s="177">
        <f t="shared" si="55"/>
        <v>1.4464208463127166</v>
      </c>
      <c r="J66" s="177">
        <f t="shared" si="55"/>
        <v>1.5621345140177341</v>
      </c>
      <c r="K66" s="177">
        <f t="shared" si="55"/>
        <v>1.6871052751391531</v>
      </c>
      <c r="L66" s="177">
        <f t="shared" si="55"/>
        <v>1.8220736971502856</v>
      </c>
      <c r="M66" s="177">
        <f t="shared" si="55"/>
        <v>1.9678395929223085</v>
      </c>
      <c r="N66" s="177">
        <f t="shared" si="55"/>
        <v>2.1252667603560931</v>
      </c>
      <c r="O66" s="177">
        <f t="shared" si="55"/>
        <v>2.2952881011845809</v>
      </c>
      <c r="P66" s="177">
        <f t="shared" si="55"/>
        <v>2.4789111492793472</v>
      </c>
      <c r="Q66" s="177">
        <f t="shared" si="55"/>
        <v>2.6772240412216957</v>
      </c>
      <c r="R66" s="177">
        <f t="shared" si="55"/>
        <v>2.8914019645194315</v>
      </c>
      <c r="S66" s="177">
        <f t="shared" si="55"/>
        <v>3.1227141216809855</v>
      </c>
      <c r="T66" s="177">
        <f t="shared" si="55"/>
        <v>3.3725312514154644</v>
      </c>
      <c r="U66" s="177">
        <f t="shared" si="55"/>
        <v>3.6423337515287009</v>
      </c>
      <c r="V66" s="177">
        <f t="shared" si="55"/>
        <v>3.933720451650998</v>
      </c>
      <c r="W66" s="177">
        <f t="shared" si="55"/>
        <v>4.2484180877830777</v>
      </c>
      <c r="X66" s="177">
        <f t="shared" si="55"/>
        <v>4.5882915348057249</v>
      </c>
      <c r="Y66" s="177">
        <f t="shared" si="55"/>
        <v>4.9553548575901836</v>
      </c>
      <c r="Z66" s="177">
        <f t="shared" si="55"/>
        <v>5.3517832461973978</v>
      </c>
      <c r="AA66" s="177">
        <f t="shared" si="55"/>
        <v>5.7799259058931911</v>
      </c>
      <c r="AB66" s="177">
        <f t="shared" si="55"/>
        <v>6.2423199783646455</v>
      </c>
    </row>
    <row r="67" spans="1:28" ht="7.35" customHeight="1">
      <c r="A67" s="106"/>
      <c r="B67" s="178">
        <v>1</v>
      </c>
      <c r="C67" s="178">
        <v>1</v>
      </c>
      <c r="D67" s="178">
        <v>1</v>
      </c>
      <c r="E67" s="178">
        <v>1</v>
      </c>
      <c r="F67" s="178">
        <v>1</v>
      </c>
      <c r="G67" s="178">
        <v>1</v>
      </c>
      <c r="H67" s="178">
        <v>1</v>
      </c>
      <c r="I67" s="178">
        <v>1</v>
      </c>
      <c r="J67" s="178">
        <v>1</v>
      </c>
      <c r="K67" s="178">
        <v>1</v>
      </c>
      <c r="L67" s="178">
        <v>1</v>
      </c>
      <c r="M67" s="178">
        <v>1</v>
      </c>
      <c r="N67" s="178">
        <v>1</v>
      </c>
      <c r="O67" s="178">
        <v>1</v>
      </c>
      <c r="P67" s="178">
        <v>1</v>
      </c>
      <c r="Q67" s="178">
        <v>1</v>
      </c>
      <c r="R67" s="178">
        <v>1</v>
      </c>
      <c r="S67" s="178">
        <v>1</v>
      </c>
      <c r="T67" s="178">
        <v>1</v>
      </c>
      <c r="U67" s="178">
        <v>1</v>
      </c>
      <c r="V67" s="178">
        <v>1</v>
      </c>
      <c r="W67" s="178">
        <v>1</v>
      </c>
      <c r="X67" s="178">
        <v>1</v>
      </c>
      <c r="Y67" s="178">
        <v>1</v>
      </c>
      <c r="Z67" s="178">
        <v>1</v>
      </c>
      <c r="AA67" s="178">
        <v>1</v>
      </c>
      <c r="AB67" s="178">
        <v>1</v>
      </c>
    </row>
    <row r="68" spans="1:28" ht="15.6" customHeight="1">
      <c r="A68" s="174" t="s">
        <v>850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</row>
    <row r="69" spans="1:28" ht="4.3499999999999996" customHeight="1">
      <c r="J69" s="169"/>
      <c r="K69" s="169"/>
    </row>
    <row r="70" spans="1:28">
      <c r="A70" s="176" t="s">
        <v>851</v>
      </c>
      <c r="B70" s="176">
        <f>B19*364</f>
        <v>109200</v>
      </c>
      <c r="C70" s="176">
        <f t="shared" ref="C70:AB70" si="56">C19*364</f>
        <v>109200</v>
      </c>
      <c r="D70" s="176">
        <f t="shared" si="56"/>
        <v>109200</v>
      </c>
      <c r="E70" s="176">
        <f t="shared" si="56"/>
        <v>109200</v>
      </c>
      <c r="F70" s="176">
        <f t="shared" si="56"/>
        <v>109200</v>
      </c>
      <c r="G70" s="176">
        <f t="shared" si="56"/>
        <v>109200</v>
      </c>
      <c r="H70" s="176">
        <f t="shared" si="56"/>
        <v>109200</v>
      </c>
      <c r="I70" s="176">
        <f t="shared" si="56"/>
        <v>109200</v>
      </c>
      <c r="J70" s="176">
        <f t="shared" si="56"/>
        <v>109200</v>
      </c>
      <c r="K70" s="176">
        <f t="shared" si="56"/>
        <v>109200</v>
      </c>
      <c r="L70" s="176">
        <f t="shared" si="56"/>
        <v>109200</v>
      </c>
      <c r="M70" s="176">
        <f t="shared" si="56"/>
        <v>109200</v>
      </c>
      <c r="N70" s="176">
        <f>N19*364</f>
        <v>109200</v>
      </c>
      <c r="O70" s="176">
        <f t="shared" si="56"/>
        <v>109200</v>
      </c>
      <c r="P70" s="176">
        <f t="shared" si="56"/>
        <v>109200</v>
      </c>
      <c r="Q70" s="179">
        <f t="shared" si="56"/>
        <v>109200</v>
      </c>
      <c r="R70" s="176">
        <f t="shared" si="56"/>
        <v>109200</v>
      </c>
      <c r="S70" s="176">
        <f>S19*364</f>
        <v>109200</v>
      </c>
      <c r="T70" s="176">
        <f t="shared" si="56"/>
        <v>109200</v>
      </c>
      <c r="U70" s="176">
        <f t="shared" si="56"/>
        <v>109200</v>
      </c>
      <c r="V70" s="176">
        <f t="shared" si="56"/>
        <v>109200</v>
      </c>
      <c r="W70" s="176">
        <f t="shared" si="56"/>
        <v>109200</v>
      </c>
      <c r="X70" s="176">
        <f t="shared" si="56"/>
        <v>109200</v>
      </c>
      <c r="Y70" s="176">
        <f t="shared" si="56"/>
        <v>109200</v>
      </c>
      <c r="Z70" s="176">
        <f t="shared" si="56"/>
        <v>109200</v>
      </c>
      <c r="AA70" s="176">
        <f t="shared" si="56"/>
        <v>109200</v>
      </c>
      <c r="AB70" s="176">
        <f t="shared" si="56"/>
        <v>109200</v>
      </c>
    </row>
    <row r="71" spans="1:28">
      <c r="A71" s="176" t="s">
        <v>852</v>
      </c>
      <c r="B71" s="176">
        <f>B54</f>
        <v>94369.66</v>
      </c>
      <c r="C71" s="176">
        <f>C54</f>
        <v>99534.760966021684</v>
      </c>
      <c r="D71" s="176">
        <f>D54</f>
        <v>107497.54184330346</v>
      </c>
      <c r="E71" s="176">
        <f>E54</f>
        <v>116097.34519076772</v>
      </c>
      <c r="F71" s="176">
        <f>F54</f>
        <v>125385.13280602914</v>
      </c>
      <c r="G71" s="176">
        <f t="shared" ref="G71:AB71" si="57">G54</f>
        <v>135415.94343051148</v>
      </c>
      <c r="H71" s="176">
        <f t="shared" si="57"/>
        <v>146249.21890495246</v>
      </c>
      <c r="I71" s="176">
        <f t="shared" si="57"/>
        <v>157949.15641734865</v>
      </c>
      <c r="J71" s="176">
        <f t="shared" si="57"/>
        <v>170585.08893073656</v>
      </c>
      <c r="K71" s="176">
        <f t="shared" si="57"/>
        <v>184231.89604519552</v>
      </c>
      <c r="L71" s="176">
        <f t="shared" si="57"/>
        <v>198970.44772881118</v>
      </c>
      <c r="M71" s="176">
        <f t="shared" si="57"/>
        <v>214888.08354711608</v>
      </c>
      <c r="N71" s="176">
        <f t="shared" si="57"/>
        <v>232079.13023088538</v>
      </c>
      <c r="O71" s="176">
        <f t="shared" si="57"/>
        <v>250645.46064935622</v>
      </c>
      <c r="P71" s="176">
        <f t="shared" si="57"/>
        <v>270697.0975013047</v>
      </c>
      <c r="Q71" s="179">
        <f t="shared" si="57"/>
        <v>292352.86530140915</v>
      </c>
      <c r="R71" s="176">
        <f t="shared" si="57"/>
        <v>315741.09452552191</v>
      </c>
      <c r="S71" s="176">
        <f t="shared" si="57"/>
        <v>341000.38208756363</v>
      </c>
      <c r="T71" s="176">
        <f t="shared" si="57"/>
        <v>368280.41265456873</v>
      </c>
      <c r="U71" s="176">
        <f t="shared" si="57"/>
        <v>397742.84566693415</v>
      </c>
      <c r="V71" s="176">
        <f t="shared" si="57"/>
        <v>429562.27332028898</v>
      </c>
      <c r="W71" s="176">
        <f t="shared" si="57"/>
        <v>463927.25518591213</v>
      </c>
      <c r="X71" s="176">
        <f t="shared" si="57"/>
        <v>501041.43560078513</v>
      </c>
      <c r="Y71" s="176">
        <f t="shared" si="57"/>
        <v>541124.750448848</v>
      </c>
      <c r="Z71" s="176">
        <f t="shared" si="57"/>
        <v>584414.73048475583</v>
      </c>
      <c r="AA71" s="176">
        <f t="shared" si="57"/>
        <v>631167.90892353642</v>
      </c>
      <c r="AB71" s="176">
        <f t="shared" si="57"/>
        <v>681661.3416374193</v>
      </c>
    </row>
    <row r="72" spans="1:28">
      <c r="A72" s="176" t="s">
        <v>853</v>
      </c>
      <c r="B72" s="176">
        <f>B70-B71</f>
        <v>14830.339999999997</v>
      </c>
      <c r="C72" s="176">
        <f>C70-C71</f>
        <v>9665.239033978316</v>
      </c>
      <c r="D72" s="176">
        <f>D70-D71</f>
        <v>1702.4581566965353</v>
      </c>
      <c r="E72" s="176">
        <f>E70-E71</f>
        <v>-6897.3451907677227</v>
      </c>
      <c r="F72" s="176">
        <f>F70-F71</f>
        <v>-16185.132806029142</v>
      </c>
      <c r="G72" s="176">
        <f t="shared" ref="G72:AB72" si="58">G70-G71</f>
        <v>-26215.943430511485</v>
      </c>
      <c r="H72" s="176">
        <f t="shared" si="58"/>
        <v>-37049.21890495246</v>
      </c>
      <c r="I72" s="176">
        <f t="shared" si="58"/>
        <v>-48749.156417348655</v>
      </c>
      <c r="J72" s="176">
        <f t="shared" si="58"/>
        <v>-61385.088930736558</v>
      </c>
      <c r="K72" s="176">
        <f t="shared" si="58"/>
        <v>-75031.896045195521</v>
      </c>
      <c r="L72" s="176">
        <f t="shared" si="58"/>
        <v>-89770.447728811181</v>
      </c>
      <c r="M72" s="176">
        <f t="shared" si="58"/>
        <v>-105688.08354711608</v>
      </c>
      <c r="N72" s="176">
        <f t="shared" si="58"/>
        <v>-122879.13023088538</v>
      </c>
      <c r="O72" s="176">
        <f t="shared" si="58"/>
        <v>-141445.46064935622</v>
      </c>
      <c r="P72" s="176">
        <f t="shared" si="58"/>
        <v>-161497.0975013047</v>
      </c>
      <c r="Q72" s="179">
        <f t="shared" si="58"/>
        <v>-183152.86530140915</v>
      </c>
      <c r="R72" s="176">
        <f t="shared" si="58"/>
        <v>-206541.09452552191</v>
      </c>
      <c r="S72" s="176">
        <f t="shared" si="58"/>
        <v>-231800.38208756363</v>
      </c>
      <c r="T72" s="176">
        <f t="shared" si="58"/>
        <v>-259080.41265456873</v>
      </c>
      <c r="U72" s="176">
        <f t="shared" si="58"/>
        <v>-288542.84566693415</v>
      </c>
      <c r="V72" s="176">
        <f t="shared" si="58"/>
        <v>-320362.27332028898</v>
      </c>
      <c r="W72" s="176">
        <f t="shared" si="58"/>
        <v>-354727.25518591213</v>
      </c>
      <c r="X72" s="176">
        <f t="shared" si="58"/>
        <v>-391841.43560078513</v>
      </c>
      <c r="Y72" s="176">
        <f t="shared" si="58"/>
        <v>-431924.750448848</v>
      </c>
      <c r="Z72" s="176">
        <f t="shared" si="58"/>
        <v>-475214.73048475583</v>
      </c>
      <c r="AA72" s="176">
        <f t="shared" si="58"/>
        <v>-521967.90892353642</v>
      </c>
      <c r="AB72" s="176">
        <f t="shared" si="58"/>
        <v>-572461.3416374193</v>
      </c>
    </row>
    <row r="73" spans="1:28">
      <c r="A73" s="176" t="s">
        <v>854</v>
      </c>
      <c r="B73" s="180">
        <f>B72/B30</f>
        <v>1925.7353089965561</v>
      </c>
      <c r="C73" s="180">
        <f>C72/C30</f>
        <v>1243.021636141046</v>
      </c>
      <c r="D73" s="180">
        <f>D72/D30</f>
        <v>218.94878294878021</v>
      </c>
      <c r="E73" s="181">
        <f>E72/E30</f>
        <v>-887.0498984988584</v>
      </c>
      <c r="F73" s="181">
        <f>F72/F30</f>
        <v>-2081.5284744623109</v>
      </c>
      <c r="G73" s="181">
        <f t="shared" ref="G73:AB73" si="59">G72/G30</f>
        <v>-3371.5653365028406</v>
      </c>
      <c r="H73" s="181">
        <f t="shared" si="59"/>
        <v>-4764.8051475066186</v>
      </c>
      <c r="I73" s="181">
        <f t="shared" si="59"/>
        <v>-6269.5041433906918</v>
      </c>
      <c r="J73" s="181">
        <f t="shared" si="59"/>
        <v>-7894.5790589454919</v>
      </c>
      <c r="K73" s="181">
        <f t="shared" si="59"/>
        <v>-9649.6599677446775</v>
      </c>
      <c r="L73" s="181">
        <f t="shared" si="59"/>
        <v>-11545.147349247798</v>
      </c>
      <c r="M73" s="181">
        <f t="shared" si="59"/>
        <v>-13592.273721271167</v>
      </c>
      <c r="N73" s="181">
        <f t="shared" si="59"/>
        <v>-15803.170203056405</v>
      </c>
      <c r="O73" s="181">
        <f t="shared" si="59"/>
        <v>-18190.938403384465</v>
      </c>
      <c r="P73" s="181">
        <f t="shared" si="59"/>
        <v>-20769.728059738762</v>
      </c>
      <c r="Q73" s="182">
        <f t="shared" si="59"/>
        <v>-23554.820888601414</v>
      </c>
      <c r="R73" s="181">
        <f t="shared" si="59"/>
        <v>-26562.721143773073</v>
      </c>
      <c r="S73" s="181">
        <f t="shared" si="59"/>
        <v>-29811.253419358462</v>
      </c>
      <c r="T73" s="181">
        <f t="shared" si="59"/>
        <v>-33319.668276990684</v>
      </c>
      <c r="U73" s="181">
        <f t="shared" si="59"/>
        <v>-37108.756323233472</v>
      </c>
      <c r="V73" s="181">
        <f t="shared" si="59"/>
        <v>-41200.971413175699</v>
      </c>
      <c r="W73" s="181">
        <f t="shared" si="59"/>
        <v>-45620.563710313298</v>
      </c>
      <c r="X73" s="181">
        <f t="shared" si="59"/>
        <v>-50393.723391221916</v>
      </c>
      <c r="Y73" s="181">
        <f t="shared" si="59"/>
        <v>-55548.735846603216</v>
      </c>
      <c r="Z73" s="181">
        <f t="shared" si="59"/>
        <v>-61116.149298415017</v>
      </c>
      <c r="AA73" s="181">
        <f t="shared" si="59"/>
        <v>-67128.955826371777</v>
      </c>
      <c r="AB73" s="181">
        <f t="shared" si="59"/>
        <v>-73622.786876565064</v>
      </c>
    </row>
    <row r="74" spans="1:28">
      <c r="A74" s="176" t="s">
        <v>855</v>
      </c>
      <c r="B74" s="180">
        <f>B73/2</f>
        <v>962.86765449827806</v>
      </c>
      <c r="C74" s="180">
        <f>C73/2</f>
        <v>621.51081807052299</v>
      </c>
      <c r="D74" s="180">
        <f>D73/2</f>
        <v>109.4743914743901</v>
      </c>
      <c r="E74" s="181">
        <f>E73/2</f>
        <v>-443.5249492494292</v>
      </c>
      <c r="F74" s="181">
        <f t="shared" ref="F74:AB74" si="60">F73/2</f>
        <v>-1040.7642372311554</v>
      </c>
      <c r="G74" s="181">
        <f t="shared" si="60"/>
        <v>-1685.7826682514203</v>
      </c>
      <c r="H74" s="181">
        <f t="shared" si="60"/>
        <v>-2382.4025737533093</v>
      </c>
      <c r="I74" s="181">
        <f t="shared" si="60"/>
        <v>-3134.7520716953459</v>
      </c>
      <c r="J74" s="181">
        <f t="shared" si="60"/>
        <v>-3947.2895294727459</v>
      </c>
      <c r="K74" s="181">
        <f t="shared" si="60"/>
        <v>-4824.8299838723387</v>
      </c>
      <c r="L74" s="181">
        <f t="shared" si="60"/>
        <v>-5772.573674623899</v>
      </c>
      <c r="M74" s="181">
        <f t="shared" si="60"/>
        <v>-6796.1368606355836</v>
      </c>
      <c r="N74" s="181">
        <f t="shared" si="60"/>
        <v>-7901.5851015282024</v>
      </c>
      <c r="O74" s="181">
        <f t="shared" si="60"/>
        <v>-9095.4692016922327</v>
      </c>
      <c r="P74" s="181">
        <f t="shared" si="60"/>
        <v>-10384.864029869381</v>
      </c>
      <c r="Q74" s="182">
        <f t="shared" si="60"/>
        <v>-11777.410444300707</v>
      </c>
      <c r="R74" s="181">
        <f t="shared" si="60"/>
        <v>-13281.360571886536</v>
      </c>
      <c r="S74" s="181">
        <f t="shared" si="60"/>
        <v>-14905.626709679231</v>
      </c>
      <c r="T74" s="181">
        <f t="shared" si="60"/>
        <v>-16659.834138495342</v>
      </c>
      <c r="U74" s="181">
        <f t="shared" si="60"/>
        <v>-18554.378161616736</v>
      </c>
      <c r="V74" s="181">
        <f t="shared" si="60"/>
        <v>-20600.48570658785</v>
      </c>
      <c r="W74" s="181">
        <f t="shared" si="60"/>
        <v>-22810.281855156649</v>
      </c>
      <c r="X74" s="181">
        <f t="shared" si="60"/>
        <v>-25196.861695610958</v>
      </c>
      <c r="Y74" s="181">
        <f t="shared" si="60"/>
        <v>-27774.367923301608</v>
      </c>
      <c r="Z74" s="181">
        <f t="shared" si="60"/>
        <v>-30558.074649207509</v>
      </c>
      <c r="AA74" s="181">
        <f t="shared" si="60"/>
        <v>-33564.477913185889</v>
      </c>
      <c r="AB74" s="181">
        <f t="shared" si="60"/>
        <v>-36811.393438282532</v>
      </c>
    </row>
    <row r="75" spans="1:28" ht="5.45" customHeight="1">
      <c r="A75" s="176"/>
      <c r="B75" s="180"/>
      <c r="C75" s="180"/>
      <c r="D75" s="180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2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</row>
    <row r="76" spans="1:28">
      <c r="A76" s="183" t="s">
        <v>856</v>
      </c>
      <c r="B76" s="180">
        <f>B74*100</f>
        <v>96286.765449827799</v>
      </c>
      <c r="C76" s="180">
        <f t="shared" ref="C76:E76" si="61">C74*100</f>
        <v>62151.081807052302</v>
      </c>
      <c r="D76" s="180">
        <f t="shared" si="61"/>
        <v>10947.43914743901</v>
      </c>
      <c r="E76" s="181">
        <f t="shared" si="61"/>
        <v>-44352.494924942919</v>
      </c>
      <c r="F76" s="181">
        <f>F74*100</f>
        <v>-104076.42372311554</v>
      </c>
      <c r="G76" s="181">
        <f t="shared" ref="G76:AB76" si="62">G74*100</f>
        <v>-168578.26682514203</v>
      </c>
      <c r="H76" s="181">
        <f t="shared" si="62"/>
        <v>-238240.25737533093</v>
      </c>
      <c r="I76" s="181">
        <f t="shared" si="62"/>
        <v>-313475.20716953458</v>
      </c>
      <c r="J76" s="181">
        <f t="shared" si="62"/>
        <v>-394728.95294727461</v>
      </c>
      <c r="K76" s="181">
        <f t="shared" si="62"/>
        <v>-482482.99838723388</v>
      </c>
      <c r="L76" s="181">
        <f t="shared" si="62"/>
        <v>-577257.36746238987</v>
      </c>
      <c r="M76" s="181">
        <f t="shared" si="62"/>
        <v>-679613.68606355833</v>
      </c>
      <c r="N76" s="181">
        <f t="shared" si="62"/>
        <v>-790158.51015282026</v>
      </c>
      <c r="O76" s="181">
        <f t="shared" si="62"/>
        <v>-909546.92016922322</v>
      </c>
      <c r="P76" s="181">
        <f t="shared" si="62"/>
        <v>-1038486.4029869381</v>
      </c>
      <c r="Q76" s="182">
        <f t="shared" si="62"/>
        <v>-1177741.0444300708</v>
      </c>
      <c r="R76" s="181">
        <f t="shared" si="62"/>
        <v>-1328136.0571886536</v>
      </c>
      <c r="S76" s="181">
        <f t="shared" si="62"/>
        <v>-1490562.670967923</v>
      </c>
      <c r="T76" s="181">
        <f t="shared" si="62"/>
        <v>-1665983.4138495342</v>
      </c>
      <c r="U76" s="181">
        <f t="shared" si="62"/>
        <v>-1855437.8161616735</v>
      </c>
      <c r="V76" s="181">
        <f t="shared" si="62"/>
        <v>-2060048.5706587851</v>
      </c>
      <c r="W76" s="181">
        <f t="shared" si="62"/>
        <v>-2281028.185515665</v>
      </c>
      <c r="X76" s="181">
        <f t="shared" si="62"/>
        <v>-2519686.169561096</v>
      </c>
      <c r="Y76" s="181">
        <f t="shared" si="62"/>
        <v>-2777436.7923301607</v>
      </c>
      <c r="Z76" s="181">
        <f t="shared" si="62"/>
        <v>-3055807.4649207508</v>
      </c>
      <c r="AA76" s="181">
        <f t="shared" si="62"/>
        <v>-3356447.7913185889</v>
      </c>
      <c r="AB76" s="181">
        <f t="shared" si="62"/>
        <v>-3681139.343828253</v>
      </c>
    </row>
    <row r="85" spans="1:6">
      <c r="B85" s="184"/>
      <c r="F85" s="184"/>
    </row>
    <row r="86" spans="1:6">
      <c r="B86" s="185"/>
      <c r="F86" s="106"/>
    </row>
    <row r="87" spans="1:6">
      <c r="A87" s="106"/>
      <c r="B87" s="106"/>
      <c r="F87" s="106"/>
    </row>
    <row r="88" spans="1:6">
      <c r="A88" s="106"/>
      <c r="B88" s="106"/>
      <c r="F88" s="106"/>
    </row>
    <row r="89" spans="1:6">
      <c r="A89" s="106"/>
      <c r="B89" s="106"/>
      <c r="F89" s="106"/>
    </row>
    <row r="91" spans="1:6">
      <c r="A91" s="166"/>
    </row>
    <row r="92" spans="1:6">
      <c r="A92" s="106"/>
    </row>
    <row r="93" spans="1:6">
      <c r="A93" s="106"/>
    </row>
  </sheetData>
  <conditionalFormatting sqref="B12:AB12">
    <cfRule type="cellIs" dxfId="17" priority="4" stopIfTrue="1" operator="greaterThan">
      <formula>3648700</formula>
    </cfRule>
  </conditionalFormatting>
  <conditionalFormatting sqref="B47:AB47">
    <cfRule type="cellIs" dxfId="16" priority="3" stopIfTrue="1" operator="greaterThan">
      <formula>1</formula>
    </cfRule>
  </conditionalFormatting>
  <conditionalFormatting sqref="B48:AB48">
    <cfRule type="cellIs" dxfId="15" priority="2" stopIfTrue="1" operator="lessThan">
      <formula>0</formula>
    </cfRule>
  </conditionalFormatting>
  <conditionalFormatting sqref="B49:AB49">
    <cfRule type="cellIs" dxfId="14" priority="7" stopIfTrue="1" operator="greaterThan">
      <formula>0.75</formula>
    </cfRule>
  </conditionalFormatting>
  <conditionalFormatting sqref="B50:AB50">
    <cfRule type="cellIs" dxfId="13" priority="1" stopIfTrue="1" operator="greaterThan">
      <formula>0.7</formula>
    </cfRule>
  </conditionalFormatting>
  <conditionalFormatting sqref="B64:AB64">
    <cfRule type="cellIs" dxfId="12" priority="9" stopIfTrue="1" operator="lessThan">
      <formula>0</formula>
    </cfRule>
  </conditionalFormatting>
  <conditionalFormatting sqref="B65:AB65">
    <cfRule type="cellIs" dxfId="11" priority="8" stopIfTrue="1" operator="greaterThan">
      <formula>1</formula>
    </cfRule>
  </conditionalFormatting>
  <conditionalFormatting sqref="B66:AB66">
    <cfRule type="cellIs" dxfId="10" priority="5" stopIfTrue="1" operator="between">
      <formula>0.65</formula>
      <formula>0.6999</formula>
    </cfRule>
    <cfRule type="cellIs" dxfId="9" priority="6" stopIfTrue="1" operator="greaterThan">
      <formula>0.701</formula>
    </cfRule>
  </conditionalFormatting>
  <hyperlinks>
    <hyperlink ref="A76" r:id="rId1" display="#@$100 per ctr" xr:uid="{79D9D4DF-F553-41BE-8707-68203D442146}"/>
  </hyperlinks>
  <printOptions horizontalCentered="1" verticalCentered="1"/>
  <pageMargins left="0" right="0" top="0" bottom="0" header="0" footer="0"/>
  <pageSetup paperSize="9" scale="80" orientation="portrait" r:id="rId2"/>
  <headerFooter alignWithMargins="0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E01A-BB43-4B06-9A41-F893E7554319}">
  <dimension ref="A1:AB93"/>
  <sheetViews>
    <sheetView showGridLines="0" topLeftCell="A18" zoomScaleNormal="100" zoomScaleSheetLayoutView="100" workbookViewId="0">
      <selection activeCell="C4" sqref="C4"/>
    </sheetView>
  </sheetViews>
  <sheetFormatPr defaultRowHeight="12.95"/>
  <cols>
    <col min="1" max="1" width="19.5703125" style="100" customWidth="1"/>
    <col min="2" max="2" width="8.5703125" style="100" customWidth="1"/>
    <col min="3" max="3" width="9.42578125" style="100" customWidth="1"/>
    <col min="4" max="5" width="8.5703125" style="100" customWidth="1"/>
    <col min="6" max="6" width="9.5703125" style="169" customWidth="1"/>
    <col min="7" max="9" width="8.85546875" style="169" customWidth="1"/>
    <col min="10" max="10" width="8.85546875" style="100" hidden="1" customWidth="1"/>
    <col min="11" max="11" width="8.85546875" style="100" customWidth="1"/>
    <col min="12" max="12" width="8.85546875" style="169" customWidth="1"/>
    <col min="13" max="13" width="8.85546875" style="169"/>
    <col min="14" max="18" width="8.85546875" style="169" customWidth="1"/>
    <col min="19" max="25" width="8.85546875" style="169"/>
    <col min="26" max="27" width="10" style="169" customWidth="1"/>
    <col min="28" max="28" width="8.85546875" style="169"/>
    <col min="29" max="232" width="8.85546875" style="100"/>
    <col min="233" max="233" width="19.5703125" style="100" customWidth="1"/>
    <col min="234" max="237" width="8.5703125" style="100" customWidth="1"/>
    <col min="238" max="238" width="1.140625" style="100" customWidth="1"/>
    <col min="239" max="239" width="6.140625" style="100" customWidth="1"/>
    <col min="240" max="240" width="1" style="100" customWidth="1"/>
    <col min="241" max="244" width="8.85546875" style="100"/>
    <col min="245" max="245" width="0" style="100" hidden="1" customWidth="1"/>
    <col min="246" max="246" width="1.140625" style="100" customWidth="1"/>
    <col min="247" max="247" width="0" style="100" hidden="1" customWidth="1"/>
    <col min="248" max="248" width="8.85546875" style="100"/>
    <col min="249" max="249" width="19.5703125" style="100" customWidth="1"/>
    <col min="250" max="253" width="8.5703125" style="100" customWidth="1"/>
    <col min="254" max="488" width="8.85546875" style="100"/>
    <col min="489" max="489" width="19.5703125" style="100" customWidth="1"/>
    <col min="490" max="493" width="8.5703125" style="100" customWidth="1"/>
    <col min="494" max="494" width="1.140625" style="100" customWidth="1"/>
    <col min="495" max="495" width="6.140625" style="100" customWidth="1"/>
    <col min="496" max="496" width="1" style="100" customWidth="1"/>
    <col min="497" max="500" width="8.85546875" style="100"/>
    <col min="501" max="501" width="0" style="100" hidden="1" customWidth="1"/>
    <col min="502" max="502" width="1.140625" style="100" customWidth="1"/>
    <col min="503" max="503" width="0" style="100" hidden="1" customWidth="1"/>
    <col min="504" max="504" width="8.85546875" style="100"/>
    <col min="505" max="505" width="19.5703125" style="100" customWidth="1"/>
    <col min="506" max="509" width="8.5703125" style="100" customWidth="1"/>
    <col min="510" max="744" width="8.85546875" style="100"/>
    <col min="745" max="745" width="19.5703125" style="100" customWidth="1"/>
    <col min="746" max="749" width="8.5703125" style="100" customWidth="1"/>
    <col min="750" max="750" width="1.140625" style="100" customWidth="1"/>
    <col min="751" max="751" width="6.140625" style="100" customWidth="1"/>
    <col min="752" max="752" width="1" style="100" customWidth="1"/>
    <col min="753" max="756" width="8.85546875" style="100"/>
    <col min="757" max="757" width="0" style="100" hidden="1" customWidth="1"/>
    <col min="758" max="758" width="1.140625" style="100" customWidth="1"/>
    <col min="759" max="759" width="0" style="100" hidden="1" customWidth="1"/>
    <col min="760" max="760" width="8.85546875" style="100"/>
    <col min="761" max="761" width="19.5703125" style="100" customWidth="1"/>
    <col min="762" max="765" width="8.5703125" style="100" customWidth="1"/>
    <col min="766" max="1000" width="8.85546875" style="100"/>
    <col min="1001" max="1001" width="19.5703125" style="100" customWidth="1"/>
    <col min="1002" max="1005" width="8.5703125" style="100" customWidth="1"/>
    <col min="1006" max="1006" width="1.140625" style="100" customWidth="1"/>
    <col min="1007" max="1007" width="6.140625" style="100" customWidth="1"/>
    <col min="1008" max="1008" width="1" style="100" customWidth="1"/>
    <col min="1009" max="1012" width="8.85546875" style="100"/>
    <col min="1013" max="1013" width="0" style="100" hidden="1" customWidth="1"/>
    <col min="1014" max="1014" width="1.140625" style="100" customWidth="1"/>
    <col min="1015" max="1015" width="0" style="100" hidden="1" customWidth="1"/>
    <col min="1016" max="1016" width="8.85546875" style="100"/>
    <col min="1017" max="1017" width="19.5703125" style="100" customWidth="1"/>
    <col min="1018" max="1021" width="8.5703125" style="100" customWidth="1"/>
    <col min="1022" max="1256" width="8.85546875" style="100"/>
    <col min="1257" max="1257" width="19.5703125" style="100" customWidth="1"/>
    <col min="1258" max="1261" width="8.5703125" style="100" customWidth="1"/>
    <col min="1262" max="1262" width="1.140625" style="100" customWidth="1"/>
    <col min="1263" max="1263" width="6.140625" style="100" customWidth="1"/>
    <col min="1264" max="1264" width="1" style="100" customWidth="1"/>
    <col min="1265" max="1268" width="8.85546875" style="100"/>
    <col min="1269" max="1269" width="0" style="100" hidden="1" customWidth="1"/>
    <col min="1270" max="1270" width="1.140625" style="100" customWidth="1"/>
    <col min="1271" max="1271" width="0" style="100" hidden="1" customWidth="1"/>
    <col min="1272" max="1272" width="8.85546875" style="100"/>
    <col min="1273" max="1273" width="19.5703125" style="100" customWidth="1"/>
    <col min="1274" max="1277" width="8.5703125" style="100" customWidth="1"/>
    <col min="1278" max="1512" width="8.85546875" style="100"/>
    <col min="1513" max="1513" width="19.5703125" style="100" customWidth="1"/>
    <col min="1514" max="1517" width="8.5703125" style="100" customWidth="1"/>
    <col min="1518" max="1518" width="1.140625" style="100" customWidth="1"/>
    <col min="1519" max="1519" width="6.140625" style="100" customWidth="1"/>
    <col min="1520" max="1520" width="1" style="100" customWidth="1"/>
    <col min="1521" max="1524" width="8.85546875" style="100"/>
    <col min="1525" max="1525" width="0" style="100" hidden="1" customWidth="1"/>
    <col min="1526" max="1526" width="1.140625" style="100" customWidth="1"/>
    <col min="1527" max="1527" width="0" style="100" hidden="1" customWidth="1"/>
    <col min="1528" max="1528" width="8.85546875" style="100"/>
    <col min="1529" max="1529" width="19.5703125" style="100" customWidth="1"/>
    <col min="1530" max="1533" width="8.5703125" style="100" customWidth="1"/>
    <col min="1534" max="1768" width="8.85546875" style="100"/>
    <col min="1769" max="1769" width="19.5703125" style="100" customWidth="1"/>
    <col min="1770" max="1773" width="8.5703125" style="100" customWidth="1"/>
    <col min="1774" max="1774" width="1.140625" style="100" customWidth="1"/>
    <col min="1775" max="1775" width="6.140625" style="100" customWidth="1"/>
    <col min="1776" max="1776" width="1" style="100" customWidth="1"/>
    <col min="1777" max="1780" width="8.85546875" style="100"/>
    <col min="1781" max="1781" width="0" style="100" hidden="1" customWidth="1"/>
    <col min="1782" max="1782" width="1.140625" style="100" customWidth="1"/>
    <col min="1783" max="1783" width="0" style="100" hidden="1" customWidth="1"/>
    <col min="1784" max="1784" width="8.85546875" style="100"/>
    <col min="1785" max="1785" width="19.5703125" style="100" customWidth="1"/>
    <col min="1786" max="1789" width="8.5703125" style="100" customWidth="1"/>
    <col min="1790" max="2024" width="8.85546875" style="100"/>
    <col min="2025" max="2025" width="19.5703125" style="100" customWidth="1"/>
    <col min="2026" max="2029" width="8.5703125" style="100" customWidth="1"/>
    <col min="2030" max="2030" width="1.140625" style="100" customWidth="1"/>
    <col min="2031" max="2031" width="6.140625" style="100" customWidth="1"/>
    <col min="2032" max="2032" width="1" style="100" customWidth="1"/>
    <col min="2033" max="2036" width="8.85546875" style="100"/>
    <col min="2037" max="2037" width="0" style="100" hidden="1" customWidth="1"/>
    <col min="2038" max="2038" width="1.140625" style="100" customWidth="1"/>
    <col min="2039" max="2039" width="0" style="100" hidden="1" customWidth="1"/>
    <col min="2040" max="2040" width="8.85546875" style="100"/>
    <col min="2041" max="2041" width="19.5703125" style="100" customWidth="1"/>
    <col min="2042" max="2045" width="8.5703125" style="100" customWidth="1"/>
    <col min="2046" max="2280" width="8.85546875" style="100"/>
    <col min="2281" max="2281" width="19.5703125" style="100" customWidth="1"/>
    <col min="2282" max="2285" width="8.5703125" style="100" customWidth="1"/>
    <col min="2286" max="2286" width="1.140625" style="100" customWidth="1"/>
    <col min="2287" max="2287" width="6.140625" style="100" customWidth="1"/>
    <col min="2288" max="2288" width="1" style="100" customWidth="1"/>
    <col min="2289" max="2292" width="8.85546875" style="100"/>
    <col min="2293" max="2293" width="0" style="100" hidden="1" customWidth="1"/>
    <col min="2294" max="2294" width="1.140625" style="100" customWidth="1"/>
    <col min="2295" max="2295" width="0" style="100" hidden="1" customWidth="1"/>
    <col min="2296" max="2296" width="8.85546875" style="100"/>
    <col min="2297" max="2297" width="19.5703125" style="100" customWidth="1"/>
    <col min="2298" max="2301" width="8.5703125" style="100" customWidth="1"/>
    <col min="2302" max="2536" width="8.85546875" style="100"/>
    <col min="2537" max="2537" width="19.5703125" style="100" customWidth="1"/>
    <col min="2538" max="2541" width="8.5703125" style="100" customWidth="1"/>
    <col min="2542" max="2542" width="1.140625" style="100" customWidth="1"/>
    <col min="2543" max="2543" width="6.140625" style="100" customWidth="1"/>
    <col min="2544" max="2544" width="1" style="100" customWidth="1"/>
    <col min="2545" max="2548" width="8.85546875" style="100"/>
    <col min="2549" max="2549" width="0" style="100" hidden="1" customWidth="1"/>
    <col min="2550" max="2550" width="1.140625" style="100" customWidth="1"/>
    <col min="2551" max="2551" width="0" style="100" hidden="1" customWidth="1"/>
    <col min="2552" max="2552" width="8.85546875" style="100"/>
    <col min="2553" max="2553" width="19.5703125" style="100" customWidth="1"/>
    <col min="2554" max="2557" width="8.5703125" style="100" customWidth="1"/>
    <col min="2558" max="2792" width="8.85546875" style="100"/>
    <col min="2793" max="2793" width="19.5703125" style="100" customWidth="1"/>
    <col min="2794" max="2797" width="8.5703125" style="100" customWidth="1"/>
    <col min="2798" max="2798" width="1.140625" style="100" customWidth="1"/>
    <col min="2799" max="2799" width="6.140625" style="100" customWidth="1"/>
    <col min="2800" max="2800" width="1" style="100" customWidth="1"/>
    <col min="2801" max="2804" width="8.85546875" style="100"/>
    <col min="2805" max="2805" width="0" style="100" hidden="1" customWidth="1"/>
    <col min="2806" max="2806" width="1.140625" style="100" customWidth="1"/>
    <col min="2807" max="2807" width="0" style="100" hidden="1" customWidth="1"/>
    <col min="2808" max="2808" width="8.85546875" style="100"/>
    <col min="2809" max="2809" width="19.5703125" style="100" customWidth="1"/>
    <col min="2810" max="2813" width="8.5703125" style="100" customWidth="1"/>
    <col min="2814" max="3048" width="8.85546875" style="100"/>
    <col min="3049" max="3049" width="19.5703125" style="100" customWidth="1"/>
    <col min="3050" max="3053" width="8.5703125" style="100" customWidth="1"/>
    <col min="3054" max="3054" width="1.140625" style="100" customWidth="1"/>
    <col min="3055" max="3055" width="6.140625" style="100" customWidth="1"/>
    <col min="3056" max="3056" width="1" style="100" customWidth="1"/>
    <col min="3057" max="3060" width="8.85546875" style="100"/>
    <col min="3061" max="3061" width="0" style="100" hidden="1" customWidth="1"/>
    <col min="3062" max="3062" width="1.140625" style="100" customWidth="1"/>
    <col min="3063" max="3063" width="0" style="100" hidden="1" customWidth="1"/>
    <col min="3064" max="3064" width="8.85546875" style="100"/>
    <col min="3065" max="3065" width="19.5703125" style="100" customWidth="1"/>
    <col min="3066" max="3069" width="8.5703125" style="100" customWidth="1"/>
    <col min="3070" max="3304" width="8.85546875" style="100"/>
    <col min="3305" max="3305" width="19.5703125" style="100" customWidth="1"/>
    <col min="3306" max="3309" width="8.5703125" style="100" customWidth="1"/>
    <col min="3310" max="3310" width="1.140625" style="100" customWidth="1"/>
    <col min="3311" max="3311" width="6.140625" style="100" customWidth="1"/>
    <col min="3312" max="3312" width="1" style="100" customWidth="1"/>
    <col min="3313" max="3316" width="8.85546875" style="100"/>
    <col min="3317" max="3317" width="0" style="100" hidden="1" customWidth="1"/>
    <col min="3318" max="3318" width="1.140625" style="100" customWidth="1"/>
    <col min="3319" max="3319" width="0" style="100" hidden="1" customWidth="1"/>
    <col min="3320" max="3320" width="8.85546875" style="100"/>
    <col min="3321" max="3321" width="19.5703125" style="100" customWidth="1"/>
    <col min="3322" max="3325" width="8.5703125" style="100" customWidth="1"/>
    <col min="3326" max="3560" width="8.85546875" style="100"/>
    <col min="3561" max="3561" width="19.5703125" style="100" customWidth="1"/>
    <col min="3562" max="3565" width="8.5703125" style="100" customWidth="1"/>
    <col min="3566" max="3566" width="1.140625" style="100" customWidth="1"/>
    <col min="3567" max="3567" width="6.140625" style="100" customWidth="1"/>
    <col min="3568" max="3568" width="1" style="100" customWidth="1"/>
    <col min="3569" max="3572" width="8.85546875" style="100"/>
    <col min="3573" max="3573" width="0" style="100" hidden="1" customWidth="1"/>
    <col min="3574" max="3574" width="1.140625" style="100" customWidth="1"/>
    <col min="3575" max="3575" width="0" style="100" hidden="1" customWidth="1"/>
    <col min="3576" max="3576" width="8.85546875" style="100"/>
    <col min="3577" max="3577" width="19.5703125" style="100" customWidth="1"/>
    <col min="3578" max="3581" width="8.5703125" style="100" customWidth="1"/>
    <col min="3582" max="3816" width="8.85546875" style="100"/>
    <col min="3817" max="3817" width="19.5703125" style="100" customWidth="1"/>
    <col min="3818" max="3821" width="8.5703125" style="100" customWidth="1"/>
    <col min="3822" max="3822" width="1.140625" style="100" customWidth="1"/>
    <col min="3823" max="3823" width="6.140625" style="100" customWidth="1"/>
    <col min="3824" max="3824" width="1" style="100" customWidth="1"/>
    <col min="3825" max="3828" width="8.85546875" style="100"/>
    <col min="3829" max="3829" width="0" style="100" hidden="1" customWidth="1"/>
    <col min="3830" max="3830" width="1.140625" style="100" customWidth="1"/>
    <col min="3831" max="3831" width="0" style="100" hidden="1" customWidth="1"/>
    <col min="3832" max="3832" width="8.85546875" style="100"/>
    <col min="3833" max="3833" width="19.5703125" style="100" customWidth="1"/>
    <col min="3834" max="3837" width="8.5703125" style="100" customWidth="1"/>
    <col min="3838" max="4072" width="8.85546875" style="100"/>
    <col min="4073" max="4073" width="19.5703125" style="100" customWidth="1"/>
    <col min="4074" max="4077" width="8.5703125" style="100" customWidth="1"/>
    <col min="4078" max="4078" width="1.140625" style="100" customWidth="1"/>
    <col min="4079" max="4079" width="6.140625" style="100" customWidth="1"/>
    <col min="4080" max="4080" width="1" style="100" customWidth="1"/>
    <col min="4081" max="4084" width="8.85546875" style="100"/>
    <col min="4085" max="4085" width="0" style="100" hidden="1" customWidth="1"/>
    <col min="4086" max="4086" width="1.140625" style="100" customWidth="1"/>
    <col min="4087" max="4087" width="0" style="100" hidden="1" customWidth="1"/>
    <col min="4088" max="4088" width="8.85546875" style="100"/>
    <col min="4089" max="4089" width="19.5703125" style="100" customWidth="1"/>
    <col min="4090" max="4093" width="8.5703125" style="100" customWidth="1"/>
    <col min="4094" max="4328" width="8.85546875" style="100"/>
    <col min="4329" max="4329" width="19.5703125" style="100" customWidth="1"/>
    <col min="4330" max="4333" width="8.5703125" style="100" customWidth="1"/>
    <col min="4334" max="4334" width="1.140625" style="100" customWidth="1"/>
    <col min="4335" max="4335" width="6.140625" style="100" customWidth="1"/>
    <col min="4336" max="4336" width="1" style="100" customWidth="1"/>
    <col min="4337" max="4340" width="8.85546875" style="100"/>
    <col min="4341" max="4341" width="0" style="100" hidden="1" customWidth="1"/>
    <col min="4342" max="4342" width="1.140625" style="100" customWidth="1"/>
    <col min="4343" max="4343" width="0" style="100" hidden="1" customWidth="1"/>
    <col min="4344" max="4344" width="8.85546875" style="100"/>
    <col min="4345" max="4345" width="19.5703125" style="100" customWidth="1"/>
    <col min="4346" max="4349" width="8.5703125" style="100" customWidth="1"/>
    <col min="4350" max="4584" width="8.85546875" style="100"/>
    <col min="4585" max="4585" width="19.5703125" style="100" customWidth="1"/>
    <col min="4586" max="4589" width="8.5703125" style="100" customWidth="1"/>
    <col min="4590" max="4590" width="1.140625" style="100" customWidth="1"/>
    <col min="4591" max="4591" width="6.140625" style="100" customWidth="1"/>
    <col min="4592" max="4592" width="1" style="100" customWidth="1"/>
    <col min="4593" max="4596" width="8.85546875" style="100"/>
    <col min="4597" max="4597" width="0" style="100" hidden="1" customWidth="1"/>
    <col min="4598" max="4598" width="1.140625" style="100" customWidth="1"/>
    <col min="4599" max="4599" width="0" style="100" hidden="1" customWidth="1"/>
    <col min="4600" max="4600" width="8.85546875" style="100"/>
    <col min="4601" max="4601" width="19.5703125" style="100" customWidth="1"/>
    <col min="4602" max="4605" width="8.5703125" style="100" customWidth="1"/>
    <col min="4606" max="4840" width="8.85546875" style="100"/>
    <col min="4841" max="4841" width="19.5703125" style="100" customWidth="1"/>
    <col min="4842" max="4845" width="8.5703125" style="100" customWidth="1"/>
    <col min="4846" max="4846" width="1.140625" style="100" customWidth="1"/>
    <col min="4847" max="4847" width="6.140625" style="100" customWidth="1"/>
    <col min="4848" max="4848" width="1" style="100" customWidth="1"/>
    <col min="4849" max="4852" width="8.85546875" style="100"/>
    <col min="4853" max="4853" width="0" style="100" hidden="1" customWidth="1"/>
    <col min="4854" max="4854" width="1.140625" style="100" customWidth="1"/>
    <col min="4855" max="4855" width="0" style="100" hidden="1" customWidth="1"/>
    <col min="4856" max="4856" width="8.85546875" style="100"/>
    <col min="4857" max="4857" width="19.5703125" style="100" customWidth="1"/>
    <col min="4858" max="4861" width="8.5703125" style="100" customWidth="1"/>
    <col min="4862" max="5096" width="8.85546875" style="100"/>
    <col min="5097" max="5097" width="19.5703125" style="100" customWidth="1"/>
    <col min="5098" max="5101" width="8.5703125" style="100" customWidth="1"/>
    <col min="5102" max="5102" width="1.140625" style="100" customWidth="1"/>
    <col min="5103" max="5103" width="6.140625" style="100" customWidth="1"/>
    <col min="5104" max="5104" width="1" style="100" customWidth="1"/>
    <col min="5105" max="5108" width="8.85546875" style="100"/>
    <col min="5109" max="5109" width="0" style="100" hidden="1" customWidth="1"/>
    <col min="5110" max="5110" width="1.140625" style="100" customWidth="1"/>
    <col min="5111" max="5111" width="0" style="100" hidden="1" customWidth="1"/>
    <col min="5112" max="5112" width="8.85546875" style="100"/>
    <col min="5113" max="5113" width="19.5703125" style="100" customWidth="1"/>
    <col min="5114" max="5117" width="8.5703125" style="100" customWidth="1"/>
    <col min="5118" max="5352" width="8.85546875" style="100"/>
    <col min="5353" max="5353" width="19.5703125" style="100" customWidth="1"/>
    <col min="5354" max="5357" width="8.5703125" style="100" customWidth="1"/>
    <col min="5358" max="5358" width="1.140625" style="100" customWidth="1"/>
    <col min="5359" max="5359" width="6.140625" style="100" customWidth="1"/>
    <col min="5360" max="5360" width="1" style="100" customWidth="1"/>
    <col min="5361" max="5364" width="8.85546875" style="100"/>
    <col min="5365" max="5365" width="0" style="100" hidden="1" customWidth="1"/>
    <col min="5366" max="5366" width="1.140625" style="100" customWidth="1"/>
    <col min="5367" max="5367" width="0" style="100" hidden="1" customWidth="1"/>
    <col min="5368" max="5368" width="8.85546875" style="100"/>
    <col min="5369" max="5369" width="19.5703125" style="100" customWidth="1"/>
    <col min="5370" max="5373" width="8.5703125" style="100" customWidth="1"/>
    <col min="5374" max="5608" width="8.85546875" style="100"/>
    <col min="5609" max="5609" width="19.5703125" style="100" customWidth="1"/>
    <col min="5610" max="5613" width="8.5703125" style="100" customWidth="1"/>
    <col min="5614" max="5614" width="1.140625" style="100" customWidth="1"/>
    <col min="5615" max="5615" width="6.140625" style="100" customWidth="1"/>
    <col min="5616" max="5616" width="1" style="100" customWidth="1"/>
    <col min="5617" max="5620" width="8.85546875" style="100"/>
    <col min="5621" max="5621" width="0" style="100" hidden="1" customWidth="1"/>
    <col min="5622" max="5622" width="1.140625" style="100" customWidth="1"/>
    <col min="5623" max="5623" width="0" style="100" hidden="1" customWidth="1"/>
    <col min="5624" max="5624" width="8.85546875" style="100"/>
    <col min="5625" max="5625" width="19.5703125" style="100" customWidth="1"/>
    <col min="5626" max="5629" width="8.5703125" style="100" customWidth="1"/>
    <col min="5630" max="5864" width="8.85546875" style="100"/>
    <col min="5865" max="5865" width="19.5703125" style="100" customWidth="1"/>
    <col min="5866" max="5869" width="8.5703125" style="100" customWidth="1"/>
    <col min="5870" max="5870" width="1.140625" style="100" customWidth="1"/>
    <col min="5871" max="5871" width="6.140625" style="100" customWidth="1"/>
    <col min="5872" max="5872" width="1" style="100" customWidth="1"/>
    <col min="5873" max="5876" width="8.85546875" style="100"/>
    <col min="5877" max="5877" width="0" style="100" hidden="1" customWidth="1"/>
    <col min="5878" max="5878" width="1.140625" style="100" customWidth="1"/>
    <col min="5879" max="5879" width="0" style="100" hidden="1" customWidth="1"/>
    <col min="5880" max="5880" width="8.85546875" style="100"/>
    <col min="5881" max="5881" width="19.5703125" style="100" customWidth="1"/>
    <col min="5882" max="5885" width="8.5703125" style="100" customWidth="1"/>
    <col min="5886" max="6120" width="8.85546875" style="100"/>
    <col min="6121" max="6121" width="19.5703125" style="100" customWidth="1"/>
    <col min="6122" max="6125" width="8.5703125" style="100" customWidth="1"/>
    <col min="6126" max="6126" width="1.140625" style="100" customWidth="1"/>
    <col min="6127" max="6127" width="6.140625" style="100" customWidth="1"/>
    <col min="6128" max="6128" width="1" style="100" customWidth="1"/>
    <col min="6129" max="6132" width="8.85546875" style="100"/>
    <col min="6133" max="6133" width="0" style="100" hidden="1" customWidth="1"/>
    <col min="6134" max="6134" width="1.140625" style="100" customWidth="1"/>
    <col min="6135" max="6135" width="0" style="100" hidden="1" customWidth="1"/>
    <col min="6136" max="6136" width="8.85546875" style="100"/>
    <col min="6137" max="6137" width="19.5703125" style="100" customWidth="1"/>
    <col min="6138" max="6141" width="8.5703125" style="100" customWidth="1"/>
    <col min="6142" max="6376" width="8.85546875" style="100"/>
    <col min="6377" max="6377" width="19.5703125" style="100" customWidth="1"/>
    <col min="6378" max="6381" width="8.5703125" style="100" customWidth="1"/>
    <col min="6382" max="6382" width="1.140625" style="100" customWidth="1"/>
    <col min="6383" max="6383" width="6.140625" style="100" customWidth="1"/>
    <col min="6384" max="6384" width="1" style="100" customWidth="1"/>
    <col min="6385" max="6388" width="8.85546875" style="100"/>
    <col min="6389" max="6389" width="0" style="100" hidden="1" customWidth="1"/>
    <col min="6390" max="6390" width="1.140625" style="100" customWidth="1"/>
    <col min="6391" max="6391" width="0" style="100" hidden="1" customWidth="1"/>
    <col min="6392" max="6392" width="8.85546875" style="100"/>
    <col min="6393" max="6393" width="19.5703125" style="100" customWidth="1"/>
    <col min="6394" max="6397" width="8.5703125" style="100" customWidth="1"/>
    <col min="6398" max="6632" width="8.85546875" style="100"/>
    <col min="6633" max="6633" width="19.5703125" style="100" customWidth="1"/>
    <col min="6634" max="6637" width="8.5703125" style="100" customWidth="1"/>
    <col min="6638" max="6638" width="1.140625" style="100" customWidth="1"/>
    <col min="6639" max="6639" width="6.140625" style="100" customWidth="1"/>
    <col min="6640" max="6640" width="1" style="100" customWidth="1"/>
    <col min="6641" max="6644" width="8.85546875" style="100"/>
    <col min="6645" max="6645" width="0" style="100" hidden="1" customWidth="1"/>
    <col min="6646" max="6646" width="1.140625" style="100" customWidth="1"/>
    <col min="6647" max="6647" width="0" style="100" hidden="1" customWidth="1"/>
    <col min="6648" max="6648" width="8.85546875" style="100"/>
    <col min="6649" max="6649" width="19.5703125" style="100" customWidth="1"/>
    <col min="6650" max="6653" width="8.5703125" style="100" customWidth="1"/>
    <col min="6654" max="6888" width="8.85546875" style="100"/>
    <col min="6889" max="6889" width="19.5703125" style="100" customWidth="1"/>
    <col min="6890" max="6893" width="8.5703125" style="100" customWidth="1"/>
    <col min="6894" max="6894" width="1.140625" style="100" customWidth="1"/>
    <col min="6895" max="6895" width="6.140625" style="100" customWidth="1"/>
    <col min="6896" max="6896" width="1" style="100" customWidth="1"/>
    <col min="6897" max="6900" width="8.85546875" style="100"/>
    <col min="6901" max="6901" width="0" style="100" hidden="1" customWidth="1"/>
    <col min="6902" max="6902" width="1.140625" style="100" customWidth="1"/>
    <col min="6903" max="6903" width="0" style="100" hidden="1" customWidth="1"/>
    <col min="6904" max="6904" width="8.85546875" style="100"/>
    <col min="6905" max="6905" width="19.5703125" style="100" customWidth="1"/>
    <col min="6906" max="6909" width="8.5703125" style="100" customWidth="1"/>
    <col min="6910" max="7144" width="8.85546875" style="100"/>
    <col min="7145" max="7145" width="19.5703125" style="100" customWidth="1"/>
    <col min="7146" max="7149" width="8.5703125" style="100" customWidth="1"/>
    <col min="7150" max="7150" width="1.140625" style="100" customWidth="1"/>
    <col min="7151" max="7151" width="6.140625" style="100" customWidth="1"/>
    <col min="7152" max="7152" width="1" style="100" customWidth="1"/>
    <col min="7153" max="7156" width="8.85546875" style="100"/>
    <col min="7157" max="7157" width="0" style="100" hidden="1" customWidth="1"/>
    <col min="7158" max="7158" width="1.140625" style="100" customWidth="1"/>
    <col min="7159" max="7159" width="0" style="100" hidden="1" customWidth="1"/>
    <col min="7160" max="7160" width="8.85546875" style="100"/>
    <col min="7161" max="7161" width="19.5703125" style="100" customWidth="1"/>
    <col min="7162" max="7165" width="8.5703125" style="100" customWidth="1"/>
    <col min="7166" max="7400" width="8.85546875" style="100"/>
    <col min="7401" max="7401" width="19.5703125" style="100" customWidth="1"/>
    <col min="7402" max="7405" width="8.5703125" style="100" customWidth="1"/>
    <col min="7406" max="7406" width="1.140625" style="100" customWidth="1"/>
    <col min="7407" max="7407" width="6.140625" style="100" customWidth="1"/>
    <col min="7408" max="7408" width="1" style="100" customWidth="1"/>
    <col min="7409" max="7412" width="8.85546875" style="100"/>
    <col min="7413" max="7413" width="0" style="100" hidden="1" customWidth="1"/>
    <col min="7414" max="7414" width="1.140625" style="100" customWidth="1"/>
    <col min="7415" max="7415" width="0" style="100" hidden="1" customWidth="1"/>
    <col min="7416" max="7416" width="8.85546875" style="100"/>
    <col min="7417" max="7417" width="19.5703125" style="100" customWidth="1"/>
    <col min="7418" max="7421" width="8.5703125" style="100" customWidth="1"/>
    <col min="7422" max="7656" width="8.85546875" style="100"/>
    <col min="7657" max="7657" width="19.5703125" style="100" customWidth="1"/>
    <col min="7658" max="7661" width="8.5703125" style="100" customWidth="1"/>
    <col min="7662" max="7662" width="1.140625" style="100" customWidth="1"/>
    <col min="7663" max="7663" width="6.140625" style="100" customWidth="1"/>
    <col min="7664" max="7664" width="1" style="100" customWidth="1"/>
    <col min="7665" max="7668" width="8.85546875" style="100"/>
    <col min="7669" max="7669" width="0" style="100" hidden="1" customWidth="1"/>
    <col min="7670" max="7670" width="1.140625" style="100" customWidth="1"/>
    <col min="7671" max="7671" width="0" style="100" hidden="1" customWidth="1"/>
    <col min="7672" max="7672" width="8.85546875" style="100"/>
    <col min="7673" max="7673" width="19.5703125" style="100" customWidth="1"/>
    <col min="7674" max="7677" width="8.5703125" style="100" customWidth="1"/>
    <col min="7678" max="7912" width="8.85546875" style="100"/>
    <col min="7913" max="7913" width="19.5703125" style="100" customWidth="1"/>
    <col min="7914" max="7917" width="8.5703125" style="100" customWidth="1"/>
    <col min="7918" max="7918" width="1.140625" style="100" customWidth="1"/>
    <col min="7919" max="7919" width="6.140625" style="100" customWidth="1"/>
    <col min="7920" max="7920" width="1" style="100" customWidth="1"/>
    <col min="7921" max="7924" width="8.85546875" style="100"/>
    <col min="7925" max="7925" width="0" style="100" hidden="1" customWidth="1"/>
    <col min="7926" max="7926" width="1.140625" style="100" customWidth="1"/>
    <col min="7927" max="7927" width="0" style="100" hidden="1" customWidth="1"/>
    <col min="7928" max="7928" width="8.85546875" style="100"/>
    <col min="7929" max="7929" width="19.5703125" style="100" customWidth="1"/>
    <col min="7930" max="7933" width="8.5703125" style="100" customWidth="1"/>
    <col min="7934" max="8168" width="8.85546875" style="100"/>
    <col min="8169" max="8169" width="19.5703125" style="100" customWidth="1"/>
    <col min="8170" max="8173" width="8.5703125" style="100" customWidth="1"/>
    <col min="8174" max="8174" width="1.140625" style="100" customWidth="1"/>
    <col min="8175" max="8175" width="6.140625" style="100" customWidth="1"/>
    <col min="8176" max="8176" width="1" style="100" customWidth="1"/>
    <col min="8177" max="8180" width="8.85546875" style="100"/>
    <col min="8181" max="8181" width="0" style="100" hidden="1" customWidth="1"/>
    <col min="8182" max="8182" width="1.140625" style="100" customWidth="1"/>
    <col min="8183" max="8183" width="0" style="100" hidden="1" customWidth="1"/>
    <col min="8184" max="8184" width="8.85546875" style="100"/>
    <col min="8185" max="8185" width="19.5703125" style="100" customWidth="1"/>
    <col min="8186" max="8189" width="8.5703125" style="100" customWidth="1"/>
    <col min="8190" max="8424" width="8.85546875" style="100"/>
    <col min="8425" max="8425" width="19.5703125" style="100" customWidth="1"/>
    <col min="8426" max="8429" width="8.5703125" style="100" customWidth="1"/>
    <col min="8430" max="8430" width="1.140625" style="100" customWidth="1"/>
    <col min="8431" max="8431" width="6.140625" style="100" customWidth="1"/>
    <col min="8432" max="8432" width="1" style="100" customWidth="1"/>
    <col min="8433" max="8436" width="8.85546875" style="100"/>
    <col min="8437" max="8437" width="0" style="100" hidden="1" customWidth="1"/>
    <col min="8438" max="8438" width="1.140625" style="100" customWidth="1"/>
    <col min="8439" max="8439" width="0" style="100" hidden="1" customWidth="1"/>
    <col min="8440" max="8440" width="8.85546875" style="100"/>
    <col min="8441" max="8441" width="19.5703125" style="100" customWidth="1"/>
    <col min="8442" max="8445" width="8.5703125" style="100" customWidth="1"/>
    <col min="8446" max="8680" width="8.85546875" style="100"/>
    <col min="8681" max="8681" width="19.5703125" style="100" customWidth="1"/>
    <col min="8682" max="8685" width="8.5703125" style="100" customWidth="1"/>
    <col min="8686" max="8686" width="1.140625" style="100" customWidth="1"/>
    <col min="8687" max="8687" width="6.140625" style="100" customWidth="1"/>
    <col min="8688" max="8688" width="1" style="100" customWidth="1"/>
    <col min="8689" max="8692" width="8.85546875" style="100"/>
    <col min="8693" max="8693" width="0" style="100" hidden="1" customWidth="1"/>
    <col min="8694" max="8694" width="1.140625" style="100" customWidth="1"/>
    <col min="8695" max="8695" width="0" style="100" hidden="1" customWidth="1"/>
    <col min="8696" max="8696" width="8.85546875" style="100"/>
    <col min="8697" max="8697" width="19.5703125" style="100" customWidth="1"/>
    <col min="8698" max="8701" width="8.5703125" style="100" customWidth="1"/>
    <col min="8702" max="8936" width="8.85546875" style="100"/>
    <col min="8937" max="8937" width="19.5703125" style="100" customWidth="1"/>
    <col min="8938" max="8941" width="8.5703125" style="100" customWidth="1"/>
    <col min="8942" max="8942" width="1.140625" style="100" customWidth="1"/>
    <col min="8943" max="8943" width="6.140625" style="100" customWidth="1"/>
    <col min="8944" max="8944" width="1" style="100" customWidth="1"/>
    <col min="8945" max="8948" width="8.85546875" style="100"/>
    <col min="8949" max="8949" width="0" style="100" hidden="1" customWidth="1"/>
    <col min="8950" max="8950" width="1.140625" style="100" customWidth="1"/>
    <col min="8951" max="8951" width="0" style="100" hidden="1" customWidth="1"/>
    <col min="8952" max="8952" width="8.85546875" style="100"/>
    <col min="8953" max="8953" width="19.5703125" style="100" customWidth="1"/>
    <col min="8954" max="8957" width="8.5703125" style="100" customWidth="1"/>
    <col min="8958" max="9192" width="8.85546875" style="100"/>
    <col min="9193" max="9193" width="19.5703125" style="100" customWidth="1"/>
    <col min="9194" max="9197" width="8.5703125" style="100" customWidth="1"/>
    <col min="9198" max="9198" width="1.140625" style="100" customWidth="1"/>
    <col min="9199" max="9199" width="6.140625" style="100" customWidth="1"/>
    <col min="9200" max="9200" width="1" style="100" customWidth="1"/>
    <col min="9201" max="9204" width="8.85546875" style="100"/>
    <col min="9205" max="9205" width="0" style="100" hidden="1" customWidth="1"/>
    <col min="9206" max="9206" width="1.140625" style="100" customWidth="1"/>
    <col min="9207" max="9207" width="0" style="100" hidden="1" customWidth="1"/>
    <col min="9208" max="9208" width="8.85546875" style="100"/>
    <col min="9209" max="9209" width="19.5703125" style="100" customWidth="1"/>
    <col min="9210" max="9213" width="8.5703125" style="100" customWidth="1"/>
    <col min="9214" max="9448" width="8.85546875" style="100"/>
    <col min="9449" max="9449" width="19.5703125" style="100" customWidth="1"/>
    <col min="9450" max="9453" width="8.5703125" style="100" customWidth="1"/>
    <col min="9454" max="9454" width="1.140625" style="100" customWidth="1"/>
    <col min="9455" max="9455" width="6.140625" style="100" customWidth="1"/>
    <col min="9456" max="9456" width="1" style="100" customWidth="1"/>
    <col min="9457" max="9460" width="8.85546875" style="100"/>
    <col min="9461" max="9461" width="0" style="100" hidden="1" customWidth="1"/>
    <col min="9462" max="9462" width="1.140625" style="100" customWidth="1"/>
    <col min="9463" max="9463" width="0" style="100" hidden="1" customWidth="1"/>
    <col min="9464" max="9464" width="8.85546875" style="100"/>
    <col min="9465" max="9465" width="19.5703125" style="100" customWidth="1"/>
    <col min="9466" max="9469" width="8.5703125" style="100" customWidth="1"/>
    <col min="9470" max="9704" width="8.85546875" style="100"/>
    <col min="9705" max="9705" width="19.5703125" style="100" customWidth="1"/>
    <col min="9706" max="9709" width="8.5703125" style="100" customWidth="1"/>
    <col min="9710" max="9710" width="1.140625" style="100" customWidth="1"/>
    <col min="9711" max="9711" width="6.140625" style="100" customWidth="1"/>
    <col min="9712" max="9712" width="1" style="100" customWidth="1"/>
    <col min="9713" max="9716" width="8.85546875" style="100"/>
    <col min="9717" max="9717" width="0" style="100" hidden="1" customWidth="1"/>
    <col min="9718" max="9718" width="1.140625" style="100" customWidth="1"/>
    <col min="9719" max="9719" width="0" style="100" hidden="1" customWidth="1"/>
    <col min="9720" max="9720" width="8.85546875" style="100"/>
    <col min="9721" max="9721" width="19.5703125" style="100" customWidth="1"/>
    <col min="9722" max="9725" width="8.5703125" style="100" customWidth="1"/>
    <col min="9726" max="9960" width="8.85546875" style="100"/>
    <col min="9961" max="9961" width="19.5703125" style="100" customWidth="1"/>
    <col min="9962" max="9965" width="8.5703125" style="100" customWidth="1"/>
    <col min="9966" max="9966" width="1.140625" style="100" customWidth="1"/>
    <col min="9967" max="9967" width="6.140625" style="100" customWidth="1"/>
    <col min="9968" max="9968" width="1" style="100" customWidth="1"/>
    <col min="9969" max="9972" width="8.85546875" style="100"/>
    <col min="9973" max="9973" width="0" style="100" hidden="1" customWidth="1"/>
    <col min="9974" max="9974" width="1.140625" style="100" customWidth="1"/>
    <col min="9975" max="9975" width="0" style="100" hidden="1" customWidth="1"/>
    <col min="9976" max="9976" width="8.85546875" style="100"/>
    <col min="9977" max="9977" width="19.5703125" style="100" customWidth="1"/>
    <col min="9978" max="9981" width="8.5703125" style="100" customWidth="1"/>
    <col min="9982" max="10216" width="8.85546875" style="100"/>
    <col min="10217" max="10217" width="19.5703125" style="100" customWidth="1"/>
    <col min="10218" max="10221" width="8.5703125" style="100" customWidth="1"/>
    <col min="10222" max="10222" width="1.140625" style="100" customWidth="1"/>
    <col min="10223" max="10223" width="6.140625" style="100" customWidth="1"/>
    <col min="10224" max="10224" width="1" style="100" customWidth="1"/>
    <col min="10225" max="10228" width="8.85546875" style="100"/>
    <col min="10229" max="10229" width="0" style="100" hidden="1" customWidth="1"/>
    <col min="10230" max="10230" width="1.140625" style="100" customWidth="1"/>
    <col min="10231" max="10231" width="0" style="100" hidden="1" customWidth="1"/>
    <col min="10232" max="10232" width="8.85546875" style="100"/>
    <col min="10233" max="10233" width="19.5703125" style="100" customWidth="1"/>
    <col min="10234" max="10237" width="8.5703125" style="100" customWidth="1"/>
    <col min="10238" max="10472" width="8.85546875" style="100"/>
    <col min="10473" max="10473" width="19.5703125" style="100" customWidth="1"/>
    <col min="10474" max="10477" width="8.5703125" style="100" customWidth="1"/>
    <col min="10478" max="10478" width="1.140625" style="100" customWidth="1"/>
    <col min="10479" max="10479" width="6.140625" style="100" customWidth="1"/>
    <col min="10480" max="10480" width="1" style="100" customWidth="1"/>
    <col min="10481" max="10484" width="8.85546875" style="100"/>
    <col min="10485" max="10485" width="0" style="100" hidden="1" customWidth="1"/>
    <col min="10486" max="10486" width="1.140625" style="100" customWidth="1"/>
    <col min="10487" max="10487" width="0" style="100" hidden="1" customWidth="1"/>
    <col min="10488" max="10488" width="8.85546875" style="100"/>
    <col min="10489" max="10489" width="19.5703125" style="100" customWidth="1"/>
    <col min="10490" max="10493" width="8.5703125" style="100" customWidth="1"/>
    <col min="10494" max="10728" width="8.85546875" style="100"/>
    <col min="10729" max="10729" width="19.5703125" style="100" customWidth="1"/>
    <col min="10730" max="10733" width="8.5703125" style="100" customWidth="1"/>
    <col min="10734" max="10734" width="1.140625" style="100" customWidth="1"/>
    <col min="10735" max="10735" width="6.140625" style="100" customWidth="1"/>
    <col min="10736" max="10736" width="1" style="100" customWidth="1"/>
    <col min="10737" max="10740" width="8.85546875" style="100"/>
    <col min="10741" max="10741" width="0" style="100" hidden="1" customWidth="1"/>
    <col min="10742" max="10742" width="1.140625" style="100" customWidth="1"/>
    <col min="10743" max="10743" width="0" style="100" hidden="1" customWidth="1"/>
    <col min="10744" max="10744" width="8.85546875" style="100"/>
    <col min="10745" max="10745" width="19.5703125" style="100" customWidth="1"/>
    <col min="10746" max="10749" width="8.5703125" style="100" customWidth="1"/>
    <col min="10750" max="10984" width="8.85546875" style="100"/>
    <col min="10985" max="10985" width="19.5703125" style="100" customWidth="1"/>
    <col min="10986" max="10989" width="8.5703125" style="100" customWidth="1"/>
    <col min="10990" max="10990" width="1.140625" style="100" customWidth="1"/>
    <col min="10991" max="10991" width="6.140625" style="100" customWidth="1"/>
    <col min="10992" max="10992" width="1" style="100" customWidth="1"/>
    <col min="10993" max="10996" width="8.85546875" style="100"/>
    <col min="10997" max="10997" width="0" style="100" hidden="1" customWidth="1"/>
    <col min="10998" max="10998" width="1.140625" style="100" customWidth="1"/>
    <col min="10999" max="10999" width="0" style="100" hidden="1" customWidth="1"/>
    <col min="11000" max="11000" width="8.85546875" style="100"/>
    <col min="11001" max="11001" width="19.5703125" style="100" customWidth="1"/>
    <col min="11002" max="11005" width="8.5703125" style="100" customWidth="1"/>
    <col min="11006" max="11240" width="8.85546875" style="100"/>
    <col min="11241" max="11241" width="19.5703125" style="100" customWidth="1"/>
    <col min="11242" max="11245" width="8.5703125" style="100" customWidth="1"/>
    <col min="11246" max="11246" width="1.140625" style="100" customWidth="1"/>
    <col min="11247" max="11247" width="6.140625" style="100" customWidth="1"/>
    <col min="11248" max="11248" width="1" style="100" customWidth="1"/>
    <col min="11249" max="11252" width="8.85546875" style="100"/>
    <col min="11253" max="11253" width="0" style="100" hidden="1" customWidth="1"/>
    <col min="11254" max="11254" width="1.140625" style="100" customWidth="1"/>
    <col min="11255" max="11255" width="0" style="100" hidden="1" customWidth="1"/>
    <col min="11256" max="11256" width="8.85546875" style="100"/>
    <col min="11257" max="11257" width="19.5703125" style="100" customWidth="1"/>
    <col min="11258" max="11261" width="8.5703125" style="100" customWidth="1"/>
    <col min="11262" max="11496" width="8.85546875" style="100"/>
    <col min="11497" max="11497" width="19.5703125" style="100" customWidth="1"/>
    <col min="11498" max="11501" width="8.5703125" style="100" customWidth="1"/>
    <col min="11502" max="11502" width="1.140625" style="100" customWidth="1"/>
    <col min="11503" max="11503" width="6.140625" style="100" customWidth="1"/>
    <col min="11504" max="11504" width="1" style="100" customWidth="1"/>
    <col min="11505" max="11508" width="8.85546875" style="100"/>
    <col min="11509" max="11509" width="0" style="100" hidden="1" customWidth="1"/>
    <col min="11510" max="11510" width="1.140625" style="100" customWidth="1"/>
    <col min="11511" max="11511" width="0" style="100" hidden="1" customWidth="1"/>
    <col min="11512" max="11512" width="8.85546875" style="100"/>
    <col min="11513" max="11513" width="19.5703125" style="100" customWidth="1"/>
    <col min="11514" max="11517" width="8.5703125" style="100" customWidth="1"/>
    <col min="11518" max="11752" width="8.85546875" style="100"/>
    <col min="11753" max="11753" width="19.5703125" style="100" customWidth="1"/>
    <col min="11754" max="11757" width="8.5703125" style="100" customWidth="1"/>
    <col min="11758" max="11758" width="1.140625" style="100" customWidth="1"/>
    <col min="11759" max="11759" width="6.140625" style="100" customWidth="1"/>
    <col min="11760" max="11760" width="1" style="100" customWidth="1"/>
    <col min="11761" max="11764" width="8.85546875" style="100"/>
    <col min="11765" max="11765" width="0" style="100" hidden="1" customWidth="1"/>
    <col min="11766" max="11766" width="1.140625" style="100" customWidth="1"/>
    <col min="11767" max="11767" width="0" style="100" hidden="1" customWidth="1"/>
    <col min="11768" max="11768" width="8.85546875" style="100"/>
    <col min="11769" max="11769" width="19.5703125" style="100" customWidth="1"/>
    <col min="11770" max="11773" width="8.5703125" style="100" customWidth="1"/>
    <col min="11774" max="12008" width="8.85546875" style="100"/>
    <col min="12009" max="12009" width="19.5703125" style="100" customWidth="1"/>
    <col min="12010" max="12013" width="8.5703125" style="100" customWidth="1"/>
    <col min="12014" max="12014" width="1.140625" style="100" customWidth="1"/>
    <col min="12015" max="12015" width="6.140625" style="100" customWidth="1"/>
    <col min="12016" max="12016" width="1" style="100" customWidth="1"/>
    <col min="12017" max="12020" width="8.85546875" style="100"/>
    <col min="12021" max="12021" width="0" style="100" hidden="1" customWidth="1"/>
    <col min="12022" max="12022" width="1.140625" style="100" customWidth="1"/>
    <col min="12023" max="12023" width="0" style="100" hidden="1" customWidth="1"/>
    <col min="12024" max="12024" width="8.85546875" style="100"/>
    <col min="12025" max="12025" width="19.5703125" style="100" customWidth="1"/>
    <col min="12026" max="12029" width="8.5703125" style="100" customWidth="1"/>
    <col min="12030" max="12264" width="8.85546875" style="100"/>
    <col min="12265" max="12265" width="19.5703125" style="100" customWidth="1"/>
    <col min="12266" max="12269" width="8.5703125" style="100" customWidth="1"/>
    <col min="12270" max="12270" width="1.140625" style="100" customWidth="1"/>
    <col min="12271" max="12271" width="6.140625" style="100" customWidth="1"/>
    <col min="12272" max="12272" width="1" style="100" customWidth="1"/>
    <col min="12273" max="12276" width="8.85546875" style="100"/>
    <col min="12277" max="12277" width="0" style="100" hidden="1" customWidth="1"/>
    <col min="12278" max="12278" width="1.140625" style="100" customWidth="1"/>
    <col min="12279" max="12279" width="0" style="100" hidden="1" customWidth="1"/>
    <col min="12280" max="12280" width="8.85546875" style="100"/>
    <col min="12281" max="12281" width="19.5703125" style="100" customWidth="1"/>
    <col min="12282" max="12285" width="8.5703125" style="100" customWidth="1"/>
    <col min="12286" max="12520" width="8.85546875" style="100"/>
    <col min="12521" max="12521" width="19.5703125" style="100" customWidth="1"/>
    <col min="12522" max="12525" width="8.5703125" style="100" customWidth="1"/>
    <col min="12526" max="12526" width="1.140625" style="100" customWidth="1"/>
    <col min="12527" max="12527" width="6.140625" style="100" customWidth="1"/>
    <col min="12528" max="12528" width="1" style="100" customWidth="1"/>
    <col min="12529" max="12532" width="8.85546875" style="100"/>
    <col min="12533" max="12533" width="0" style="100" hidden="1" customWidth="1"/>
    <col min="12534" max="12534" width="1.140625" style="100" customWidth="1"/>
    <col min="12535" max="12535" width="0" style="100" hidden="1" customWidth="1"/>
    <col min="12536" max="12536" width="8.85546875" style="100"/>
    <col min="12537" max="12537" width="19.5703125" style="100" customWidth="1"/>
    <col min="12538" max="12541" width="8.5703125" style="100" customWidth="1"/>
    <col min="12542" max="12776" width="8.85546875" style="100"/>
    <col min="12777" max="12777" width="19.5703125" style="100" customWidth="1"/>
    <col min="12778" max="12781" width="8.5703125" style="100" customWidth="1"/>
    <col min="12782" max="12782" width="1.140625" style="100" customWidth="1"/>
    <col min="12783" max="12783" width="6.140625" style="100" customWidth="1"/>
    <col min="12784" max="12784" width="1" style="100" customWidth="1"/>
    <col min="12785" max="12788" width="8.85546875" style="100"/>
    <col min="12789" max="12789" width="0" style="100" hidden="1" customWidth="1"/>
    <col min="12790" max="12790" width="1.140625" style="100" customWidth="1"/>
    <col min="12791" max="12791" width="0" style="100" hidden="1" customWidth="1"/>
    <col min="12792" max="12792" width="8.85546875" style="100"/>
    <col min="12793" max="12793" width="19.5703125" style="100" customWidth="1"/>
    <col min="12794" max="12797" width="8.5703125" style="100" customWidth="1"/>
    <col min="12798" max="13032" width="8.85546875" style="100"/>
    <col min="13033" max="13033" width="19.5703125" style="100" customWidth="1"/>
    <col min="13034" max="13037" width="8.5703125" style="100" customWidth="1"/>
    <col min="13038" max="13038" width="1.140625" style="100" customWidth="1"/>
    <col min="13039" max="13039" width="6.140625" style="100" customWidth="1"/>
    <col min="13040" max="13040" width="1" style="100" customWidth="1"/>
    <col min="13041" max="13044" width="8.85546875" style="100"/>
    <col min="13045" max="13045" width="0" style="100" hidden="1" customWidth="1"/>
    <col min="13046" max="13046" width="1.140625" style="100" customWidth="1"/>
    <col min="13047" max="13047" width="0" style="100" hidden="1" customWidth="1"/>
    <col min="13048" max="13048" width="8.85546875" style="100"/>
    <col min="13049" max="13049" width="19.5703125" style="100" customWidth="1"/>
    <col min="13050" max="13053" width="8.5703125" style="100" customWidth="1"/>
    <col min="13054" max="13288" width="8.85546875" style="100"/>
    <col min="13289" max="13289" width="19.5703125" style="100" customWidth="1"/>
    <col min="13290" max="13293" width="8.5703125" style="100" customWidth="1"/>
    <col min="13294" max="13294" width="1.140625" style="100" customWidth="1"/>
    <col min="13295" max="13295" width="6.140625" style="100" customWidth="1"/>
    <col min="13296" max="13296" width="1" style="100" customWidth="1"/>
    <col min="13297" max="13300" width="8.85546875" style="100"/>
    <col min="13301" max="13301" width="0" style="100" hidden="1" customWidth="1"/>
    <col min="13302" max="13302" width="1.140625" style="100" customWidth="1"/>
    <col min="13303" max="13303" width="0" style="100" hidden="1" customWidth="1"/>
    <col min="13304" max="13304" width="8.85546875" style="100"/>
    <col min="13305" max="13305" width="19.5703125" style="100" customWidth="1"/>
    <col min="13306" max="13309" width="8.5703125" style="100" customWidth="1"/>
    <col min="13310" max="13544" width="8.85546875" style="100"/>
    <col min="13545" max="13545" width="19.5703125" style="100" customWidth="1"/>
    <col min="13546" max="13549" width="8.5703125" style="100" customWidth="1"/>
    <col min="13550" max="13550" width="1.140625" style="100" customWidth="1"/>
    <col min="13551" max="13551" width="6.140625" style="100" customWidth="1"/>
    <col min="13552" max="13552" width="1" style="100" customWidth="1"/>
    <col min="13553" max="13556" width="8.85546875" style="100"/>
    <col min="13557" max="13557" width="0" style="100" hidden="1" customWidth="1"/>
    <col min="13558" max="13558" width="1.140625" style="100" customWidth="1"/>
    <col min="13559" max="13559" width="0" style="100" hidden="1" customWidth="1"/>
    <col min="13560" max="13560" width="8.85546875" style="100"/>
    <col min="13561" max="13561" width="19.5703125" style="100" customWidth="1"/>
    <col min="13562" max="13565" width="8.5703125" style="100" customWidth="1"/>
    <col min="13566" max="13800" width="8.85546875" style="100"/>
    <col min="13801" max="13801" width="19.5703125" style="100" customWidth="1"/>
    <col min="13802" max="13805" width="8.5703125" style="100" customWidth="1"/>
    <col min="13806" max="13806" width="1.140625" style="100" customWidth="1"/>
    <col min="13807" max="13807" width="6.140625" style="100" customWidth="1"/>
    <col min="13808" max="13808" width="1" style="100" customWidth="1"/>
    <col min="13809" max="13812" width="8.85546875" style="100"/>
    <col min="13813" max="13813" width="0" style="100" hidden="1" customWidth="1"/>
    <col min="13814" max="13814" width="1.140625" style="100" customWidth="1"/>
    <col min="13815" max="13815" width="0" style="100" hidden="1" customWidth="1"/>
    <col min="13816" max="13816" width="8.85546875" style="100"/>
    <col min="13817" max="13817" width="19.5703125" style="100" customWidth="1"/>
    <col min="13818" max="13821" width="8.5703125" style="100" customWidth="1"/>
    <col min="13822" max="14056" width="8.85546875" style="100"/>
    <col min="14057" max="14057" width="19.5703125" style="100" customWidth="1"/>
    <col min="14058" max="14061" width="8.5703125" style="100" customWidth="1"/>
    <col min="14062" max="14062" width="1.140625" style="100" customWidth="1"/>
    <col min="14063" max="14063" width="6.140625" style="100" customWidth="1"/>
    <col min="14064" max="14064" width="1" style="100" customWidth="1"/>
    <col min="14065" max="14068" width="8.85546875" style="100"/>
    <col min="14069" max="14069" width="0" style="100" hidden="1" customWidth="1"/>
    <col min="14070" max="14070" width="1.140625" style="100" customWidth="1"/>
    <col min="14071" max="14071" width="0" style="100" hidden="1" customWidth="1"/>
    <col min="14072" max="14072" width="8.85546875" style="100"/>
    <col min="14073" max="14073" width="19.5703125" style="100" customWidth="1"/>
    <col min="14074" max="14077" width="8.5703125" style="100" customWidth="1"/>
    <col min="14078" max="14312" width="8.85546875" style="100"/>
    <col min="14313" max="14313" width="19.5703125" style="100" customWidth="1"/>
    <col min="14314" max="14317" width="8.5703125" style="100" customWidth="1"/>
    <col min="14318" max="14318" width="1.140625" style="100" customWidth="1"/>
    <col min="14319" max="14319" width="6.140625" style="100" customWidth="1"/>
    <col min="14320" max="14320" width="1" style="100" customWidth="1"/>
    <col min="14321" max="14324" width="8.85546875" style="100"/>
    <col min="14325" max="14325" width="0" style="100" hidden="1" customWidth="1"/>
    <col min="14326" max="14326" width="1.140625" style="100" customWidth="1"/>
    <col min="14327" max="14327" width="0" style="100" hidden="1" customWidth="1"/>
    <col min="14328" max="14328" width="8.85546875" style="100"/>
    <col min="14329" max="14329" width="19.5703125" style="100" customWidth="1"/>
    <col min="14330" max="14333" width="8.5703125" style="100" customWidth="1"/>
    <col min="14334" max="14568" width="8.85546875" style="100"/>
    <col min="14569" max="14569" width="19.5703125" style="100" customWidth="1"/>
    <col min="14570" max="14573" width="8.5703125" style="100" customWidth="1"/>
    <col min="14574" max="14574" width="1.140625" style="100" customWidth="1"/>
    <col min="14575" max="14575" width="6.140625" style="100" customWidth="1"/>
    <col min="14576" max="14576" width="1" style="100" customWidth="1"/>
    <col min="14577" max="14580" width="8.85546875" style="100"/>
    <col min="14581" max="14581" width="0" style="100" hidden="1" customWidth="1"/>
    <col min="14582" max="14582" width="1.140625" style="100" customWidth="1"/>
    <col min="14583" max="14583" width="0" style="100" hidden="1" customWidth="1"/>
    <col min="14584" max="14584" width="8.85546875" style="100"/>
    <col min="14585" max="14585" width="19.5703125" style="100" customWidth="1"/>
    <col min="14586" max="14589" width="8.5703125" style="100" customWidth="1"/>
    <col min="14590" max="14824" width="8.85546875" style="100"/>
    <col min="14825" max="14825" width="19.5703125" style="100" customWidth="1"/>
    <col min="14826" max="14829" width="8.5703125" style="100" customWidth="1"/>
    <col min="14830" max="14830" width="1.140625" style="100" customWidth="1"/>
    <col min="14831" max="14831" width="6.140625" style="100" customWidth="1"/>
    <col min="14832" max="14832" width="1" style="100" customWidth="1"/>
    <col min="14833" max="14836" width="8.85546875" style="100"/>
    <col min="14837" max="14837" width="0" style="100" hidden="1" customWidth="1"/>
    <col min="14838" max="14838" width="1.140625" style="100" customWidth="1"/>
    <col min="14839" max="14839" width="0" style="100" hidden="1" customWidth="1"/>
    <col min="14840" max="14840" width="8.85546875" style="100"/>
    <col min="14841" max="14841" width="19.5703125" style="100" customWidth="1"/>
    <col min="14842" max="14845" width="8.5703125" style="100" customWidth="1"/>
    <col min="14846" max="15080" width="8.85546875" style="100"/>
    <col min="15081" max="15081" width="19.5703125" style="100" customWidth="1"/>
    <col min="15082" max="15085" width="8.5703125" style="100" customWidth="1"/>
    <col min="15086" max="15086" width="1.140625" style="100" customWidth="1"/>
    <col min="15087" max="15087" width="6.140625" style="100" customWidth="1"/>
    <col min="15088" max="15088" width="1" style="100" customWidth="1"/>
    <col min="15089" max="15092" width="8.85546875" style="100"/>
    <col min="15093" max="15093" width="0" style="100" hidden="1" customWidth="1"/>
    <col min="15094" max="15094" width="1.140625" style="100" customWidth="1"/>
    <col min="15095" max="15095" width="0" style="100" hidden="1" customWidth="1"/>
    <col min="15096" max="15096" width="8.85546875" style="100"/>
    <col min="15097" max="15097" width="19.5703125" style="100" customWidth="1"/>
    <col min="15098" max="15101" width="8.5703125" style="100" customWidth="1"/>
    <col min="15102" max="15336" width="8.85546875" style="100"/>
    <col min="15337" max="15337" width="19.5703125" style="100" customWidth="1"/>
    <col min="15338" max="15341" width="8.5703125" style="100" customWidth="1"/>
    <col min="15342" max="15342" width="1.140625" style="100" customWidth="1"/>
    <col min="15343" max="15343" width="6.140625" style="100" customWidth="1"/>
    <col min="15344" max="15344" width="1" style="100" customWidth="1"/>
    <col min="15345" max="15348" width="8.85546875" style="100"/>
    <col min="15349" max="15349" width="0" style="100" hidden="1" customWidth="1"/>
    <col min="15350" max="15350" width="1.140625" style="100" customWidth="1"/>
    <col min="15351" max="15351" width="0" style="100" hidden="1" customWidth="1"/>
    <col min="15352" max="15352" width="8.85546875" style="100"/>
    <col min="15353" max="15353" width="19.5703125" style="100" customWidth="1"/>
    <col min="15354" max="15357" width="8.5703125" style="100" customWidth="1"/>
    <col min="15358" max="15592" width="8.85546875" style="100"/>
    <col min="15593" max="15593" width="19.5703125" style="100" customWidth="1"/>
    <col min="15594" max="15597" width="8.5703125" style="100" customWidth="1"/>
    <col min="15598" max="15598" width="1.140625" style="100" customWidth="1"/>
    <col min="15599" max="15599" width="6.140625" style="100" customWidth="1"/>
    <col min="15600" max="15600" width="1" style="100" customWidth="1"/>
    <col min="15601" max="15604" width="8.85546875" style="100"/>
    <col min="15605" max="15605" width="0" style="100" hidden="1" customWidth="1"/>
    <col min="15606" max="15606" width="1.140625" style="100" customWidth="1"/>
    <col min="15607" max="15607" width="0" style="100" hidden="1" customWidth="1"/>
    <col min="15608" max="15608" width="8.85546875" style="100"/>
    <col min="15609" max="15609" width="19.5703125" style="100" customWidth="1"/>
    <col min="15610" max="15613" width="8.5703125" style="100" customWidth="1"/>
    <col min="15614" max="15848" width="8.85546875" style="100"/>
    <col min="15849" max="15849" width="19.5703125" style="100" customWidth="1"/>
    <col min="15850" max="15853" width="8.5703125" style="100" customWidth="1"/>
    <col min="15854" max="15854" width="1.140625" style="100" customWidth="1"/>
    <col min="15855" max="15855" width="6.140625" style="100" customWidth="1"/>
    <col min="15856" max="15856" width="1" style="100" customWidth="1"/>
    <col min="15857" max="15860" width="8.85546875" style="100"/>
    <col min="15861" max="15861" width="0" style="100" hidden="1" customWidth="1"/>
    <col min="15862" max="15862" width="1.140625" style="100" customWidth="1"/>
    <col min="15863" max="15863" width="0" style="100" hidden="1" customWidth="1"/>
    <col min="15864" max="15864" width="8.85546875" style="100"/>
    <col min="15865" max="15865" width="19.5703125" style="100" customWidth="1"/>
    <col min="15866" max="15869" width="8.5703125" style="100" customWidth="1"/>
    <col min="15870" max="16104" width="8.85546875" style="100"/>
    <col min="16105" max="16105" width="19.5703125" style="100" customWidth="1"/>
    <col min="16106" max="16109" width="8.5703125" style="100" customWidth="1"/>
    <col min="16110" max="16110" width="1.140625" style="100" customWidth="1"/>
    <col min="16111" max="16111" width="6.140625" style="100" customWidth="1"/>
    <col min="16112" max="16112" width="1" style="100" customWidth="1"/>
    <col min="16113" max="16116" width="8.85546875" style="100"/>
    <col min="16117" max="16117" width="0" style="100" hidden="1" customWidth="1"/>
    <col min="16118" max="16118" width="1.140625" style="100" customWidth="1"/>
    <col min="16119" max="16119" width="0" style="100" hidden="1" customWidth="1"/>
    <col min="16120" max="16120" width="8.85546875" style="100"/>
    <col min="16121" max="16121" width="19.5703125" style="100" customWidth="1"/>
    <col min="16122" max="16125" width="8.5703125" style="100" customWidth="1"/>
    <col min="16126" max="16384" width="8.85546875" style="100"/>
  </cols>
  <sheetData>
    <row r="1" spans="1:28">
      <c r="A1" s="96" t="s">
        <v>804</v>
      </c>
      <c r="B1" s="97"/>
      <c r="C1" s="97"/>
      <c r="D1" s="99">
        <v>1</v>
      </c>
      <c r="E1" s="99">
        <f t="shared" ref="E1:M2" si="0">D1+1</f>
        <v>2</v>
      </c>
      <c r="F1" s="99">
        <f t="shared" si="0"/>
        <v>3</v>
      </c>
      <c r="G1" s="99">
        <f t="shared" si="0"/>
        <v>4</v>
      </c>
      <c r="H1" s="99">
        <f>G1+1</f>
        <v>5</v>
      </c>
      <c r="I1" s="99">
        <f t="shared" ref="I1:AB2" si="1">H1+1</f>
        <v>6</v>
      </c>
      <c r="J1" s="99">
        <f t="shared" si="1"/>
        <v>7</v>
      </c>
      <c r="K1" s="99">
        <f t="shared" si="1"/>
        <v>8</v>
      </c>
      <c r="L1" s="99">
        <f t="shared" si="1"/>
        <v>9</v>
      </c>
      <c r="M1" s="99">
        <f t="shared" si="1"/>
        <v>10</v>
      </c>
      <c r="N1" s="99">
        <f t="shared" si="1"/>
        <v>11</v>
      </c>
      <c r="O1" s="99">
        <f t="shared" si="1"/>
        <v>12</v>
      </c>
      <c r="P1" s="99">
        <f t="shared" si="1"/>
        <v>13</v>
      </c>
      <c r="Q1" s="99">
        <f t="shared" si="1"/>
        <v>14</v>
      </c>
      <c r="R1" s="99">
        <f t="shared" si="1"/>
        <v>15</v>
      </c>
      <c r="S1" s="99">
        <f t="shared" si="1"/>
        <v>16</v>
      </c>
      <c r="T1" s="99">
        <f t="shared" si="1"/>
        <v>17</v>
      </c>
      <c r="U1" s="99">
        <f t="shared" si="1"/>
        <v>18</v>
      </c>
      <c r="V1" s="99">
        <f t="shared" si="1"/>
        <v>19</v>
      </c>
      <c r="W1" s="99">
        <f t="shared" si="1"/>
        <v>20</v>
      </c>
      <c r="X1" s="99">
        <f t="shared" si="1"/>
        <v>21</v>
      </c>
      <c r="Y1" s="99">
        <f t="shared" si="1"/>
        <v>22</v>
      </c>
      <c r="Z1" s="99">
        <f t="shared" si="1"/>
        <v>23</v>
      </c>
      <c r="AA1" s="99">
        <f t="shared" si="1"/>
        <v>24</v>
      </c>
      <c r="AB1" s="99">
        <f t="shared" si="1"/>
        <v>25</v>
      </c>
    </row>
    <row r="2" spans="1:28">
      <c r="A2" s="96" t="s">
        <v>806</v>
      </c>
      <c r="B2" s="101">
        <v>2022</v>
      </c>
      <c r="C2" s="101">
        <v>2023</v>
      </c>
      <c r="D2" s="102">
        <v>2024</v>
      </c>
      <c r="E2" s="101">
        <v>2025</v>
      </c>
      <c r="F2" s="101">
        <f t="shared" si="0"/>
        <v>2026</v>
      </c>
      <c r="G2" s="101">
        <f t="shared" si="0"/>
        <v>2027</v>
      </c>
      <c r="H2" s="101">
        <f t="shared" si="0"/>
        <v>2028</v>
      </c>
      <c r="I2" s="101">
        <f t="shared" si="0"/>
        <v>2029</v>
      </c>
      <c r="J2" s="101">
        <f t="shared" si="0"/>
        <v>2030</v>
      </c>
      <c r="K2" s="101">
        <f t="shared" si="0"/>
        <v>2031</v>
      </c>
      <c r="L2" s="101">
        <f t="shared" si="0"/>
        <v>2032</v>
      </c>
      <c r="M2" s="101">
        <f t="shared" si="0"/>
        <v>2033</v>
      </c>
      <c r="N2" s="101">
        <f t="shared" si="1"/>
        <v>2034</v>
      </c>
      <c r="O2" s="101">
        <f t="shared" si="1"/>
        <v>2035</v>
      </c>
      <c r="P2" s="101">
        <f t="shared" si="1"/>
        <v>2036</v>
      </c>
      <c r="Q2" s="101">
        <f t="shared" si="1"/>
        <v>2037</v>
      </c>
      <c r="R2" s="101">
        <f t="shared" si="1"/>
        <v>2038</v>
      </c>
      <c r="S2" s="101">
        <f t="shared" si="1"/>
        <v>2039</v>
      </c>
      <c r="T2" s="101">
        <f t="shared" si="1"/>
        <v>2040</v>
      </c>
      <c r="U2" s="101">
        <f t="shared" si="1"/>
        <v>2041</v>
      </c>
      <c r="V2" s="101">
        <f t="shared" si="1"/>
        <v>2042</v>
      </c>
      <c r="W2" s="101">
        <f t="shared" si="1"/>
        <v>2043</v>
      </c>
      <c r="X2" s="101">
        <f t="shared" si="1"/>
        <v>2044</v>
      </c>
      <c r="Y2" s="101">
        <f t="shared" si="1"/>
        <v>2045</v>
      </c>
      <c r="Z2" s="101">
        <f t="shared" si="1"/>
        <v>2046</v>
      </c>
      <c r="AA2" s="101">
        <f t="shared" si="1"/>
        <v>2047</v>
      </c>
      <c r="AB2" s="101">
        <f t="shared" si="1"/>
        <v>2048</v>
      </c>
    </row>
    <row r="3" spans="1:28" ht="9" customHeight="1">
      <c r="A3" s="103"/>
      <c r="B3" s="104"/>
      <c r="C3" s="105"/>
      <c r="D3" s="106"/>
      <c r="E3" s="105"/>
      <c r="F3" s="105"/>
      <c r="G3" s="105"/>
      <c r="H3" s="105"/>
      <c r="I3" s="104"/>
      <c r="J3" s="104"/>
      <c r="K3" s="104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>
      <c r="A4" s="105" t="s">
        <v>807</v>
      </c>
      <c r="B4" s="107">
        <v>364</v>
      </c>
      <c r="C4" s="108">
        <v>364</v>
      </c>
      <c r="D4" s="107">
        <v>364</v>
      </c>
      <c r="E4" s="108">
        <v>364</v>
      </c>
      <c r="F4" s="108">
        <v>364</v>
      </c>
      <c r="G4" s="108">
        <v>364</v>
      </c>
      <c r="H4" s="108">
        <v>364</v>
      </c>
      <c r="I4" s="107">
        <v>364</v>
      </c>
      <c r="J4" s="107">
        <v>364</v>
      </c>
      <c r="K4" s="107">
        <v>364</v>
      </c>
      <c r="L4" s="107">
        <v>364</v>
      </c>
      <c r="M4" s="107">
        <v>364</v>
      </c>
      <c r="N4" s="107">
        <v>364</v>
      </c>
      <c r="O4" s="107">
        <v>364</v>
      </c>
      <c r="P4" s="107">
        <v>364</v>
      </c>
      <c r="Q4" s="107">
        <v>364</v>
      </c>
      <c r="R4" s="107">
        <v>364</v>
      </c>
      <c r="S4" s="107">
        <v>364</v>
      </c>
      <c r="T4" s="107">
        <v>364</v>
      </c>
      <c r="U4" s="107">
        <v>364</v>
      </c>
      <c r="V4" s="107">
        <v>364</v>
      </c>
      <c r="W4" s="107">
        <v>364</v>
      </c>
      <c r="X4" s="107">
        <v>364</v>
      </c>
      <c r="Y4" s="107">
        <v>364</v>
      </c>
      <c r="Z4" s="107">
        <v>364</v>
      </c>
      <c r="AA4" s="107">
        <v>364</v>
      </c>
      <c r="AB4" s="107">
        <v>364</v>
      </c>
    </row>
    <row r="5" spans="1:28" ht="6.75" customHeight="1">
      <c r="A5" s="105"/>
      <c r="B5" s="104"/>
      <c r="C5" s="105"/>
      <c r="D5" s="106"/>
      <c r="E5" s="105"/>
      <c r="F5" s="105"/>
      <c r="G5" s="105"/>
      <c r="H5" s="105"/>
      <c r="I5" s="104"/>
      <c r="J5" s="104"/>
      <c r="K5" s="104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spans="1:28" ht="12.75" customHeight="1">
      <c r="A6" s="105" t="s">
        <v>808</v>
      </c>
      <c r="B6" s="109">
        <v>2</v>
      </c>
      <c r="C6" s="109">
        <v>2</v>
      </c>
      <c r="D6" s="109">
        <v>2</v>
      </c>
      <c r="E6" s="109">
        <v>2</v>
      </c>
      <c r="F6" s="110">
        <f>B6</f>
        <v>2</v>
      </c>
      <c r="G6" s="110">
        <f>C6</f>
        <v>2</v>
      </c>
      <c r="H6" s="110">
        <f>D6</f>
        <v>2</v>
      </c>
      <c r="I6" s="109">
        <f>E6</f>
        <v>2</v>
      </c>
      <c r="J6" s="109">
        <f t="shared" ref="J6:AB6" si="2">F6</f>
        <v>2</v>
      </c>
      <c r="K6" s="109">
        <f t="shared" si="2"/>
        <v>2</v>
      </c>
      <c r="L6" s="110">
        <f t="shared" si="2"/>
        <v>2</v>
      </c>
      <c r="M6" s="110">
        <f t="shared" si="2"/>
        <v>2</v>
      </c>
      <c r="N6" s="110">
        <f t="shared" si="2"/>
        <v>2</v>
      </c>
      <c r="O6" s="110">
        <f t="shared" si="2"/>
        <v>2</v>
      </c>
      <c r="P6" s="110">
        <f t="shared" si="2"/>
        <v>2</v>
      </c>
      <c r="Q6" s="110">
        <f t="shared" si="2"/>
        <v>2</v>
      </c>
      <c r="R6" s="110">
        <f t="shared" si="2"/>
        <v>2</v>
      </c>
      <c r="S6" s="110">
        <f t="shared" si="2"/>
        <v>2</v>
      </c>
      <c r="T6" s="110">
        <f t="shared" si="2"/>
        <v>2</v>
      </c>
      <c r="U6" s="110">
        <f t="shared" si="2"/>
        <v>2</v>
      </c>
      <c r="V6" s="110">
        <f t="shared" si="2"/>
        <v>2</v>
      </c>
      <c r="W6" s="110">
        <f t="shared" si="2"/>
        <v>2</v>
      </c>
      <c r="X6" s="110">
        <f t="shared" si="2"/>
        <v>2</v>
      </c>
      <c r="Y6" s="110">
        <f t="shared" si="2"/>
        <v>2</v>
      </c>
      <c r="Z6" s="110">
        <f t="shared" si="2"/>
        <v>2</v>
      </c>
      <c r="AA6" s="110">
        <f t="shared" si="2"/>
        <v>2</v>
      </c>
      <c r="AB6" s="110">
        <f t="shared" si="2"/>
        <v>2</v>
      </c>
    </row>
    <row r="7" spans="1:28" ht="14.1" customHeight="1">
      <c r="A7" s="105" t="s">
        <v>202</v>
      </c>
      <c r="B7" s="107">
        <f>'CAP #'!H24</f>
        <v>8918</v>
      </c>
      <c r="C7" s="107">
        <f>'CAP #'!I24</f>
        <v>9728.6921053264687</v>
      </c>
      <c r="D7" s="107">
        <f>'CAP #'!J24</f>
        <v>10506.98747375259</v>
      </c>
      <c r="E7" s="107">
        <f>'CAP #'!K24</f>
        <v>11347.546471652795</v>
      </c>
      <c r="F7" s="107">
        <f>'CAP #'!L24</f>
        <v>12255.350189385019</v>
      </c>
      <c r="G7" s="107">
        <f>'CAP #'!M24</f>
        <v>13235.778204535822</v>
      </c>
      <c r="H7" s="107">
        <f>'CAP #'!N24</f>
        <v>14294.640460898692</v>
      </c>
      <c r="I7" s="107">
        <f>'CAP #'!O24</f>
        <v>15438.211697770588</v>
      </c>
      <c r="J7" s="107">
        <f>'CAP #'!P24</f>
        <v>16673.268633592237</v>
      </c>
      <c r="K7" s="107">
        <f>'CAP #'!Q24</f>
        <v>18007.130124279618</v>
      </c>
      <c r="L7" s="107">
        <f>'CAP #'!R24</f>
        <v>19447.700534221989</v>
      </c>
      <c r="M7" s="107">
        <f>'CAP #'!S24</f>
        <v>21003.516576959748</v>
      </c>
      <c r="N7" s="107">
        <f>'CAP #'!T24</f>
        <v>22683.797903116531</v>
      </c>
      <c r="O7" s="107">
        <f>'CAP #'!U24</f>
        <v>24498.501735365855</v>
      </c>
      <c r="P7" s="107">
        <f>'CAP #'!V24</f>
        <v>26458.381874195122</v>
      </c>
      <c r="Q7" s="107">
        <f>'CAP #'!W24</f>
        <v>28575.052424130739</v>
      </c>
      <c r="R7" s="107">
        <f>'CAP #'!X24</f>
        <v>30861.056618061197</v>
      </c>
      <c r="S7" s="107">
        <f>'CAP #'!Y24</f>
        <v>33329.941147506092</v>
      </c>
      <c r="T7" s="107">
        <f>'CAP #'!Z24</f>
        <v>35996.336439306579</v>
      </c>
      <c r="U7" s="107">
        <f>'CAP #'!AA24</f>
        <v>38876.043354451103</v>
      </c>
      <c r="V7" s="107">
        <f>'CAP #'!AB24</f>
        <v>41986.1268228072</v>
      </c>
      <c r="W7" s="107">
        <f>'CAP #'!AC24</f>
        <v>45345.016968631775</v>
      </c>
      <c r="X7" s="107">
        <f>'CAP #'!AD24</f>
        <v>48972.61832612232</v>
      </c>
      <c r="Y7" s="107">
        <f>'CAP #'!AE24</f>
        <v>52890.427792212104</v>
      </c>
      <c r="Z7" s="107">
        <f>'CAP #'!AF24</f>
        <v>57121.662015589078</v>
      </c>
      <c r="AA7" s="107">
        <f>'CAP #'!AG24</f>
        <v>61691.394976836214</v>
      </c>
      <c r="AB7" s="107">
        <f>'CAP #'!AH24</f>
        <v>66626.706574983109</v>
      </c>
    </row>
    <row r="8" spans="1:28" ht="15" customHeight="1">
      <c r="A8" s="105" t="s">
        <v>201</v>
      </c>
      <c r="B8" s="107">
        <f>'CAP #'!H23</f>
        <v>3336</v>
      </c>
      <c r="C8" s="107">
        <f>'CAP #'!I23</f>
        <v>3072.2185595767796</v>
      </c>
      <c r="D8" s="107">
        <f>'CAP #'!J23</f>
        <v>3317.9960443429227</v>
      </c>
      <c r="E8" s="107">
        <f>'CAP #'!K23</f>
        <v>3583.4357278903562</v>
      </c>
      <c r="F8" s="107">
        <f>'CAP #'!L23</f>
        <v>3870.1105861215851</v>
      </c>
      <c r="G8" s="107">
        <f>'CAP #'!M23</f>
        <v>4179.7194330113125</v>
      </c>
      <c r="H8" s="107">
        <f>'CAP #'!N23</f>
        <v>4514.0969876522186</v>
      </c>
      <c r="I8" s="107">
        <f>'CAP #'!O23</f>
        <v>4875.2247466643958</v>
      </c>
      <c r="J8" s="107">
        <f>'CAP #'!P23</f>
        <v>5265.2427263975478</v>
      </c>
      <c r="K8" s="107">
        <f>'CAP #'!Q23</f>
        <v>5686.4621445093526</v>
      </c>
      <c r="L8" s="107">
        <f>'CAP #'!R23</f>
        <v>6141.3791160701012</v>
      </c>
      <c r="M8" s="107">
        <f>'CAP #'!S23</f>
        <v>6632.6894453557097</v>
      </c>
      <c r="N8" s="107">
        <f>'CAP #'!T23</f>
        <v>7163.3046009841673</v>
      </c>
      <c r="O8" s="107">
        <f>'CAP #'!U23</f>
        <v>7736.3689690629017</v>
      </c>
      <c r="P8" s="107">
        <f>'CAP #'!V23</f>
        <v>8355.278486587933</v>
      </c>
      <c r="Q8" s="107">
        <f>'CAP #'!W23</f>
        <v>9023.70076551497</v>
      </c>
      <c r="R8" s="107">
        <f>'CAP #'!X23</f>
        <v>9745.5968267561675</v>
      </c>
      <c r="S8" s="107">
        <f>'CAP #'!Y23</f>
        <v>10525.244572896661</v>
      </c>
      <c r="T8" s="107">
        <f>'CAP #'!Z23</f>
        <v>11367.264138728393</v>
      </c>
      <c r="U8" s="107">
        <f>'CAP #'!AA23</f>
        <v>12276.645269826664</v>
      </c>
      <c r="V8" s="107">
        <f>'CAP #'!AB23</f>
        <v>13258.776891412799</v>
      </c>
      <c r="W8" s="107">
        <f>'CAP #'!AC23</f>
        <v>14319.479042725823</v>
      </c>
      <c r="X8" s="107">
        <f>'CAP #'!AD23</f>
        <v>15465.03736614389</v>
      </c>
      <c r="Y8" s="107">
        <f>'CAP #'!AE23</f>
        <v>16702.240355435402</v>
      </c>
      <c r="Z8" s="107">
        <f>'CAP #'!AF23</f>
        <v>18038.419583870236</v>
      </c>
      <c r="AA8" s="107">
        <f>'CAP #'!AG23</f>
        <v>19481.493150579856</v>
      </c>
      <c r="AB8" s="107">
        <f>'CAP #'!AH23</f>
        <v>21040.012602626244</v>
      </c>
    </row>
    <row r="9" spans="1:28" ht="14.45" hidden="1" customHeight="1">
      <c r="A9" s="105" t="s">
        <v>809</v>
      </c>
      <c r="B9" s="107"/>
      <c r="C9" s="107"/>
      <c r="D9" s="107"/>
      <c r="E9" s="107"/>
      <c r="F9" s="108"/>
      <c r="G9" s="108"/>
      <c r="H9" s="108"/>
      <c r="I9" s="107"/>
      <c r="J9" s="107"/>
      <c r="K9" s="107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</row>
    <row r="10" spans="1:28" ht="14.1" hidden="1" customHeight="1">
      <c r="A10" s="111"/>
      <c r="B10" s="112"/>
      <c r="C10" s="113"/>
      <c r="D10" s="114"/>
      <c r="E10" s="115"/>
      <c r="F10" s="115"/>
      <c r="G10" s="113"/>
      <c r="H10" s="115"/>
      <c r="I10" s="112"/>
      <c r="J10" s="112"/>
      <c r="K10" s="112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8">
      <c r="A11" s="116" t="s">
        <v>810</v>
      </c>
      <c r="B11" s="117">
        <f t="shared" ref="B11:AB11" si="3">B12/B6</f>
        <v>6127</v>
      </c>
      <c r="C11" s="118">
        <f t="shared" si="3"/>
        <v>6400.4553324516237</v>
      </c>
      <c r="D11" s="119">
        <f t="shared" si="3"/>
        <v>6912.4917590477562</v>
      </c>
      <c r="E11" s="117">
        <f t="shared" si="3"/>
        <v>7465.491099771576</v>
      </c>
      <c r="F11" s="117">
        <f t="shared" si="3"/>
        <v>8062.7303877533022</v>
      </c>
      <c r="G11" s="118">
        <f t="shared" si="3"/>
        <v>8707.7488187735671</v>
      </c>
      <c r="H11" s="117">
        <f t="shared" si="3"/>
        <v>9404.368724275455</v>
      </c>
      <c r="I11" s="118">
        <f t="shared" si="3"/>
        <v>10156.718222217492</v>
      </c>
      <c r="J11" s="118">
        <f t="shared" si="3"/>
        <v>10969.255679994892</v>
      </c>
      <c r="K11" s="118">
        <f t="shared" si="3"/>
        <v>11846.796134394484</v>
      </c>
      <c r="L11" s="118">
        <f t="shared" si="3"/>
        <v>12794.539825146045</v>
      </c>
      <c r="M11" s="118">
        <f t="shared" si="3"/>
        <v>13818.103011157729</v>
      </c>
      <c r="N11" s="118">
        <f t="shared" si="3"/>
        <v>14923.551252050349</v>
      </c>
      <c r="O11" s="118">
        <f t="shared" si="3"/>
        <v>16117.435352214379</v>
      </c>
      <c r="P11" s="118">
        <f t="shared" si="3"/>
        <v>17406.830180391527</v>
      </c>
      <c r="Q11" s="118">
        <f t="shared" si="3"/>
        <v>18799.376594822854</v>
      </c>
      <c r="R11" s="118">
        <f t="shared" si="3"/>
        <v>20303.326722408681</v>
      </c>
      <c r="S11" s="118">
        <f t="shared" si="3"/>
        <v>21927.592860201377</v>
      </c>
      <c r="T11" s="118">
        <f t="shared" si="3"/>
        <v>23681.800289017487</v>
      </c>
      <c r="U11" s="118">
        <f t="shared" si="3"/>
        <v>25576.344312138885</v>
      </c>
      <c r="V11" s="118">
        <f t="shared" si="3"/>
        <v>27622.451857109998</v>
      </c>
      <c r="W11" s="118">
        <f t="shared" si="3"/>
        <v>29832.248005678797</v>
      </c>
      <c r="X11" s="118">
        <f t="shared" si="3"/>
        <v>32218.827846133107</v>
      </c>
      <c r="Y11" s="118">
        <f t="shared" si="3"/>
        <v>34796.334073823753</v>
      </c>
      <c r="Z11" s="118">
        <f t="shared" si="3"/>
        <v>37580.040799729657</v>
      </c>
      <c r="AA11" s="118">
        <f t="shared" si="3"/>
        <v>40586.444063708033</v>
      </c>
      <c r="AB11" s="118">
        <f t="shared" si="3"/>
        <v>43833.359588804677</v>
      </c>
    </row>
    <row r="12" spans="1:28">
      <c r="A12" s="105" t="s">
        <v>811</v>
      </c>
      <c r="B12" s="113">
        <f t="shared" ref="B12:I12" si="4">SUM(B7:B9)</f>
        <v>12254</v>
      </c>
      <c r="C12" s="113">
        <f t="shared" si="4"/>
        <v>12800.910664903247</v>
      </c>
      <c r="D12" s="120">
        <f t="shared" si="4"/>
        <v>13824.983518095512</v>
      </c>
      <c r="E12" s="113">
        <f t="shared" si="4"/>
        <v>14930.982199543152</v>
      </c>
      <c r="F12" s="113">
        <f t="shared" si="4"/>
        <v>16125.460775506604</v>
      </c>
      <c r="G12" s="121">
        <f t="shared" si="4"/>
        <v>17415.497637547134</v>
      </c>
      <c r="H12" s="113">
        <f t="shared" si="4"/>
        <v>18808.73744855091</v>
      </c>
      <c r="I12" s="113">
        <f t="shared" si="4"/>
        <v>20313.436444434985</v>
      </c>
      <c r="J12" s="113">
        <f t="shared" ref="J12:AB12" si="5">SUM(J7:J9)</f>
        <v>21938.511359989785</v>
      </c>
      <c r="K12" s="113">
        <f t="shared" si="5"/>
        <v>23693.592268788969</v>
      </c>
      <c r="L12" s="121">
        <f t="shared" si="5"/>
        <v>25589.079650292089</v>
      </c>
      <c r="M12" s="121">
        <f t="shared" si="5"/>
        <v>27636.206022315459</v>
      </c>
      <c r="N12" s="121">
        <f t="shared" si="5"/>
        <v>29847.102504100698</v>
      </c>
      <c r="O12" s="121">
        <f t="shared" si="5"/>
        <v>32234.870704428758</v>
      </c>
      <c r="P12" s="121">
        <f t="shared" si="5"/>
        <v>34813.660360783055</v>
      </c>
      <c r="Q12" s="121">
        <f t="shared" si="5"/>
        <v>37598.753189645708</v>
      </c>
      <c r="R12" s="121">
        <f t="shared" si="5"/>
        <v>40606.653444817362</v>
      </c>
      <c r="S12" s="121">
        <f t="shared" si="5"/>
        <v>43855.185720402755</v>
      </c>
      <c r="T12" s="121">
        <f t="shared" si="5"/>
        <v>47363.600578034973</v>
      </c>
      <c r="U12" s="121">
        <f t="shared" si="5"/>
        <v>51152.688624277769</v>
      </c>
      <c r="V12" s="121">
        <f t="shared" si="5"/>
        <v>55244.903714219996</v>
      </c>
      <c r="W12" s="121">
        <f t="shared" si="5"/>
        <v>59664.496011357594</v>
      </c>
      <c r="X12" s="121">
        <f t="shared" si="5"/>
        <v>64437.655692266213</v>
      </c>
      <c r="Y12" s="121">
        <f t="shared" si="5"/>
        <v>69592.668147647506</v>
      </c>
      <c r="Z12" s="121">
        <f t="shared" si="5"/>
        <v>75160.081599459314</v>
      </c>
      <c r="AA12" s="121">
        <f t="shared" si="5"/>
        <v>81172.888127416067</v>
      </c>
      <c r="AB12" s="121">
        <f t="shared" si="5"/>
        <v>87666.719177609353</v>
      </c>
    </row>
    <row r="13" spans="1:28" ht="19.5" customHeight="1">
      <c r="A13" s="103"/>
      <c r="B13" s="122">
        <f t="shared" ref="B13:AB13" si="6">B2</f>
        <v>2022</v>
      </c>
      <c r="C13" s="122">
        <f t="shared" si="6"/>
        <v>2023</v>
      </c>
      <c r="D13" s="123">
        <f t="shared" si="6"/>
        <v>2024</v>
      </c>
      <c r="E13" s="122">
        <f t="shared" si="6"/>
        <v>2025</v>
      </c>
      <c r="F13" s="122">
        <f t="shared" si="6"/>
        <v>2026</v>
      </c>
      <c r="G13" s="124">
        <f t="shared" si="6"/>
        <v>2027</v>
      </c>
      <c r="H13" s="122">
        <f t="shared" si="6"/>
        <v>2028</v>
      </c>
      <c r="I13" s="122">
        <f t="shared" si="6"/>
        <v>2029</v>
      </c>
      <c r="J13" s="122">
        <f t="shared" si="6"/>
        <v>2030</v>
      </c>
      <c r="K13" s="122">
        <f t="shared" si="6"/>
        <v>2031</v>
      </c>
      <c r="L13" s="124">
        <f t="shared" si="6"/>
        <v>2032</v>
      </c>
      <c r="M13" s="124">
        <f t="shared" si="6"/>
        <v>2033</v>
      </c>
      <c r="N13" s="124">
        <f t="shared" si="6"/>
        <v>2034</v>
      </c>
      <c r="O13" s="124">
        <f t="shared" si="6"/>
        <v>2035</v>
      </c>
      <c r="P13" s="124">
        <f t="shared" si="6"/>
        <v>2036</v>
      </c>
      <c r="Q13" s="124">
        <f t="shared" si="6"/>
        <v>2037</v>
      </c>
      <c r="R13" s="124">
        <f t="shared" si="6"/>
        <v>2038</v>
      </c>
      <c r="S13" s="124">
        <f t="shared" si="6"/>
        <v>2039</v>
      </c>
      <c r="T13" s="124">
        <f t="shared" si="6"/>
        <v>2040</v>
      </c>
      <c r="U13" s="124">
        <f t="shared" si="6"/>
        <v>2041</v>
      </c>
      <c r="V13" s="124">
        <f t="shared" si="6"/>
        <v>2042</v>
      </c>
      <c r="W13" s="124">
        <f t="shared" si="6"/>
        <v>2043</v>
      </c>
      <c r="X13" s="124">
        <f t="shared" si="6"/>
        <v>2044</v>
      </c>
      <c r="Y13" s="124">
        <f t="shared" si="6"/>
        <v>2045</v>
      </c>
      <c r="Z13" s="124">
        <f t="shared" si="6"/>
        <v>2046</v>
      </c>
      <c r="AA13" s="124">
        <f t="shared" si="6"/>
        <v>2047</v>
      </c>
      <c r="AB13" s="124">
        <f t="shared" si="6"/>
        <v>2048</v>
      </c>
    </row>
    <row r="14" spans="1:28">
      <c r="A14" s="103" t="s">
        <v>812</v>
      </c>
      <c r="B14" s="125">
        <v>6.02</v>
      </c>
      <c r="C14" s="125">
        <f>B14</f>
        <v>6.02</v>
      </c>
      <c r="D14" s="125">
        <f>C14</f>
        <v>6.02</v>
      </c>
      <c r="E14" s="125">
        <f>D14</f>
        <v>6.02</v>
      </c>
      <c r="F14" s="125">
        <f t="shared" ref="F14:AB14" si="7">E14</f>
        <v>6.02</v>
      </c>
      <c r="G14" s="125">
        <f t="shared" si="7"/>
        <v>6.02</v>
      </c>
      <c r="H14" s="125">
        <f t="shared" si="7"/>
        <v>6.02</v>
      </c>
      <c r="I14" s="125">
        <f t="shared" si="7"/>
        <v>6.02</v>
      </c>
      <c r="J14" s="125">
        <f t="shared" si="7"/>
        <v>6.02</v>
      </c>
      <c r="K14" s="125">
        <f t="shared" si="7"/>
        <v>6.02</v>
      </c>
      <c r="L14" s="125">
        <f t="shared" si="7"/>
        <v>6.02</v>
      </c>
      <c r="M14" s="125">
        <f t="shared" si="7"/>
        <v>6.02</v>
      </c>
      <c r="N14" s="125">
        <f t="shared" si="7"/>
        <v>6.02</v>
      </c>
      <c r="O14" s="125">
        <f t="shared" si="7"/>
        <v>6.02</v>
      </c>
      <c r="P14" s="125">
        <f t="shared" si="7"/>
        <v>6.02</v>
      </c>
      <c r="Q14" s="125">
        <f t="shared" si="7"/>
        <v>6.02</v>
      </c>
      <c r="R14" s="125">
        <f t="shared" si="7"/>
        <v>6.02</v>
      </c>
      <c r="S14" s="125">
        <f t="shared" si="7"/>
        <v>6.02</v>
      </c>
      <c r="T14" s="125">
        <f t="shared" si="7"/>
        <v>6.02</v>
      </c>
      <c r="U14" s="125">
        <f t="shared" si="7"/>
        <v>6.02</v>
      </c>
      <c r="V14" s="125">
        <f t="shared" si="7"/>
        <v>6.02</v>
      </c>
      <c r="W14" s="125">
        <f t="shared" si="7"/>
        <v>6.02</v>
      </c>
      <c r="X14" s="125">
        <f t="shared" si="7"/>
        <v>6.02</v>
      </c>
      <c r="Y14" s="125">
        <f t="shared" si="7"/>
        <v>6.02</v>
      </c>
      <c r="Z14" s="125">
        <f t="shared" si="7"/>
        <v>6.02</v>
      </c>
      <c r="AA14" s="125">
        <f t="shared" si="7"/>
        <v>6.02</v>
      </c>
      <c r="AB14" s="125">
        <f t="shared" si="7"/>
        <v>6.02</v>
      </c>
    </row>
    <row r="15" spans="1:28" hidden="1">
      <c r="A15" s="105" t="s">
        <v>813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</row>
    <row r="16" spans="1:28">
      <c r="A16" s="105" t="s">
        <v>814</v>
      </c>
      <c r="B16" s="125">
        <v>8.33</v>
      </c>
      <c r="C16" s="125">
        <f>B16</f>
        <v>8.33</v>
      </c>
      <c r="D16" s="125">
        <f>C16</f>
        <v>8.33</v>
      </c>
      <c r="E16" s="125">
        <f>D16</f>
        <v>8.33</v>
      </c>
      <c r="F16" s="125">
        <f t="shared" ref="F16:AB16" si="8">E16</f>
        <v>8.33</v>
      </c>
      <c r="G16" s="125">
        <f t="shared" si="8"/>
        <v>8.33</v>
      </c>
      <c r="H16" s="125">
        <f t="shared" si="8"/>
        <v>8.33</v>
      </c>
      <c r="I16" s="125">
        <f t="shared" si="8"/>
        <v>8.33</v>
      </c>
      <c r="J16" s="125">
        <f t="shared" si="8"/>
        <v>8.33</v>
      </c>
      <c r="K16" s="125">
        <f t="shared" si="8"/>
        <v>8.33</v>
      </c>
      <c r="L16" s="125">
        <f t="shared" si="8"/>
        <v>8.33</v>
      </c>
      <c r="M16" s="125">
        <f t="shared" si="8"/>
        <v>8.33</v>
      </c>
      <c r="N16" s="125">
        <f t="shared" si="8"/>
        <v>8.33</v>
      </c>
      <c r="O16" s="125">
        <f t="shared" si="8"/>
        <v>8.33</v>
      </c>
      <c r="P16" s="125">
        <f t="shared" si="8"/>
        <v>8.33</v>
      </c>
      <c r="Q16" s="125">
        <f t="shared" si="8"/>
        <v>8.33</v>
      </c>
      <c r="R16" s="125">
        <f t="shared" si="8"/>
        <v>8.33</v>
      </c>
      <c r="S16" s="125">
        <f t="shared" si="8"/>
        <v>8.33</v>
      </c>
      <c r="T16" s="125">
        <f t="shared" si="8"/>
        <v>8.33</v>
      </c>
      <c r="U16" s="125">
        <f t="shared" si="8"/>
        <v>8.33</v>
      </c>
      <c r="V16" s="125">
        <f t="shared" si="8"/>
        <v>8.33</v>
      </c>
      <c r="W16" s="125">
        <f t="shared" si="8"/>
        <v>8.33</v>
      </c>
      <c r="X16" s="125">
        <f t="shared" si="8"/>
        <v>8.33</v>
      </c>
      <c r="Y16" s="125">
        <f t="shared" si="8"/>
        <v>8.33</v>
      </c>
      <c r="Z16" s="125">
        <f t="shared" si="8"/>
        <v>8.33</v>
      </c>
      <c r="AA16" s="125">
        <f t="shared" si="8"/>
        <v>8.33</v>
      </c>
      <c r="AB16" s="125">
        <f t="shared" si="8"/>
        <v>8.33</v>
      </c>
    </row>
    <row r="17" spans="1:28" hidden="1">
      <c r="A17" s="111" t="s">
        <v>815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spans="1:28" ht="7.5" customHeight="1">
      <c r="A18" s="105"/>
      <c r="B18" s="105"/>
      <c r="C18" s="105"/>
      <c r="D18" s="126"/>
      <c r="E18" s="105"/>
      <c r="F18" s="105"/>
      <c r="G18" s="104"/>
      <c r="H18" s="105"/>
      <c r="I18" s="105"/>
      <c r="J18" s="105"/>
      <c r="K18" s="105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</row>
    <row r="19" spans="1:28">
      <c r="A19" s="105" t="s">
        <v>816</v>
      </c>
      <c r="B19" s="108">
        <v>300</v>
      </c>
      <c r="C19" s="108">
        <v>300</v>
      </c>
      <c r="D19" s="108">
        <v>300</v>
      </c>
      <c r="E19" s="108">
        <f>D19+420</f>
        <v>720</v>
      </c>
      <c r="F19" s="108">
        <f>E19+420</f>
        <v>1140</v>
      </c>
      <c r="G19" s="108">
        <v>1140</v>
      </c>
      <c r="H19" s="108">
        <v>1140</v>
      </c>
      <c r="I19" s="108">
        <v>1140</v>
      </c>
      <c r="J19" s="108">
        <v>1140</v>
      </c>
      <c r="K19" s="108">
        <v>1140</v>
      </c>
      <c r="L19" s="108">
        <v>1140</v>
      </c>
      <c r="M19" s="108">
        <v>1140</v>
      </c>
      <c r="N19" s="108">
        <v>1140</v>
      </c>
      <c r="O19" s="108">
        <v>1140</v>
      </c>
      <c r="P19" s="108">
        <v>1140</v>
      </c>
      <c r="Q19" s="108">
        <v>1140</v>
      </c>
      <c r="R19" s="108">
        <v>1140</v>
      </c>
      <c r="S19" s="108">
        <v>1140</v>
      </c>
      <c r="T19" s="108">
        <v>1140</v>
      </c>
      <c r="U19" s="108">
        <v>1140</v>
      </c>
      <c r="V19" s="108">
        <v>1140</v>
      </c>
      <c r="W19" s="108">
        <v>1140</v>
      </c>
      <c r="X19" s="108">
        <v>1140</v>
      </c>
      <c r="Y19" s="108">
        <v>1140</v>
      </c>
      <c r="Z19" s="108">
        <v>1140</v>
      </c>
      <c r="AA19" s="108">
        <v>1140</v>
      </c>
      <c r="AB19" s="108">
        <v>1140</v>
      </c>
    </row>
    <row r="20" spans="1:28" hidden="1">
      <c r="A20" s="105" t="s">
        <v>817</v>
      </c>
      <c r="B20" s="108">
        <v>0</v>
      </c>
      <c r="C20" s="108">
        <v>0</v>
      </c>
      <c r="D20" s="108">
        <v>0</v>
      </c>
      <c r="E20" s="108">
        <v>0</v>
      </c>
      <c r="F20" s="127">
        <f>B20</f>
        <v>0</v>
      </c>
      <c r="G20" s="127">
        <f>C20</f>
        <v>0</v>
      </c>
      <c r="H20" s="127">
        <f>D20</f>
        <v>0</v>
      </c>
      <c r="I20" s="127">
        <f>E20</f>
        <v>0</v>
      </c>
      <c r="J20" s="127">
        <f t="shared" ref="J20:AB20" si="9">F20</f>
        <v>0</v>
      </c>
      <c r="K20" s="127">
        <f t="shared" si="9"/>
        <v>0</v>
      </c>
      <c r="L20" s="127">
        <f t="shared" si="9"/>
        <v>0</v>
      </c>
      <c r="M20" s="127">
        <f t="shared" si="9"/>
        <v>0</v>
      </c>
      <c r="N20" s="127">
        <f t="shared" si="9"/>
        <v>0</v>
      </c>
      <c r="O20" s="127">
        <f t="shared" si="9"/>
        <v>0</v>
      </c>
      <c r="P20" s="127">
        <f t="shared" si="9"/>
        <v>0</v>
      </c>
      <c r="Q20" s="127">
        <f t="shared" si="9"/>
        <v>0</v>
      </c>
      <c r="R20" s="127">
        <f t="shared" si="9"/>
        <v>0</v>
      </c>
      <c r="S20" s="127">
        <f t="shared" si="9"/>
        <v>0</v>
      </c>
      <c r="T20" s="127">
        <f t="shared" si="9"/>
        <v>0</v>
      </c>
      <c r="U20" s="127">
        <f t="shared" si="9"/>
        <v>0</v>
      </c>
      <c r="V20" s="127">
        <f t="shared" si="9"/>
        <v>0</v>
      </c>
      <c r="W20" s="127">
        <f t="shared" si="9"/>
        <v>0</v>
      </c>
      <c r="X20" s="127">
        <f t="shared" si="9"/>
        <v>0</v>
      </c>
      <c r="Y20" s="127">
        <f t="shared" si="9"/>
        <v>0</v>
      </c>
      <c r="Z20" s="127">
        <f t="shared" si="9"/>
        <v>0</v>
      </c>
      <c r="AA20" s="127">
        <f t="shared" si="9"/>
        <v>0</v>
      </c>
      <c r="AB20" s="127">
        <f t="shared" si="9"/>
        <v>0</v>
      </c>
    </row>
    <row r="21" spans="1:28" hidden="1">
      <c r="A21" s="105" t="s">
        <v>818</v>
      </c>
      <c r="B21" s="128">
        <v>0</v>
      </c>
      <c r="C21" s="128">
        <v>0</v>
      </c>
      <c r="D21" s="128">
        <v>0</v>
      </c>
      <c r="E21" s="128">
        <v>0</v>
      </c>
      <c r="F21" s="127">
        <f>E21</f>
        <v>0</v>
      </c>
      <c r="G21" s="129">
        <f>F21</f>
        <v>0</v>
      </c>
      <c r="H21" s="127">
        <f>G21</f>
        <v>0</v>
      </c>
      <c r="I21" s="127">
        <f>H21</f>
        <v>0</v>
      </c>
      <c r="J21" s="127">
        <f t="shared" ref="J21:AB21" si="10">I21</f>
        <v>0</v>
      </c>
      <c r="K21" s="127">
        <f t="shared" si="10"/>
        <v>0</v>
      </c>
      <c r="L21" s="129">
        <f t="shared" si="10"/>
        <v>0</v>
      </c>
      <c r="M21" s="129">
        <f t="shared" si="10"/>
        <v>0</v>
      </c>
      <c r="N21" s="129">
        <f t="shared" si="10"/>
        <v>0</v>
      </c>
      <c r="O21" s="129">
        <f t="shared" si="10"/>
        <v>0</v>
      </c>
      <c r="P21" s="129">
        <f t="shared" si="10"/>
        <v>0</v>
      </c>
      <c r="Q21" s="129">
        <f t="shared" si="10"/>
        <v>0</v>
      </c>
      <c r="R21" s="129">
        <f t="shared" si="10"/>
        <v>0</v>
      </c>
      <c r="S21" s="129">
        <f t="shared" si="10"/>
        <v>0</v>
      </c>
      <c r="T21" s="129">
        <f t="shared" si="10"/>
        <v>0</v>
      </c>
      <c r="U21" s="129">
        <f t="shared" si="10"/>
        <v>0</v>
      </c>
      <c r="V21" s="129">
        <f t="shared" si="10"/>
        <v>0</v>
      </c>
      <c r="W21" s="129">
        <f t="shared" si="10"/>
        <v>0</v>
      </c>
      <c r="X21" s="129">
        <f t="shared" si="10"/>
        <v>0</v>
      </c>
      <c r="Y21" s="129">
        <f t="shared" si="10"/>
        <v>0</v>
      </c>
      <c r="Z21" s="129">
        <f t="shared" si="10"/>
        <v>0</v>
      </c>
      <c r="AA21" s="129">
        <f t="shared" si="10"/>
        <v>0</v>
      </c>
      <c r="AB21" s="129">
        <f t="shared" si="10"/>
        <v>0</v>
      </c>
    </row>
    <row r="22" spans="1:28" ht="15.6" customHeight="1">
      <c r="A22" s="105" t="s">
        <v>819</v>
      </c>
      <c r="B22" s="130">
        <f t="shared" ref="B22:AB22" si="11">SUM(B19:B20)-B21</f>
        <v>300</v>
      </c>
      <c r="C22" s="130">
        <f t="shared" si="11"/>
        <v>300</v>
      </c>
      <c r="D22" s="130">
        <f t="shared" si="11"/>
        <v>300</v>
      </c>
      <c r="E22" s="130">
        <f t="shared" si="11"/>
        <v>720</v>
      </c>
      <c r="F22" s="130">
        <f t="shared" si="11"/>
        <v>1140</v>
      </c>
      <c r="G22" s="130">
        <f t="shared" si="11"/>
        <v>1140</v>
      </c>
      <c r="H22" s="130">
        <f t="shared" si="11"/>
        <v>1140</v>
      </c>
      <c r="I22" s="130">
        <f t="shared" si="11"/>
        <v>1140</v>
      </c>
      <c r="J22" s="130">
        <f t="shared" si="11"/>
        <v>1140</v>
      </c>
      <c r="K22" s="130">
        <f t="shared" si="11"/>
        <v>1140</v>
      </c>
      <c r="L22" s="130">
        <f t="shared" si="11"/>
        <v>1140</v>
      </c>
      <c r="M22" s="130">
        <f t="shared" si="11"/>
        <v>1140</v>
      </c>
      <c r="N22" s="130">
        <f t="shared" si="11"/>
        <v>1140</v>
      </c>
      <c r="O22" s="130">
        <f t="shared" si="11"/>
        <v>1140</v>
      </c>
      <c r="P22" s="130">
        <f t="shared" si="11"/>
        <v>1140</v>
      </c>
      <c r="Q22" s="130">
        <f t="shared" si="11"/>
        <v>1140</v>
      </c>
      <c r="R22" s="130">
        <f t="shared" si="11"/>
        <v>1140</v>
      </c>
      <c r="S22" s="130">
        <f t="shared" si="11"/>
        <v>1140</v>
      </c>
      <c r="T22" s="130">
        <f t="shared" si="11"/>
        <v>1140</v>
      </c>
      <c r="U22" s="130">
        <f t="shared" si="11"/>
        <v>1140</v>
      </c>
      <c r="V22" s="130">
        <f t="shared" si="11"/>
        <v>1140</v>
      </c>
      <c r="W22" s="130">
        <f t="shared" si="11"/>
        <v>1140</v>
      </c>
      <c r="X22" s="130">
        <f t="shared" si="11"/>
        <v>1140</v>
      </c>
      <c r="Y22" s="130">
        <f t="shared" si="11"/>
        <v>1140</v>
      </c>
      <c r="Z22" s="130">
        <f t="shared" si="11"/>
        <v>1140</v>
      </c>
      <c r="AA22" s="130">
        <f t="shared" si="11"/>
        <v>1140</v>
      </c>
      <c r="AB22" s="130">
        <f t="shared" si="11"/>
        <v>1140</v>
      </c>
    </row>
    <row r="23" spans="1:28">
      <c r="A23" s="131" t="s">
        <v>820</v>
      </c>
      <c r="B23" s="132">
        <f t="shared" ref="B23:AB23" si="12">B19+B20</f>
        <v>300</v>
      </c>
      <c r="C23" s="132">
        <f t="shared" si="12"/>
        <v>300</v>
      </c>
      <c r="D23" s="133">
        <f t="shared" si="12"/>
        <v>300</v>
      </c>
      <c r="E23" s="132">
        <f t="shared" si="12"/>
        <v>720</v>
      </c>
      <c r="F23" s="132">
        <f t="shared" si="12"/>
        <v>1140</v>
      </c>
      <c r="G23" s="186">
        <f t="shared" si="12"/>
        <v>1140</v>
      </c>
      <c r="H23" s="132">
        <f t="shared" si="12"/>
        <v>1140</v>
      </c>
      <c r="I23" s="132">
        <f t="shared" si="12"/>
        <v>1140</v>
      </c>
      <c r="J23" s="132">
        <f t="shared" si="12"/>
        <v>1140</v>
      </c>
      <c r="K23" s="132">
        <f t="shared" si="12"/>
        <v>1140</v>
      </c>
      <c r="L23" s="186">
        <f t="shared" si="12"/>
        <v>1140</v>
      </c>
      <c r="M23" s="186">
        <f t="shared" si="12"/>
        <v>1140</v>
      </c>
      <c r="N23" s="186">
        <f t="shared" si="12"/>
        <v>1140</v>
      </c>
      <c r="O23" s="186">
        <f t="shared" si="12"/>
        <v>1140</v>
      </c>
      <c r="P23" s="186">
        <f t="shared" si="12"/>
        <v>1140</v>
      </c>
      <c r="Q23" s="186">
        <f t="shared" si="12"/>
        <v>1140</v>
      </c>
      <c r="R23" s="186">
        <f t="shared" si="12"/>
        <v>1140</v>
      </c>
      <c r="S23" s="186">
        <f t="shared" si="12"/>
        <v>1140</v>
      </c>
      <c r="T23" s="186">
        <f t="shared" si="12"/>
        <v>1140</v>
      </c>
      <c r="U23" s="186">
        <f t="shared" si="12"/>
        <v>1140</v>
      </c>
      <c r="V23" s="186">
        <f t="shared" si="12"/>
        <v>1140</v>
      </c>
      <c r="W23" s="186">
        <f t="shared" si="12"/>
        <v>1140</v>
      </c>
      <c r="X23" s="186">
        <f t="shared" si="12"/>
        <v>1140</v>
      </c>
      <c r="Y23" s="186">
        <f t="shared" si="12"/>
        <v>1140</v>
      </c>
      <c r="Z23" s="186">
        <f t="shared" si="12"/>
        <v>1140</v>
      </c>
      <c r="AA23" s="186">
        <f t="shared" si="12"/>
        <v>1140</v>
      </c>
      <c r="AB23" s="186">
        <f t="shared" si="12"/>
        <v>1140</v>
      </c>
    </row>
    <row r="24" spans="1:28" ht="16.350000000000001" customHeight="1">
      <c r="A24" s="126"/>
      <c r="B24" s="134">
        <f>B2</f>
        <v>2022</v>
      </c>
      <c r="C24" s="135">
        <f t="shared" ref="C24:E24" si="13">C2</f>
        <v>2023</v>
      </c>
      <c r="D24" s="135">
        <f t="shared" si="13"/>
        <v>2024</v>
      </c>
      <c r="E24" s="135">
        <f t="shared" si="13"/>
        <v>2025</v>
      </c>
      <c r="F24" s="136">
        <f>F2</f>
        <v>2026</v>
      </c>
      <c r="G24" s="135">
        <f t="shared" ref="G24:AB24" si="14">G2</f>
        <v>2027</v>
      </c>
      <c r="H24" s="135">
        <f t="shared" si="14"/>
        <v>2028</v>
      </c>
      <c r="I24" s="135">
        <f t="shared" si="14"/>
        <v>2029</v>
      </c>
      <c r="J24" s="135">
        <f t="shared" si="14"/>
        <v>2030</v>
      </c>
      <c r="K24" s="135">
        <f t="shared" si="14"/>
        <v>2031</v>
      </c>
      <c r="L24" s="135">
        <f t="shared" si="14"/>
        <v>2032</v>
      </c>
      <c r="M24" s="135">
        <f t="shared" si="14"/>
        <v>2033</v>
      </c>
      <c r="N24" s="135">
        <f t="shared" si="14"/>
        <v>2034</v>
      </c>
      <c r="O24" s="135">
        <f t="shared" si="14"/>
        <v>2035</v>
      </c>
      <c r="P24" s="135">
        <f t="shared" si="14"/>
        <v>2036</v>
      </c>
      <c r="Q24" s="135">
        <f t="shared" si="14"/>
        <v>2037</v>
      </c>
      <c r="R24" s="135">
        <f t="shared" si="14"/>
        <v>2038</v>
      </c>
      <c r="S24" s="135">
        <f t="shared" si="14"/>
        <v>2039</v>
      </c>
      <c r="T24" s="135">
        <f t="shared" si="14"/>
        <v>2040</v>
      </c>
      <c r="U24" s="135">
        <f t="shared" si="14"/>
        <v>2041</v>
      </c>
      <c r="V24" s="135">
        <f t="shared" si="14"/>
        <v>2042</v>
      </c>
      <c r="W24" s="135">
        <f t="shared" si="14"/>
        <v>2043</v>
      </c>
      <c r="X24" s="135">
        <f t="shared" si="14"/>
        <v>2044</v>
      </c>
      <c r="Y24" s="135">
        <f t="shared" si="14"/>
        <v>2045</v>
      </c>
      <c r="Z24" s="135">
        <f t="shared" si="14"/>
        <v>2046</v>
      </c>
      <c r="AA24" s="135">
        <f t="shared" si="14"/>
        <v>2047</v>
      </c>
      <c r="AB24" s="135">
        <f t="shared" si="14"/>
        <v>2048</v>
      </c>
    </row>
    <row r="25" spans="1:28">
      <c r="A25" s="126" t="s">
        <v>821</v>
      </c>
      <c r="B25" s="137">
        <f>B28+B29</f>
        <v>74286.94</v>
      </c>
      <c r="C25" s="130">
        <f t="shared" ref="C25:AB25" si="15">C28+C29</f>
        <v>81040.005237369478</v>
      </c>
      <c r="D25" s="130">
        <f t="shared" si="15"/>
        <v>87523.205656359074</v>
      </c>
      <c r="E25" s="130">
        <f t="shared" si="15"/>
        <v>94525.062108867787</v>
      </c>
      <c r="F25" s="130">
        <f t="shared" si="15"/>
        <v>102087.0670775772</v>
      </c>
      <c r="G25" s="130">
        <f t="shared" si="15"/>
        <v>110254.03244378339</v>
      </c>
      <c r="H25" s="130">
        <f t="shared" si="15"/>
        <v>119074.35503928611</v>
      </c>
      <c r="I25" s="130">
        <f t="shared" si="15"/>
        <v>128600.30344242899</v>
      </c>
      <c r="J25" s="130">
        <f t="shared" si="15"/>
        <v>138888.32771782333</v>
      </c>
      <c r="K25" s="130">
        <f t="shared" si="15"/>
        <v>149999.39393524922</v>
      </c>
      <c r="L25" s="130">
        <f t="shared" si="15"/>
        <v>161999.34545006917</v>
      </c>
      <c r="M25" s="130">
        <f t="shared" si="15"/>
        <v>174959.2930860747</v>
      </c>
      <c r="N25" s="130">
        <f t="shared" si="15"/>
        <v>188956.03653296069</v>
      </c>
      <c r="O25" s="130">
        <f t="shared" si="15"/>
        <v>204072.51945559756</v>
      </c>
      <c r="P25" s="130">
        <f t="shared" si="15"/>
        <v>220398.32101204537</v>
      </c>
      <c r="Q25" s="130">
        <f t="shared" si="15"/>
        <v>238030.18669300905</v>
      </c>
      <c r="R25" s="130">
        <f t="shared" si="15"/>
        <v>257072.60162844977</v>
      </c>
      <c r="S25" s="130">
        <f t="shared" si="15"/>
        <v>277638.40975872573</v>
      </c>
      <c r="T25" s="130">
        <f t="shared" si="15"/>
        <v>299849.4825394238</v>
      </c>
      <c r="U25" s="130">
        <f t="shared" si="15"/>
        <v>323837.44114257768</v>
      </c>
      <c r="V25" s="130">
        <f t="shared" si="15"/>
        <v>349744.43643398397</v>
      </c>
      <c r="W25" s="130">
        <f t="shared" si="15"/>
        <v>377723.99134870269</v>
      </c>
      <c r="X25" s="130">
        <f t="shared" si="15"/>
        <v>407941.91065659892</v>
      </c>
      <c r="Y25" s="130">
        <f t="shared" si="15"/>
        <v>440577.26350912685</v>
      </c>
      <c r="Z25" s="130">
        <f t="shared" si="15"/>
        <v>475823.44458985701</v>
      </c>
      <c r="AA25" s="130">
        <f t="shared" si="15"/>
        <v>513889.32015704567</v>
      </c>
      <c r="AB25" s="130">
        <f t="shared" si="15"/>
        <v>555000.46576960932</v>
      </c>
    </row>
    <row r="26" spans="1:28">
      <c r="A26" s="126" t="s">
        <v>822</v>
      </c>
      <c r="B26" s="137">
        <f t="shared" ref="B26:AB27" si="16">B8*B14</f>
        <v>20082.719999999998</v>
      </c>
      <c r="C26" s="130">
        <f t="shared" si="16"/>
        <v>18494.755728652213</v>
      </c>
      <c r="D26" s="130">
        <f t="shared" si="16"/>
        <v>19974.336186944394</v>
      </c>
      <c r="E26" s="130">
        <f t="shared" si="16"/>
        <v>21572.283081899943</v>
      </c>
      <c r="F26" s="130">
        <f t="shared" si="16"/>
        <v>23298.06572845194</v>
      </c>
      <c r="G26" s="130">
        <f t="shared" si="16"/>
        <v>25161.9109867281</v>
      </c>
      <c r="H26" s="130">
        <f t="shared" si="16"/>
        <v>27174.863865666353</v>
      </c>
      <c r="I26" s="130">
        <f t="shared" si="16"/>
        <v>29348.85297491966</v>
      </c>
      <c r="J26" s="130">
        <f t="shared" si="16"/>
        <v>31696.761212913236</v>
      </c>
      <c r="K26" s="130">
        <f t="shared" si="16"/>
        <v>34232.502109946297</v>
      </c>
      <c r="L26" s="130">
        <f t="shared" si="16"/>
        <v>36971.102278742008</v>
      </c>
      <c r="M26" s="130">
        <f t="shared" si="16"/>
        <v>39928.790461041368</v>
      </c>
      <c r="N26" s="130">
        <f t="shared" si="16"/>
        <v>43123.093697924684</v>
      </c>
      <c r="O26" s="130">
        <f t="shared" si="16"/>
        <v>46572.941193758663</v>
      </c>
      <c r="P26" s="130">
        <f t="shared" si="16"/>
        <v>50298.776489259355</v>
      </c>
      <c r="Q26" s="130">
        <f t="shared" si="16"/>
        <v>54322.678608400114</v>
      </c>
      <c r="R26" s="130">
        <f t="shared" si="16"/>
        <v>58668.492897072123</v>
      </c>
      <c r="S26" s="130">
        <f t="shared" si="16"/>
        <v>63361.972328837895</v>
      </c>
      <c r="T26" s="130">
        <f t="shared" si="16"/>
        <v>68430.930115144918</v>
      </c>
      <c r="U26" s="130">
        <f t="shared" si="16"/>
        <v>73905.404524356505</v>
      </c>
      <c r="V26" s="130">
        <f t="shared" si="16"/>
        <v>79817.836886305042</v>
      </c>
      <c r="W26" s="130">
        <f t="shared" si="16"/>
        <v>86203.263837209452</v>
      </c>
      <c r="X26" s="130">
        <f t="shared" si="16"/>
        <v>93099.524944186211</v>
      </c>
      <c r="Y26" s="130">
        <f t="shared" si="16"/>
        <v>100547.48693972112</v>
      </c>
      <c r="Z26" s="130">
        <f t="shared" si="16"/>
        <v>108591.28589489881</v>
      </c>
      <c r="AA26" s="130">
        <f t="shared" si="16"/>
        <v>117278.58876649072</v>
      </c>
      <c r="AB26" s="130">
        <f t="shared" si="16"/>
        <v>126660.87586780998</v>
      </c>
    </row>
    <row r="27" spans="1:28" hidden="1">
      <c r="A27" s="126" t="s">
        <v>823</v>
      </c>
      <c r="B27" s="137">
        <f t="shared" si="16"/>
        <v>0</v>
      </c>
      <c r="C27" s="130">
        <f t="shared" si="16"/>
        <v>0</v>
      </c>
      <c r="D27" s="130">
        <f t="shared" si="16"/>
        <v>0</v>
      </c>
      <c r="E27" s="130">
        <f t="shared" si="16"/>
        <v>0</v>
      </c>
      <c r="F27" s="130">
        <f t="shared" si="16"/>
        <v>0</v>
      </c>
      <c r="G27" s="130">
        <f t="shared" si="16"/>
        <v>0</v>
      </c>
      <c r="H27" s="130">
        <f t="shared" si="16"/>
        <v>0</v>
      </c>
      <c r="I27" s="130">
        <f t="shared" si="16"/>
        <v>0</v>
      </c>
      <c r="J27" s="130">
        <f t="shared" si="16"/>
        <v>0</v>
      </c>
      <c r="K27" s="130">
        <f t="shared" si="16"/>
        <v>0</v>
      </c>
      <c r="L27" s="130">
        <f t="shared" si="16"/>
        <v>0</v>
      </c>
      <c r="M27" s="130">
        <f t="shared" si="16"/>
        <v>0</v>
      </c>
      <c r="N27" s="130">
        <f t="shared" si="16"/>
        <v>0</v>
      </c>
      <c r="O27" s="130">
        <f t="shared" si="16"/>
        <v>0</v>
      </c>
      <c r="P27" s="130">
        <f t="shared" si="16"/>
        <v>0</v>
      </c>
      <c r="Q27" s="130">
        <f t="shared" si="16"/>
        <v>0</v>
      </c>
      <c r="R27" s="130">
        <f t="shared" si="16"/>
        <v>0</v>
      </c>
      <c r="S27" s="130">
        <f t="shared" si="16"/>
        <v>0</v>
      </c>
      <c r="T27" s="130">
        <f t="shared" si="16"/>
        <v>0</v>
      </c>
      <c r="U27" s="130">
        <f t="shared" si="16"/>
        <v>0</v>
      </c>
      <c r="V27" s="130">
        <f t="shared" si="16"/>
        <v>0</v>
      </c>
      <c r="W27" s="130">
        <f t="shared" si="16"/>
        <v>0</v>
      </c>
      <c r="X27" s="130">
        <f t="shared" si="16"/>
        <v>0</v>
      </c>
      <c r="Y27" s="130">
        <f t="shared" si="16"/>
        <v>0</v>
      </c>
      <c r="Z27" s="130">
        <f t="shared" si="16"/>
        <v>0</v>
      </c>
      <c r="AA27" s="130">
        <f t="shared" si="16"/>
        <v>0</v>
      </c>
      <c r="AB27" s="130">
        <f t="shared" si="16"/>
        <v>0</v>
      </c>
    </row>
    <row r="28" spans="1:28">
      <c r="A28" s="126" t="s">
        <v>824</v>
      </c>
      <c r="B28" s="137">
        <f t="shared" ref="B28:AB28" si="17">(B7*B37)*B16</f>
        <v>74286.94</v>
      </c>
      <c r="C28" s="130">
        <f t="shared" si="17"/>
        <v>81040.005237369478</v>
      </c>
      <c r="D28" s="130">
        <f t="shared" si="17"/>
        <v>87523.205656359074</v>
      </c>
      <c r="E28" s="130">
        <f t="shared" si="17"/>
        <v>94525.062108867787</v>
      </c>
      <c r="F28" s="130">
        <f t="shared" si="17"/>
        <v>102087.0670775772</v>
      </c>
      <c r="G28" s="130">
        <f t="shared" si="17"/>
        <v>110254.03244378339</v>
      </c>
      <c r="H28" s="130">
        <f t="shared" si="17"/>
        <v>119074.35503928611</v>
      </c>
      <c r="I28" s="130">
        <f t="shared" si="17"/>
        <v>128600.30344242899</v>
      </c>
      <c r="J28" s="130">
        <f t="shared" si="17"/>
        <v>138888.32771782333</v>
      </c>
      <c r="K28" s="130">
        <f t="shared" si="17"/>
        <v>149999.39393524922</v>
      </c>
      <c r="L28" s="130">
        <f t="shared" si="17"/>
        <v>161999.34545006917</v>
      </c>
      <c r="M28" s="130">
        <f t="shared" si="17"/>
        <v>174959.2930860747</v>
      </c>
      <c r="N28" s="130">
        <f t="shared" si="17"/>
        <v>188956.03653296069</v>
      </c>
      <c r="O28" s="130">
        <f t="shared" si="17"/>
        <v>204072.51945559756</v>
      </c>
      <c r="P28" s="130">
        <f t="shared" si="17"/>
        <v>220398.32101204537</v>
      </c>
      <c r="Q28" s="130">
        <f t="shared" si="17"/>
        <v>238030.18669300905</v>
      </c>
      <c r="R28" s="130">
        <f t="shared" si="17"/>
        <v>257072.60162844977</v>
      </c>
      <c r="S28" s="130">
        <f t="shared" si="17"/>
        <v>277638.40975872573</v>
      </c>
      <c r="T28" s="130">
        <f t="shared" si="17"/>
        <v>299849.4825394238</v>
      </c>
      <c r="U28" s="130">
        <f t="shared" si="17"/>
        <v>323837.44114257768</v>
      </c>
      <c r="V28" s="130">
        <f t="shared" si="17"/>
        <v>349744.43643398397</v>
      </c>
      <c r="W28" s="130">
        <f t="shared" si="17"/>
        <v>377723.99134870269</v>
      </c>
      <c r="X28" s="130">
        <f t="shared" si="17"/>
        <v>407941.91065659892</v>
      </c>
      <c r="Y28" s="130">
        <f t="shared" si="17"/>
        <v>440577.26350912685</v>
      </c>
      <c r="Z28" s="130">
        <f t="shared" si="17"/>
        <v>475823.44458985701</v>
      </c>
      <c r="AA28" s="130">
        <f t="shared" si="17"/>
        <v>513889.32015704567</v>
      </c>
      <c r="AB28" s="130">
        <f t="shared" si="17"/>
        <v>555000.46576960932</v>
      </c>
    </row>
    <row r="29" spans="1:28">
      <c r="A29" s="126" t="s">
        <v>825</v>
      </c>
      <c r="B29" s="138">
        <f t="shared" ref="B29:AB29" si="18">((1-B37)*B7)*B17</f>
        <v>0</v>
      </c>
      <c r="C29" s="139">
        <f t="shared" si="18"/>
        <v>0</v>
      </c>
      <c r="D29" s="139">
        <f t="shared" si="18"/>
        <v>0</v>
      </c>
      <c r="E29" s="139">
        <f t="shared" si="18"/>
        <v>0</v>
      </c>
      <c r="F29" s="130">
        <f t="shared" si="18"/>
        <v>0</v>
      </c>
      <c r="G29" s="139">
        <f t="shared" si="18"/>
        <v>0</v>
      </c>
      <c r="H29" s="139">
        <f t="shared" si="18"/>
        <v>0</v>
      </c>
      <c r="I29" s="139">
        <f t="shared" si="18"/>
        <v>0</v>
      </c>
      <c r="J29" s="139">
        <f t="shared" si="18"/>
        <v>0</v>
      </c>
      <c r="K29" s="139">
        <f t="shared" si="18"/>
        <v>0</v>
      </c>
      <c r="L29" s="139">
        <f t="shared" si="18"/>
        <v>0</v>
      </c>
      <c r="M29" s="139">
        <f t="shared" si="18"/>
        <v>0</v>
      </c>
      <c r="N29" s="139">
        <f t="shared" si="18"/>
        <v>0</v>
      </c>
      <c r="O29" s="139">
        <f t="shared" si="18"/>
        <v>0</v>
      </c>
      <c r="P29" s="139">
        <f t="shared" si="18"/>
        <v>0</v>
      </c>
      <c r="Q29" s="139">
        <f t="shared" si="18"/>
        <v>0</v>
      </c>
      <c r="R29" s="139">
        <f t="shared" si="18"/>
        <v>0</v>
      </c>
      <c r="S29" s="139">
        <f t="shared" si="18"/>
        <v>0</v>
      </c>
      <c r="T29" s="139">
        <f t="shared" si="18"/>
        <v>0</v>
      </c>
      <c r="U29" s="139">
        <f t="shared" si="18"/>
        <v>0</v>
      </c>
      <c r="V29" s="139">
        <f t="shared" si="18"/>
        <v>0</v>
      </c>
      <c r="W29" s="139">
        <f t="shared" si="18"/>
        <v>0</v>
      </c>
      <c r="X29" s="139">
        <f t="shared" si="18"/>
        <v>0</v>
      </c>
      <c r="Y29" s="139">
        <f t="shared" si="18"/>
        <v>0</v>
      </c>
      <c r="Z29" s="139">
        <f t="shared" si="18"/>
        <v>0</v>
      </c>
      <c r="AA29" s="139">
        <f t="shared" si="18"/>
        <v>0</v>
      </c>
      <c r="AB29" s="139">
        <f t="shared" si="18"/>
        <v>0</v>
      </c>
    </row>
    <row r="30" spans="1:28" ht="19.350000000000001" customHeight="1">
      <c r="A30" s="140" t="s">
        <v>826</v>
      </c>
      <c r="B30" s="141">
        <f t="shared" ref="B30:I30" si="19">SUM(B25:B27)/B12</f>
        <v>7.7011310592459612</v>
      </c>
      <c r="C30" s="141">
        <f t="shared" si="19"/>
        <v>7.7755999999999998</v>
      </c>
      <c r="D30" s="141">
        <f t="shared" si="19"/>
        <v>7.7755999999999998</v>
      </c>
      <c r="E30" s="141">
        <f t="shared" si="19"/>
        <v>7.775599999999999</v>
      </c>
      <c r="F30" s="141">
        <f t="shared" si="19"/>
        <v>7.775599999999999</v>
      </c>
      <c r="G30" s="141">
        <f t="shared" si="19"/>
        <v>7.775599999999999</v>
      </c>
      <c r="H30" s="141">
        <f t="shared" si="19"/>
        <v>7.7755999999999998</v>
      </c>
      <c r="I30" s="141">
        <f t="shared" si="19"/>
        <v>7.775599999999999</v>
      </c>
      <c r="J30" s="141">
        <f t="shared" ref="J30:AB30" si="20">SUM(J25:J27)/J12</f>
        <v>7.775599999999999</v>
      </c>
      <c r="K30" s="141">
        <f t="shared" si="20"/>
        <v>7.7756000000000007</v>
      </c>
      <c r="L30" s="141">
        <f t="shared" si="20"/>
        <v>7.7756000000000007</v>
      </c>
      <c r="M30" s="141">
        <f t="shared" si="20"/>
        <v>7.7755999999999998</v>
      </c>
      <c r="N30" s="141">
        <f t="shared" si="20"/>
        <v>7.7755999999999998</v>
      </c>
      <c r="O30" s="141">
        <f t="shared" si="20"/>
        <v>7.775599999999999</v>
      </c>
      <c r="P30" s="141">
        <f t="shared" si="20"/>
        <v>7.775599999999999</v>
      </c>
      <c r="Q30" s="141">
        <f t="shared" si="20"/>
        <v>7.7755999999999998</v>
      </c>
      <c r="R30" s="141">
        <f t="shared" si="20"/>
        <v>7.7756000000000007</v>
      </c>
      <c r="S30" s="141">
        <f t="shared" si="20"/>
        <v>7.775599999999999</v>
      </c>
      <c r="T30" s="141">
        <f t="shared" si="20"/>
        <v>7.7755999999999998</v>
      </c>
      <c r="U30" s="141">
        <f t="shared" si="20"/>
        <v>7.775599999999999</v>
      </c>
      <c r="V30" s="141">
        <f t="shared" si="20"/>
        <v>7.7755999999999998</v>
      </c>
      <c r="W30" s="141">
        <f t="shared" si="20"/>
        <v>7.7756000000000007</v>
      </c>
      <c r="X30" s="141">
        <f t="shared" si="20"/>
        <v>7.7755999999999998</v>
      </c>
      <c r="Y30" s="141">
        <f t="shared" si="20"/>
        <v>7.7756000000000007</v>
      </c>
      <c r="Z30" s="141">
        <f t="shared" si="20"/>
        <v>7.7755999999999998</v>
      </c>
      <c r="AA30" s="141">
        <f t="shared" si="20"/>
        <v>7.7756000000000007</v>
      </c>
      <c r="AB30" s="141">
        <f t="shared" si="20"/>
        <v>7.7755999999999998</v>
      </c>
    </row>
    <row r="31" spans="1:28" hidden="1">
      <c r="A31" s="142" t="s">
        <v>827</v>
      </c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1</v>
      </c>
      <c r="K31" s="143">
        <v>2</v>
      </c>
      <c r="L31" s="143">
        <v>3</v>
      </c>
      <c r="M31" s="143">
        <v>4</v>
      </c>
      <c r="N31" s="143">
        <v>5</v>
      </c>
      <c r="O31" s="143">
        <v>6</v>
      </c>
      <c r="P31" s="143">
        <v>7</v>
      </c>
      <c r="Q31" s="143">
        <v>8</v>
      </c>
      <c r="R31" s="143">
        <v>9</v>
      </c>
      <c r="S31" s="143">
        <v>10</v>
      </c>
      <c r="T31" s="143">
        <v>11</v>
      </c>
      <c r="U31" s="143">
        <v>12</v>
      </c>
      <c r="V31" s="143">
        <v>13</v>
      </c>
      <c r="W31" s="143">
        <v>14</v>
      </c>
      <c r="X31" s="143">
        <v>15</v>
      </c>
      <c r="Y31" s="143">
        <v>16</v>
      </c>
      <c r="Z31" s="143">
        <v>17</v>
      </c>
      <c r="AA31" s="143">
        <v>18</v>
      </c>
      <c r="AB31" s="143">
        <v>19</v>
      </c>
    </row>
    <row r="32" spans="1:28" hidden="1">
      <c r="A32" s="126" t="s">
        <v>828</v>
      </c>
      <c r="B32" s="144" t="e">
        <f t="shared" ref="B32:AB32" si="21">MIN((B26/(B20*B4)),B31)</f>
        <v>#DIV/0!</v>
      </c>
      <c r="C32" s="144" t="e">
        <f t="shared" si="21"/>
        <v>#DIV/0!</v>
      </c>
      <c r="D32" s="145" t="e">
        <f t="shared" si="21"/>
        <v>#DIV/0!</v>
      </c>
      <c r="E32" s="144" t="e">
        <f t="shared" si="21"/>
        <v>#DIV/0!</v>
      </c>
      <c r="F32" s="144" t="e">
        <f t="shared" si="21"/>
        <v>#DIV/0!</v>
      </c>
      <c r="G32" s="146" t="e">
        <f t="shared" si="21"/>
        <v>#DIV/0!</v>
      </c>
      <c r="H32" s="144" t="e">
        <f t="shared" si="21"/>
        <v>#DIV/0!</v>
      </c>
      <c r="I32" s="144" t="e">
        <f t="shared" si="21"/>
        <v>#DIV/0!</v>
      </c>
      <c r="J32" s="144" t="e">
        <f t="shared" si="21"/>
        <v>#DIV/0!</v>
      </c>
      <c r="K32" s="144" t="e">
        <f t="shared" si="21"/>
        <v>#DIV/0!</v>
      </c>
      <c r="L32" s="146" t="e">
        <f t="shared" si="21"/>
        <v>#DIV/0!</v>
      </c>
      <c r="M32" s="146" t="e">
        <f t="shared" si="21"/>
        <v>#DIV/0!</v>
      </c>
      <c r="N32" s="146" t="e">
        <f t="shared" si="21"/>
        <v>#DIV/0!</v>
      </c>
      <c r="O32" s="146" t="e">
        <f t="shared" si="21"/>
        <v>#DIV/0!</v>
      </c>
      <c r="P32" s="146" t="e">
        <f t="shared" si="21"/>
        <v>#DIV/0!</v>
      </c>
      <c r="Q32" s="146" t="e">
        <f t="shared" si="21"/>
        <v>#DIV/0!</v>
      </c>
      <c r="R32" s="146" t="e">
        <f t="shared" si="21"/>
        <v>#DIV/0!</v>
      </c>
      <c r="S32" s="146" t="e">
        <f t="shared" si="21"/>
        <v>#DIV/0!</v>
      </c>
      <c r="T32" s="146" t="e">
        <f t="shared" si="21"/>
        <v>#DIV/0!</v>
      </c>
      <c r="U32" s="146" t="e">
        <f t="shared" si="21"/>
        <v>#DIV/0!</v>
      </c>
      <c r="V32" s="146" t="e">
        <f t="shared" si="21"/>
        <v>#DIV/0!</v>
      </c>
      <c r="W32" s="146" t="e">
        <f t="shared" si="21"/>
        <v>#DIV/0!</v>
      </c>
      <c r="X32" s="146" t="e">
        <f t="shared" si="21"/>
        <v>#DIV/0!</v>
      </c>
      <c r="Y32" s="146" t="e">
        <f t="shared" si="21"/>
        <v>#DIV/0!</v>
      </c>
      <c r="Z32" s="146" t="e">
        <f t="shared" si="21"/>
        <v>#DIV/0!</v>
      </c>
      <c r="AA32" s="146" t="e">
        <f t="shared" si="21"/>
        <v>#DIV/0!</v>
      </c>
      <c r="AB32" s="146" t="e">
        <f t="shared" si="21"/>
        <v>#DIV/0!</v>
      </c>
    </row>
    <row r="33" spans="1:28" hidden="1">
      <c r="A33" s="126" t="s">
        <v>829</v>
      </c>
      <c r="B33" s="144">
        <f t="shared" ref="B33:AB33" si="22">(B25+B27+(B34*B14))/(B22*B4)</f>
        <v>0.86419102564102568</v>
      </c>
      <c r="C33" s="144">
        <f t="shared" si="22"/>
        <v>0.91149048503682861</v>
      </c>
      <c r="D33" s="145">
        <f t="shared" si="22"/>
        <v>0.98440972383977532</v>
      </c>
      <c r="E33" s="144">
        <f t="shared" si="22"/>
        <v>0.44298437572789884</v>
      </c>
      <c r="F33" s="144">
        <f t="shared" si="22"/>
        <v>0.30216197418071417</v>
      </c>
      <c r="G33" s="146">
        <f t="shared" si="22"/>
        <v>0.32633493211517128</v>
      </c>
      <c r="H33" s="144">
        <f t="shared" si="22"/>
        <v>0.35244172668438517</v>
      </c>
      <c r="I33" s="144">
        <f t="shared" si="22"/>
        <v>0.38063706481913595</v>
      </c>
      <c r="J33" s="144">
        <f t="shared" si="22"/>
        <v>0.41108803000466687</v>
      </c>
      <c r="K33" s="144">
        <f t="shared" si="22"/>
        <v>0.44397507240504031</v>
      </c>
      <c r="L33" s="146">
        <f t="shared" si="22"/>
        <v>0.47949307819744358</v>
      </c>
      <c r="M33" s="146">
        <f t="shared" si="22"/>
        <v>0.51785252445323904</v>
      </c>
      <c r="N33" s="146">
        <f t="shared" si="22"/>
        <v>0.55928072640949822</v>
      </c>
      <c r="O33" s="146">
        <f t="shared" si="22"/>
        <v>0.60402318452225812</v>
      </c>
      <c r="P33" s="146">
        <f t="shared" si="22"/>
        <v>0.65234503928403875</v>
      </c>
      <c r="Q33" s="146">
        <f t="shared" si="22"/>
        <v>0.70453264242676195</v>
      </c>
      <c r="R33" s="146">
        <f t="shared" si="22"/>
        <v>0.76089525382090306</v>
      </c>
      <c r="S33" s="146">
        <f t="shared" si="22"/>
        <v>0.82176687412657512</v>
      </c>
      <c r="T33" s="146">
        <f t="shared" si="22"/>
        <v>0.88750822405670116</v>
      </c>
      <c r="U33" s="146">
        <f t="shared" si="22"/>
        <v>0.95850888198123707</v>
      </c>
      <c r="V33" s="146">
        <f t="shared" si="22"/>
        <v>1.0351895925397363</v>
      </c>
      <c r="W33" s="146">
        <f t="shared" si="22"/>
        <v>1.1180047599429153</v>
      </c>
      <c r="X33" s="146">
        <f t="shared" si="22"/>
        <v>1.2074451407383486</v>
      </c>
      <c r="Y33" s="146">
        <f t="shared" si="22"/>
        <v>1.3040407519974166</v>
      </c>
      <c r="Z33" s="146">
        <f t="shared" si="22"/>
        <v>1.4083640121572099</v>
      </c>
      <c r="AA33" s="146">
        <f t="shared" si="22"/>
        <v>1.5210331331297871</v>
      </c>
      <c r="AB33" s="146">
        <f t="shared" si="22"/>
        <v>1.6427157837801698</v>
      </c>
    </row>
    <row r="34" spans="1:28" hidden="1">
      <c r="A34" s="147" t="s">
        <v>830</v>
      </c>
      <c r="B34" s="147">
        <f t="shared" ref="B34:AB34" si="23">MAX(B26-(B4*B20*B31),0)/B14</f>
        <v>3336</v>
      </c>
      <c r="C34" s="147">
        <f t="shared" si="23"/>
        <v>3072.2185595767796</v>
      </c>
      <c r="D34" s="148">
        <f t="shared" si="23"/>
        <v>3317.9960443429227</v>
      </c>
      <c r="E34" s="147">
        <f t="shared" si="23"/>
        <v>3583.4357278903562</v>
      </c>
      <c r="F34" s="147">
        <f t="shared" si="23"/>
        <v>3870.1105861215851</v>
      </c>
      <c r="G34" s="149">
        <f t="shared" si="23"/>
        <v>4179.7194330113125</v>
      </c>
      <c r="H34" s="147">
        <f t="shared" si="23"/>
        <v>4514.0969876522186</v>
      </c>
      <c r="I34" s="147">
        <f t="shared" si="23"/>
        <v>4875.2247466643958</v>
      </c>
      <c r="J34" s="147">
        <f t="shared" si="23"/>
        <v>5265.2427263975478</v>
      </c>
      <c r="K34" s="147">
        <f t="shared" si="23"/>
        <v>5686.4621445093526</v>
      </c>
      <c r="L34" s="149">
        <f t="shared" si="23"/>
        <v>6141.3791160701012</v>
      </c>
      <c r="M34" s="149">
        <f t="shared" si="23"/>
        <v>6632.6894453557097</v>
      </c>
      <c r="N34" s="149">
        <f t="shared" si="23"/>
        <v>7163.3046009841673</v>
      </c>
      <c r="O34" s="149">
        <f t="shared" si="23"/>
        <v>7736.3689690629017</v>
      </c>
      <c r="P34" s="149">
        <f t="shared" si="23"/>
        <v>8355.278486587933</v>
      </c>
      <c r="Q34" s="149">
        <f t="shared" si="23"/>
        <v>9023.70076551497</v>
      </c>
      <c r="R34" s="149">
        <f t="shared" si="23"/>
        <v>9745.5968267561675</v>
      </c>
      <c r="S34" s="149">
        <f t="shared" si="23"/>
        <v>10525.244572896661</v>
      </c>
      <c r="T34" s="149">
        <f t="shared" si="23"/>
        <v>11367.264138728393</v>
      </c>
      <c r="U34" s="149">
        <f t="shared" si="23"/>
        <v>12276.645269826662</v>
      </c>
      <c r="V34" s="149">
        <f t="shared" si="23"/>
        <v>13258.776891412799</v>
      </c>
      <c r="W34" s="149">
        <f t="shared" si="23"/>
        <v>14319.479042725823</v>
      </c>
      <c r="X34" s="149">
        <f t="shared" si="23"/>
        <v>15465.03736614389</v>
      </c>
      <c r="Y34" s="149">
        <f t="shared" si="23"/>
        <v>16702.240355435402</v>
      </c>
      <c r="Z34" s="149">
        <f t="shared" si="23"/>
        <v>18038.419583870236</v>
      </c>
      <c r="AA34" s="149">
        <f t="shared" si="23"/>
        <v>19481.493150579856</v>
      </c>
      <c r="AB34" s="149">
        <f t="shared" si="23"/>
        <v>21040.012602626244</v>
      </c>
    </row>
    <row r="35" spans="1:28" s="154" customFormat="1" ht="7.5" hidden="1" customHeight="1">
      <c r="A35" s="150" t="s">
        <v>831</v>
      </c>
      <c r="B35" s="151">
        <f>B34/B4</f>
        <v>9.1648351648351642</v>
      </c>
      <c r="C35" s="151">
        <f t="shared" ref="C35:AB35" si="24">C34/C4*C14</f>
        <v>50.809768485308268</v>
      </c>
      <c r="D35" s="151">
        <f t="shared" si="24"/>
        <v>54.874549964132953</v>
      </c>
      <c r="E35" s="152">
        <f t="shared" si="24"/>
        <v>59.264513961263575</v>
      </c>
      <c r="F35" s="152">
        <f t="shared" si="24"/>
        <v>64.005675078164671</v>
      </c>
      <c r="G35" s="151">
        <f t="shared" si="24"/>
        <v>69.126129084417855</v>
      </c>
      <c r="H35" s="151">
        <f t="shared" si="24"/>
        <v>74.656219411171293</v>
      </c>
      <c r="I35" s="153">
        <f t="shared" si="24"/>
        <v>80.628716964064992</v>
      </c>
      <c r="J35" s="153">
        <f t="shared" si="24"/>
        <v>87.079014321190201</v>
      </c>
      <c r="K35" s="153">
        <f t="shared" si="24"/>
        <v>94.045335466885447</v>
      </c>
      <c r="L35" s="151">
        <f t="shared" si="24"/>
        <v>101.56896230423628</v>
      </c>
      <c r="M35" s="151">
        <f t="shared" si="24"/>
        <v>109.6944792885752</v>
      </c>
      <c r="N35" s="151">
        <f t="shared" si="24"/>
        <v>118.47003763166123</v>
      </c>
      <c r="O35" s="151">
        <f t="shared" si="24"/>
        <v>127.94764064219413</v>
      </c>
      <c r="P35" s="151">
        <f t="shared" si="24"/>
        <v>138.18345189356964</v>
      </c>
      <c r="Q35" s="151">
        <f t="shared" si="24"/>
        <v>149.23812804505528</v>
      </c>
      <c r="R35" s="151">
        <f t="shared" si="24"/>
        <v>161.17717828865969</v>
      </c>
      <c r="S35" s="151">
        <f t="shared" si="24"/>
        <v>174.07135255175245</v>
      </c>
      <c r="T35" s="151">
        <f t="shared" si="24"/>
        <v>187.99706075589265</v>
      </c>
      <c r="U35" s="151">
        <f t="shared" si="24"/>
        <v>203.03682561636401</v>
      </c>
      <c r="V35" s="151">
        <f t="shared" si="24"/>
        <v>219.2797716656732</v>
      </c>
      <c r="W35" s="151">
        <f t="shared" si="24"/>
        <v>236.82215339892704</v>
      </c>
      <c r="X35" s="151">
        <f t="shared" si="24"/>
        <v>255.76792567084121</v>
      </c>
      <c r="Y35" s="151">
        <f t="shared" si="24"/>
        <v>276.22935972450858</v>
      </c>
      <c r="Z35" s="151">
        <f t="shared" si="24"/>
        <v>298.32770850246925</v>
      </c>
      <c r="AA35" s="151">
        <f t="shared" si="24"/>
        <v>322.19392518266682</v>
      </c>
      <c r="AB35" s="151">
        <f t="shared" si="24"/>
        <v>347.96943919728017</v>
      </c>
    </row>
    <row r="36" spans="1:28" ht="7.5" customHeight="1">
      <c r="A36" s="116"/>
      <c r="B36" s="155"/>
      <c r="C36" s="155"/>
      <c r="D36" s="155"/>
      <c r="E36" s="111"/>
      <c r="F36" s="111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</row>
    <row r="37" spans="1:28" hidden="1">
      <c r="A37" s="103" t="s">
        <v>832</v>
      </c>
      <c r="B37" s="156">
        <v>1</v>
      </c>
      <c r="C37" s="156">
        <v>1</v>
      </c>
      <c r="D37" s="156">
        <v>1</v>
      </c>
      <c r="E37" s="156">
        <v>1</v>
      </c>
      <c r="F37" s="156">
        <f>B37</f>
        <v>1</v>
      </c>
      <c r="G37" s="156">
        <f>C37</f>
        <v>1</v>
      </c>
      <c r="H37" s="156">
        <f>D37</f>
        <v>1</v>
      </c>
      <c r="I37" s="156">
        <f>E37</f>
        <v>1</v>
      </c>
      <c r="J37" s="156">
        <f t="shared" ref="J37:AB37" si="25">F37</f>
        <v>1</v>
      </c>
      <c r="K37" s="156">
        <f t="shared" si="25"/>
        <v>1</v>
      </c>
      <c r="L37" s="156">
        <f t="shared" si="25"/>
        <v>1</v>
      </c>
      <c r="M37" s="156">
        <f t="shared" si="25"/>
        <v>1</v>
      </c>
      <c r="N37" s="156">
        <f t="shared" si="25"/>
        <v>1</v>
      </c>
      <c r="O37" s="156">
        <f t="shared" si="25"/>
        <v>1</v>
      </c>
      <c r="P37" s="156">
        <f t="shared" si="25"/>
        <v>1</v>
      </c>
      <c r="Q37" s="156">
        <f t="shared" si="25"/>
        <v>1</v>
      </c>
      <c r="R37" s="156">
        <f t="shared" si="25"/>
        <v>1</v>
      </c>
      <c r="S37" s="156">
        <f t="shared" si="25"/>
        <v>1</v>
      </c>
      <c r="T37" s="156">
        <f t="shared" si="25"/>
        <v>1</v>
      </c>
      <c r="U37" s="156">
        <f t="shared" si="25"/>
        <v>1</v>
      </c>
      <c r="V37" s="156">
        <f t="shared" si="25"/>
        <v>1</v>
      </c>
      <c r="W37" s="156">
        <f t="shared" si="25"/>
        <v>1</v>
      </c>
      <c r="X37" s="156">
        <f t="shared" si="25"/>
        <v>1</v>
      </c>
      <c r="Y37" s="156">
        <f t="shared" si="25"/>
        <v>1</v>
      </c>
      <c r="Z37" s="156">
        <f t="shared" si="25"/>
        <v>1</v>
      </c>
      <c r="AA37" s="156">
        <f t="shared" si="25"/>
        <v>1</v>
      </c>
      <c r="AB37" s="156">
        <f t="shared" si="25"/>
        <v>1</v>
      </c>
    </row>
    <row r="38" spans="1:28" ht="6" hidden="1" customHeight="1">
      <c r="A38" s="105"/>
      <c r="B38" s="105"/>
      <c r="C38" s="105"/>
      <c r="D38" s="126"/>
      <c r="E38" s="105"/>
      <c r="F38" s="105"/>
      <c r="G38" s="104"/>
      <c r="H38" s="105"/>
      <c r="I38" s="105"/>
      <c r="J38" s="105"/>
      <c r="K38" s="105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</row>
    <row r="39" spans="1:28" hidden="1">
      <c r="A39" s="105" t="s">
        <v>833</v>
      </c>
      <c r="B39" s="157">
        <v>0.85</v>
      </c>
      <c r="C39" s="157">
        <v>0.85</v>
      </c>
      <c r="D39" s="157">
        <v>0.85</v>
      </c>
      <c r="E39" s="157">
        <v>0.85</v>
      </c>
      <c r="F39" s="157">
        <f t="shared" ref="F39:U41" si="26">B39</f>
        <v>0.85</v>
      </c>
      <c r="G39" s="157">
        <f t="shared" si="26"/>
        <v>0.85</v>
      </c>
      <c r="H39" s="157">
        <f t="shared" si="26"/>
        <v>0.85</v>
      </c>
      <c r="I39" s="157">
        <f t="shared" si="26"/>
        <v>0.85</v>
      </c>
      <c r="J39" s="157">
        <f t="shared" si="26"/>
        <v>0.85</v>
      </c>
      <c r="K39" s="157">
        <f t="shared" si="26"/>
        <v>0.85</v>
      </c>
      <c r="L39" s="157">
        <f t="shared" si="26"/>
        <v>0.85</v>
      </c>
      <c r="M39" s="157">
        <f t="shared" si="26"/>
        <v>0.85</v>
      </c>
      <c r="N39" s="157">
        <f t="shared" si="26"/>
        <v>0.85</v>
      </c>
      <c r="O39" s="157">
        <f t="shared" si="26"/>
        <v>0.85</v>
      </c>
      <c r="P39" s="157">
        <f t="shared" si="26"/>
        <v>0.85</v>
      </c>
      <c r="Q39" s="157">
        <f t="shared" si="26"/>
        <v>0.85</v>
      </c>
      <c r="R39" s="157">
        <f t="shared" si="26"/>
        <v>0.85</v>
      </c>
      <c r="S39" s="157">
        <f t="shared" si="26"/>
        <v>0.85</v>
      </c>
      <c r="T39" s="157">
        <f t="shared" si="26"/>
        <v>0.85</v>
      </c>
      <c r="U39" s="157">
        <f t="shared" si="26"/>
        <v>0.85</v>
      </c>
      <c r="V39" s="157">
        <f t="shared" ref="V39:AB41" si="27">R39</f>
        <v>0.85</v>
      </c>
      <c r="W39" s="157">
        <f t="shared" si="27"/>
        <v>0.85</v>
      </c>
      <c r="X39" s="157">
        <f t="shared" si="27"/>
        <v>0.85</v>
      </c>
      <c r="Y39" s="157">
        <f t="shared" si="27"/>
        <v>0.85</v>
      </c>
      <c r="Z39" s="157">
        <f t="shared" si="27"/>
        <v>0.85</v>
      </c>
      <c r="AA39" s="157">
        <f t="shared" si="27"/>
        <v>0.85</v>
      </c>
      <c r="AB39" s="157">
        <f t="shared" si="27"/>
        <v>0.85</v>
      </c>
    </row>
    <row r="40" spans="1:28" hidden="1">
      <c r="A40" s="105" t="s">
        <v>834</v>
      </c>
      <c r="B40" s="157">
        <v>0.85</v>
      </c>
      <c r="C40" s="157">
        <v>0.85</v>
      </c>
      <c r="D40" s="157">
        <v>0.85</v>
      </c>
      <c r="E40" s="157">
        <v>0.85</v>
      </c>
      <c r="F40" s="157">
        <f t="shared" si="26"/>
        <v>0.85</v>
      </c>
      <c r="G40" s="157">
        <f t="shared" si="26"/>
        <v>0.85</v>
      </c>
      <c r="H40" s="157">
        <f t="shared" si="26"/>
        <v>0.85</v>
      </c>
      <c r="I40" s="157">
        <f t="shared" si="26"/>
        <v>0.85</v>
      </c>
      <c r="J40" s="157">
        <f t="shared" si="26"/>
        <v>0.85</v>
      </c>
      <c r="K40" s="157">
        <f t="shared" si="26"/>
        <v>0.85</v>
      </c>
      <c r="L40" s="157">
        <f t="shared" si="26"/>
        <v>0.85</v>
      </c>
      <c r="M40" s="157">
        <f t="shared" si="26"/>
        <v>0.85</v>
      </c>
      <c r="N40" s="157">
        <f t="shared" si="26"/>
        <v>0.85</v>
      </c>
      <c r="O40" s="157">
        <f t="shared" si="26"/>
        <v>0.85</v>
      </c>
      <c r="P40" s="157">
        <f t="shared" si="26"/>
        <v>0.85</v>
      </c>
      <c r="Q40" s="157">
        <f t="shared" si="26"/>
        <v>0.85</v>
      </c>
      <c r="R40" s="157">
        <f t="shared" si="26"/>
        <v>0.85</v>
      </c>
      <c r="S40" s="157">
        <f t="shared" si="26"/>
        <v>0.85</v>
      </c>
      <c r="T40" s="157">
        <f t="shared" si="26"/>
        <v>0.85</v>
      </c>
      <c r="U40" s="157">
        <f t="shared" si="26"/>
        <v>0.85</v>
      </c>
      <c r="V40" s="157">
        <f t="shared" si="27"/>
        <v>0.85</v>
      </c>
      <c r="W40" s="157">
        <f t="shared" si="27"/>
        <v>0.85</v>
      </c>
      <c r="X40" s="157">
        <f t="shared" si="27"/>
        <v>0.85</v>
      </c>
      <c r="Y40" s="157">
        <f t="shared" si="27"/>
        <v>0.85</v>
      </c>
      <c r="Z40" s="157">
        <f t="shared" si="27"/>
        <v>0.85</v>
      </c>
      <c r="AA40" s="157">
        <f t="shared" si="27"/>
        <v>0.85</v>
      </c>
      <c r="AB40" s="157">
        <f t="shared" si="27"/>
        <v>0.85</v>
      </c>
    </row>
    <row r="41" spans="1:28" hidden="1">
      <c r="A41" s="105" t="s">
        <v>835</v>
      </c>
      <c r="B41" s="157">
        <v>0.9</v>
      </c>
      <c r="C41" s="157">
        <v>0.9</v>
      </c>
      <c r="D41" s="157">
        <v>0.9</v>
      </c>
      <c r="E41" s="157">
        <v>0.9</v>
      </c>
      <c r="F41" s="157">
        <f t="shared" si="26"/>
        <v>0.9</v>
      </c>
      <c r="G41" s="157">
        <f t="shared" si="26"/>
        <v>0.9</v>
      </c>
      <c r="H41" s="157">
        <f t="shared" si="26"/>
        <v>0.9</v>
      </c>
      <c r="I41" s="157">
        <f t="shared" si="26"/>
        <v>0.9</v>
      </c>
      <c r="J41" s="157">
        <f t="shared" si="26"/>
        <v>0.9</v>
      </c>
      <c r="K41" s="157">
        <f t="shared" si="26"/>
        <v>0.9</v>
      </c>
      <c r="L41" s="157">
        <f t="shared" si="26"/>
        <v>0.9</v>
      </c>
      <c r="M41" s="157">
        <f t="shared" si="26"/>
        <v>0.9</v>
      </c>
      <c r="N41" s="157">
        <f t="shared" si="26"/>
        <v>0.9</v>
      </c>
      <c r="O41" s="157">
        <f t="shared" si="26"/>
        <v>0.9</v>
      </c>
      <c r="P41" s="157">
        <f t="shared" si="26"/>
        <v>0.9</v>
      </c>
      <c r="Q41" s="157">
        <f t="shared" si="26"/>
        <v>0.9</v>
      </c>
      <c r="R41" s="157">
        <f t="shared" si="26"/>
        <v>0.9</v>
      </c>
      <c r="S41" s="157">
        <f t="shared" si="26"/>
        <v>0.9</v>
      </c>
      <c r="T41" s="157">
        <f t="shared" si="26"/>
        <v>0.9</v>
      </c>
      <c r="U41" s="157">
        <f t="shared" si="26"/>
        <v>0.9</v>
      </c>
      <c r="V41" s="157">
        <f t="shared" si="27"/>
        <v>0.9</v>
      </c>
      <c r="W41" s="157">
        <f t="shared" si="27"/>
        <v>0.9</v>
      </c>
      <c r="X41" s="157">
        <f t="shared" si="27"/>
        <v>0.9</v>
      </c>
      <c r="Y41" s="157">
        <f t="shared" si="27"/>
        <v>0.9</v>
      </c>
      <c r="Z41" s="157">
        <f t="shared" si="27"/>
        <v>0.9</v>
      </c>
      <c r="AA41" s="157">
        <f t="shared" si="27"/>
        <v>0.9</v>
      </c>
      <c r="AB41" s="157">
        <f t="shared" si="27"/>
        <v>0.9</v>
      </c>
    </row>
    <row r="42" spans="1:28" hidden="1">
      <c r="A42" s="105" t="s">
        <v>836</v>
      </c>
      <c r="B42" s="157">
        <v>0.7</v>
      </c>
      <c r="C42" s="157">
        <v>0.7</v>
      </c>
      <c r="D42" s="157">
        <v>0.7</v>
      </c>
      <c r="E42" s="157">
        <v>0.7</v>
      </c>
      <c r="F42" s="157">
        <v>0.7</v>
      </c>
      <c r="G42" s="157">
        <v>0.7</v>
      </c>
      <c r="H42" s="157">
        <v>0.7</v>
      </c>
      <c r="I42" s="157">
        <v>0.7</v>
      </c>
      <c r="J42" s="157">
        <v>1.7</v>
      </c>
      <c r="K42" s="157">
        <v>2.7</v>
      </c>
      <c r="L42" s="157">
        <v>3.7</v>
      </c>
      <c r="M42" s="157">
        <v>4.7</v>
      </c>
      <c r="N42" s="157">
        <v>5.7</v>
      </c>
      <c r="O42" s="157">
        <v>6.7</v>
      </c>
      <c r="P42" s="157">
        <v>7.7</v>
      </c>
      <c r="Q42" s="157">
        <v>8.6999999999999993</v>
      </c>
      <c r="R42" s="157">
        <v>9.6999999999999993</v>
      </c>
      <c r="S42" s="157">
        <v>10.7</v>
      </c>
      <c r="T42" s="157">
        <v>11.7</v>
      </c>
      <c r="U42" s="157">
        <v>12.7</v>
      </c>
      <c r="V42" s="157">
        <v>13.7</v>
      </c>
      <c r="W42" s="157">
        <v>14.7</v>
      </c>
      <c r="X42" s="157">
        <v>15.7</v>
      </c>
      <c r="Y42" s="157">
        <v>16.7</v>
      </c>
      <c r="Z42" s="157">
        <v>17.7</v>
      </c>
      <c r="AA42" s="157">
        <v>18.7</v>
      </c>
      <c r="AB42" s="157">
        <v>19.7</v>
      </c>
    </row>
    <row r="43" spans="1:28" hidden="1">
      <c r="A43" s="105" t="s">
        <v>837</v>
      </c>
      <c r="B43" s="130">
        <f t="shared" ref="B43:AB44" si="28">(B28/B39)/B$4</f>
        <v>240.10000000000002</v>
      </c>
      <c r="C43" s="130">
        <f t="shared" si="28"/>
        <v>261.92632591263566</v>
      </c>
      <c r="D43" s="137">
        <f t="shared" si="28"/>
        <v>282.88043198564662</v>
      </c>
      <c r="E43" s="130">
        <f t="shared" si="28"/>
        <v>305.51086654449836</v>
      </c>
      <c r="F43" s="130">
        <f t="shared" si="28"/>
        <v>329.95173586805817</v>
      </c>
      <c r="G43" s="158">
        <f t="shared" si="28"/>
        <v>356.34787473750288</v>
      </c>
      <c r="H43" s="130">
        <f t="shared" si="28"/>
        <v>384.85570471650328</v>
      </c>
      <c r="I43" s="130">
        <f t="shared" si="28"/>
        <v>415.64416109382353</v>
      </c>
      <c r="J43" s="130">
        <f t="shared" si="28"/>
        <v>448.89569398132943</v>
      </c>
      <c r="K43" s="130">
        <f t="shared" si="28"/>
        <v>484.80734949983588</v>
      </c>
      <c r="L43" s="158">
        <f t="shared" si="28"/>
        <v>523.59193745982282</v>
      </c>
      <c r="M43" s="158">
        <f t="shared" si="28"/>
        <v>565.47929245660862</v>
      </c>
      <c r="N43" s="158">
        <f t="shared" si="28"/>
        <v>610.71763585313727</v>
      </c>
      <c r="O43" s="158">
        <f t="shared" si="28"/>
        <v>659.57504672138839</v>
      </c>
      <c r="P43" s="158">
        <f t="shared" si="28"/>
        <v>712.34105045909951</v>
      </c>
      <c r="Q43" s="158">
        <f t="shared" si="28"/>
        <v>769.32833449582756</v>
      </c>
      <c r="R43" s="158">
        <f t="shared" si="28"/>
        <v>830.87460125549387</v>
      </c>
      <c r="S43" s="158">
        <f t="shared" si="28"/>
        <v>897.34456935593323</v>
      </c>
      <c r="T43" s="158">
        <f t="shared" si="28"/>
        <v>969.13213490440785</v>
      </c>
      <c r="U43" s="158">
        <f t="shared" si="28"/>
        <v>1046.6627056967604</v>
      </c>
      <c r="V43" s="158">
        <f t="shared" si="28"/>
        <v>1130.3957221525015</v>
      </c>
      <c r="W43" s="158">
        <f t="shared" si="28"/>
        <v>1220.8273799247017</v>
      </c>
      <c r="X43" s="158">
        <f t="shared" si="28"/>
        <v>1318.4935703186779</v>
      </c>
      <c r="Y43" s="158">
        <f t="shared" si="28"/>
        <v>1423.9730559441721</v>
      </c>
      <c r="Z43" s="158">
        <f t="shared" si="28"/>
        <v>1537.8909004197058</v>
      </c>
      <c r="AA43" s="158">
        <f t="shared" si="28"/>
        <v>1660.9221724532827</v>
      </c>
      <c r="AB43" s="158">
        <f t="shared" si="28"/>
        <v>1793.7959462495455</v>
      </c>
    </row>
    <row r="44" spans="1:28" hidden="1">
      <c r="B44" s="130">
        <f t="shared" si="28"/>
        <v>0</v>
      </c>
      <c r="C44" s="130">
        <f t="shared" si="28"/>
        <v>0</v>
      </c>
      <c r="D44" s="137">
        <f t="shared" si="28"/>
        <v>0</v>
      </c>
      <c r="E44" s="130">
        <f t="shared" si="28"/>
        <v>0</v>
      </c>
      <c r="F44" s="130">
        <f t="shared" si="28"/>
        <v>0</v>
      </c>
      <c r="G44" s="158">
        <f t="shared" si="28"/>
        <v>0</v>
      </c>
      <c r="H44" s="130">
        <f t="shared" si="28"/>
        <v>0</v>
      </c>
      <c r="I44" s="130">
        <f t="shared" si="28"/>
        <v>0</v>
      </c>
      <c r="J44" s="130">
        <f t="shared" si="28"/>
        <v>0</v>
      </c>
      <c r="K44" s="130">
        <f t="shared" si="28"/>
        <v>0</v>
      </c>
      <c r="L44" s="158">
        <f t="shared" si="28"/>
        <v>0</v>
      </c>
      <c r="M44" s="158">
        <f t="shared" si="28"/>
        <v>0</v>
      </c>
      <c r="N44" s="158">
        <f t="shared" si="28"/>
        <v>0</v>
      </c>
      <c r="O44" s="158">
        <f t="shared" si="28"/>
        <v>0</v>
      </c>
      <c r="P44" s="158">
        <f t="shared" si="28"/>
        <v>0</v>
      </c>
      <c r="Q44" s="158">
        <f t="shared" si="28"/>
        <v>0</v>
      </c>
      <c r="R44" s="158">
        <f t="shared" si="28"/>
        <v>0</v>
      </c>
      <c r="S44" s="158">
        <f t="shared" si="28"/>
        <v>0</v>
      </c>
      <c r="T44" s="158">
        <f t="shared" si="28"/>
        <v>0</v>
      </c>
      <c r="U44" s="158">
        <f t="shared" si="28"/>
        <v>0</v>
      </c>
      <c r="V44" s="158">
        <f t="shared" si="28"/>
        <v>0</v>
      </c>
      <c r="W44" s="158">
        <f t="shared" si="28"/>
        <v>0</v>
      </c>
      <c r="X44" s="158">
        <f t="shared" si="28"/>
        <v>0</v>
      </c>
      <c r="Y44" s="158">
        <f t="shared" si="28"/>
        <v>0</v>
      </c>
      <c r="Z44" s="158">
        <f t="shared" si="28"/>
        <v>0</v>
      </c>
      <c r="AA44" s="158">
        <f t="shared" si="28"/>
        <v>0</v>
      </c>
      <c r="AB44" s="158">
        <f t="shared" si="28"/>
        <v>0</v>
      </c>
    </row>
    <row r="45" spans="1:28" hidden="1">
      <c r="A45" s="105" t="s">
        <v>838</v>
      </c>
      <c r="B45" s="130">
        <f t="shared" ref="B45:AB46" si="29">(B26/B41)/B$4</f>
        <v>61.302564102564098</v>
      </c>
      <c r="C45" s="130">
        <f t="shared" si="29"/>
        <v>56.455298317009195</v>
      </c>
      <c r="D45" s="137">
        <f t="shared" si="29"/>
        <v>60.971722182369945</v>
      </c>
      <c r="E45" s="130">
        <f t="shared" si="29"/>
        <v>65.849459956959535</v>
      </c>
      <c r="F45" s="130">
        <f t="shared" si="29"/>
        <v>71.117416753516295</v>
      </c>
      <c r="G45" s="158">
        <f t="shared" si="29"/>
        <v>76.806810093797623</v>
      </c>
      <c r="H45" s="130">
        <f t="shared" si="29"/>
        <v>82.951354901301443</v>
      </c>
      <c r="I45" s="130">
        <f t="shared" si="29"/>
        <v>89.587463293405548</v>
      </c>
      <c r="J45" s="130">
        <f t="shared" si="29"/>
        <v>96.754460356878013</v>
      </c>
      <c r="K45" s="130">
        <f t="shared" si="29"/>
        <v>104.49481718542826</v>
      </c>
      <c r="L45" s="158">
        <f t="shared" si="29"/>
        <v>112.85440256026253</v>
      </c>
      <c r="M45" s="158">
        <f t="shared" si="29"/>
        <v>121.88275476508353</v>
      </c>
      <c r="N45" s="158">
        <f t="shared" si="29"/>
        <v>131.63337514629023</v>
      </c>
      <c r="O45" s="158">
        <f t="shared" si="29"/>
        <v>142.16404515799348</v>
      </c>
      <c r="P45" s="158">
        <f t="shared" si="29"/>
        <v>153.53716877063295</v>
      </c>
      <c r="Q45" s="158">
        <f t="shared" si="29"/>
        <v>165.82014227228362</v>
      </c>
      <c r="R45" s="158">
        <f t="shared" si="29"/>
        <v>179.08575365406631</v>
      </c>
      <c r="S45" s="158">
        <f t="shared" si="29"/>
        <v>193.41261394639162</v>
      </c>
      <c r="T45" s="158">
        <f t="shared" si="29"/>
        <v>208.88562306210292</v>
      </c>
      <c r="U45" s="158">
        <f t="shared" si="29"/>
        <v>225.59647290707113</v>
      </c>
      <c r="V45" s="158">
        <f t="shared" si="29"/>
        <v>243.64419073963685</v>
      </c>
      <c r="W45" s="158">
        <f t="shared" si="29"/>
        <v>263.13572599880786</v>
      </c>
      <c r="X45" s="158">
        <f t="shared" si="29"/>
        <v>284.18658407871249</v>
      </c>
      <c r="Y45" s="158">
        <f t="shared" si="29"/>
        <v>306.92151080500952</v>
      </c>
      <c r="Z45" s="158">
        <f t="shared" si="29"/>
        <v>331.47523166941028</v>
      </c>
      <c r="AA45" s="158">
        <f t="shared" si="29"/>
        <v>357.99325020296311</v>
      </c>
      <c r="AB45" s="158">
        <f t="shared" si="29"/>
        <v>386.63271021920019</v>
      </c>
    </row>
    <row r="46" spans="1:28" ht="2.1" customHeight="1">
      <c r="A46" s="105" t="s">
        <v>839</v>
      </c>
      <c r="B46" s="130">
        <f t="shared" si="29"/>
        <v>0</v>
      </c>
      <c r="C46" s="130">
        <f t="shared" si="29"/>
        <v>0</v>
      </c>
      <c r="D46" s="137">
        <f t="shared" si="29"/>
        <v>0</v>
      </c>
      <c r="E46" s="130">
        <f t="shared" si="29"/>
        <v>0</v>
      </c>
      <c r="F46" s="130">
        <f t="shared" si="29"/>
        <v>0</v>
      </c>
      <c r="G46" s="158">
        <f t="shared" si="29"/>
        <v>0</v>
      </c>
      <c r="H46" s="130">
        <f t="shared" si="29"/>
        <v>0</v>
      </c>
      <c r="I46" s="130">
        <f t="shared" si="29"/>
        <v>0</v>
      </c>
      <c r="J46" s="130">
        <f t="shared" si="29"/>
        <v>0</v>
      </c>
      <c r="K46" s="130">
        <f t="shared" si="29"/>
        <v>0</v>
      </c>
      <c r="L46" s="158">
        <f t="shared" si="29"/>
        <v>0</v>
      </c>
      <c r="M46" s="158">
        <f t="shared" si="29"/>
        <v>0</v>
      </c>
      <c r="N46" s="158">
        <f t="shared" si="29"/>
        <v>0</v>
      </c>
      <c r="O46" s="158">
        <f t="shared" si="29"/>
        <v>0</v>
      </c>
      <c r="P46" s="158">
        <f t="shared" si="29"/>
        <v>0</v>
      </c>
      <c r="Q46" s="158">
        <f t="shared" si="29"/>
        <v>0</v>
      </c>
      <c r="R46" s="158">
        <f t="shared" si="29"/>
        <v>0</v>
      </c>
      <c r="S46" s="158">
        <f t="shared" si="29"/>
        <v>0</v>
      </c>
      <c r="T46" s="158">
        <f t="shared" si="29"/>
        <v>0</v>
      </c>
      <c r="U46" s="158">
        <f t="shared" si="29"/>
        <v>0</v>
      </c>
      <c r="V46" s="158">
        <f t="shared" si="29"/>
        <v>0</v>
      </c>
      <c r="W46" s="158">
        <f t="shared" si="29"/>
        <v>0</v>
      </c>
      <c r="X46" s="158">
        <f t="shared" si="29"/>
        <v>0</v>
      </c>
      <c r="Y46" s="158">
        <f t="shared" si="29"/>
        <v>0</v>
      </c>
      <c r="Z46" s="158">
        <f t="shared" si="29"/>
        <v>0</v>
      </c>
      <c r="AA46" s="158">
        <f t="shared" si="29"/>
        <v>0</v>
      </c>
      <c r="AB46" s="158">
        <f t="shared" si="29"/>
        <v>0</v>
      </c>
    </row>
    <row r="47" spans="1:28">
      <c r="A47" s="159" t="s">
        <v>840</v>
      </c>
      <c r="B47" s="160">
        <f t="shared" ref="B47:I47" si="30">SUM(B43:B46)/(B23-B21)</f>
        <v>1.0046752136752137</v>
      </c>
      <c r="C47" s="160">
        <f t="shared" si="30"/>
        <v>1.0612720807654827</v>
      </c>
      <c r="D47" s="161">
        <f t="shared" si="30"/>
        <v>1.146173847226722</v>
      </c>
      <c r="E47" s="160">
        <f t="shared" si="30"/>
        <v>0.51577823125202482</v>
      </c>
      <c r="F47" s="160">
        <f t="shared" si="30"/>
        <v>0.35181504615927583</v>
      </c>
      <c r="G47" s="162">
        <f t="shared" si="30"/>
        <v>0.37996024985201798</v>
      </c>
      <c r="H47" s="160">
        <f t="shared" si="30"/>
        <v>0.41035706984017961</v>
      </c>
      <c r="I47" s="160">
        <f t="shared" si="30"/>
        <v>0.44318563542739392</v>
      </c>
      <c r="J47" s="160">
        <f t="shared" ref="J47:AB47" si="31">SUM(J43:J46)/(J23-J21)</f>
        <v>0.47864048626158551</v>
      </c>
      <c r="K47" s="160">
        <f t="shared" si="31"/>
        <v>0.5169317251625124</v>
      </c>
      <c r="L47" s="162">
        <f t="shared" si="31"/>
        <v>0.55828626317551344</v>
      </c>
      <c r="M47" s="162">
        <f t="shared" si="31"/>
        <v>0.60294916422955447</v>
      </c>
      <c r="N47" s="162">
        <f t="shared" si="31"/>
        <v>0.65118509736791885</v>
      </c>
      <c r="O47" s="162">
        <f t="shared" si="31"/>
        <v>0.70327990515735261</v>
      </c>
      <c r="P47" s="162">
        <f t="shared" si="31"/>
        <v>0.75954229756994074</v>
      </c>
      <c r="Q47" s="162">
        <f t="shared" si="31"/>
        <v>0.82030568137553617</v>
      </c>
      <c r="R47" s="162">
        <f t="shared" si="31"/>
        <v>0.88593013588557912</v>
      </c>
      <c r="S47" s="162">
        <f t="shared" si="31"/>
        <v>0.95680454675642534</v>
      </c>
      <c r="T47" s="162">
        <f t="shared" si="31"/>
        <v>1.0333489104969393</v>
      </c>
      <c r="U47" s="162">
        <f t="shared" si="31"/>
        <v>1.1160168233366943</v>
      </c>
      <c r="V47" s="162">
        <f t="shared" si="31"/>
        <v>1.2052981692036302</v>
      </c>
      <c r="W47" s="162">
        <f t="shared" si="31"/>
        <v>1.3017220227399207</v>
      </c>
      <c r="X47" s="162">
        <f t="shared" si="31"/>
        <v>1.4058597845591143</v>
      </c>
      <c r="Y47" s="162">
        <f t="shared" si="31"/>
        <v>1.5183285673238436</v>
      </c>
      <c r="Z47" s="162">
        <f t="shared" si="31"/>
        <v>1.639794852709751</v>
      </c>
      <c r="AA47" s="162">
        <f t="shared" si="31"/>
        <v>1.7709784409265312</v>
      </c>
      <c r="AB47" s="162">
        <f t="shared" si="31"/>
        <v>1.9126567162006542</v>
      </c>
    </row>
    <row r="48" spans="1:28">
      <c r="A48" s="159" t="s">
        <v>841</v>
      </c>
      <c r="B48" s="163">
        <f t="shared" ref="B48:I48" si="32">SUM((B23-B21)-SUM(B43:B46))</f>
        <v>-1.4025641025640994</v>
      </c>
      <c r="C48" s="163">
        <f t="shared" si="32"/>
        <v>-18.381624229644842</v>
      </c>
      <c r="D48" s="163">
        <f t="shared" si="32"/>
        <v>-43.852154168016568</v>
      </c>
      <c r="E48" s="163">
        <f t="shared" si="32"/>
        <v>348.63967349854209</v>
      </c>
      <c r="F48" s="163">
        <f t="shared" si="32"/>
        <v>738.9308473784256</v>
      </c>
      <c r="G48" s="164">
        <f t="shared" si="32"/>
        <v>706.84531516869947</v>
      </c>
      <c r="H48" s="163">
        <f t="shared" si="32"/>
        <v>672.19294038219527</v>
      </c>
      <c r="I48" s="163">
        <f t="shared" si="32"/>
        <v>634.76837561277091</v>
      </c>
      <c r="J48" s="163">
        <f t="shared" ref="J48:AB48" si="33">SUM((J23-J21)-SUM(J43:J46))</f>
        <v>594.34984566179253</v>
      </c>
      <c r="K48" s="163">
        <f t="shared" si="33"/>
        <v>550.69783331473582</v>
      </c>
      <c r="L48" s="164">
        <f t="shared" si="33"/>
        <v>503.55365997991464</v>
      </c>
      <c r="M48" s="164">
        <f t="shared" si="33"/>
        <v>452.63795277830786</v>
      </c>
      <c r="N48" s="164">
        <f t="shared" si="33"/>
        <v>397.64898900057256</v>
      </c>
      <c r="O48" s="164">
        <f t="shared" si="33"/>
        <v>338.26090812061807</v>
      </c>
      <c r="P48" s="164">
        <f t="shared" si="33"/>
        <v>274.12178077026761</v>
      </c>
      <c r="Q48" s="164">
        <f t="shared" si="33"/>
        <v>204.85152323188879</v>
      </c>
      <c r="R48" s="164">
        <f t="shared" si="33"/>
        <v>130.03964509043976</v>
      </c>
      <c r="S48" s="164">
        <f t="shared" si="33"/>
        <v>49.242816697675153</v>
      </c>
      <c r="T48" s="164">
        <f t="shared" si="33"/>
        <v>-38.017757966510771</v>
      </c>
      <c r="U48" s="164">
        <f t="shared" si="33"/>
        <v>-132.25917860383151</v>
      </c>
      <c r="V48" s="164">
        <f t="shared" si="33"/>
        <v>-234.03991289213832</v>
      </c>
      <c r="W48" s="164">
        <f t="shared" si="33"/>
        <v>-343.9631059235096</v>
      </c>
      <c r="X48" s="164">
        <f t="shared" si="33"/>
        <v>-462.68015439739042</v>
      </c>
      <c r="Y48" s="164">
        <f t="shared" si="33"/>
        <v>-590.89456674918165</v>
      </c>
      <c r="Z48" s="164">
        <f t="shared" si="33"/>
        <v>-729.36613208911604</v>
      </c>
      <c r="AA48" s="164">
        <f t="shared" si="33"/>
        <v>-878.91542265624571</v>
      </c>
      <c r="AB48" s="164">
        <f t="shared" si="33"/>
        <v>-1040.4286564687459</v>
      </c>
    </row>
    <row r="49" spans="1:28">
      <c r="A49" s="131" t="s">
        <v>842</v>
      </c>
      <c r="B49" s="165">
        <f t="shared" ref="B49:I49" si="34">SUM(B25:B27)/(B4*B23)</f>
        <v>0.86419102564102568</v>
      </c>
      <c r="C49" s="165">
        <f t="shared" si="34"/>
        <v>0.91149048503682861</v>
      </c>
      <c r="D49" s="165">
        <f t="shared" si="34"/>
        <v>0.98440972383977532</v>
      </c>
      <c r="E49" s="165">
        <f t="shared" si="34"/>
        <v>0.44298437572789884</v>
      </c>
      <c r="F49" s="165">
        <f t="shared" si="34"/>
        <v>0.30216197418071417</v>
      </c>
      <c r="G49" s="165">
        <f t="shared" si="34"/>
        <v>0.32633493211517128</v>
      </c>
      <c r="H49" s="165">
        <f t="shared" si="34"/>
        <v>0.35244172668438517</v>
      </c>
      <c r="I49" s="165">
        <f t="shared" si="34"/>
        <v>0.38063706481913595</v>
      </c>
      <c r="J49" s="165">
        <f t="shared" ref="J49:AB49" si="35">SUM(J25:J27)/(J4*J23)</f>
        <v>0.41108803000466687</v>
      </c>
      <c r="K49" s="165">
        <f t="shared" si="35"/>
        <v>0.44397507240504031</v>
      </c>
      <c r="L49" s="165">
        <f t="shared" si="35"/>
        <v>0.47949307819744358</v>
      </c>
      <c r="M49" s="165">
        <f t="shared" si="35"/>
        <v>0.51785252445323904</v>
      </c>
      <c r="N49" s="165">
        <f t="shared" si="35"/>
        <v>0.55928072640949822</v>
      </c>
      <c r="O49" s="165">
        <f t="shared" si="35"/>
        <v>0.60402318452225812</v>
      </c>
      <c r="P49" s="165">
        <f t="shared" si="35"/>
        <v>0.65234503928403875</v>
      </c>
      <c r="Q49" s="165">
        <f t="shared" si="35"/>
        <v>0.70453264242676195</v>
      </c>
      <c r="R49" s="165">
        <f t="shared" si="35"/>
        <v>0.76089525382090306</v>
      </c>
      <c r="S49" s="165">
        <f t="shared" si="35"/>
        <v>0.82176687412657512</v>
      </c>
      <c r="T49" s="165">
        <f t="shared" si="35"/>
        <v>0.88750822405670116</v>
      </c>
      <c r="U49" s="165">
        <f t="shared" si="35"/>
        <v>0.95850888198123707</v>
      </c>
      <c r="V49" s="165">
        <f t="shared" si="35"/>
        <v>1.0351895925397363</v>
      </c>
      <c r="W49" s="165">
        <f t="shared" si="35"/>
        <v>1.1180047599429153</v>
      </c>
      <c r="X49" s="165">
        <f t="shared" si="35"/>
        <v>1.2074451407383486</v>
      </c>
      <c r="Y49" s="165">
        <f t="shared" si="35"/>
        <v>1.3040407519974166</v>
      </c>
      <c r="Z49" s="165">
        <f t="shared" si="35"/>
        <v>1.4083640121572099</v>
      </c>
      <c r="AA49" s="165">
        <f t="shared" si="35"/>
        <v>1.5210331331297871</v>
      </c>
      <c r="AB49" s="165">
        <f t="shared" si="35"/>
        <v>1.6427157837801698</v>
      </c>
    </row>
    <row r="50" spans="1:28" ht="8.25" customHeight="1">
      <c r="A50" s="1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</row>
    <row r="51" spans="1:28" ht="8.25" hidden="1" customHeight="1">
      <c r="B51" s="168"/>
      <c r="J51" s="169"/>
      <c r="K51" s="169"/>
    </row>
    <row r="52" spans="1:28" ht="12.75" hidden="1" customHeight="1">
      <c r="A52" s="170"/>
      <c r="B52" s="147">
        <f>B53*1</f>
        <v>109200</v>
      </c>
      <c r="C52" s="147">
        <f t="shared" ref="C52:E52" si="36">C53*1</f>
        <v>109200</v>
      </c>
      <c r="D52" s="147">
        <f t="shared" si="36"/>
        <v>109200</v>
      </c>
      <c r="E52" s="147">
        <f t="shared" si="36"/>
        <v>262080</v>
      </c>
      <c r="F52" s="147">
        <f>F53*1</f>
        <v>414960</v>
      </c>
      <c r="G52" s="147">
        <f t="shared" ref="G52:AB52" si="37">G53*1</f>
        <v>414960</v>
      </c>
      <c r="H52" s="147">
        <f t="shared" si="37"/>
        <v>414960</v>
      </c>
      <c r="I52" s="147">
        <f t="shared" si="37"/>
        <v>414960</v>
      </c>
      <c r="J52" s="147">
        <f t="shared" si="37"/>
        <v>414960</v>
      </c>
      <c r="K52" s="147">
        <f t="shared" si="37"/>
        <v>414960</v>
      </c>
      <c r="L52" s="147">
        <f t="shared" si="37"/>
        <v>414960</v>
      </c>
      <c r="M52" s="147">
        <f t="shared" si="37"/>
        <v>414960</v>
      </c>
      <c r="N52" s="147">
        <f t="shared" si="37"/>
        <v>414960</v>
      </c>
      <c r="O52" s="147">
        <f t="shared" si="37"/>
        <v>414960</v>
      </c>
      <c r="P52" s="147">
        <f t="shared" si="37"/>
        <v>414960</v>
      </c>
      <c r="Q52" s="147">
        <f t="shared" si="37"/>
        <v>414960</v>
      </c>
      <c r="R52" s="147">
        <f t="shared" si="37"/>
        <v>414960</v>
      </c>
      <c r="S52" s="147">
        <f t="shared" si="37"/>
        <v>414960</v>
      </c>
      <c r="T52" s="147">
        <f t="shared" si="37"/>
        <v>414960</v>
      </c>
      <c r="U52" s="147">
        <f t="shared" si="37"/>
        <v>414960</v>
      </c>
      <c r="V52" s="147">
        <f t="shared" si="37"/>
        <v>414960</v>
      </c>
      <c r="W52" s="147">
        <f t="shared" si="37"/>
        <v>414960</v>
      </c>
      <c r="X52" s="147">
        <f t="shared" si="37"/>
        <v>414960</v>
      </c>
      <c r="Y52" s="147">
        <f t="shared" si="37"/>
        <v>414960</v>
      </c>
      <c r="Z52" s="147">
        <f t="shared" si="37"/>
        <v>414960</v>
      </c>
      <c r="AA52" s="147">
        <f t="shared" si="37"/>
        <v>414960</v>
      </c>
      <c r="AB52" s="147">
        <f t="shared" si="37"/>
        <v>414960</v>
      </c>
    </row>
    <row r="53" spans="1:28" ht="12.75" hidden="1" customHeight="1">
      <c r="A53" s="96" t="s">
        <v>843</v>
      </c>
      <c r="B53" s="147">
        <f t="shared" ref="B53:I53" si="38">SUM(B19*B4)</f>
        <v>109200</v>
      </c>
      <c r="C53" s="147">
        <f t="shared" si="38"/>
        <v>109200</v>
      </c>
      <c r="D53" s="147">
        <f t="shared" si="38"/>
        <v>109200</v>
      </c>
      <c r="E53" s="147">
        <f t="shared" si="38"/>
        <v>262080</v>
      </c>
      <c r="F53" s="147">
        <f t="shared" si="38"/>
        <v>414960</v>
      </c>
      <c r="G53" s="147">
        <f t="shared" si="38"/>
        <v>414960</v>
      </c>
      <c r="H53" s="147">
        <f t="shared" si="38"/>
        <v>414960</v>
      </c>
      <c r="I53" s="147">
        <f t="shared" si="38"/>
        <v>414960</v>
      </c>
      <c r="J53" s="147">
        <f t="shared" ref="J53:AB53" si="39">SUM(J19*J4)</f>
        <v>414960</v>
      </c>
      <c r="K53" s="147">
        <f t="shared" si="39"/>
        <v>414960</v>
      </c>
      <c r="L53" s="147">
        <f t="shared" si="39"/>
        <v>414960</v>
      </c>
      <c r="M53" s="147">
        <f t="shared" si="39"/>
        <v>414960</v>
      </c>
      <c r="N53" s="147">
        <f t="shared" si="39"/>
        <v>414960</v>
      </c>
      <c r="O53" s="147">
        <f t="shared" si="39"/>
        <v>414960</v>
      </c>
      <c r="P53" s="147">
        <f t="shared" si="39"/>
        <v>414960</v>
      </c>
      <c r="Q53" s="147">
        <f t="shared" si="39"/>
        <v>414960</v>
      </c>
      <c r="R53" s="147">
        <f t="shared" si="39"/>
        <v>414960</v>
      </c>
      <c r="S53" s="147">
        <f t="shared" si="39"/>
        <v>414960</v>
      </c>
      <c r="T53" s="147">
        <f t="shared" si="39"/>
        <v>414960</v>
      </c>
      <c r="U53" s="147">
        <f t="shared" si="39"/>
        <v>414960</v>
      </c>
      <c r="V53" s="147">
        <f t="shared" si="39"/>
        <v>414960</v>
      </c>
      <c r="W53" s="147">
        <f t="shared" si="39"/>
        <v>414960</v>
      </c>
      <c r="X53" s="147">
        <f t="shared" si="39"/>
        <v>414960</v>
      </c>
      <c r="Y53" s="147">
        <f t="shared" si="39"/>
        <v>414960</v>
      </c>
      <c r="Z53" s="147">
        <f t="shared" si="39"/>
        <v>414960</v>
      </c>
      <c r="AA53" s="147">
        <f t="shared" si="39"/>
        <v>414960</v>
      </c>
      <c r="AB53" s="147">
        <f t="shared" si="39"/>
        <v>414960</v>
      </c>
    </row>
    <row r="54" spans="1:28" hidden="1">
      <c r="A54" s="171" t="s">
        <v>844</v>
      </c>
      <c r="B54" s="130">
        <f t="shared" ref="B54:I54" si="40">SUM(B25:B27)</f>
        <v>94369.66</v>
      </c>
      <c r="C54" s="130">
        <f t="shared" si="40"/>
        <v>99534.760966021684</v>
      </c>
      <c r="D54" s="130">
        <f t="shared" si="40"/>
        <v>107497.54184330346</v>
      </c>
      <c r="E54" s="130">
        <f t="shared" si="40"/>
        <v>116097.34519076772</v>
      </c>
      <c r="F54" s="130">
        <f t="shared" si="40"/>
        <v>125385.13280602914</v>
      </c>
      <c r="G54" s="130">
        <f t="shared" si="40"/>
        <v>135415.94343051148</v>
      </c>
      <c r="H54" s="130">
        <f t="shared" si="40"/>
        <v>146249.21890495246</v>
      </c>
      <c r="I54" s="130">
        <f t="shared" si="40"/>
        <v>157949.15641734865</v>
      </c>
      <c r="J54" s="130">
        <f t="shared" ref="J54:AB54" si="41">SUM(J25:J27)</f>
        <v>170585.08893073656</v>
      </c>
      <c r="K54" s="130">
        <f t="shared" si="41"/>
        <v>184231.89604519552</v>
      </c>
      <c r="L54" s="130">
        <f t="shared" si="41"/>
        <v>198970.44772881118</v>
      </c>
      <c r="M54" s="130">
        <f t="shared" si="41"/>
        <v>214888.08354711608</v>
      </c>
      <c r="N54" s="130">
        <f t="shared" si="41"/>
        <v>232079.13023088538</v>
      </c>
      <c r="O54" s="130">
        <f t="shared" si="41"/>
        <v>250645.46064935622</v>
      </c>
      <c r="P54" s="130">
        <f t="shared" si="41"/>
        <v>270697.0975013047</v>
      </c>
      <c r="Q54" s="130">
        <f t="shared" si="41"/>
        <v>292352.86530140915</v>
      </c>
      <c r="R54" s="130">
        <f t="shared" si="41"/>
        <v>315741.09452552191</v>
      </c>
      <c r="S54" s="130">
        <f t="shared" si="41"/>
        <v>341000.38208756363</v>
      </c>
      <c r="T54" s="130">
        <f t="shared" si="41"/>
        <v>368280.41265456873</v>
      </c>
      <c r="U54" s="130">
        <f t="shared" si="41"/>
        <v>397742.84566693415</v>
      </c>
      <c r="V54" s="130">
        <f t="shared" si="41"/>
        <v>429562.27332028898</v>
      </c>
      <c r="W54" s="130">
        <f t="shared" si="41"/>
        <v>463927.25518591213</v>
      </c>
      <c r="X54" s="130">
        <f t="shared" si="41"/>
        <v>501041.43560078513</v>
      </c>
      <c r="Y54" s="130">
        <f t="shared" si="41"/>
        <v>541124.750448848</v>
      </c>
      <c r="Z54" s="130">
        <f t="shared" si="41"/>
        <v>584414.73048475583</v>
      </c>
      <c r="AA54" s="130">
        <f t="shared" si="41"/>
        <v>631167.90892353642</v>
      </c>
      <c r="AB54" s="130">
        <f t="shared" si="41"/>
        <v>681661.3416374193</v>
      </c>
    </row>
    <row r="55" spans="1:28" hidden="1">
      <c r="A55" s="172" t="s">
        <v>845</v>
      </c>
      <c r="B55" s="173">
        <f t="shared" ref="B55:I55" si="42">SUM(B54-B52)/B4</f>
        <v>-40.742692307692295</v>
      </c>
      <c r="C55" s="173">
        <f t="shared" si="42"/>
        <v>-26.552854488951418</v>
      </c>
      <c r="D55" s="173">
        <f t="shared" si="42"/>
        <v>-4.6770828480674043</v>
      </c>
      <c r="E55" s="173">
        <f t="shared" si="42"/>
        <v>-401.05124947591287</v>
      </c>
      <c r="F55" s="173">
        <f t="shared" si="42"/>
        <v>-795.53534943398574</v>
      </c>
      <c r="G55" s="173">
        <f t="shared" si="42"/>
        <v>-767.97817738870458</v>
      </c>
      <c r="H55" s="173">
        <f t="shared" si="42"/>
        <v>-738.21643157980088</v>
      </c>
      <c r="I55" s="173">
        <f t="shared" si="42"/>
        <v>-706.07374610618501</v>
      </c>
      <c r="J55" s="173">
        <f t="shared" ref="J55:AB55" si="43">SUM(J54-J52)/J4</f>
        <v>-671.35964579467975</v>
      </c>
      <c r="K55" s="173">
        <f t="shared" si="43"/>
        <v>-633.86841745825404</v>
      </c>
      <c r="L55" s="173">
        <f t="shared" si="43"/>
        <v>-593.37789085491431</v>
      </c>
      <c r="M55" s="173">
        <f t="shared" si="43"/>
        <v>-549.64812212330742</v>
      </c>
      <c r="N55" s="173">
        <f t="shared" si="43"/>
        <v>-502.41997189317203</v>
      </c>
      <c r="O55" s="173">
        <f t="shared" si="43"/>
        <v>-451.4135696446258</v>
      </c>
      <c r="P55" s="173">
        <f t="shared" si="43"/>
        <v>-396.32665521619589</v>
      </c>
      <c r="Q55" s="173">
        <f t="shared" si="43"/>
        <v>-336.83278763349131</v>
      </c>
      <c r="R55" s="173">
        <f t="shared" si="43"/>
        <v>-272.57941064417059</v>
      </c>
      <c r="S55" s="173">
        <f t="shared" si="43"/>
        <v>-203.18576349570432</v>
      </c>
      <c r="T55" s="173">
        <f t="shared" si="43"/>
        <v>-128.24062457536061</v>
      </c>
      <c r="U55" s="173">
        <f t="shared" ref="U55" si="44">SUM(U54-U52)/U4</f>
        <v>-47.299874541389684</v>
      </c>
      <c r="V55" s="173">
        <f>SUM(V54-V52)/V4</f>
        <v>40.116135495299396</v>
      </c>
      <c r="W55" s="173">
        <f t="shared" si="43"/>
        <v>134.52542633492342</v>
      </c>
      <c r="X55" s="173">
        <f t="shared" si="43"/>
        <v>236.48746044171739</v>
      </c>
      <c r="Y55" s="173">
        <f t="shared" si="43"/>
        <v>346.60645727705497</v>
      </c>
      <c r="Z55" s="173">
        <f t="shared" si="43"/>
        <v>465.53497385921929</v>
      </c>
      <c r="AA55" s="173">
        <f t="shared" si="43"/>
        <v>593.97777176795717</v>
      </c>
      <c r="AB55" s="173">
        <f t="shared" si="43"/>
        <v>732.6959935093937</v>
      </c>
    </row>
    <row r="56" spans="1:28" ht="10.35" customHeight="1">
      <c r="J56" s="169"/>
      <c r="K56" s="169"/>
    </row>
    <row r="57" spans="1:28">
      <c r="A57" s="174"/>
      <c r="B57" s="175">
        <f t="shared" ref="B57:AB57" si="45">B2</f>
        <v>2022</v>
      </c>
      <c r="C57" s="175">
        <f t="shared" si="45"/>
        <v>2023</v>
      </c>
      <c r="D57" s="175">
        <f t="shared" si="45"/>
        <v>2024</v>
      </c>
      <c r="E57" s="175">
        <f t="shared" si="45"/>
        <v>2025</v>
      </c>
      <c r="F57" s="175">
        <f t="shared" si="45"/>
        <v>2026</v>
      </c>
      <c r="G57" s="175">
        <f t="shared" si="45"/>
        <v>2027</v>
      </c>
      <c r="H57" s="175">
        <f t="shared" si="45"/>
        <v>2028</v>
      </c>
      <c r="I57" s="175">
        <f t="shared" si="45"/>
        <v>2029</v>
      </c>
      <c r="J57" s="175">
        <f t="shared" si="45"/>
        <v>2030</v>
      </c>
      <c r="K57" s="175">
        <f t="shared" si="45"/>
        <v>2031</v>
      </c>
      <c r="L57" s="175">
        <f t="shared" si="45"/>
        <v>2032</v>
      </c>
      <c r="M57" s="175">
        <f t="shared" si="45"/>
        <v>2033</v>
      </c>
      <c r="N57" s="175">
        <f t="shared" si="45"/>
        <v>2034</v>
      </c>
      <c r="O57" s="175">
        <f t="shared" si="45"/>
        <v>2035</v>
      </c>
      <c r="P57" s="175">
        <f t="shared" si="45"/>
        <v>2036</v>
      </c>
      <c r="Q57" s="175">
        <f t="shared" si="45"/>
        <v>2037</v>
      </c>
      <c r="R57" s="175">
        <f t="shared" si="45"/>
        <v>2038</v>
      </c>
      <c r="S57" s="175">
        <f t="shared" si="45"/>
        <v>2039</v>
      </c>
      <c r="T57" s="175">
        <f t="shared" si="45"/>
        <v>2040</v>
      </c>
      <c r="U57" s="175">
        <f t="shared" si="45"/>
        <v>2041</v>
      </c>
      <c r="V57" s="175">
        <f t="shared" si="45"/>
        <v>2042</v>
      </c>
      <c r="W57" s="175">
        <f t="shared" si="45"/>
        <v>2043</v>
      </c>
      <c r="X57" s="175">
        <f t="shared" si="45"/>
        <v>2044</v>
      </c>
      <c r="Y57" s="175">
        <f t="shared" si="45"/>
        <v>2045</v>
      </c>
      <c r="Z57" s="175">
        <f t="shared" si="45"/>
        <v>2046</v>
      </c>
      <c r="AA57" s="175">
        <f t="shared" si="45"/>
        <v>2047</v>
      </c>
      <c r="AB57" s="175">
        <f t="shared" si="45"/>
        <v>2048</v>
      </c>
    </row>
    <row r="58" spans="1:28">
      <c r="A58" s="140" t="s">
        <v>846</v>
      </c>
      <c r="B58" s="176">
        <f t="shared" ref="B58:AB58" si="46">B12</f>
        <v>12254</v>
      </c>
      <c r="C58" s="176">
        <f t="shared" si="46"/>
        <v>12800.910664903247</v>
      </c>
      <c r="D58" s="176">
        <f t="shared" si="46"/>
        <v>13824.983518095512</v>
      </c>
      <c r="E58" s="176">
        <f t="shared" si="46"/>
        <v>14930.982199543152</v>
      </c>
      <c r="F58" s="176">
        <f t="shared" si="46"/>
        <v>16125.460775506604</v>
      </c>
      <c r="G58" s="176">
        <f t="shared" si="46"/>
        <v>17415.497637547134</v>
      </c>
      <c r="H58" s="176">
        <f t="shared" si="46"/>
        <v>18808.73744855091</v>
      </c>
      <c r="I58" s="176">
        <f t="shared" si="46"/>
        <v>20313.436444434985</v>
      </c>
      <c r="J58" s="176">
        <f t="shared" si="46"/>
        <v>21938.511359989785</v>
      </c>
      <c r="K58" s="176">
        <f t="shared" si="46"/>
        <v>23693.592268788969</v>
      </c>
      <c r="L58" s="176">
        <f t="shared" si="46"/>
        <v>25589.079650292089</v>
      </c>
      <c r="M58" s="176">
        <f t="shared" si="46"/>
        <v>27636.206022315459</v>
      </c>
      <c r="N58" s="176">
        <f t="shared" si="46"/>
        <v>29847.102504100698</v>
      </c>
      <c r="O58" s="176">
        <f t="shared" si="46"/>
        <v>32234.870704428758</v>
      </c>
      <c r="P58" s="176">
        <f t="shared" si="46"/>
        <v>34813.660360783055</v>
      </c>
      <c r="Q58" s="176">
        <f t="shared" si="46"/>
        <v>37598.753189645708</v>
      </c>
      <c r="R58" s="176">
        <f t="shared" si="46"/>
        <v>40606.653444817362</v>
      </c>
      <c r="S58" s="176">
        <f t="shared" si="46"/>
        <v>43855.185720402755</v>
      </c>
      <c r="T58" s="176">
        <f t="shared" si="46"/>
        <v>47363.600578034973</v>
      </c>
      <c r="U58" s="176">
        <f t="shared" si="46"/>
        <v>51152.688624277769</v>
      </c>
      <c r="V58" s="176">
        <f t="shared" si="46"/>
        <v>55244.903714219996</v>
      </c>
      <c r="W58" s="176">
        <f t="shared" si="46"/>
        <v>59664.496011357594</v>
      </c>
      <c r="X58" s="176">
        <f t="shared" si="46"/>
        <v>64437.655692266213</v>
      </c>
      <c r="Y58" s="176">
        <f t="shared" si="46"/>
        <v>69592.668147647506</v>
      </c>
      <c r="Z58" s="176">
        <f t="shared" si="46"/>
        <v>75160.081599459314</v>
      </c>
      <c r="AA58" s="176">
        <f t="shared" si="46"/>
        <v>81172.888127416067</v>
      </c>
      <c r="AB58" s="176">
        <f t="shared" si="46"/>
        <v>87666.719177609353</v>
      </c>
    </row>
    <row r="59" spans="1:28" ht="7.5" customHeight="1">
      <c r="J59" s="169"/>
      <c r="K59" s="169"/>
    </row>
    <row r="60" spans="1:28">
      <c r="A60" s="174" t="s">
        <v>847</v>
      </c>
      <c r="B60" s="106"/>
      <c r="C60" s="106"/>
      <c r="D60" s="106"/>
      <c r="E60" s="106"/>
      <c r="F60" s="174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</row>
    <row r="61" spans="1:28">
      <c r="A61" s="106"/>
      <c r="B61" s="175">
        <f t="shared" ref="B61:AB61" si="47">B2</f>
        <v>2022</v>
      </c>
      <c r="C61" s="175">
        <f t="shared" si="47"/>
        <v>2023</v>
      </c>
      <c r="D61" s="175">
        <f t="shared" si="47"/>
        <v>2024</v>
      </c>
      <c r="E61" s="175">
        <f t="shared" si="47"/>
        <v>2025</v>
      </c>
      <c r="F61" s="175">
        <f t="shared" si="47"/>
        <v>2026</v>
      </c>
      <c r="G61" s="175">
        <f t="shared" si="47"/>
        <v>2027</v>
      </c>
      <c r="H61" s="175">
        <f t="shared" si="47"/>
        <v>2028</v>
      </c>
      <c r="I61" s="175">
        <f t="shared" si="47"/>
        <v>2029</v>
      </c>
      <c r="J61" s="175">
        <f t="shared" si="47"/>
        <v>2030</v>
      </c>
      <c r="K61" s="175">
        <f t="shared" si="47"/>
        <v>2031</v>
      </c>
      <c r="L61" s="175">
        <f t="shared" si="47"/>
        <v>2032</v>
      </c>
      <c r="M61" s="175">
        <f t="shared" si="47"/>
        <v>2033</v>
      </c>
      <c r="N61" s="175">
        <f t="shared" si="47"/>
        <v>2034</v>
      </c>
      <c r="O61" s="175">
        <f t="shared" si="47"/>
        <v>2035</v>
      </c>
      <c r="P61" s="175">
        <f t="shared" si="47"/>
        <v>2036</v>
      </c>
      <c r="Q61" s="175">
        <f t="shared" si="47"/>
        <v>2037</v>
      </c>
      <c r="R61" s="175">
        <f t="shared" si="47"/>
        <v>2038</v>
      </c>
      <c r="S61" s="175">
        <f t="shared" si="47"/>
        <v>2039</v>
      </c>
      <c r="T61" s="175">
        <f t="shared" si="47"/>
        <v>2040</v>
      </c>
      <c r="U61" s="175">
        <f t="shared" si="47"/>
        <v>2041</v>
      </c>
      <c r="V61" s="175">
        <f t="shared" si="47"/>
        <v>2042</v>
      </c>
      <c r="W61" s="175">
        <f t="shared" si="47"/>
        <v>2043</v>
      </c>
      <c r="X61" s="175">
        <f t="shared" si="47"/>
        <v>2044</v>
      </c>
      <c r="Y61" s="175">
        <f t="shared" si="47"/>
        <v>2045</v>
      </c>
      <c r="Z61" s="175">
        <f t="shared" si="47"/>
        <v>2046</v>
      </c>
      <c r="AA61" s="175">
        <f t="shared" si="47"/>
        <v>2047</v>
      </c>
      <c r="AB61" s="175">
        <f t="shared" si="47"/>
        <v>2048</v>
      </c>
    </row>
    <row r="62" spans="1:28">
      <c r="A62" s="140" t="s">
        <v>848</v>
      </c>
      <c r="B62" s="176">
        <f t="shared" ref="B62:I62" si="48">SUM(B43:B46)</f>
        <v>301.4025641025641</v>
      </c>
      <c r="C62" s="176">
        <f t="shared" si="48"/>
        <v>318.38162422964484</v>
      </c>
      <c r="D62" s="176">
        <f t="shared" si="48"/>
        <v>343.85215416801657</v>
      </c>
      <c r="E62" s="176">
        <f t="shared" si="48"/>
        <v>371.36032650145791</v>
      </c>
      <c r="F62" s="176">
        <f t="shared" si="48"/>
        <v>401.06915262157446</v>
      </c>
      <c r="G62" s="176">
        <f t="shared" si="48"/>
        <v>433.15468483130053</v>
      </c>
      <c r="H62" s="176">
        <f t="shared" si="48"/>
        <v>467.80705961780473</v>
      </c>
      <c r="I62" s="176">
        <f t="shared" si="48"/>
        <v>505.23162438722909</v>
      </c>
      <c r="J62" s="176">
        <f t="shared" ref="J62:AB62" si="49">SUM(J43:J46)</f>
        <v>545.65015433820747</v>
      </c>
      <c r="K62" s="176">
        <f t="shared" si="49"/>
        <v>589.30216668526418</v>
      </c>
      <c r="L62" s="176">
        <f t="shared" si="49"/>
        <v>636.44634002008536</v>
      </c>
      <c r="M62" s="176">
        <f t="shared" si="49"/>
        <v>687.36204722169214</v>
      </c>
      <c r="N62" s="176">
        <f t="shared" si="49"/>
        <v>742.35101099942744</v>
      </c>
      <c r="O62" s="176">
        <f t="shared" si="49"/>
        <v>801.73909187938193</v>
      </c>
      <c r="P62" s="176">
        <f t="shared" si="49"/>
        <v>865.87821922973239</v>
      </c>
      <c r="Q62" s="176">
        <f t="shared" si="49"/>
        <v>935.14847676811121</v>
      </c>
      <c r="R62" s="176">
        <f t="shared" si="49"/>
        <v>1009.9603549095602</v>
      </c>
      <c r="S62" s="176">
        <f t="shared" si="49"/>
        <v>1090.7571833023248</v>
      </c>
      <c r="T62" s="176">
        <f t="shared" si="49"/>
        <v>1178.0177579665108</v>
      </c>
      <c r="U62" s="176">
        <f t="shared" si="49"/>
        <v>1272.2591786038315</v>
      </c>
      <c r="V62" s="176">
        <f t="shared" si="49"/>
        <v>1374.0399128921383</v>
      </c>
      <c r="W62" s="176">
        <f t="shared" si="49"/>
        <v>1483.9631059235096</v>
      </c>
      <c r="X62" s="176">
        <f t="shared" si="49"/>
        <v>1602.6801543973904</v>
      </c>
      <c r="Y62" s="176">
        <f t="shared" si="49"/>
        <v>1730.8945667491816</v>
      </c>
      <c r="Z62" s="176">
        <f t="shared" si="49"/>
        <v>1869.366132089116</v>
      </c>
      <c r="AA62" s="176">
        <f t="shared" si="49"/>
        <v>2018.9154226562457</v>
      </c>
      <c r="AB62" s="176">
        <f t="shared" si="49"/>
        <v>2180.4286564687459</v>
      </c>
    </row>
    <row r="63" spans="1:28">
      <c r="A63" s="140" t="s">
        <v>849</v>
      </c>
      <c r="B63" s="176">
        <f t="shared" ref="B63:AB63" si="50">B23-B21</f>
        <v>300</v>
      </c>
      <c r="C63" s="176">
        <f t="shared" si="50"/>
        <v>300</v>
      </c>
      <c r="D63" s="176">
        <f t="shared" si="50"/>
        <v>300</v>
      </c>
      <c r="E63" s="176">
        <f t="shared" si="50"/>
        <v>720</v>
      </c>
      <c r="F63" s="176">
        <f t="shared" si="50"/>
        <v>1140</v>
      </c>
      <c r="G63" s="176">
        <f t="shared" si="50"/>
        <v>1140</v>
      </c>
      <c r="H63" s="176">
        <f t="shared" si="50"/>
        <v>1140</v>
      </c>
      <c r="I63" s="176">
        <f t="shared" si="50"/>
        <v>1140</v>
      </c>
      <c r="J63" s="176">
        <f t="shared" si="50"/>
        <v>1140</v>
      </c>
      <c r="K63" s="176">
        <f t="shared" si="50"/>
        <v>1140</v>
      </c>
      <c r="L63" s="176">
        <f t="shared" si="50"/>
        <v>1140</v>
      </c>
      <c r="M63" s="176">
        <f t="shared" si="50"/>
        <v>1140</v>
      </c>
      <c r="N63" s="176">
        <f t="shared" si="50"/>
        <v>1140</v>
      </c>
      <c r="O63" s="176">
        <f t="shared" si="50"/>
        <v>1140</v>
      </c>
      <c r="P63" s="176">
        <f t="shared" si="50"/>
        <v>1140</v>
      </c>
      <c r="Q63" s="176">
        <f t="shared" si="50"/>
        <v>1140</v>
      </c>
      <c r="R63" s="176">
        <f t="shared" si="50"/>
        <v>1140</v>
      </c>
      <c r="S63" s="176">
        <f t="shared" si="50"/>
        <v>1140</v>
      </c>
      <c r="T63" s="176">
        <f t="shared" si="50"/>
        <v>1140</v>
      </c>
      <c r="U63" s="176">
        <f t="shared" si="50"/>
        <v>1140</v>
      </c>
      <c r="V63" s="176">
        <f t="shared" si="50"/>
        <v>1140</v>
      </c>
      <c r="W63" s="176">
        <f t="shared" si="50"/>
        <v>1140</v>
      </c>
      <c r="X63" s="176">
        <f t="shared" si="50"/>
        <v>1140</v>
      </c>
      <c r="Y63" s="176">
        <f t="shared" si="50"/>
        <v>1140</v>
      </c>
      <c r="Z63" s="176">
        <f t="shared" si="50"/>
        <v>1140</v>
      </c>
      <c r="AA63" s="176">
        <f t="shared" si="50"/>
        <v>1140</v>
      </c>
      <c r="AB63" s="176">
        <f t="shared" si="50"/>
        <v>1140</v>
      </c>
    </row>
    <row r="64" spans="1:28">
      <c r="A64" s="140" t="s">
        <v>841</v>
      </c>
      <c r="B64" s="176">
        <f t="shared" ref="B64:AB64" si="51">B63-B62</f>
        <v>-1.4025641025640994</v>
      </c>
      <c r="C64" s="176">
        <f t="shared" si="51"/>
        <v>-18.381624229644842</v>
      </c>
      <c r="D64" s="176">
        <f t="shared" si="51"/>
        <v>-43.852154168016568</v>
      </c>
      <c r="E64" s="176">
        <f t="shared" si="51"/>
        <v>348.63967349854209</v>
      </c>
      <c r="F64" s="176">
        <f t="shared" si="51"/>
        <v>738.9308473784256</v>
      </c>
      <c r="G64" s="176">
        <f t="shared" si="51"/>
        <v>706.84531516869947</v>
      </c>
      <c r="H64" s="176">
        <f t="shared" si="51"/>
        <v>672.19294038219527</v>
      </c>
      <c r="I64" s="176">
        <f t="shared" si="51"/>
        <v>634.76837561277091</v>
      </c>
      <c r="J64" s="176">
        <f t="shared" si="51"/>
        <v>594.34984566179253</v>
      </c>
      <c r="K64" s="176">
        <f t="shared" si="51"/>
        <v>550.69783331473582</v>
      </c>
      <c r="L64" s="176">
        <f t="shared" si="51"/>
        <v>503.55365997991464</v>
      </c>
      <c r="M64" s="176">
        <f t="shared" si="51"/>
        <v>452.63795277830786</v>
      </c>
      <c r="N64" s="176">
        <f t="shared" si="51"/>
        <v>397.64898900057256</v>
      </c>
      <c r="O64" s="176">
        <f t="shared" si="51"/>
        <v>338.26090812061807</v>
      </c>
      <c r="P64" s="176">
        <f t="shared" si="51"/>
        <v>274.12178077026761</v>
      </c>
      <c r="Q64" s="176">
        <f t="shared" si="51"/>
        <v>204.85152323188879</v>
      </c>
      <c r="R64" s="176">
        <f t="shared" si="51"/>
        <v>130.03964509043976</v>
      </c>
      <c r="S64" s="176">
        <f t="shared" si="51"/>
        <v>49.242816697675153</v>
      </c>
      <c r="T64" s="176">
        <f t="shared" si="51"/>
        <v>-38.017757966510771</v>
      </c>
      <c r="U64" s="176">
        <f t="shared" si="51"/>
        <v>-132.25917860383151</v>
      </c>
      <c r="V64" s="176">
        <f t="shared" si="51"/>
        <v>-234.03991289213832</v>
      </c>
      <c r="W64" s="176">
        <f t="shared" si="51"/>
        <v>-343.9631059235096</v>
      </c>
      <c r="X64" s="176">
        <f t="shared" si="51"/>
        <v>-462.68015439739042</v>
      </c>
      <c r="Y64" s="176">
        <f t="shared" si="51"/>
        <v>-590.89456674918165</v>
      </c>
      <c r="Z64" s="176">
        <f t="shared" si="51"/>
        <v>-729.36613208911604</v>
      </c>
      <c r="AA64" s="176">
        <f t="shared" si="51"/>
        <v>-878.91542265624571</v>
      </c>
      <c r="AB64" s="176">
        <f t="shared" si="51"/>
        <v>-1040.4286564687459</v>
      </c>
    </row>
    <row r="65" spans="1:28">
      <c r="A65" s="140" t="s">
        <v>840</v>
      </c>
      <c r="B65" s="177">
        <f t="shared" ref="B65:AB65" si="52">B47</f>
        <v>1.0046752136752137</v>
      </c>
      <c r="C65" s="177">
        <f t="shared" si="52"/>
        <v>1.0612720807654827</v>
      </c>
      <c r="D65" s="177">
        <f t="shared" si="52"/>
        <v>1.146173847226722</v>
      </c>
      <c r="E65" s="177">
        <f t="shared" si="52"/>
        <v>0.51577823125202482</v>
      </c>
      <c r="F65" s="177">
        <f t="shared" si="52"/>
        <v>0.35181504615927583</v>
      </c>
      <c r="G65" s="177">
        <f t="shared" si="52"/>
        <v>0.37996024985201798</v>
      </c>
      <c r="H65" s="177">
        <f t="shared" si="52"/>
        <v>0.41035706984017961</v>
      </c>
      <c r="I65" s="177">
        <f t="shared" si="52"/>
        <v>0.44318563542739392</v>
      </c>
      <c r="J65" s="177">
        <f t="shared" si="52"/>
        <v>0.47864048626158551</v>
      </c>
      <c r="K65" s="177">
        <f t="shared" si="52"/>
        <v>0.5169317251625124</v>
      </c>
      <c r="L65" s="177">
        <f t="shared" si="52"/>
        <v>0.55828626317551344</v>
      </c>
      <c r="M65" s="177">
        <f t="shared" si="52"/>
        <v>0.60294916422955447</v>
      </c>
      <c r="N65" s="177">
        <f t="shared" si="52"/>
        <v>0.65118509736791885</v>
      </c>
      <c r="O65" s="177">
        <f t="shared" si="52"/>
        <v>0.70327990515735261</v>
      </c>
      <c r="P65" s="177">
        <f t="shared" si="52"/>
        <v>0.75954229756994074</v>
      </c>
      <c r="Q65" s="177">
        <f t="shared" si="52"/>
        <v>0.82030568137553617</v>
      </c>
      <c r="R65" s="177">
        <f t="shared" si="52"/>
        <v>0.88593013588557912</v>
      </c>
      <c r="S65" s="177">
        <f t="shared" si="52"/>
        <v>0.95680454675642534</v>
      </c>
      <c r="T65" s="177">
        <f t="shared" si="52"/>
        <v>1.0333489104969393</v>
      </c>
      <c r="U65" s="177">
        <f t="shared" si="52"/>
        <v>1.1160168233366943</v>
      </c>
      <c r="V65" s="177">
        <f t="shared" si="52"/>
        <v>1.2052981692036302</v>
      </c>
      <c r="W65" s="177">
        <f t="shared" si="52"/>
        <v>1.3017220227399207</v>
      </c>
      <c r="X65" s="177">
        <f t="shared" si="52"/>
        <v>1.4058597845591143</v>
      </c>
      <c r="Y65" s="177">
        <f t="shared" si="52"/>
        <v>1.5183285673238436</v>
      </c>
      <c r="Z65" s="177">
        <f t="shared" si="52"/>
        <v>1.639794852709751</v>
      </c>
      <c r="AA65" s="177">
        <f t="shared" si="52"/>
        <v>1.7709784409265312</v>
      </c>
      <c r="AB65" s="177">
        <f t="shared" si="52"/>
        <v>1.9126567162006542</v>
      </c>
    </row>
    <row r="66" spans="1:28">
      <c r="A66" s="140" t="s">
        <v>842</v>
      </c>
      <c r="B66" s="177">
        <f t="shared" ref="B66:AB66" si="53">B49</f>
        <v>0.86419102564102568</v>
      </c>
      <c r="C66" s="177">
        <f t="shared" si="53"/>
        <v>0.91149048503682861</v>
      </c>
      <c r="D66" s="177">
        <f t="shared" si="53"/>
        <v>0.98440972383977532</v>
      </c>
      <c r="E66" s="177">
        <f t="shared" si="53"/>
        <v>0.44298437572789884</v>
      </c>
      <c r="F66" s="177">
        <f t="shared" si="53"/>
        <v>0.30216197418071417</v>
      </c>
      <c r="G66" s="177">
        <f t="shared" si="53"/>
        <v>0.32633493211517128</v>
      </c>
      <c r="H66" s="177">
        <f t="shared" si="53"/>
        <v>0.35244172668438517</v>
      </c>
      <c r="I66" s="177">
        <f t="shared" si="53"/>
        <v>0.38063706481913595</v>
      </c>
      <c r="J66" s="177">
        <f t="shared" si="53"/>
        <v>0.41108803000466687</v>
      </c>
      <c r="K66" s="177">
        <f t="shared" si="53"/>
        <v>0.44397507240504031</v>
      </c>
      <c r="L66" s="177">
        <f t="shared" si="53"/>
        <v>0.47949307819744358</v>
      </c>
      <c r="M66" s="177">
        <f t="shared" si="53"/>
        <v>0.51785252445323904</v>
      </c>
      <c r="N66" s="177">
        <f t="shared" si="53"/>
        <v>0.55928072640949822</v>
      </c>
      <c r="O66" s="177">
        <f t="shared" si="53"/>
        <v>0.60402318452225812</v>
      </c>
      <c r="P66" s="177">
        <f t="shared" si="53"/>
        <v>0.65234503928403875</v>
      </c>
      <c r="Q66" s="177">
        <f t="shared" si="53"/>
        <v>0.70453264242676195</v>
      </c>
      <c r="R66" s="177">
        <f t="shared" si="53"/>
        <v>0.76089525382090306</v>
      </c>
      <c r="S66" s="177">
        <f t="shared" si="53"/>
        <v>0.82176687412657512</v>
      </c>
      <c r="T66" s="177">
        <f t="shared" si="53"/>
        <v>0.88750822405670116</v>
      </c>
      <c r="U66" s="177">
        <f t="shared" si="53"/>
        <v>0.95850888198123707</v>
      </c>
      <c r="V66" s="177">
        <f t="shared" si="53"/>
        <v>1.0351895925397363</v>
      </c>
      <c r="W66" s="177">
        <f t="shared" si="53"/>
        <v>1.1180047599429153</v>
      </c>
      <c r="X66" s="177">
        <f t="shared" si="53"/>
        <v>1.2074451407383486</v>
      </c>
      <c r="Y66" s="177">
        <f t="shared" si="53"/>
        <v>1.3040407519974166</v>
      </c>
      <c r="Z66" s="177">
        <f t="shared" si="53"/>
        <v>1.4083640121572099</v>
      </c>
      <c r="AA66" s="177">
        <f t="shared" si="53"/>
        <v>1.5210331331297871</v>
      </c>
      <c r="AB66" s="177">
        <f t="shared" si="53"/>
        <v>1.6427157837801698</v>
      </c>
    </row>
    <row r="67" spans="1:28" ht="7.35" customHeight="1">
      <c r="A67" s="106"/>
      <c r="B67" s="178">
        <v>1</v>
      </c>
      <c r="C67" s="178">
        <v>1</v>
      </c>
      <c r="D67" s="178">
        <v>1</v>
      </c>
      <c r="E67" s="178">
        <v>1</v>
      </c>
      <c r="F67" s="178">
        <v>1</v>
      </c>
      <c r="G67" s="178">
        <v>1</v>
      </c>
      <c r="H67" s="178">
        <v>1</v>
      </c>
      <c r="I67" s="178">
        <v>1</v>
      </c>
      <c r="J67" s="178">
        <v>1</v>
      </c>
      <c r="K67" s="178">
        <v>1</v>
      </c>
      <c r="L67" s="178">
        <v>1</v>
      </c>
      <c r="M67" s="178">
        <v>1</v>
      </c>
      <c r="N67" s="178">
        <v>1</v>
      </c>
      <c r="O67" s="178">
        <v>1</v>
      </c>
      <c r="P67" s="178">
        <v>1</v>
      </c>
      <c r="Q67" s="178">
        <v>1</v>
      </c>
      <c r="R67" s="178">
        <v>1</v>
      </c>
      <c r="S67" s="178">
        <v>1</v>
      </c>
      <c r="T67" s="178">
        <v>1</v>
      </c>
      <c r="U67" s="178">
        <v>1</v>
      </c>
      <c r="V67" s="178">
        <v>1</v>
      </c>
      <c r="W67" s="178">
        <v>1</v>
      </c>
      <c r="X67" s="178">
        <v>1</v>
      </c>
      <c r="Y67" s="178">
        <v>1</v>
      </c>
      <c r="Z67" s="178">
        <v>1</v>
      </c>
      <c r="AA67" s="178">
        <v>1</v>
      </c>
      <c r="AB67" s="178">
        <v>1</v>
      </c>
    </row>
    <row r="68" spans="1:28" ht="15.6" customHeight="1">
      <c r="A68" s="174" t="s">
        <v>850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</row>
    <row r="69" spans="1:28" ht="4.3499999999999996" customHeight="1">
      <c r="J69" s="169"/>
      <c r="K69" s="169"/>
    </row>
    <row r="70" spans="1:28">
      <c r="A70" s="176" t="s">
        <v>851</v>
      </c>
      <c r="B70" s="176">
        <f>B19*364</f>
        <v>109200</v>
      </c>
      <c r="C70" s="176">
        <f t="shared" ref="C70:AB70" si="54">C19*364</f>
        <v>109200</v>
      </c>
      <c r="D70" s="176">
        <f t="shared" si="54"/>
        <v>109200</v>
      </c>
      <c r="E70" s="176">
        <f t="shared" si="54"/>
        <v>262080</v>
      </c>
      <c r="F70" s="176">
        <f t="shared" si="54"/>
        <v>414960</v>
      </c>
      <c r="G70" s="176">
        <f t="shared" si="54"/>
        <v>414960</v>
      </c>
      <c r="H70" s="176">
        <f t="shared" si="54"/>
        <v>414960</v>
      </c>
      <c r="I70" s="176">
        <f t="shared" si="54"/>
        <v>414960</v>
      </c>
      <c r="J70" s="176">
        <f t="shared" si="54"/>
        <v>414960</v>
      </c>
      <c r="K70" s="176">
        <f t="shared" si="54"/>
        <v>414960</v>
      </c>
      <c r="L70" s="176">
        <f t="shared" si="54"/>
        <v>414960</v>
      </c>
      <c r="M70" s="176">
        <f t="shared" si="54"/>
        <v>414960</v>
      </c>
      <c r="N70" s="176">
        <f>N19*364</f>
        <v>414960</v>
      </c>
      <c r="O70" s="176">
        <f t="shared" si="54"/>
        <v>414960</v>
      </c>
      <c r="P70" s="176">
        <f t="shared" si="54"/>
        <v>414960</v>
      </c>
      <c r="Q70" s="179">
        <f t="shared" si="54"/>
        <v>414960</v>
      </c>
      <c r="R70" s="176">
        <f t="shared" si="54"/>
        <v>414960</v>
      </c>
      <c r="S70" s="176">
        <f>S19*364</f>
        <v>414960</v>
      </c>
      <c r="T70" s="176">
        <f t="shared" si="54"/>
        <v>414960</v>
      </c>
      <c r="U70" s="176">
        <f t="shared" si="54"/>
        <v>414960</v>
      </c>
      <c r="V70" s="176">
        <f t="shared" si="54"/>
        <v>414960</v>
      </c>
      <c r="W70" s="176">
        <f t="shared" si="54"/>
        <v>414960</v>
      </c>
      <c r="X70" s="176">
        <f t="shared" si="54"/>
        <v>414960</v>
      </c>
      <c r="Y70" s="176">
        <f t="shared" si="54"/>
        <v>414960</v>
      </c>
      <c r="Z70" s="176">
        <f t="shared" si="54"/>
        <v>414960</v>
      </c>
      <c r="AA70" s="176">
        <f t="shared" si="54"/>
        <v>414960</v>
      </c>
      <c r="AB70" s="176">
        <f t="shared" si="54"/>
        <v>414960</v>
      </c>
    </row>
    <row r="71" spans="1:28">
      <c r="A71" s="176" t="s">
        <v>852</v>
      </c>
      <c r="B71" s="176">
        <f>B54</f>
        <v>94369.66</v>
      </c>
      <c r="C71" s="176">
        <f>C54</f>
        <v>99534.760966021684</v>
      </c>
      <c r="D71" s="176">
        <f>D54</f>
        <v>107497.54184330346</v>
      </c>
      <c r="E71" s="176">
        <f t="shared" ref="E71" si="55">E54</f>
        <v>116097.34519076772</v>
      </c>
      <c r="F71" s="176">
        <f>F54</f>
        <v>125385.13280602914</v>
      </c>
      <c r="G71" s="176">
        <f t="shared" ref="G71:AB71" si="56">G54</f>
        <v>135415.94343051148</v>
      </c>
      <c r="H71" s="176">
        <f t="shared" si="56"/>
        <v>146249.21890495246</v>
      </c>
      <c r="I71" s="176">
        <f t="shared" si="56"/>
        <v>157949.15641734865</v>
      </c>
      <c r="J71" s="176">
        <f t="shared" si="56"/>
        <v>170585.08893073656</v>
      </c>
      <c r="K71" s="176">
        <f t="shared" si="56"/>
        <v>184231.89604519552</v>
      </c>
      <c r="L71" s="176">
        <f t="shared" si="56"/>
        <v>198970.44772881118</v>
      </c>
      <c r="M71" s="176">
        <f t="shared" si="56"/>
        <v>214888.08354711608</v>
      </c>
      <c r="N71" s="176">
        <f t="shared" si="56"/>
        <v>232079.13023088538</v>
      </c>
      <c r="O71" s="176">
        <f t="shared" si="56"/>
        <v>250645.46064935622</v>
      </c>
      <c r="P71" s="176">
        <f t="shared" si="56"/>
        <v>270697.0975013047</v>
      </c>
      <c r="Q71" s="179">
        <f t="shared" si="56"/>
        <v>292352.86530140915</v>
      </c>
      <c r="R71" s="176">
        <f t="shared" si="56"/>
        <v>315741.09452552191</v>
      </c>
      <c r="S71" s="176">
        <f t="shared" si="56"/>
        <v>341000.38208756363</v>
      </c>
      <c r="T71" s="176">
        <f t="shared" si="56"/>
        <v>368280.41265456873</v>
      </c>
      <c r="U71" s="176">
        <f t="shared" si="56"/>
        <v>397742.84566693415</v>
      </c>
      <c r="V71" s="176">
        <f t="shared" si="56"/>
        <v>429562.27332028898</v>
      </c>
      <c r="W71" s="176">
        <f t="shared" si="56"/>
        <v>463927.25518591213</v>
      </c>
      <c r="X71" s="176">
        <f t="shared" si="56"/>
        <v>501041.43560078513</v>
      </c>
      <c r="Y71" s="176">
        <f t="shared" si="56"/>
        <v>541124.750448848</v>
      </c>
      <c r="Z71" s="176">
        <f t="shared" si="56"/>
        <v>584414.73048475583</v>
      </c>
      <c r="AA71" s="176">
        <f t="shared" si="56"/>
        <v>631167.90892353642</v>
      </c>
      <c r="AB71" s="176">
        <f t="shared" si="56"/>
        <v>681661.3416374193</v>
      </c>
    </row>
    <row r="72" spans="1:28">
      <c r="A72" s="176" t="s">
        <v>853</v>
      </c>
      <c r="B72" s="176">
        <f>B70-B71</f>
        <v>14830.339999999997</v>
      </c>
      <c r="C72" s="176">
        <f>C70-C71</f>
        <v>9665.239033978316</v>
      </c>
      <c r="D72" s="176">
        <f t="shared" ref="D72:E72" si="57">D70-D71</f>
        <v>1702.4581566965353</v>
      </c>
      <c r="E72" s="176">
        <f t="shared" si="57"/>
        <v>145982.65480923228</v>
      </c>
      <c r="F72" s="176">
        <f>F70-F71</f>
        <v>289574.86719397083</v>
      </c>
      <c r="G72" s="176">
        <f t="shared" ref="G72:AB72" si="58">G70-G71</f>
        <v>279544.05656948849</v>
      </c>
      <c r="H72" s="176">
        <f t="shared" si="58"/>
        <v>268710.78109504754</v>
      </c>
      <c r="I72" s="176">
        <f t="shared" si="58"/>
        <v>257010.84358265135</v>
      </c>
      <c r="J72" s="176">
        <f t="shared" si="58"/>
        <v>244374.91106926344</v>
      </c>
      <c r="K72" s="176">
        <f t="shared" si="58"/>
        <v>230728.10395480448</v>
      </c>
      <c r="L72" s="176">
        <f t="shared" si="58"/>
        <v>215989.55227118882</v>
      </c>
      <c r="M72" s="176">
        <f t="shared" si="58"/>
        <v>200071.91645288392</v>
      </c>
      <c r="N72" s="176">
        <f t="shared" si="58"/>
        <v>182880.86976911462</v>
      </c>
      <c r="O72" s="176">
        <f t="shared" si="58"/>
        <v>164314.53935064378</v>
      </c>
      <c r="P72" s="176">
        <f t="shared" si="58"/>
        <v>144262.9024986953</v>
      </c>
      <c r="Q72" s="179">
        <f t="shared" si="58"/>
        <v>122607.13469859085</v>
      </c>
      <c r="R72" s="176">
        <f t="shared" si="58"/>
        <v>99218.905474478088</v>
      </c>
      <c r="S72" s="176">
        <f t="shared" si="58"/>
        <v>73959.61791243637</v>
      </c>
      <c r="T72" s="176">
        <f t="shared" si="58"/>
        <v>46679.587345431268</v>
      </c>
      <c r="U72" s="176">
        <f t="shared" si="58"/>
        <v>17217.154333065846</v>
      </c>
      <c r="V72" s="176">
        <f t="shared" si="58"/>
        <v>-14602.273320288979</v>
      </c>
      <c r="W72" s="176">
        <f t="shared" si="58"/>
        <v>-48967.25518591213</v>
      </c>
      <c r="X72" s="176">
        <f t="shared" si="58"/>
        <v>-86081.435600785131</v>
      </c>
      <c r="Y72" s="176">
        <f t="shared" si="58"/>
        <v>-126164.750448848</v>
      </c>
      <c r="Z72" s="176">
        <f t="shared" si="58"/>
        <v>-169454.73048475583</v>
      </c>
      <c r="AA72" s="176">
        <f t="shared" si="58"/>
        <v>-216207.90892353642</v>
      </c>
      <c r="AB72" s="176">
        <f t="shared" si="58"/>
        <v>-266701.3416374193</v>
      </c>
    </row>
    <row r="73" spans="1:28">
      <c r="A73" s="176" t="s">
        <v>854</v>
      </c>
      <c r="B73" s="180">
        <f>B72/B30</f>
        <v>1925.7353089965561</v>
      </c>
      <c r="C73" s="180">
        <f>C72/C30</f>
        <v>1243.021636141046</v>
      </c>
      <c r="D73" s="181">
        <f>D72/D30</f>
        <v>218.94878294878021</v>
      </c>
      <c r="E73" s="180">
        <f>E72/E30</f>
        <v>18774.455322963153</v>
      </c>
      <c r="F73" s="180">
        <f>F72/F30</f>
        <v>37241.48196846171</v>
      </c>
      <c r="G73" s="180">
        <f t="shared" ref="G73:AB73" si="59">G72/G30</f>
        <v>35951.445106421183</v>
      </c>
      <c r="H73" s="180">
        <f t="shared" si="59"/>
        <v>34558.2052954174</v>
      </c>
      <c r="I73" s="180">
        <f t="shared" si="59"/>
        <v>33053.506299533336</v>
      </c>
      <c r="J73" s="180">
        <f t="shared" si="59"/>
        <v>31428.431383978532</v>
      </c>
      <c r="K73" s="180">
        <f t="shared" si="59"/>
        <v>29673.350475179337</v>
      </c>
      <c r="L73" s="180">
        <f t="shared" si="59"/>
        <v>27777.863093676217</v>
      </c>
      <c r="M73" s="180">
        <f t="shared" si="59"/>
        <v>25730.736721652851</v>
      </c>
      <c r="N73" s="180">
        <f t="shared" si="59"/>
        <v>23519.840239867615</v>
      </c>
      <c r="O73" s="180">
        <f t="shared" si="59"/>
        <v>21132.072039539562</v>
      </c>
      <c r="P73" s="180">
        <f t="shared" si="59"/>
        <v>18553.282383185262</v>
      </c>
      <c r="Q73" s="187">
        <f t="shared" si="59"/>
        <v>15768.189554322606</v>
      </c>
      <c r="R73" s="180">
        <f t="shared" si="59"/>
        <v>12760.289299150943</v>
      </c>
      <c r="S73" s="180">
        <f t="shared" si="59"/>
        <v>9511.7570235655621</v>
      </c>
      <c r="T73" s="180">
        <f t="shared" si="59"/>
        <v>6003.3421659333389</v>
      </c>
      <c r="U73" s="180">
        <f t="shared" si="59"/>
        <v>2214.2541196905509</v>
      </c>
      <c r="V73" s="181">
        <f t="shared" si="59"/>
        <v>-1877.9609702516821</v>
      </c>
      <c r="W73" s="181">
        <f t="shared" si="59"/>
        <v>-6297.5532673892849</v>
      </c>
      <c r="X73" s="181">
        <f t="shared" si="59"/>
        <v>-11070.712948297898</v>
      </c>
      <c r="Y73" s="181">
        <f t="shared" si="59"/>
        <v>-16225.7254036792</v>
      </c>
      <c r="Z73" s="181">
        <f t="shared" si="59"/>
        <v>-21793.138855491001</v>
      </c>
      <c r="AA73" s="181">
        <f t="shared" si="59"/>
        <v>-27805.945383447761</v>
      </c>
      <c r="AB73" s="181">
        <f t="shared" si="59"/>
        <v>-34299.776433641047</v>
      </c>
    </row>
    <row r="74" spans="1:28">
      <c r="A74" s="176" t="s">
        <v>855</v>
      </c>
      <c r="B74" s="180">
        <f>B73/2</f>
        <v>962.86765449827806</v>
      </c>
      <c r="C74" s="180">
        <f>C73/2</f>
        <v>621.51081807052299</v>
      </c>
      <c r="D74" s="181">
        <f>D73/2</f>
        <v>109.4743914743901</v>
      </c>
      <c r="E74" s="180">
        <f>E73/2</f>
        <v>9387.2276614815764</v>
      </c>
      <c r="F74" s="180">
        <f t="shared" ref="F74:AB74" si="60">F73/2</f>
        <v>18620.740984230855</v>
      </c>
      <c r="G74" s="180">
        <f t="shared" si="60"/>
        <v>17975.722553210591</v>
      </c>
      <c r="H74" s="180">
        <f t="shared" si="60"/>
        <v>17279.1026477087</v>
      </c>
      <c r="I74" s="180">
        <f t="shared" si="60"/>
        <v>16526.753149766668</v>
      </c>
      <c r="J74" s="180">
        <f t="shared" si="60"/>
        <v>15714.215691989266</v>
      </c>
      <c r="K74" s="180">
        <f t="shared" si="60"/>
        <v>14836.675237589669</v>
      </c>
      <c r="L74" s="180">
        <f t="shared" si="60"/>
        <v>13888.931546838108</v>
      </c>
      <c r="M74" s="180">
        <f t="shared" si="60"/>
        <v>12865.368360826425</v>
      </c>
      <c r="N74" s="180">
        <f t="shared" si="60"/>
        <v>11759.920119933808</v>
      </c>
      <c r="O74" s="180">
        <f t="shared" si="60"/>
        <v>10566.036019769781</v>
      </c>
      <c r="P74" s="180">
        <f t="shared" si="60"/>
        <v>9276.641191592631</v>
      </c>
      <c r="Q74" s="187">
        <f t="shared" si="60"/>
        <v>7884.0947771613028</v>
      </c>
      <c r="R74" s="180">
        <f t="shared" si="60"/>
        <v>6380.1446495754717</v>
      </c>
      <c r="S74" s="180">
        <f t="shared" si="60"/>
        <v>4755.8785117827811</v>
      </c>
      <c r="T74" s="180">
        <f t="shared" si="60"/>
        <v>3001.6710829666695</v>
      </c>
      <c r="U74" s="180">
        <f t="shared" si="60"/>
        <v>1107.1270598452754</v>
      </c>
      <c r="V74" s="181">
        <f t="shared" si="60"/>
        <v>-938.98048512584103</v>
      </c>
      <c r="W74" s="181">
        <f t="shared" si="60"/>
        <v>-3148.7766336946424</v>
      </c>
      <c r="X74" s="181">
        <f t="shared" si="60"/>
        <v>-5535.356474148949</v>
      </c>
      <c r="Y74" s="181">
        <f t="shared" si="60"/>
        <v>-8112.8627018396</v>
      </c>
      <c r="Z74" s="181">
        <f t="shared" si="60"/>
        <v>-10896.5694277455</v>
      </c>
      <c r="AA74" s="181">
        <f t="shared" si="60"/>
        <v>-13902.97269172388</v>
      </c>
      <c r="AB74" s="181">
        <f t="shared" si="60"/>
        <v>-17149.888216820524</v>
      </c>
    </row>
    <row r="75" spans="1:28" ht="5.45" customHeight="1">
      <c r="A75" s="176"/>
      <c r="B75" s="180"/>
      <c r="C75" s="180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2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</row>
    <row r="76" spans="1:28">
      <c r="A76" s="183" t="s">
        <v>856</v>
      </c>
      <c r="B76" s="180">
        <f>B74*100</f>
        <v>96286.765449827799</v>
      </c>
      <c r="C76" s="180">
        <f t="shared" ref="C76:E76" si="61">C74*100</f>
        <v>62151.081807052302</v>
      </c>
      <c r="D76" s="181">
        <f t="shared" si="61"/>
        <v>10947.43914743901</v>
      </c>
      <c r="E76" s="180">
        <f t="shared" si="61"/>
        <v>938722.76614815765</v>
      </c>
      <c r="F76" s="180">
        <f>F74*100</f>
        <v>1862074.0984230856</v>
      </c>
      <c r="G76" s="180">
        <f t="shared" ref="G76:AB76" si="62">G74*100</f>
        <v>1797572.2553210591</v>
      </c>
      <c r="H76" s="180">
        <f t="shared" si="62"/>
        <v>1727910.2647708701</v>
      </c>
      <c r="I76" s="180">
        <f t="shared" si="62"/>
        <v>1652675.3149766668</v>
      </c>
      <c r="J76" s="180">
        <f t="shared" si="62"/>
        <v>1571421.5691989267</v>
      </c>
      <c r="K76" s="180">
        <f t="shared" si="62"/>
        <v>1483667.5237589669</v>
      </c>
      <c r="L76" s="180">
        <f t="shared" si="62"/>
        <v>1388893.1546838109</v>
      </c>
      <c r="M76" s="180">
        <f t="shared" si="62"/>
        <v>1286536.8360826424</v>
      </c>
      <c r="N76" s="180">
        <f t="shared" si="62"/>
        <v>1175992.0119933807</v>
      </c>
      <c r="O76" s="180">
        <f t="shared" si="62"/>
        <v>1056603.6019769781</v>
      </c>
      <c r="P76" s="180">
        <f t="shared" si="62"/>
        <v>927664.11915926309</v>
      </c>
      <c r="Q76" s="187">
        <f t="shared" si="62"/>
        <v>788409.47771613032</v>
      </c>
      <c r="R76" s="180">
        <f t="shared" si="62"/>
        <v>638014.46495754714</v>
      </c>
      <c r="S76" s="180">
        <f t="shared" si="62"/>
        <v>475587.8511782781</v>
      </c>
      <c r="T76" s="180">
        <f t="shared" si="62"/>
        <v>300167.10829666693</v>
      </c>
      <c r="U76" s="180">
        <f t="shared" si="62"/>
        <v>110712.70598452754</v>
      </c>
      <c r="V76" s="181">
        <f t="shared" si="62"/>
        <v>-93898.048512584108</v>
      </c>
      <c r="W76" s="181">
        <f t="shared" si="62"/>
        <v>-314877.66336946422</v>
      </c>
      <c r="X76" s="181">
        <f t="shared" si="62"/>
        <v>-553535.64741489489</v>
      </c>
      <c r="Y76" s="181">
        <f t="shared" si="62"/>
        <v>-811286.27018395998</v>
      </c>
      <c r="Z76" s="181">
        <f t="shared" si="62"/>
        <v>-1089656.9427745501</v>
      </c>
      <c r="AA76" s="181">
        <f t="shared" si="62"/>
        <v>-1390297.2691723881</v>
      </c>
      <c r="AB76" s="181">
        <f t="shared" si="62"/>
        <v>-1714988.8216820525</v>
      </c>
    </row>
    <row r="78" spans="1:28"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</row>
    <row r="85" spans="1:6">
      <c r="B85" s="184"/>
      <c r="F85" s="184"/>
    </row>
    <row r="86" spans="1:6">
      <c r="B86" s="185"/>
      <c r="F86" s="106"/>
    </row>
    <row r="87" spans="1:6">
      <c r="A87" s="106"/>
      <c r="B87" s="106"/>
      <c r="F87" s="106"/>
    </row>
    <row r="88" spans="1:6">
      <c r="A88" s="106"/>
      <c r="B88" s="106"/>
      <c r="F88" s="106"/>
    </row>
    <row r="89" spans="1:6">
      <c r="A89" s="106"/>
      <c r="B89" s="106"/>
      <c r="F89" s="106"/>
    </row>
    <row r="91" spans="1:6">
      <c r="A91" s="166"/>
    </row>
    <row r="92" spans="1:6">
      <c r="A92" s="106"/>
    </row>
    <row r="93" spans="1:6">
      <c r="A93" s="106"/>
    </row>
  </sheetData>
  <conditionalFormatting sqref="B12:AB12">
    <cfRule type="cellIs" dxfId="8" priority="4" stopIfTrue="1" operator="greaterThan">
      <formula>3648700</formula>
    </cfRule>
  </conditionalFormatting>
  <conditionalFormatting sqref="B47:AB47">
    <cfRule type="cellIs" dxfId="7" priority="3" stopIfTrue="1" operator="greaterThan">
      <formula>1</formula>
    </cfRule>
  </conditionalFormatting>
  <conditionalFormatting sqref="B48:AB48">
    <cfRule type="cellIs" dxfId="6" priority="2" stopIfTrue="1" operator="lessThan">
      <formula>0</formula>
    </cfRule>
  </conditionalFormatting>
  <conditionalFormatting sqref="B49:AB49">
    <cfRule type="cellIs" dxfId="5" priority="7" stopIfTrue="1" operator="greaterThan">
      <formula>0.75</formula>
    </cfRule>
  </conditionalFormatting>
  <conditionalFormatting sqref="B50:AB50">
    <cfRule type="cellIs" dxfId="4" priority="1" stopIfTrue="1" operator="greaterThan">
      <formula>0.7</formula>
    </cfRule>
  </conditionalFormatting>
  <conditionalFormatting sqref="B64:AB64">
    <cfRule type="cellIs" dxfId="3" priority="9" stopIfTrue="1" operator="lessThan">
      <formula>0</formula>
    </cfRule>
  </conditionalFormatting>
  <conditionalFormatting sqref="B65:AB65">
    <cfRule type="cellIs" dxfId="2" priority="8" stopIfTrue="1" operator="greaterThan">
      <formula>1</formula>
    </cfRule>
  </conditionalFormatting>
  <conditionalFormatting sqref="B66:AB66">
    <cfRule type="cellIs" dxfId="1" priority="5" stopIfTrue="1" operator="between">
      <formula>0.65</formula>
      <formula>0.6999</formula>
    </cfRule>
    <cfRule type="cellIs" dxfId="0" priority="6" stopIfTrue="1" operator="greaterThan">
      <formula>0.701</formula>
    </cfRule>
  </conditionalFormatting>
  <hyperlinks>
    <hyperlink ref="A76" r:id="rId1" display="#@$100 per ctr" xr:uid="{B8FB1823-991B-4B10-8A46-F285F1FB3192}"/>
  </hyperlinks>
  <printOptions horizontalCentered="1" verticalCentered="1"/>
  <pageMargins left="0" right="0" top="0" bottom="0" header="0" footer="0"/>
  <pageSetup paperSize="9" scale="80" orientation="portrait" r:id="rId2"/>
  <headerFooter alignWithMargins="0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2607-1CD7-40BD-9A05-57D5E38A2A8F}">
  <dimension ref="A1:AK38"/>
  <sheetViews>
    <sheetView zoomScale="110" zoomScaleNormal="110" workbookViewId="0">
      <selection activeCell="B37" sqref="B37"/>
    </sheetView>
  </sheetViews>
  <sheetFormatPr defaultColWidth="8.85546875" defaultRowHeight="10.5"/>
  <cols>
    <col min="1" max="2" width="8.85546875" style="91"/>
    <col min="3" max="13" width="10.140625" style="91" bestFit="1" customWidth="1"/>
    <col min="14" max="16384" width="8.85546875" style="91"/>
  </cols>
  <sheetData>
    <row r="1" spans="2:8" ht="11.1" thickBot="1"/>
    <row r="2" spans="2:8" ht="11.1" thickBot="1">
      <c r="B2" s="374" t="s">
        <v>189</v>
      </c>
      <c r="C2" s="375"/>
      <c r="D2" s="375"/>
      <c r="E2" s="375"/>
      <c r="F2" s="375"/>
      <c r="G2" s="375"/>
      <c r="H2" s="376"/>
    </row>
    <row r="3" spans="2:8">
      <c r="B3" s="188"/>
      <c r="C3" s="189">
        <v>2017</v>
      </c>
      <c r="D3" s="189">
        <v>2018</v>
      </c>
      <c r="E3" s="189">
        <v>2019</v>
      </c>
      <c r="F3" s="189">
        <v>2020</v>
      </c>
      <c r="G3" s="189">
        <v>2021</v>
      </c>
      <c r="H3" s="189">
        <v>2022</v>
      </c>
    </row>
    <row r="4" spans="2:8">
      <c r="B4" s="72" t="s">
        <v>201</v>
      </c>
      <c r="C4" s="190">
        <v>669</v>
      </c>
      <c r="D4" s="190">
        <v>638</v>
      </c>
      <c r="E4" s="190">
        <v>760</v>
      </c>
      <c r="F4" s="190">
        <v>576</v>
      </c>
      <c r="G4" s="190">
        <v>1409</v>
      </c>
      <c r="H4" s="190">
        <v>1668</v>
      </c>
    </row>
    <row r="5" spans="2:8">
      <c r="B5" s="72"/>
      <c r="C5" s="72"/>
      <c r="D5" s="191">
        <f>((D4-C4)/C4)</f>
        <v>-4.6337817638266068E-2</v>
      </c>
      <c r="E5" s="191">
        <f>((E4-D4)/D4)</f>
        <v>0.19122257053291536</v>
      </c>
      <c r="F5" s="191">
        <f>((F4-E4)/E4)</f>
        <v>-0.24210526315789474</v>
      </c>
      <c r="G5" s="191">
        <f>((G4-F4)/F4)</f>
        <v>1.4461805555555556</v>
      </c>
      <c r="H5" s="191">
        <f>((H4-G4)/G4)</f>
        <v>0.18381831085876507</v>
      </c>
    </row>
    <row r="6" spans="2:8">
      <c r="B6" s="72"/>
      <c r="C6" s="72"/>
      <c r="D6" s="191"/>
      <c r="E6" s="191"/>
      <c r="F6" s="191"/>
      <c r="G6" s="191"/>
      <c r="H6" s="191"/>
    </row>
    <row r="7" spans="2:8">
      <c r="B7" s="72" t="s">
        <v>202</v>
      </c>
      <c r="C7" s="190">
        <v>1960</v>
      </c>
      <c r="D7" s="190">
        <v>2126</v>
      </c>
      <c r="E7" s="190">
        <v>2276</v>
      </c>
      <c r="F7" s="190">
        <v>2825</v>
      </c>
      <c r="G7" s="190">
        <v>3940</v>
      </c>
      <c r="H7" s="190">
        <v>4459</v>
      </c>
    </row>
    <row r="8" spans="2:8">
      <c r="B8" s="72"/>
      <c r="C8" s="72"/>
      <c r="D8" s="191">
        <f>(D7-C7)/D7</f>
        <v>7.8080903104421451E-2</v>
      </c>
      <c r="E8" s="191">
        <f t="shared" ref="E8:H8" si="0">(E7-D7)/E7</f>
        <v>6.5905096660808432E-2</v>
      </c>
      <c r="F8" s="191">
        <f t="shared" si="0"/>
        <v>0.1943362831858407</v>
      </c>
      <c r="G8" s="191">
        <f t="shared" si="0"/>
        <v>0.28299492385786801</v>
      </c>
      <c r="H8" s="191">
        <f t="shared" si="0"/>
        <v>0.11639381027136129</v>
      </c>
    </row>
    <row r="10" spans="2:8">
      <c r="B10" s="192"/>
      <c r="C10" s="192"/>
      <c r="D10" s="192"/>
      <c r="E10" s="192"/>
      <c r="F10" s="192"/>
      <c r="G10" s="192"/>
      <c r="H10" s="192"/>
    </row>
    <row r="11" spans="2:8" ht="11.1" thickBot="1"/>
    <row r="12" spans="2:8" ht="14.1" customHeight="1" thickBot="1">
      <c r="B12" s="377" t="s">
        <v>790</v>
      </c>
      <c r="C12" s="378"/>
      <c r="D12" s="192"/>
      <c r="E12" s="193" t="s">
        <v>857</v>
      </c>
      <c r="F12" s="194"/>
      <c r="G12" s="195"/>
      <c r="H12" s="192"/>
    </row>
    <row r="13" spans="2:8" ht="15.6" customHeight="1">
      <c r="B13" s="379" t="s">
        <v>792</v>
      </c>
      <c r="C13" s="380"/>
      <c r="E13" s="381" t="s">
        <v>858</v>
      </c>
      <c r="F13" s="381"/>
      <c r="G13" s="381"/>
    </row>
    <row r="14" spans="2:8">
      <c r="B14" s="72" t="s">
        <v>202</v>
      </c>
      <c r="C14" s="72" t="s">
        <v>794</v>
      </c>
      <c r="E14" s="382"/>
      <c r="F14" s="382"/>
      <c r="G14" s="382"/>
      <c r="H14" s="91" t="s">
        <v>859</v>
      </c>
    </row>
    <row r="15" spans="2:8">
      <c r="B15" s="72" t="s">
        <v>201</v>
      </c>
      <c r="C15" s="72" t="s">
        <v>796</v>
      </c>
      <c r="E15" s="382"/>
      <c r="F15" s="382"/>
      <c r="G15" s="382"/>
    </row>
    <row r="16" spans="2:8">
      <c r="E16" s="382"/>
      <c r="F16" s="382"/>
      <c r="G16" s="382"/>
    </row>
    <row r="17" spans="1:37">
      <c r="E17" s="382"/>
      <c r="F17" s="382"/>
      <c r="G17" s="382"/>
    </row>
    <row r="18" spans="1:37">
      <c r="E18" s="382"/>
      <c r="F18" s="382"/>
      <c r="G18" s="382"/>
    </row>
    <row r="19" spans="1:37">
      <c r="H19" s="275">
        <f>G22*1.08</f>
        <v>26061</v>
      </c>
      <c r="N19" s="91" t="s">
        <v>860</v>
      </c>
    </row>
    <row r="20" spans="1:37">
      <c r="A20" s="70" t="s">
        <v>784</v>
      </c>
      <c r="B20" s="71">
        <f t="shared" ref="B20:G20" si="1">C3</f>
        <v>2017</v>
      </c>
      <c r="C20" s="71">
        <f t="shared" si="1"/>
        <v>2018</v>
      </c>
      <c r="D20" s="71">
        <f t="shared" si="1"/>
        <v>2019</v>
      </c>
      <c r="E20" s="71">
        <f t="shared" si="1"/>
        <v>2020</v>
      </c>
      <c r="F20" s="71">
        <f t="shared" si="1"/>
        <v>2021</v>
      </c>
      <c r="G20" s="71">
        <f t="shared" si="1"/>
        <v>2022</v>
      </c>
      <c r="H20" s="71">
        <v>2023</v>
      </c>
      <c r="I20" s="71">
        <v>2024</v>
      </c>
      <c r="J20" s="71">
        <v>2025</v>
      </c>
      <c r="K20" s="71">
        <v>2026</v>
      </c>
      <c r="L20" s="71">
        <v>2027</v>
      </c>
      <c r="M20" s="71">
        <v>2028</v>
      </c>
      <c r="N20" s="71">
        <v>2029</v>
      </c>
      <c r="O20" s="71">
        <v>2030</v>
      </c>
      <c r="P20" s="71">
        <v>2031</v>
      </c>
      <c r="Q20" s="71">
        <v>2032</v>
      </c>
      <c r="R20" s="71">
        <v>2033</v>
      </c>
      <c r="S20" s="71">
        <v>2034</v>
      </c>
      <c r="T20" s="71">
        <v>2035</v>
      </c>
      <c r="U20" s="71">
        <v>2036</v>
      </c>
      <c r="V20" s="71">
        <v>2037</v>
      </c>
      <c r="W20" s="71">
        <v>2038</v>
      </c>
      <c r="X20" s="71">
        <v>2039</v>
      </c>
      <c r="Y20" s="71">
        <v>2040</v>
      </c>
      <c r="Z20" s="71">
        <v>2041</v>
      </c>
      <c r="AA20" s="71">
        <v>2042</v>
      </c>
      <c r="AB20" s="71">
        <v>2043</v>
      </c>
      <c r="AC20" s="71">
        <v>2044</v>
      </c>
      <c r="AD20" s="71">
        <v>2045</v>
      </c>
      <c r="AE20" s="71">
        <v>2046</v>
      </c>
      <c r="AF20" s="71">
        <v>2047</v>
      </c>
      <c r="AG20" s="71">
        <v>2048</v>
      </c>
      <c r="AH20" s="71"/>
      <c r="AI20" s="71"/>
      <c r="AJ20" s="71"/>
      <c r="AK20" s="71"/>
    </row>
    <row r="21" spans="1:37">
      <c r="A21" s="91" t="s">
        <v>785</v>
      </c>
      <c r="B21" s="196">
        <f t="shared" ref="B21:G21" si="2">SUM(C4,C7)</f>
        <v>2629</v>
      </c>
      <c r="C21" s="196">
        <f t="shared" si="2"/>
        <v>2764</v>
      </c>
      <c r="D21" s="196">
        <f t="shared" si="2"/>
        <v>3036</v>
      </c>
      <c r="E21" s="196">
        <f t="shared" si="2"/>
        <v>3401</v>
      </c>
      <c r="F21" s="196">
        <f t="shared" si="2"/>
        <v>5349</v>
      </c>
      <c r="G21" s="196">
        <f t="shared" si="2"/>
        <v>6127</v>
      </c>
      <c r="H21" s="276">
        <f>H22*$B$35</f>
        <v>6400.4553324516246</v>
      </c>
      <c r="I21" s="197">
        <f>I22*$B$35</f>
        <v>6912.4917590477562</v>
      </c>
      <c r="J21" s="197">
        <f>J22*$B$35</f>
        <v>7465.491099771576</v>
      </c>
      <c r="K21" s="197">
        <f>K22*$B$35</f>
        <v>8062.7303877533022</v>
      </c>
      <c r="L21" s="197">
        <f>L22*$B$35</f>
        <v>8707.7488187735671</v>
      </c>
      <c r="M21" s="197">
        <f t="shared" ref="M21:AG21" si="3">M22*$B$35</f>
        <v>9404.368724275455</v>
      </c>
      <c r="N21" s="197">
        <f t="shared" si="3"/>
        <v>10156.718222217492</v>
      </c>
      <c r="O21" s="197">
        <f t="shared" si="3"/>
        <v>10969.255679994892</v>
      </c>
      <c r="P21" s="197">
        <f t="shared" si="3"/>
        <v>11846.796134394484</v>
      </c>
      <c r="Q21" s="197">
        <f>Q22*$B$35</f>
        <v>12794.539825146045</v>
      </c>
      <c r="R21" s="197">
        <f t="shared" si="3"/>
        <v>13818.103011157729</v>
      </c>
      <c r="S21" s="197">
        <f t="shared" si="3"/>
        <v>14923.551252050349</v>
      </c>
      <c r="T21" s="197">
        <f t="shared" si="3"/>
        <v>16117.435352214379</v>
      </c>
      <c r="U21" s="197">
        <f t="shared" si="3"/>
        <v>17406.830180391527</v>
      </c>
      <c r="V21" s="197">
        <f t="shared" si="3"/>
        <v>18799.376594822854</v>
      </c>
      <c r="W21" s="197">
        <f t="shared" si="3"/>
        <v>20303.326722408681</v>
      </c>
      <c r="X21" s="197">
        <f t="shared" si="3"/>
        <v>21927.592860201377</v>
      </c>
      <c r="Y21" s="197">
        <f t="shared" si="3"/>
        <v>23681.800289017487</v>
      </c>
      <c r="Z21" s="197">
        <f t="shared" si="3"/>
        <v>25576.344312138885</v>
      </c>
      <c r="AA21" s="197">
        <f t="shared" si="3"/>
        <v>27622.451857109998</v>
      </c>
      <c r="AB21" s="197">
        <f t="shared" si="3"/>
        <v>29832.248005678801</v>
      </c>
      <c r="AC21" s="197">
        <f t="shared" si="3"/>
        <v>32218.827846133107</v>
      </c>
      <c r="AD21" s="197">
        <f t="shared" si="3"/>
        <v>34796.334073823753</v>
      </c>
      <c r="AE21" s="197">
        <f t="shared" si="3"/>
        <v>37580.040799729657</v>
      </c>
      <c r="AF21" s="197">
        <f t="shared" si="3"/>
        <v>40586.444063708033</v>
      </c>
      <c r="AG21" s="197">
        <f t="shared" si="3"/>
        <v>43833.359588804677</v>
      </c>
      <c r="AH21" s="197"/>
      <c r="AI21" s="197"/>
      <c r="AJ21" s="197"/>
      <c r="AK21" s="197"/>
    </row>
    <row r="22" spans="1:37">
      <c r="A22" s="91" t="s">
        <v>786</v>
      </c>
      <c r="B22" s="198">
        <v>9850.5555555555547</v>
      </c>
      <c r="C22" s="198">
        <v>12402.777777777777</v>
      </c>
      <c r="D22" s="198">
        <v>15414.444444444443</v>
      </c>
      <c r="E22" s="198">
        <v>15954.444444444443</v>
      </c>
      <c r="F22" s="198">
        <v>21207.777777777777</v>
      </c>
      <c r="G22" s="198">
        <v>24130.555555555555</v>
      </c>
      <c r="H22" s="277">
        <v>27313.492473825096</v>
      </c>
      <c r="I22" s="87">
        <f>H22*(SUM(1+$B$33))</f>
        <v>29498.571871731107</v>
      </c>
      <c r="J22" s="87">
        <f>I22*SUM(1+$B$33)</f>
        <v>31858.457621469595</v>
      </c>
      <c r="K22" s="87">
        <f>J22*SUM(1+$B$33)</f>
        <v>34407.134231187163</v>
      </c>
      <c r="L22" s="87">
        <f>K22*SUM(1+$B$33)</f>
        <v>37159.704969682141</v>
      </c>
      <c r="M22" s="87">
        <f t="shared" ref="M22:AG22" si="4">L22*SUM(1+$B$33)</f>
        <v>40132.481367256718</v>
      </c>
      <c r="N22" s="87">
        <f t="shared" si="4"/>
        <v>43343.079876637261</v>
      </c>
      <c r="O22" s="87">
        <f t="shared" si="4"/>
        <v>46810.526266768247</v>
      </c>
      <c r="P22" s="87">
        <f t="shared" si="4"/>
        <v>50555.36836810971</v>
      </c>
      <c r="Q22" s="87">
        <f t="shared" si="4"/>
        <v>54599.797837558493</v>
      </c>
      <c r="R22" s="87">
        <f t="shared" si="4"/>
        <v>58967.781664563176</v>
      </c>
      <c r="S22" s="87">
        <f t="shared" si="4"/>
        <v>63685.204197728235</v>
      </c>
      <c r="T22" s="87">
        <f t="shared" si="4"/>
        <v>68780.0205335465</v>
      </c>
      <c r="U22" s="87">
        <f t="shared" si="4"/>
        <v>74282.422176230219</v>
      </c>
      <c r="V22" s="87">
        <f t="shared" si="4"/>
        <v>80225.015950328641</v>
      </c>
      <c r="W22" s="87">
        <f t="shared" si="4"/>
        <v>86643.017226354932</v>
      </c>
      <c r="X22" s="87">
        <f t="shared" si="4"/>
        <v>93574.458604463332</v>
      </c>
      <c r="Y22" s="87">
        <f t="shared" si="4"/>
        <v>101060.4152928204</v>
      </c>
      <c r="Z22" s="87">
        <f t="shared" si="4"/>
        <v>109145.24851624604</v>
      </c>
      <c r="AA22" s="87">
        <f t="shared" si="4"/>
        <v>117876.86839754572</v>
      </c>
      <c r="AB22" s="87">
        <f t="shared" si="4"/>
        <v>127307.01786934939</v>
      </c>
      <c r="AC22" s="87">
        <f t="shared" si="4"/>
        <v>137491.57929889736</v>
      </c>
      <c r="AD22" s="87">
        <f t="shared" si="4"/>
        <v>148490.90564280914</v>
      </c>
      <c r="AE22" s="87">
        <f t="shared" si="4"/>
        <v>160370.17809423388</v>
      </c>
      <c r="AF22" s="87">
        <f t="shared" si="4"/>
        <v>173199.79234177261</v>
      </c>
      <c r="AG22" s="87">
        <f t="shared" si="4"/>
        <v>187055.77572911442</v>
      </c>
      <c r="AH22" s="87"/>
      <c r="AI22" s="87"/>
      <c r="AJ22" s="87"/>
      <c r="AK22" s="87"/>
    </row>
    <row r="23" spans="1:37" ht="5.45" customHeight="1">
      <c r="B23" s="199"/>
      <c r="C23" s="199"/>
      <c r="D23" s="199"/>
      <c r="E23" s="199"/>
      <c r="F23" s="199"/>
      <c r="G23" s="199"/>
      <c r="H23" s="278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</row>
    <row r="24" spans="1:37">
      <c r="A24" s="91" t="s">
        <v>787</v>
      </c>
      <c r="B24" s="201">
        <f>B21/B22</f>
        <v>0.26688850036658962</v>
      </c>
      <c r="C24" s="201">
        <f t="shared" ref="C24:AG24" si="5">C21/C22</f>
        <v>0.22285330347144458</v>
      </c>
      <c r="D24" s="201">
        <f t="shared" si="5"/>
        <v>0.19695812008938227</v>
      </c>
      <c r="E24" s="201">
        <f t="shared" si="5"/>
        <v>0.21316944076885577</v>
      </c>
      <c r="F24" s="201">
        <f t="shared" si="5"/>
        <v>0.25221878765652017</v>
      </c>
      <c r="G24" s="201">
        <f t="shared" si="5"/>
        <v>0.25391044088868425</v>
      </c>
      <c r="H24" s="279">
        <f t="shared" si="5"/>
        <v>0.23433309887357945</v>
      </c>
      <c r="I24" s="202">
        <f t="shared" si="5"/>
        <v>0.2343330988735795</v>
      </c>
      <c r="J24" s="202">
        <f t="shared" si="5"/>
        <v>0.23433309887357948</v>
      </c>
      <c r="K24" s="202">
        <f t="shared" si="5"/>
        <v>0.23433309887357948</v>
      </c>
      <c r="L24" s="202">
        <f t="shared" si="5"/>
        <v>0.23433309887357945</v>
      </c>
      <c r="M24" s="202">
        <f t="shared" si="5"/>
        <v>0.23433309887357948</v>
      </c>
      <c r="N24" s="202">
        <f t="shared" si="5"/>
        <v>0.23433309887357948</v>
      </c>
      <c r="O24" s="202">
        <f t="shared" si="5"/>
        <v>0.23433309887357948</v>
      </c>
      <c r="P24" s="202">
        <f t="shared" si="5"/>
        <v>0.23433309887357948</v>
      </c>
      <c r="Q24" s="202">
        <f t="shared" si="5"/>
        <v>0.23433309887357948</v>
      </c>
      <c r="R24" s="202">
        <f t="shared" si="5"/>
        <v>0.23433309887357948</v>
      </c>
      <c r="S24" s="202">
        <f t="shared" si="5"/>
        <v>0.23433309887357948</v>
      </c>
      <c r="T24" s="202">
        <f t="shared" si="5"/>
        <v>0.23433309887357948</v>
      </c>
      <c r="U24" s="202">
        <f t="shared" si="5"/>
        <v>0.23433309887357945</v>
      </c>
      <c r="V24" s="202">
        <f t="shared" si="5"/>
        <v>0.2343330988735795</v>
      </c>
      <c r="W24" s="202">
        <f t="shared" si="5"/>
        <v>0.23433309887357948</v>
      </c>
      <c r="X24" s="202">
        <f t="shared" si="5"/>
        <v>0.2343330988735795</v>
      </c>
      <c r="Y24" s="202">
        <f t="shared" si="5"/>
        <v>0.23433309887357948</v>
      </c>
      <c r="Z24" s="202">
        <f t="shared" si="5"/>
        <v>0.23433309887357948</v>
      </c>
      <c r="AA24" s="202">
        <f t="shared" si="5"/>
        <v>0.23433309887357948</v>
      </c>
      <c r="AB24" s="202">
        <f t="shared" si="5"/>
        <v>0.23433309887357948</v>
      </c>
      <c r="AC24" s="202">
        <f t="shared" si="5"/>
        <v>0.23433309887357948</v>
      </c>
      <c r="AD24" s="202">
        <f t="shared" si="5"/>
        <v>0.23433309887357945</v>
      </c>
      <c r="AE24" s="202">
        <f t="shared" si="5"/>
        <v>0.23433309887357948</v>
      </c>
      <c r="AF24" s="202">
        <f t="shared" si="5"/>
        <v>0.23433309887357948</v>
      </c>
      <c r="AG24" s="202">
        <f t="shared" si="5"/>
        <v>0.23433309887357948</v>
      </c>
      <c r="AH24" s="202"/>
      <c r="AI24" s="202"/>
      <c r="AJ24" s="202"/>
      <c r="AK24" s="202"/>
    </row>
    <row r="25" spans="1:37" ht="5.45" customHeight="1">
      <c r="B25" s="199"/>
      <c r="C25" s="199"/>
      <c r="D25" s="199"/>
      <c r="E25" s="199"/>
      <c r="F25" s="199"/>
      <c r="G25" s="199"/>
      <c r="H25" s="278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</row>
    <row r="26" spans="1:37" hidden="1">
      <c r="B26" s="199"/>
      <c r="C26" s="199"/>
      <c r="D26" s="199"/>
      <c r="E26" s="199"/>
      <c r="F26" s="199"/>
      <c r="G26" s="199"/>
      <c r="H26" s="278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</row>
    <row r="27" spans="1:37">
      <c r="A27" s="91" t="s">
        <v>201</v>
      </c>
      <c r="B27" s="203">
        <f t="shared" ref="B27:G27" si="6">C4/B21</f>
        <v>0.25446937999239255</v>
      </c>
      <c r="C27" s="203">
        <f t="shared" si="6"/>
        <v>0.23082489146164978</v>
      </c>
      <c r="D27" s="203">
        <f t="shared" si="6"/>
        <v>0.25032938076416339</v>
      </c>
      <c r="E27" s="203">
        <f t="shared" si="6"/>
        <v>0.1693619523669509</v>
      </c>
      <c r="F27" s="203">
        <f t="shared" si="6"/>
        <v>0.26341372219106374</v>
      </c>
      <c r="G27" s="203">
        <f t="shared" si="6"/>
        <v>0.2722376366900604</v>
      </c>
      <c r="H27" s="278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</row>
    <row r="28" spans="1:37">
      <c r="A28" s="91" t="s">
        <v>202</v>
      </c>
      <c r="B28" s="203">
        <f t="shared" ref="B28:G28" si="7">C7/B21</f>
        <v>0.7455306200076075</v>
      </c>
      <c r="C28" s="203">
        <f t="shared" si="7"/>
        <v>0.76917510853835025</v>
      </c>
      <c r="D28" s="203">
        <f t="shared" si="7"/>
        <v>0.74967061923583667</v>
      </c>
      <c r="E28" s="203">
        <f t="shared" si="7"/>
        <v>0.83063804763304905</v>
      </c>
      <c r="F28" s="203">
        <f t="shared" si="7"/>
        <v>0.73658627780893626</v>
      </c>
      <c r="G28" s="203">
        <f t="shared" si="7"/>
        <v>0.7277623633099396</v>
      </c>
      <c r="H28" s="278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</row>
    <row r="29" spans="1:37" ht="5.0999999999999996" customHeight="1">
      <c r="B29" s="199"/>
      <c r="C29" s="199"/>
      <c r="D29" s="199"/>
      <c r="E29" s="199"/>
      <c r="F29" s="199"/>
      <c r="G29" s="199"/>
      <c r="H29" s="278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</row>
    <row r="30" spans="1:37">
      <c r="A30" s="91" t="s">
        <v>788</v>
      </c>
      <c r="B30" s="196">
        <f t="shared" ref="B30:G30" si="8">C4</f>
        <v>669</v>
      </c>
      <c r="C30" s="196">
        <f t="shared" si="8"/>
        <v>638</v>
      </c>
      <c r="D30" s="196">
        <f t="shared" si="8"/>
        <v>760</v>
      </c>
      <c r="E30" s="196">
        <f t="shared" si="8"/>
        <v>576</v>
      </c>
      <c r="F30" s="196">
        <f t="shared" si="8"/>
        <v>1409</v>
      </c>
      <c r="G30" s="196">
        <f t="shared" si="8"/>
        <v>1668</v>
      </c>
      <c r="H30" s="280">
        <f>H21*B37</f>
        <v>1536.1092797883898</v>
      </c>
      <c r="I30" s="204">
        <f t="shared" ref="I30:AG30" si="9">I21*$B$37</f>
        <v>1658.9980221714613</v>
      </c>
      <c r="J30" s="204">
        <f t="shared" si="9"/>
        <v>1791.7178639451781</v>
      </c>
      <c r="K30" s="204">
        <f t="shared" si="9"/>
        <v>1935.0552930607926</v>
      </c>
      <c r="L30" s="204">
        <f t="shared" si="9"/>
        <v>2089.8597165056563</v>
      </c>
      <c r="M30" s="204">
        <f t="shared" si="9"/>
        <v>2257.0484938261093</v>
      </c>
      <c r="N30" s="204">
        <f t="shared" si="9"/>
        <v>2437.6123733321979</v>
      </c>
      <c r="O30" s="204">
        <f t="shared" si="9"/>
        <v>2632.6213631987739</v>
      </c>
      <c r="P30" s="204">
        <f t="shared" si="9"/>
        <v>2843.2310722546763</v>
      </c>
      <c r="Q30" s="204">
        <f t="shared" si="9"/>
        <v>3070.6895580350506</v>
      </c>
      <c r="R30" s="204">
        <f t="shared" si="9"/>
        <v>3316.3447226778549</v>
      </c>
      <c r="S30" s="204">
        <f t="shared" si="9"/>
        <v>3581.6523004920837</v>
      </c>
      <c r="T30" s="204">
        <f t="shared" si="9"/>
        <v>3868.1844845314508</v>
      </c>
      <c r="U30" s="204">
        <f t="shared" si="9"/>
        <v>4177.6392432939665</v>
      </c>
      <c r="V30" s="204">
        <f t="shared" si="9"/>
        <v>4511.850382757485</v>
      </c>
      <c r="W30" s="204">
        <f t="shared" si="9"/>
        <v>4872.7984133780838</v>
      </c>
      <c r="X30" s="204">
        <f t="shared" si="9"/>
        <v>5262.6222864483307</v>
      </c>
      <c r="Y30" s="204">
        <f t="shared" si="9"/>
        <v>5683.6320693641965</v>
      </c>
      <c r="Z30" s="204">
        <f t="shared" si="9"/>
        <v>6138.322634913332</v>
      </c>
      <c r="AA30" s="204">
        <f t="shared" si="9"/>
        <v>6629.3884457063996</v>
      </c>
      <c r="AB30" s="204">
        <f t="shared" si="9"/>
        <v>7159.7395213629115</v>
      </c>
      <c r="AC30" s="204">
        <f t="shared" si="9"/>
        <v>7732.5186830719449</v>
      </c>
      <c r="AD30" s="204">
        <f t="shared" si="9"/>
        <v>8351.1201777177012</v>
      </c>
      <c r="AE30" s="204">
        <f t="shared" si="9"/>
        <v>9019.2097919351181</v>
      </c>
      <c r="AF30" s="204">
        <f t="shared" si="9"/>
        <v>9740.7465752899279</v>
      </c>
      <c r="AG30" s="204">
        <f t="shared" si="9"/>
        <v>10520.006301313122</v>
      </c>
      <c r="AH30" s="204"/>
      <c r="AI30" s="204"/>
      <c r="AJ30" s="204"/>
      <c r="AK30" s="204"/>
    </row>
    <row r="31" spans="1:37">
      <c r="A31" s="91" t="s">
        <v>789</v>
      </c>
      <c r="B31" s="196">
        <f t="shared" ref="B31:G31" si="10">C7</f>
        <v>1960</v>
      </c>
      <c r="C31" s="196">
        <f t="shared" si="10"/>
        <v>2126</v>
      </c>
      <c r="D31" s="196">
        <f t="shared" si="10"/>
        <v>2276</v>
      </c>
      <c r="E31" s="196">
        <f t="shared" si="10"/>
        <v>2825</v>
      </c>
      <c r="F31" s="196">
        <f t="shared" si="10"/>
        <v>3940</v>
      </c>
      <c r="G31" s="196">
        <f t="shared" si="10"/>
        <v>4459</v>
      </c>
      <c r="H31" s="280">
        <f t="shared" ref="H31:AG31" si="11">H21*$B$38</f>
        <v>4864.3460526632343</v>
      </c>
      <c r="I31" s="204">
        <f t="shared" si="11"/>
        <v>5253.4937368762949</v>
      </c>
      <c r="J31" s="204">
        <f t="shared" si="11"/>
        <v>5673.7732358263975</v>
      </c>
      <c r="K31" s="204">
        <f t="shared" si="11"/>
        <v>6127.6750946925094</v>
      </c>
      <c r="L31" s="204">
        <f t="shared" si="11"/>
        <v>6617.8891022679109</v>
      </c>
      <c r="M31" s="204">
        <f t="shared" si="11"/>
        <v>7147.3202304493461</v>
      </c>
      <c r="N31" s="204">
        <f t="shared" si="11"/>
        <v>7719.1058488852941</v>
      </c>
      <c r="O31" s="204">
        <f t="shared" si="11"/>
        <v>8336.6343167961186</v>
      </c>
      <c r="P31" s="204">
        <f t="shared" si="11"/>
        <v>9003.565062139809</v>
      </c>
      <c r="Q31" s="204">
        <f t="shared" si="11"/>
        <v>9723.8502671109945</v>
      </c>
      <c r="R31" s="204">
        <f t="shared" si="11"/>
        <v>10501.758288479874</v>
      </c>
      <c r="S31" s="204">
        <f t="shared" si="11"/>
        <v>11341.898951558265</v>
      </c>
      <c r="T31" s="204">
        <f t="shared" si="11"/>
        <v>12249.250867682927</v>
      </c>
      <c r="U31" s="204">
        <f t="shared" si="11"/>
        <v>13229.190937097561</v>
      </c>
      <c r="V31" s="204">
        <f t="shared" si="11"/>
        <v>14287.52621206537</v>
      </c>
      <c r="W31" s="204">
        <f t="shared" si="11"/>
        <v>15430.528309030598</v>
      </c>
      <c r="X31" s="204">
        <f t="shared" si="11"/>
        <v>16664.970573753046</v>
      </c>
      <c r="Y31" s="204">
        <f t="shared" si="11"/>
        <v>17998.168219653289</v>
      </c>
      <c r="Z31" s="204">
        <f t="shared" si="11"/>
        <v>19438.021677225552</v>
      </c>
      <c r="AA31" s="204">
        <f t="shared" si="11"/>
        <v>20993.0634114036</v>
      </c>
      <c r="AB31" s="204">
        <f t="shared" si="11"/>
        <v>22672.508484315887</v>
      </c>
      <c r="AC31" s="204">
        <f t="shared" si="11"/>
        <v>24486.30916306116</v>
      </c>
      <c r="AD31" s="204">
        <f t="shared" si="11"/>
        <v>26445.213896106052</v>
      </c>
      <c r="AE31" s="204">
        <f t="shared" si="11"/>
        <v>28560.831007794539</v>
      </c>
      <c r="AF31" s="204">
        <f t="shared" si="11"/>
        <v>30845.697488418107</v>
      </c>
      <c r="AG31" s="204">
        <f t="shared" si="11"/>
        <v>33313.353287491555</v>
      </c>
      <c r="AH31" s="204"/>
      <c r="AI31" s="204"/>
      <c r="AJ31" s="204"/>
      <c r="AK31" s="204"/>
    </row>
    <row r="33" spans="2:3">
      <c r="B33" s="205">
        <f>'BCA Inputs'!F38</f>
        <v>0.08</v>
      </c>
      <c r="C33" s="91" t="s">
        <v>791</v>
      </c>
    </row>
    <row r="34" spans="2:3">
      <c r="B34" s="206"/>
    </row>
    <row r="35" spans="2:3">
      <c r="B35" s="205">
        <f>AVERAGE(B24:G24)</f>
        <v>0.23433309887357948</v>
      </c>
      <c r="C35" s="91" t="s">
        <v>793</v>
      </c>
    </row>
    <row r="36" spans="2:3">
      <c r="B36" s="207"/>
    </row>
    <row r="37" spans="2:3">
      <c r="B37" s="208">
        <v>0.24</v>
      </c>
      <c r="C37" s="91" t="s">
        <v>795</v>
      </c>
    </row>
    <row r="38" spans="2:3">
      <c r="B38" s="208">
        <v>0.76</v>
      </c>
      <c r="C38" s="91" t="s">
        <v>797</v>
      </c>
    </row>
  </sheetData>
  <mergeCells count="4">
    <mergeCell ref="B2:H2"/>
    <mergeCell ref="B12:C12"/>
    <mergeCell ref="B13:C13"/>
    <mergeCell ref="E13:G18"/>
  </mergeCells>
  <pageMargins left="0.7" right="0.7" top="0.75" bottom="0.75" header="0.3" footer="0.3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166-4A4D-4F6C-92F1-57B0F21A9F6D}">
  <dimension ref="A23:K47"/>
  <sheetViews>
    <sheetView topLeftCell="A16" workbookViewId="0">
      <selection activeCell="B40" sqref="B40"/>
    </sheetView>
  </sheetViews>
  <sheetFormatPr defaultRowHeight="14.45"/>
  <cols>
    <col min="2" max="2" width="14.85546875" bestFit="1" customWidth="1"/>
    <col min="3" max="3" width="11" bestFit="1" customWidth="1"/>
    <col min="6" max="6" width="12.140625" bestFit="1" customWidth="1"/>
    <col min="11" max="11" width="11.140625" bestFit="1" customWidth="1"/>
  </cols>
  <sheetData>
    <row r="23" spans="1:11">
      <c r="A23" t="s">
        <v>861</v>
      </c>
      <c r="B23" s="210" t="s">
        <v>862</v>
      </c>
    </row>
    <row r="25" spans="1:11">
      <c r="B25" s="211">
        <v>3000</v>
      </c>
      <c r="C25" s="20" t="s">
        <v>863</v>
      </c>
      <c r="E25" s="20" t="s">
        <v>864</v>
      </c>
    </row>
    <row r="26" spans="1:11">
      <c r="B26" s="212">
        <v>0.7</v>
      </c>
      <c r="C26" s="20" t="s">
        <v>865</v>
      </c>
    </row>
    <row r="27" spans="1:11">
      <c r="B27" s="211">
        <f>B25*B26</f>
        <v>2100</v>
      </c>
      <c r="C27" s="20" t="s">
        <v>866</v>
      </c>
    </row>
    <row r="28" spans="1:11">
      <c r="B28" s="213">
        <v>19</v>
      </c>
      <c r="C28" s="20" t="s">
        <v>867</v>
      </c>
    </row>
    <row r="29" spans="1:11">
      <c r="B29" s="214">
        <f>B27*B28</f>
        <v>39900</v>
      </c>
      <c r="C29" s="20" t="s">
        <v>868</v>
      </c>
      <c r="F29" s="215">
        <f>B29/24</f>
        <v>1662.5</v>
      </c>
      <c r="G29" s="20" t="s">
        <v>869</v>
      </c>
    </row>
    <row r="30" spans="1:11">
      <c r="B30" s="214">
        <f>B29*364</f>
        <v>14523600</v>
      </c>
      <c r="C30" s="20" t="s">
        <v>870</v>
      </c>
    </row>
    <row r="31" spans="1:11">
      <c r="C31" s="20"/>
      <c r="K31">
        <f>444/2</f>
        <v>222</v>
      </c>
    </row>
    <row r="32" spans="1:11">
      <c r="B32">
        <f>'Deviation '!F13/24</f>
        <v>30.753968253968257</v>
      </c>
      <c r="C32" s="20" t="s">
        <v>871</v>
      </c>
      <c r="K32" s="44">
        <f>K31*19*(738/24)</f>
        <v>129703.5</v>
      </c>
    </row>
    <row r="33" spans="2:7">
      <c r="C33" s="20"/>
    </row>
    <row r="34" spans="2:7">
      <c r="B34" s="66">
        <f>B29*B32</f>
        <v>1227083.3333333335</v>
      </c>
      <c r="C34" s="20" t="s">
        <v>872</v>
      </c>
    </row>
    <row r="35" spans="2:7">
      <c r="C35" s="20"/>
    </row>
    <row r="36" spans="2:7">
      <c r="B36" t="s">
        <v>873</v>
      </c>
    </row>
    <row r="39" spans="2:7">
      <c r="B39" s="259">
        <v>0.7</v>
      </c>
      <c r="C39" s="216" t="s">
        <v>874</v>
      </c>
    </row>
    <row r="40" spans="2:7">
      <c r="B40" s="65">
        <f>B28*B39</f>
        <v>13.299999999999999</v>
      </c>
    </row>
    <row r="41" spans="2:7">
      <c r="B41" s="214">
        <f>B27*B40</f>
        <v>27929.999999999996</v>
      </c>
      <c r="C41" s="20" t="s">
        <v>875</v>
      </c>
      <c r="F41" s="215">
        <f>B41/24</f>
        <v>1163.7499999999998</v>
      </c>
      <c r="G41" s="20" t="s">
        <v>869</v>
      </c>
    </row>
    <row r="42" spans="2:7">
      <c r="B42" s="214">
        <f>B41*364</f>
        <v>10166519.999999998</v>
      </c>
      <c r="C42" s="20" t="s">
        <v>870</v>
      </c>
      <c r="F42" s="217">
        <f>'Deviation '!F13</f>
        <v>738.09523809523819</v>
      </c>
      <c r="G42" t="s">
        <v>876</v>
      </c>
    </row>
    <row r="43" spans="2:7" ht="15" thickBot="1">
      <c r="F43" s="218">
        <f>F41*F42</f>
        <v>858958.33333333326</v>
      </c>
      <c r="G43" s="219" t="s">
        <v>877</v>
      </c>
    </row>
    <row r="44" spans="2:7" ht="15" thickTop="1"/>
    <row r="47" spans="2:7">
      <c r="B47" t="s">
        <v>878</v>
      </c>
    </row>
  </sheetData>
  <hyperlinks>
    <hyperlink ref="B23" r:id="rId1" display="https://transportgeography.org/contents/chapter3/transport-costs/operating-costs-containerships/" xr:uid="{E7B3C402-2E29-406D-9070-C9F115D6B2CE}"/>
  </hyperlinks>
  <pageMargins left="0.7" right="0.7" top="0.75" bottom="0.7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E908-877D-43B1-9EE6-263F6442BE6E}">
  <dimension ref="B1:N17"/>
  <sheetViews>
    <sheetView zoomScale="80" zoomScaleNormal="80" workbookViewId="0">
      <selection activeCell="J8" sqref="J8"/>
    </sheetView>
  </sheetViews>
  <sheetFormatPr defaultColWidth="8.85546875" defaultRowHeight="12.6"/>
  <cols>
    <col min="1" max="1" width="3.140625" style="54" customWidth="1"/>
    <col min="2" max="2" width="24.85546875" style="54" customWidth="1"/>
    <col min="3" max="7" width="15" style="54" customWidth="1"/>
    <col min="8" max="8" width="2.42578125" style="54" customWidth="1"/>
    <col min="9" max="9" width="23.85546875" style="54" customWidth="1"/>
    <col min="10" max="14" width="14" style="54" customWidth="1"/>
    <col min="15" max="16384" width="8.85546875" style="54"/>
  </cols>
  <sheetData>
    <row r="1" spans="2:14" ht="24.6" customHeight="1">
      <c r="B1" s="220" t="s">
        <v>879</v>
      </c>
      <c r="G1" s="54" t="s">
        <v>880</v>
      </c>
      <c r="H1" s="221"/>
      <c r="I1" s="46" t="s">
        <v>881</v>
      </c>
      <c r="J1" s="47"/>
      <c r="K1" s="47"/>
      <c r="L1" s="47" t="s">
        <v>882</v>
      </c>
      <c r="M1" s="47"/>
      <c r="N1" s="47"/>
    </row>
    <row r="2" spans="2:14" ht="26.1">
      <c r="B2" s="58" t="s">
        <v>883</v>
      </c>
      <c r="C2" s="49" t="s">
        <v>884</v>
      </c>
      <c r="D2" s="49" t="s">
        <v>885</v>
      </c>
      <c r="E2" s="49" t="s">
        <v>886</v>
      </c>
      <c r="F2" s="49" t="s">
        <v>887</v>
      </c>
      <c r="G2" s="49" t="s">
        <v>888</v>
      </c>
      <c r="H2" s="221"/>
      <c r="I2" s="48" t="str">
        <f>B2</f>
        <v>One way</v>
      </c>
      <c r="J2" s="49" t="s">
        <v>889</v>
      </c>
      <c r="K2" s="49" t="s">
        <v>890</v>
      </c>
      <c r="L2" s="49" t="s">
        <v>891</v>
      </c>
      <c r="M2" s="49" t="s">
        <v>892</v>
      </c>
      <c r="N2" s="50" t="s">
        <v>893</v>
      </c>
    </row>
    <row r="3" spans="2:14">
      <c r="B3" s="47" t="s">
        <v>894</v>
      </c>
      <c r="C3" s="47">
        <v>450</v>
      </c>
      <c r="D3" s="47">
        <v>242</v>
      </c>
      <c r="E3" s="47">
        <v>21</v>
      </c>
      <c r="F3" s="222">
        <f>D3/E3</f>
        <v>11.523809523809524</v>
      </c>
      <c r="G3" s="222">
        <f>50/24*F3</f>
        <v>24.00793650793651</v>
      </c>
      <c r="H3" s="221"/>
      <c r="I3" s="51" t="s">
        <v>895</v>
      </c>
      <c r="J3" s="47">
        <v>553</v>
      </c>
      <c r="K3" s="47">
        <v>890</v>
      </c>
      <c r="L3" s="47">
        <v>80</v>
      </c>
      <c r="M3" s="52">
        <f>K3/L3</f>
        <v>11.125</v>
      </c>
      <c r="N3" s="47">
        <f>M3*8</f>
        <v>89</v>
      </c>
    </row>
    <row r="4" spans="2:14">
      <c r="B4" s="47" t="s">
        <v>896</v>
      </c>
      <c r="C4" s="47">
        <v>288</v>
      </c>
      <c r="D4" s="47">
        <v>155</v>
      </c>
      <c r="E4" s="47">
        <v>21</v>
      </c>
      <c r="F4" s="222">
        <f>D4/21</f>
        <v>7.3809523809523814</v>
      </c>
      <c r="G4" s="222">
        <f>50/24*F4</f>
        <v>15.376984126984128</v>
      </c>
      <c r="H4" s="221"/>
      <c r="I4" s="51" t="s">
        <v>897</v>
      </c>
      <c r="J4" s="47">
        <v>112</v>
      </c>
      <c r="K4" s="47">
        <v>180</v>
      </c>
      <c r="L4" s="47">
        <v>80</v>
      </c>
      <c r="M4" s="52">
        <f>K4/L4</f>
        <v>2.25</v>
      </c>
      <c r="N4" s="47">
        <f>M4*8</f>
        <v>18</v>
      </c>
    </row>
    <row r="5" spans="2:14">
      <c r="H5" s="221"/>
      <c r="I5" s="53"/>
      <c r="M5" s="55"/>
    </row>
    <row r="6" spans="2:14" ht="12.95">
      <c r="B6" s="58" t="s">
        <v>898</v>
      </c>
      <c r="C6" s="58"/>
      <c r="D6" s="47"/>
      <c r="E6" s="47"/>
      <c r="F6" s="47"/>
      <c r="G6" s="47"/>
      <c r="H6" s="221"/>
      <c r="I6" s="46" t="str">
        <f>B6</f>
        <v>Round trip</v>
      </c>
      <c r="J6" s="47"/>
      <c r="K6" s="47"/>
      <c r="L6" s="47"/>
      <c r="M6" s="52"/>
      <c r="N6" s="47"/>
    </row>
    <row r="7" spans="2:14">
      <c r="B7" s="47" t="s">
        <v>894</v>
      </c>
      <c r="C7" s="47">
        <f>C3*2</f>
        <v>900</v>
      </c>
      <c r="D7" s="47">
        <f>D3*2</f>
        <v>484</v>
      </c>
      <c r="E7" s="47">
        <v>21</v>
      </c>
      <c r="F7" s="222">
        <f>D7/E7</f>
        <v>23.047619047619047</v>
      </c>
      <c r="G7" s="222">
        <f>50/24*F7</f>
        <v>48.015873015873019</v>
      </c>
      <c r="H7" s="221"/>
      <c r="I7" s="51" t="s">
        <v>895</v>
      </c>
      <c r="J7" s="47">
        <f>J3*2</f>
        <v>1106</v>
      </c>
      <c r="K7" s="47">
        <f>K3*2</f>
        <v>1780</v>
      </c>
      <c r="L7" s="47">
        <f>L3</f>
        <v>80</v>
      </c>
      <c r="M7" s="52">
        <f>K7/L7</f>
        <v>22.25</v>
      </c>
      <c r="N7" s="47">
        <f>M7*8</f>
        <v>178</v>
      </c>
    </row>
    <row r="8" spans="2:14">
      <c r="B8" s="47" t="s">
        <v>896</v>
      </c>
      <c r="C8" s="47">
        <f>C4*2</f>
        <v>576</v>
      </c>
      <c r="D8" s="47">
        <f>D4*2</f>
        <v>310</v>
      </c>
      <c r="E8" s="47">
        <v>21</v>
      </c>
      <c r="F8" s="222">
        <f>D8/21</f>
        <v>14.761904761904763</v>
      </c>
      <c r="G8" s="222">
        <f>50/24*F8</f>
        <v>30.753968253968257</v>
      </c>
      <c r="H8" s="221"/>
      <c r="I8" s="51" t="s">
        <v>897</v>
      </c>
      <c r="J8" s="47">
        <f>J4*2</f>
        <v>224</v>
      </c>
      <c r="K8" s="47">
        <f>K4*2</f>
        <v>360</v>
      </c>
      <c r="L8" s="47">
        <f>L4</f>
        <v>80</v>
      </c>
      <c r="M8" s="52">
        <f>K8/L8</f>
        <v>4.5</v>
      </c>
      <c r="N8" s="47">
        <f>M8*8</f>
        <v>36</v>
      </c>
    </row>
    <row r="9" spans="2:14">
      <c r="H9" s="221"/>
      <c r="I9" s="53"/>
      <c r="M9" s="55"/>
    </row>
    <row r="10" spans="2:14" ht="12.95">
      <c r="H10" s="221"/>
      <c r="I10" s="56" t="s">
        <v>899</v>
      </c>
      <c r="J10" s="57">
        <v>1578</v>
      </c>
      <c r="K10" s="58" t="s">
        <v>784</v>
      </c>
      <c r="L10" s="47"/>
      <c r="M10" s="52"/>
      <c r="N10" s="47"/>
    </row>
    <row r="11" spans="2:14" ht="12.95">
      <c r="B11" s="58" t="s">
        <v>900</v>
      </c>
      <c r="C11" s="223">
        <v>50</v>
      </c>
      <c r="D11" s="224" t="s">
        <v>901</v>
      </c>
      <c r="E11" s="47"/>
      <c r="F11" s="47"/>
      <c r="G11" s="47"/>
      <c r="H11" s="221"/>
      <c r="I11" s="46" t="s">
        <v>902</v>
      </c>
      <c r="J11" s="47"/>
      <c r="K11" s="47"/>
      <c r="L11" s="47"/>
      <c r="M11" s="52"/>
      <c r="N11" s="47"/>
    </row>
    <row r="12" spans="2:14">
      <c r="B12" s="47" t="s">
        <v>894</v>
      </c>
      <c r="C12" s="47"/>
      <c r="D12" s="47">
        <f>D7*C11</f>
        <v>24200</v>
      </c>
      <c r="E12" s="47"/>
      <c r="F12" s="225">
        <f>F7*C11</f>
        <v>1152.3809523809523</v>
      </c>
      <c r="G12" s="225">
        <f>50/24*F12</f>
        <v>2400.7936507936506</v>
      </c>
      <c r="H12" s="221"/>
      <c r="I12" s="51" t="s">
        <v>895</v>
      </c>
      <c r="J12" s="59">
        <f>J10*J7</f>
        <v>1745268</v>
      </c>
      <c r="K12" s="60">
        <f>J12/0.62137</f>
        <v>2808741.9733813992</v>
      </c>
      <c r="L12" s="47">
        <v>80</v>
      </c>
      <c r="M12" s="61">
        <f>K12/L12</f>
        <v>35109.274667267491</v>
      </c>
      <c r="N12" s="59">
        <f>M12*8</f>
        <v>280874.19733813993</v>
      </c>
    </row>
    <row r="13" spans="2:14">
      <c r="B13" s="47" t="s">
        <v>896</v>
      </c>
      <c r="C13" s="47"/>
      <c r="D13" s="47">
        <f>D8*C11</f>
        <v>15500</v>
      </c>
      <c r="E13" s="47"/>
      <c r="F13" s="225">
        <f>F8*C11</f>
        <v>738.09523809523819</v>
      </c>
      <c r="G13" s="225">
        <f>50/24*F13</f>
        <v>1537.698412698413</v>
      </c>
      <c r="H13" s="221"/>
      <c r="I13" s="51" t="s">
        <v>897</v>
      </c>
      <c r="J13" s="59">
        <f>J10*J8</f>
        <v>353472</v>
      </c>
      <c r="K13" s="60">
        <f>J13/0.62137</f>
        <v>568859.1338493973</v>
      </c>
      <c r="L13" s="47">
        <v>80</v>
      </c>
      <c r="M13" s="61">
        <f>K13/L13</f>
        <v>7110.7391731174666</v>
      </c>
      <c r="N13" s="59">
        <f>M13*8</f>
        <v>56885.913384939733</v>
      </c>
    </row>
    <row r="14" spans="2:14">
      <c r="H14" s="221"/>
    </row>
    <row r="15" spans="2:14">
      <c r="B15" s="226" t="s">
        <v>903</v>
      </c>
      <c r="C15" s="226"/>
      <c r="H15" s="221"/>
    </row>
    <row r="16" spans="2:14">
      <c r="H16" s="221"/>
    </row>
    <row r="17" spans="8:10">
      <c r="H17" s="221"/>
      <c r="J17" s="227"/>
    </row>
  </sheetData>
  <hyperlinks>
    <hyperlink ref="B15" r:id="rId1" display="https://transportgeography.org/contents/chapter4/transportation-and-energy/fuel-consumption-containerships/" xr:uid="{43F4D4CF-5931-4FE1-84F0-28E9DA8618F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CB0C-1F9C-460B-B3E4-7CA0ADACF66C}">
  <dimension ref="B1:AH74"/>
  <sheetViews>
    <sheetView showGridLines="0" topLeftCell="A28" zoomScale="70" zoomScaleNormal="70" workbookViewId="0">
      <selection activeCell="F24" sqref="F24"/>
    </sheetView>
  </sheetViews>
  <sheetFormatPr defaultRowHeight="14.45"/>
  <cols>
    <col min="1" max="1" width="3.140625" customWidth="1"/>
    <col min="2" max="2" width="4.42578125" customWidth="1"/>
    <col min="3" max="3" width="3.140625" customWidth="1"/>
    <col min="4" max="4" width="53.7109375" customWidth="1"/>
    <col min="5" max="5" width="22.28515625" customWidth="1"/>
    <col min="6" max="6" width="15.5703125" customWidth="1"/>
    <col min="7" max="7" width="13.5703125" bestFit="1" customWidth="1"/>
    <col min="8" max="8" width="14.28515625" customWidth="1"/>
    <col min="9" max="10" width="13.42578125" bestFit="1" customWidth="1"/>
    <col min="11" max="11" width="16.85546875" customWidth="1"/>
    <col min="12" max="12" width="16.140625" customWidth="1"/>
    <col min="13" max="13" width="16.85546875" customWidth="1"/>
    <col min="14" max="14" width="12.140625" customWidth="1"/>
    <col min="15" max="15" width="11" customWidth="1"/>
    <col min="18" max="20" width="13.42578125" bestFit="1" customWidth="1"/>
    <col min="21" max="28" width="10.85546875" bestFit="1" customWidth="1"/>
    <col min="32" max="32" width="11.140625" customWidth="1"/>
    <col min="33" max="33" width="11.85546875" customWidth="1"/>
    <col min="34" max="34" width="12.140625" customWidth="1"/>
    <col min="35" max="35" width="16" customWidth="1"/>
    <col min="36" max="36" width="13.140625" customWidth="1"/>
    <col min="37" max="38" width="10.85546875" bestFit="1" customWidth="1"/>
  </cols>
  <sheetData>
    <row r="1" spans="2:34">
      <c r="B1" s="7">
        <f>SUM(A:A)</f>
        <v>0</v>
      </c>
    </row>
    <row r="2" spans="2:34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34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6" spans="2:34">
      <c r="F6" s="290" t="s">
        <v>3</v>
      </c>
      <c r="G6" s="290">
        <v>2023</v>
      </c>
      <c r="H6" s="290">
        <v>2024</v>
      </c>
      <c r="I6" s="290">
        <v>2025</v>
      </c>
      <c r="J6" s="290">
        <v>2026</v>
      </c>
      <c r="K6" s="290">
        <v>2027</v>
      </c>
      <c r="L6" s="290">
        <v>2028</v>
      </c>
      <c r="M6" s="290">
        <v>2029</v>
      </c>
      <c r="N6" s="290">
        <v>2030</v>
      </c>
      <c r="O6" s="290">
        <v>2031</v>
      </c>
      <c r="P6" s="290">
        <v>2032</v>
      </c>
      <c r="Q6" s="290">
        <v>2033</v>
      </c>
      <c r="R6" s="290">
        <v>2034</v>
      </c>
      <c r="S6" s="290">
        <v>2035</v>
      </c>
      <c r="T6" s="290">
        <v>2036</v>
      </c>
      <c r="U6" s="290">
        <v>2037</v>
      </c>
      <c r="V6" s="290">
        <v>2038</v>
      </c>
      <c r="W6" s="290">
        <v>2039</v>
      </c>
      <c r="X6" s="290">
        <v>2040</v>
      </c>
      <c r="Y6" s="290">
        <v>2041</v>
      </c>
      <c r="Z6" s="290">
        <v>2042</v>
      </c>
      <c r="AA6" s="290">
        <v>2043</v>
      </c>
      <c r="AB6" s="290">
        <v>2044</v>
      </c>
      <c r="AC6" s="290">
        <v>2045</v>
      </c>
      <c r="AD6" s="290">
        <v>2046</v>
      </c>
      <c r="AE6" s="290">
        <v>2047</v>
      </c>
      <c r="AF6" s="20">
        <v>2048</v>
      </c>
      <c r="AG6" s="20">
        <v>2049</v>
      </c>
      <c r="AH6" s="20">
        <v>2050</v>
      </c>
    </row>
    <row r="7" spans="2:34">
      <c r="D7" s="290" t="s">
        <v>4</v>
      </c>
      <c r="E7" s="290" t="s">
        <v>5</v>
      </c>
      <c r="F7" s="290" t="s">
        <v>6</v>
      </c>
    </row>
    <row r="8" spans="2:34">
      <c r="D8" s="20"/>
      <c r="E8" s="20"/>
      <c r="F8" s="20"/>
    </row>
    <row r="9" spans="2:34">
      <c r="D9" t="s">
        <v>7</v>
      </c>
      <c r="G9">
        <v>0</v>
      </c>
      <c r="H9">
        <v>0</v>
      </c>
      <c r="I9">
        <v>0</v>
      </c>
      <c r="J9">
        <v>1</v>
      </c>
      <c r="K9">
        <v>1</v>
      </c>
      <c r="L9">
        <v>1</v>
      </c>
      <c r="M9">
        <v>1</v>
      </c>
      <c r="N9">
        <f>Discount!T38</f>
        <v>1</v>
      </c>
      <c r="O9">
        <f>Discount!U38</f>
        <v>1</v>
      </c>
      <c r="P9">
        <f>Discount!V38</f>
        <v>1</v>
      </c>
      <c r="Q9">
        <f>Discount!W38</f>
        <v>1</v>
      </c>
      <c r="R9">
        <f>Discount!X38</f>
        <v>1</v>
      </c>
      <c r="S9">
        <f>Discount!Y38</f>
        <v>1</v>
      </c>
      <c r="T9">
        <f>Discount!Z38</f>
        <v>1</v>
      </c>
      <c r="U9">
        <f>Discount!AA38</f>
        <v>1</v>
      </c>
      <c r="V9">
        <f>Discount!AB38</f>
        <v>1</v>
      </c>
      <c r="W9">
        <f>Discount!AC38</f>
        <v>1</v>
      </c>
      <c r="X9">
        <f>Discount!AD38</f>
        <v>1</v>
      </c>
      <c r="Y9">
        <f>Discount!AE38</f>
        <v>1</v>
      </c>
      <c r="Z9">
        <f>Discount!AF38</f>
        <v>1</v>
      </c>
      <c r="AA9">
        <f>Discount!AG38</f>
        <v>1</v>
      </c>
      <c r="AB9">
        <f>Discount!AH38</f>
        <v>1</v>
      </c>
      <c r="AC9">
        <f>Discount!AI38</f>
        <v>1</v>
      </c>
      <c r="AD9">
        <f>Discount!AJ38</f>
        <v>1</v>
      </c>
      <c r="AE9">
        <f>Discount!AK38</f>
        <v>1</v>
      </c>
      <c r="AF9">
        <v>0</v>
      </c>
      <c r="AG9">
        <v>0</v>
      </c>
      <c r="AH9">
        <v>0</v>
      </c>
    </row>
    <row r="11" spans="2:34">
      <c r="D11" t="s">
        <v>8</v>
      </c>
      <c r="F11" t="s">
        <v>9</v>
      </c>
      <c r="G11" s="84">
        <f>'BCA Inputs'!$F$34</f>
        <v>0.6</v>
      </c>
      <c r="H11" s="84">
        <f>'BCA Inputs'!$F$34</f>
        <v>0.6</v>
      </c>
      <c r="I11" s="84">
        <f>'BCA Inputs'!$F$34</f>
        <v>0.6</v>
      </c>
      <c r="J11" s="84">
        <f>'BCA Inputs'!$F$34</f>
        <v>0.6</v>
      </c>
      <c r="K11" s="84">
        <f>'BCA Inputs'!$F$34</f>
        <v>0.6</v>
      </c>
      <c r="L11" s="84">
        <f>'BCA Inputs'!$F$34</f>
        <v>0.6</v>
      </c>
      <c r="M11" s="84">
        <f>'BCA Inputs'!$F$34</f>
        <v>0.6</v>
      </c>
      <c r="N11" s="84">
        <f>'BCA Inputs'!$F$34</f>
        <v>0.6</v>
      </c>
      <c r="O11" s="84">
        <f>'BCA Inputs'!$F$34</f>
        <v>0.6</v>
      </c>
      <c r="P11" s="84">
        <f>'BCA Inputs'!$F$34</f>
        <v>0.6</v>
      </c>
      <c r="Q11" s="84">
        <f>'BCA Inputs'!$F$34</f>
        <v>0.6</v>
      </c>
      <c r="R11" s="84">
        <f>'BCA Inputs'!$F$34</f>
        <v>0.6</v>
      </c>
      <c r="S11" s="84">
        <f>'BCA Inputs'!$F$34</f>
        <v>0.6</v>
      </c>
      <c r="T11" s="84">
        <f>'BCA Inputs'!$F$34</f>
        <v>0.6</v>
      </c>
      <c r="U11" s="84">
        <f>'BCA Inputs'!$F$34</f>
        <v>0.6</v>
      </c>
      <c r="V11" s="84">
        <f>'BCA Inputs'!$F$34</f>
        <v>0.6</v>
      </c>
      <c r="W11" s="84">
        <f>'BCA Inputs'!$F$34</f>
        <v>0.6</v>
      </c>
      <c r="X11" s="84">
        <f>'BCA Inputs'!$F$34</f>
        <v>0.6</v>
      </c>
      <c r="Y11" s="84">
        <f>'BCA Inputs'!$F$34</f>
        <v>0.6</v>
      </c>
      <c r="Z11" s="84">
        <f>'BCA Inputs'!$F$34</f>
        <v>0.6</v>
      </c>
      <c r="AA11" s="84">
        <f>'BCA Inputs'!$F$34</f>
        <v>0.6</v>
      </c>
      <c r="AB11" s="84">
        <f>'BCA Inputs'!$F$34</f>
        <v>0.6</v>
      </c>
      <c r="AC11" s="84">
        <f>'BCA Inputs'!$F$34</f>
        <v>0.6</v>
      </c>
      <c r="AD11" s="84">
        <f>'BCA Inputs'!$F$34</f>
        <v>0.6</v>
      </c>
      <c r="AE11" s="84">
        <f>'BCA Inputs'!$F$34</f>
        <v>0.6</v>
      </c>
      <c r="AF11" s="84">
        <f>'BCA Inputs'!$F$34</f>
        <v>0.6</v>
      </c>
      <c r="AG11" s="84">
        <f>'BCA Inputs'!$F$34</f>
        <v>0.6</v>
      </c>
      <c r="AH11" s="84">
        <f>'BCA Inputs'!$F$34</f>
        <v>0.6</v>
      </c>
    </row>
    <row r="12" spans="2:34" ht="29.1">
      <c r="B12" s="318"/>
      <c r="C12" s="318"/>
      <c r="D12" s="325" t="s">
        <v>10</v>
      </c>
      <c r="F12" s="34" t="s">
        <v>11</v>
      </c>
      <c r="G12" s="30">
        <v>0</v>
      </c>
      <c r="H12" s="30">
        <v>0</v>
      </c>
      <c r="I12" s="30">
        <f>IF('Reefer capacity AVG '!E65&lt;1,'Reefer capacity AVG  No X '!E74,'Portland IMT'!H12)</f>
        <v>-443.5249492494292</v>
      </c>
      <c r="J12" s="30">
        <f>IF('Reefer capacity AVG '!F65&lt;1,'Reefer capacity AVG  No X '!F74,'Portland IMT'!I12)</f>
        <v>-1040.7642372311554</v>
      </c>
      <c r="K12" s="30">
        <f>IF('Reefer capacity AVG '!G65&lt;1,'Reefer capacity AVG  No X '!G74,'Portland IMT'!J12)</f>
        <v>-1685.7826682514203</v>
      </c>
      <c r="L12" s="30">
        <f>IF('Reefer capacity AVG '!H65&lt;1,'Reefer capacity AVG  No X '!H74,'Portland IMT'!K12)</f>
        <v>-2382.4025737533093</v>
      </c>
      <c r="M12" s="30">
        <f>IF('Reefer capacity AVG '!I65&lt;1,'Reefer capacity AVG  No X '!I74,'Portland IMT'!L12)</f>
        <v>-3134.7520716953459</v>
      </c>
      <c r="N12" s="30">
        <f>IF('Reefer capacity AVG '!J65&lt;1,'Reefer capacity AVG  No X '!J74,'Portland IMT'!M12)</f>
        <v>-3947.2895294727459</v>
      </c>
      <c r="O12" s="30">
        <f>IF('Reefer capacity AVG '!K65&lt;1,'Reefer capacity AVG  No X '!K74,'Portland IMT'!N12)</f>
        <v>-4824.8299838723387</v>
      </c>
      <c r="P12" s="30">
        <f>IF('Reefer capacity AVG '!L65&lt;1,'Reefer capacity AVG  No X '!L74,'Portland IMT'!O12)</f>
        <v>-5772.573674623899</v>
      </c>
      <c r="Q12" s="30">
        <f>IF('Reefer capacity AVG '!M65&lt;1,'Reefer capacity AVG  No X '!M74,'Portland IMT'!P12)</f>
        <v>-6796.1368606355836</v>
      </c>
      <c r="R12" s="30">
        <f>IF('Reefer capacity AVG '!N65&lt;1,'Reefer capacity AVG  No X '!N74,'Portland IMT'!Q12)</f>
        <v>-7901.5851015282024</v>
      </c>
      <c r="S12" s="30">
        <f>IF('Reefer capacity AVG '!O65&lt;1,'Reefer capacity AVG  No X '!O74,'Portland IMT'!R12)</f>
        <v>-9095.4692016922327</v>
      </c>
      <c r="T12" s="30">
        <f>IF('Reefer capacity AVG '!P65&lt;1,'Reefer capacity AVG  No X '!P74,'Portland IMT'!S12)</f>
        <v>-10384.864029869381</v>
      </c>
      <c r="U12" s="30">
        <f>IF('Reefer capacity AVG '!Q65&lt;1,'Reefer capacity AVG  No X '!Q74,'Portland IMT'!T12)</f>
        <v>-11777.410444300707</v>
      </c>
      <c r="V12" s="30">
        <f>IF('Reefer capacity AVG '!R65&lt;1,'Reefer capacity AVG  No X '!R74,'Portland IMT'!U12)</f>
        <v>-13281.360571886536</v>
      </c>
      <c r="W12" s="30">
        <f>IF('Reefer capacity AVG '!S65&lt;1,'Reefer capacity AVG  No X '!S74,'Portland IMT'!V12)</f>
        <v>-14905.626709679231</v>
      </c>
      <c r="X12" s="30">
        <f>IF('Reefer capacity AVG '!T65&lt;1,'Reefer capacity AVG  No X '!T74,'Portland IMT'!W12)</f>
        <v>-14905.626709679231</v>
      </c>
      <c r="Y12" s="30">
        <f>IF('Reefer capacity AVG '!U65&lt;1,'Reefer capacity AVG  No X '!U74,'Portland IMT'!X12)</f>
        <v>-14905.626709679231</v>
      </c>
      <c r="Z12" s="30">
        <f>IF('Reefer capacity AVG '!V65&lt;1,'Reefer capacity AVG  No X '!V74,'Portland IMT'!Y12)</f>
        <v>-14905.626709679231</v>
      </c>
      <c r="AA12" s="30">
        <f>IF('Reefer capacity AVG '!W65&lt;1,'Reefer capacity AVG  No X '!W74,'Portland IMT'!Z12)</f>
        <v>-14905.626709679231</v>
      </c>
      <c r="AB12" s="30">
        <f>IF('Reefer capacity AVG '!X65&lt;1,'Reefer capacity AVG  No X '!X74,'Portland IMT'!AA12)</f>
        <v>-14905.626709679231</v>
      </c>
      <c r="AC12" s="30">
        <f>IF('Reefer capacity AVG '!Y65&lt;1,'Reefer capacity AVG  No X '!Y74,'Portland IMT'!AB12)</f>
        <v>-14905.626709679231</v>
      </c>
      <c r="AD12" s="30">
        <f>IF('Reefer capacity AVG '!Z65&lt;1,'Reefer capacity AVG  No X '!Z74,'Portland IMT'!AC12)</f>
        <v>-14905.626709679231</v>
      </c>
      <c r="AE12" s="30">
        <f>IF('Reefer capacity AVG '!AA65&lt;1,'Reefer capacity AVG  No X '!AA74,'Portland IMT'!AD12)</f>
        <v>-14905.626709679231</v>
      </c>
      <c r="AF12" s="30">
        <f>IF('Reefer capacity AVG '!AB65&lt;1,'Reefer capacity AVG  No X '!AB74,'Portland IMT'!AE12)</f>
        <v>-14905.626709679231</v>
      </c>
      <c r="AG12" s="30">
        <f>IF('Reefer capacity AVG '!AC65&lt;1,'Reefer capacity AVG  No X '!AC74,'Portland IMT'!AF12)</f>
        <v>0</v>
      </c>
      <c r="AH12" s="30">
        <f>IF('Reefer capacity AVG '!AD65&lt;1,'Reefer capacity AVG  No X '!AD74,'Portland IMT'!AG12)</f>
        <v>0</v>
      </c>
    </row>
    <row r="13" spans="2:34">
      <c r="B13" s="318"/>
      <c r="C13" s="318"/>
      <c r="D13" s="325" t="s">
        <v>12</v>
      </c>
      <c r="F13" s="34" t="s">
        <v>11</v>
      </c>
      <c r="G13" s="30">
        <f>G12*G11*G9</f>
        <v>0</v>
      </c>
      <c r="H13" s="30">
        <f>H12*H11*H9</f>
        <v>0</v>
      </c>
      <c r="I13" s="30">
        <f>I12*I11*I9</f>
        <v>0</v>
      </c>
      <c r="J13" s="30">
        <f>J12*J11*J9</f>
        <v>-624.45854233869329</v>
      </c>
      <c r="K13" s="30">
        <f>K12*K11*K9</f>
        <v>-1011.4696009508522</v>
      </c>
      <c r="L13" s="30">
        <f>L12*L11*L9</f>
        <v>-1429.4415442519855</v>
      </c>
      <c r="M13" s="30">
        <f>M12*M11*M9</f>
        <v>-1880.8512430172075</v>
      </c>
      <c r="N13" s="30">
        <f>N12*N11*N9</f>
        <v>-2368.3737176836476</v>
      </c>
      <c r="O13" s="30">
        <f>O12*O11*O9</f>
        <v>-2894.8979903234031</v>
      </c>
      <c r="P13" s="30">
        <f>P12*P11*P9</f>
        <v>-3463.5442047743395</v>
      </c>
      <c r="Q13" s="30">
        <f>Q12*Q11*Q9</f>
        <v>-4077.6821163813502</v>
      </c>
      <c r="R13" s="30">
        <f>R12*R11*R9</f>
        <v>-4740.9510609169211</v>
      </c>
      <c r="S13" s="30">
        <f>S12*S11*S9</f>
        <v>-5457.2815210153394</v>
      </c>
      <c r="T13" s="30">
        <f>T12*T11*T9</f>
        <v>-6230.9184179216281</v>
      </c>
      <c r="U13" s="30">
        <f>U12*U11*U9</f>
        <v>-7066.446266580424</v>
      </c>
      <c r="V13" s="30">
        <f>V12*V11*V9</f>
        <v>-7968.8163431319217</v>
      </c>
      <c r="W13" s="30">
        <f>W12*W11*W9</f>
        <v>-8943.3760258075381</v>
      </c>
      <c r="X13" s="30">
        <f>X12*X11*X9</f>
        <v>-8943.3760258075381</v>
      </c>
      <c r="Y13" s="30">
        <f>Y12*Y11*Y9</f>
        <v>-8943.3760258075381</v>
      </c>
      <c r="Z13" s="30">
        <f>Z12*Z11*Z9</f>
        <v>-8943.3760258075381</v>
      </c>
      <c r="AA13" s="30">
        <f>AA12*AA11*AA9</f>
        <v>-8943.3760258075381</v>
      </c>
      <c r="AB13" s="30">
        <f>AB12*AB11*AB9</f>
        <v>-8943.3760258075381</v>
      </c>
      <c r="AC13" s="30">
        <f>AC12*AC11*AC9</f>
        <v>-8943.3760258075381</v>
      </c>
      <c r="AD13" s="30">
        <f>AD12*AD11*AD9</f>
        <v>-8943.3760258075381</v>
      </c>
      <c r="AE13" s="30">
        <f>AE12*AE11*AE9</f>
        <v>-8943.3760258075381</v>
      </c>
      <c r="AF13" s="30">
        <f>AF12*AF11*AF9</f>
        <v>0</v>
      </c>
      <c r="AG13" s="30">
        <f>AG12*AG11*AG9</f>
        <v>0</v>
      </c>
      <c r="AH13" s="30">
        <f>AH12*AH11*AH9</f>
        <v>0</v>
      </c>
    </row>
    <row r="14" spans="2:34">
      <c r="B14" s="318"/>
      <c r="C14" s="318"/>
      <c r="D14" s="325"/>
      <c r="F14" s="34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2:34">
      <c r="D15" s="34" t="s">
        <v>13</v>
      </c>
      <c r="E15" s="314" t="s">
        <v>14</v>
      </c>
      <c r="F15" s="34" t="s">
        <v>15</v>
      </c>
      <c r="G15" s="317">
        <f>'ref2023.0206a'!D44</f>
        <v>4.5184139999999999</v>
      </c>
      <c r="H15" s="317">
        <f>'ref2023.0206a'!E44</f>
        <v>4.2866369999999998</v>
      </c>
      <c r="I15" s="317">
        <f>'ref2023.0206a'!F44</f>
        <v>3.996505</v>
      </c>
      <c r="J15" s="317">
        <f>'ref2023.0206a'!G44</f>
        <v>3.8693710000000001</v>
      </c>
      <c r="K15" s="317">
        <f>'ref2023.0206a'!H44</f>
        <v>3.7410540000000001</v>
      </c>
      <c r="L15" s="317">
        <f>'ref2023.0206a'!I44</f>
        <v>3.6345890000000001</v>
      </c>
      <c r="M15" s="317">
        <f>'ref2023.0206a'!J44</f>
        <v>3.647751</v>
      </c>
      <c r="N15" s="317">
        <f>'ref2023.0206a'!K44</f>
        <v>3.6511490000000002</v>
      </c>
      <c r="O15" s="317">
        <f>'ref2023.0206a'!L44</f>
        <v>3.6727180000000001</v>
      </c>
      <c r="P15" s="317">
        <f>'ref2023.0206a'!M44</f>
        <v>3.6899760000000001</v>
      </c>
      <c r="Q15" s="317">
        <f>'ref2023.0206a'!N44</f>
        <v>3.7063929999999998</v>
      </c>
      <c r="R15" s="317">
        <f>'ref2023.0206a'!O44</f>
        <v>3.7128269999999999</v>
      </c>
      <c r="S15" s="317">
        <f>'ref2023.0206a'!P44</f>
        <v>3.7413090000000002</v>
      </c>
      <c r="T15" s="317">
        <f>'ref2023.0206a'!Q44</f>
        <v>3.7421289999999998</v>
      </c>
      <c r="U15" s="317">
        <f>'ref2023.0206a'!R44</f>
        <v>3.7611910000000002</v>
      </c>
      <c r="V15" s="317">
        <f>'ref2023.0206a'!S44</f>
        <v>3.7750789999999999</v>
      </c>
      <c r="W15" s="317">
        <f>'ref2023.0206a'!T44</f>
        <v>3.7809750000000002</v>
      </c>
      <c r="X15" s="317">
        <f>'ref2023.0206a'!U44</f>
        <v>3.787541</v>
      </c>
      <c r="Y15" s="317">
        <f>'ref2023.0206a'!V44</f>
        <v>3.810997</v>
      </c>
      <c r="Z15" s="317">
        <f>'ref2023.0206a'!W44</f>
        <v>3.8124370000000001</v>
      </c>
      <c r="AA15" s="317">
        <f>'ref2023.0206a'!X44</f>
        <v>3.8289230000000001</v>
      </c>
      <c r="AB15" s="317">
        <f>'ref2023.0206a'!Y44</f>
        <v>3.8159420000000002</v>
      </c>
      <c r="AC15" s="317">
        <f>'ref2023.0206a'!Z44</f>
        <v>3.82362</v>
      </c>
      <c r="AD15" s="317">
        <f>'ref2023.0206a'!AA44</f>
        <v>3.9042400000000002</v>
      </c>
      <c r="AE15" s="317">
        <f>'ref2023.0206a'!AB44</f>
        <v>3.9077069999999998</v>
      </c>
      <c r="AF15" s="317">
        <f>'ref2023.0206a'!AC44</f>
        <v>3.9143530000000002</v>
      </c>
      <c r="AG15" s="317">
        <f>'ref2023.0206a'!AD44</f>
        <v>3.9231009999999999</v>
      </c>
      <c r="AH15" s="317">
        <f>'ref2023.0206a'!AE44</f>
        <v>3.9241450000000002</v>
      </c>
    </row>
    <row r="16" spans="2:34" s="40" customFormat="1">
      <c r="D16" s="34" t="s">
        <v>16</v>
      </c>
      <c r="E16" s="315" t="s">
        <v>17</v>
      </c>
      <c r="F16" s="34" t="s">
        <v>18</v>
      </c>
      <c r="G16" s="316">
        <v>7.4979230000000001</v>
      </c>
      <c r="H16" s="316">
        <v>7.5963000000000003</v>
      </c>
      <c r="I16" s="316">
        <v>7.7078199999999999</v>
      </c>
      <c r="J16" s="316">
        <v>7.8329129999999996</v>
      </c>
      <c r="K16" s="316">
        <v>7.9705199999999996</v>
      </c>
      <c r="L16" s="316">
        <v>8.1095889999999997</v>
      </c>
      <c r="M16" s="316">
        <v>8.2548340000000007</v>
      </c>
      <c r="N16" s="316">
        <v>8.4030609999999992</v>
      </c>
      <c r="O16" s="316">
        <v>8.5515559999999997</v>
      </c>
      <c r="P16" s="316">
        <v>8.6958099999999998</v>
      </c>
      <c r="Q16" s="316">
        <v>8.8307520000000004</v>
      </c>
      <c r="R16" s="316">
        <v>8.9557470000000006</v>
      </c>
      <c r="S16" s="316">
        <v>9.070722</v>
      </c>
      <c r="T16" s="316">
        <v>9.1772019999999994</v>
      </c>
      <c r="U16" s="316">
        <v>9.2750280000000007</v>
      </c>
      <c r="V16" s="316">
        <v>9.3638530000000006</v>
      </c>
      <c r="W16" s="316">
        <v>9.4448039999999995</v>
      </c>
      <c r="X16" s="316">
        <v>9.5191499999999998</v>
      </c>
      <c r="Y16" s="316">
        <v>9.5881900000000009</v>
      </c>
      <c r="Z16" s="316">
        <v>9.6490120000000008</v>
      </c>
      <c r="AA16" s="316">
        <v>9.7042540000000006</v>
      </c>
      <c r="AB16" s="316">
        <v>9.7545149999999996</v>
      </c>
      <c r="AC16" s="316">
        <v>9.801952</v>
      </c>
      <c r="AD16" s="316">
        <v>9.8482450000000004</v>
      </c>
      <c r="AE16" s="316">
        <v>9.8940520000000003</v>
      </c>
      <c r="AF16" s="316">
        <v>9.9400309999999994</v>
      </c>
      <c r="AG16" s="316">
        <v>9.9859729999999995</v>
      </c>
      <c r="AH16" s="316">
        <v>9.9859729999999995</v>
      </c>
    </row>
    <row r="17" spans="2:34">
      <c r="D17" t="s">
        <v>19</v>
      </c>
      <c r="E17" t="s">
        <v>20</v>
      </c>
      <c r="F17" t="s">
        <v>21</v>
      </c>
      <c r="G17">
        <f>SUM('BCA Inputs'!$F$22,'BCA Inputs'!$F$25,'BCA Inputs'!$F$28)</f>
        <v>0.2387</v>
      </c>
      <c r="H17">
        <f>SUM('BCA Inputs'!$F$22,'BCA Inputs'!$F$25,'BCA Inputs'!$F$28)</f>
        <v>0.2387</v>
      </c>
      <c r="I17">
        <f>SUM('BCA Inputs'!$F$22,'BCA Inputs'!$F$25,'BCA Inputs'!$F$28)</f>
        <v>0.2387</v>
      </c>
      <c r="J17">
        <f>SUM('BCA Inputs'!$F$22,'BCA Inputs'!$F$25,'BCA Inputs'!$F$28)</f>
        <v>0.2387</v>
      </c>
      <c r="K17">
        <f>SUM('BCA Inputs'!$F$22,'BCA Inputs'!$F$25,'BCA Inputs'!$F$28)</f>
        <v>0.2387</v>
      </c>
      <c r="L17">
        <f>SUM('BCA Inputs'!$F$22,'BCA Inputs'!$F$25,'BCA Inputs'!$F$28)</f>
        <v>0.2387</v>
      </c>
      <c r="M17">
        <f>SUM('BCA Inputs'!$F$22,'BCA Inputs'!$F$25,'BCA Inputs'!$F$28)</f>
        <v>0.2387</v>
      </c>
      <c r="N17">
        <f>SUM('BCA Inputs'!$F$22,'BCA Inputs'!$F$25,'BCA Inputs'!$F$28)</f>
        <v>0.2387</v>
      </c>
      <c r="O17">
        <f>SUM('BCA Inputs'!$F$22,'BCA Inputs'!$F$25,'BCA Inputs'!$F$28)</f>
        <v>0.2387</v>
      </c>
      <c r="P17">
        <f>SUM('BCA Inputs'!$F$22,'BCA Inputs'!$F$25,'BCA Inputs'!$F$28)</f>
        <v>0.2387</v>
      </c>
      <c r="Q17">
        <f>SUM('BCA Inputs'!$F$22,'BCA Inputs'!$F$25,'BCA Inputs'!$F$28)</f>
        <v>0.2387</v>
      </c>
      <c r="R17">
        <f>SUM('BCA Inputs'!$F$22,'BCA Inputs'!$F$25,'BCA Inputs'!$F$28)</f>
        <v>0.2387</v>
      </c>
      <c r="S17">
        <f>SUM('BCA Inputs'!$F$22,'BCA Inputs'!$F$25,'BCA Inputs'!$F$28)</f>
        <v>0.2387</v>
      </c>
      <c r="T17">
        <f>SUM('BCA Inputs'!$F$22,'BCA Inputs'!$F$25,'BCA Inputs'!$F$28)</f>
        <v>0.2387</v>
      </c>
      <c r="U17">
        <f>SUM('BCA Inputs'!$F$22,'BCA Inputs'!$F$25,'BCA Inputs'!$F$28)</f>
        <v>0.2387</v>
      </c>
      <c r="V17">
        <f>SUM('BCA Inputs'!$F$22,'BCA Inputs'!$F$25,'BCA Inputs'!$F$28)</f>
        <v>0.2387</v>
      </c>
      <c r="W17">
        <f>SUM('BCA Inputs'!$F$22,'BCA Inputs'!$F$25,'BCA Inputs'!$F$28)</f>
        <v>0.2387</v>
      </c>
      <c r="X17">
        <f>SUM('BCA Inputs'!$F$22,'BCA Inputs'!$F$25,'BCA Inputs'!$F$28)</f>
        <v>0.2387</v>
      </c>
      <c r="Y17">
        <f>SUM('BCA Inputs'!$F$22,'BCA Inputs'!$F$25,'BCA Inputs'!$F$28)</f>
        <v>0.2387</v>
      </c>
      <c r="Z17">
        <f>SUM('BCA Inputs'!$F$22,'BCA Inputs'!$F$25,'BCA Inputs'!$F$28)</f>
        <v>0.2387</v>
      </c>
      <c r="AA17">
        <f>SUM('BCA Inputs'!$F$22,'BCA Inputs'!$F$25,'BCA Inputs'!$F$28)</f>
        <v>0.2387</v>
      </c>
      <c r="AB17">
        <f>SUM('BCA Inputs'!$F$22,'BCA Inputs'!$F$25,'BCA Inputs'!$F$28)</f>
        <v>0.2387</v>
      </c>
      <c r="AC17">
        <f>SUM('BCA Inputs'!$F$22,'BCA Inputs'!$F$25,'BCA Inputs'!$F$28)</f>
        <v>0.2387</v>
      </c>
      <c r="AD17">
        <f>SUM('BCA Inputs'!$F$22,'BCA Inputs'!$F$25,'BCA Inputs'!$F$28)</f>
        <v>0.2387</v>
      </c>
      <c r="AE17">
        <f>SUM('BCA Inputs'!$F$22,'BCA Inputs'!$F$25,'BCA Inputs'!$F$28)</f>
        <v>0.2387</v>
      </c>
      <c r="AF17">
        <f>SUM('BCA Inputs'!$F$22,'BCA Inputs'!$F$25,'BCA Inputs'!$F$28)</f>
        <v>0.2387</v>
      </c>
      <c r="AG17">
        <f>SUM('BCA Inputs'!$F$22,'BCA Inputs'!$F$25,'BCA Inputs'!$F$28)</f>
        <v>0.2387</v>
      </c>
      <c r="AH17">
        <f>SUM('BCA Inputs'!$F$22,'BCA Inputs'!$F$25,'BCA Inputs'!$F$28)</f>
        <v>0.2387</v>
      </c>
    </row>
    <row r="18" spans="2:34">
      <c r="D18" s="34" t="s">
        <v>22</v>
      </c>
      <c r="F18" s="34" t="s">
        <v>23</v>
      </c>
      <c r="G18" s="30">
        <f>G9*-1*G13*'BCA Inputs'!$F$43</f>
        <v>0</v>
      </c>
      <c r="H18" s="30">
        <f>H9*-1*H13*'BCA Inputs'!$F$43</f>
        <v>0</v>
      </c>
      <c r="I18" s="30">
        <f>I9*-1*I13*'BCA Inputs'!$F$43</f>
        <v>0</v>
      </c>
      <c r="J18" s="30">
        <f>-1*J13*'BCA Inputs'!$F$43</f>
        <v>139878.71348386729</v>
      </c>
      <c r="K18" s="30">
        <f>K9*-1*K13*'BCA Inputs'!$F$43</f>
        <v>226569.19061299087</v>
      </c>
      <c r="L18" s="30">
        <f>L9*-1*L13*'BCA Inputs'!$F$43</f>
        <v>320194.90591244475</v>
      </c>
      <c r="M18" s="30">
        <f>M9*-1*M13*'BCA Inputs'!$F$43</f>
        <v>421310.6784358545</v>
      </c>
      <c r="N18" s="30">
        <f>N9*-1*N13*'BCA Inputs'!$F$43</f>
        <v>530515.71276113705</v>
      </c>
      <c r="O18" s="30">
        <f>O9*-1*O13*'BCA Inputs'!$F$43</f>
        <v>648457.14983244229</v>
      </c>
      <c r="P18" s="30">
        <f>P9*-1*P13*'BCA Inputs'!$F$43</f>
        <v>775833.90186945209</v>
      </c>
      <c r="Q18" s="30">
        <f>Q9*-1*Q13*'BCA Inputs'!$F$43</f>
        <v>913400.79406942241</v>
      </c>
      <c r="R18" s="30">
        <f>R9*-1*R13*'BCA Inputs'!$F$43</f>
        <v>1061973.0376453903</v>
      </c>
      <c r="S18" s="30">
        <f>S9*-1*S13*'BCA Inputs'!$F$43</f>
        <v>1222431.0607074359</v>
      </c>
      <c r="T18" s="30">
        <f>T9*-1*T13*'BCA Inputs'!$F$43</f>
        <v>1395725.7256144448</v>
      </c>
      <c r="U18" s="30">
        <f>U9*-1*U13*'BCA Inputs'!$F$43</f>
        <v>1582883.963714015</v>
      </c>
      <c r="V18" s="30">
        <f>V9*-1*V13*'BCA Inputs'!$F$43</f>
        <v>1785014.8608615506</v>
      </c>
      <c r="W18" s="30">
        <f>W9*-1*W13*'BCA Inputs'!$F$43</f>
        <v>2003316.2297808887</v>
      </c>
      <c r="X18" s="30">
        <f>X9*-1*X13*'BCA Inputs'!$F$43</f>
        <v>2003316.2297808887</v>
      </c>
      <c r="Y18" s="30">
        <f>Y9*-1*Y13*'BCA Inputs'!$F$43</f>
        <v>2003316.2297808887</v>
      </c>
      <c r="Z18" s="30">
        <f>Z9*-1*Z13*'BCA Inputs'!$F$43</f>
        <v>2003316.2297808887</v>
      </c>
      <c r="AA18" s="30">
        <f>AA9*-1*AA13*'BCA Inputs'!$F$43</f>
        <v>2003316.2297808887</v>
      </c>
      <c r="AB18" s="30">
        <f>AB9*-1*AB13*'BCA Inputs'!$F$43</f>
        <v>2003316.2297808887</v>
      </c>
      <c r="AC18" s="30">
        <f>AC9*-1*AC13*'BCA Inputs'!$F$43</f>
        <v>2003316.2297808887</v>
      </c>
      <c r="AD18" s="30">
        <f>AD9*-1*AD13*'BCA Inputs'!$F$43</f>
        <v>2003316.2297808887</v>
      </c>
      <c r="AE18" s="30">
        <f>AE9*-1*AE13*'BCA Inputs'!$F$43</f>
        <v>2003316.2297808887</v>
      </c>
      <c r="AF18" s="30">
        <f>AF9*-1*AF13*'BCA Inputs'!$F$43</f>
        <v>0</v>
      </c>
      <c r="AG18" s="30">
        <f>AG9*-1*AG13*'BCA Inputs'!$F$43</f>
        <v>0</v>
      </c>
      <c r="AH18" s="30">
        <f>AH9*-1*AH13*'BCA Inputs'!$F$43</f>
        <v>0</v>
      </c>
    </row>
    <row r="19" spans="2:34">
      <c r="B19" s="318"/>
      <c r="C19" s="318"/>
      <c r="D19" s="325" t="s">
        <v>24</v>
      </c>
      <c r="F19" t="s">
        <v>25</v>
      </c>
      <c r="G19" s="30">
        <f>G18*'BCA Inputs'!$F$45/'BCA Inputs'!$F$44</f>
        <v>0</v>
      </c>
      <c r="H19" s="30">
        <f>H18*'BCA Inputs'!$F$45/'BCA Inputs'!$F$44</f>
        <v>0</v>
      </c>
      <c r="I19" s="30">
        <f>I18*'BCA Inputs'!$F$45/'BCA Inputs'!$F$44</f>
        <v>0</v>
      </c>
      <c r="J19" s="30">
        <f>J18*'BCA Inputs'!$F$45/'BCA Inputs'!$F$44</f>
        <v>2797.5742696773459</v>
      </c>
      <c r="K19" s="30">
        <f>K18*'BCA Inputs'!$F$45/'BCA Inputs'!$F$44</f>
        <v>4531.3838122598181</v>
      </c>
      <c r="L19" s="30">
        <f>L18*'BCA Inputs'!$F$45/'BCA Inputs'!$F$44</f>
        <v>6403.8981182488951</v>
      </c>
      <c r="M19" s="30">
        <f>M18*'BCA Inputs'!$F$45/'BCA Inputs'!$F$44</f>
        <v>8426.2135687170903</v>
      </c>
      <c r="N19" s="30">
        <f>N18*'BCA Inputs'!$F$45/'BCA Inputs'!$F$44</f>
        <v>10610.314255222742</v>
      </c>
      <c r="O19" s="30">
        <f>O18*'BCA Inputs'!$F$45/'BCA Inputs'!$F$44</f>
        <v>12969.142996648847</v>
      </c>
      <c r="P19" s="30">
        <f>P18*'BCA Inputs'!$F$45/'BCA Inputs'!$F$44</f>
        <v>15516.678037389041</v>
      </c>
      <c r="Q19" s="30">
        <f>Q18*'BCA Inputs'!$F$45/'BCA Inputs'!$F$44</f>
        <v>18268.015881388448</v>
      </c>
      <c r="R19" s="30">
        <f>R18*'BCA Inputs'!$F$45/'BCA Inputs'!$F$44</f>
        <v>21239.460752907806</v>
      </c>
      <c r="S19" s="30">
        <f>S18*'BCA Inputs'!$F$45/'BCA Inputs'!$F$44</f>
        <v>24448.621214148719</v>
      </c>
      <c r="T19" s="30">
        <f>T18*'BCA Inputs'!$F$45/'BCA Inputs'!$F$44</f>
        <v>27914.514512288897</v>
      </c>
      <c r="U19" s="30">
        <f>U18*'BCA Inputs'!$F$45/'BCA Inputs'!$F$44</f>
        <v>31657.679274280301</v>
      </c>
      <c r="V19" s="30">
        <f>V18*'BCA Inputs'!$F$45/'BCA Inputs'!$F$44</f>
        <v>35700.297217231011</v>
      </c>
      <c r="W19" s="30">
        <f>W18*'BCA Inputs'!$F$45/'BCA Inputs'!$F$44</f>
        <v>40066.324595617778</v>
      </c>
      <c r="X19" s="30">
        <f>X18*'BCA Inputs'!$F$45/'BCA Inputs'!$F$44</f>
        <v>40066.324595617778</v>
      </c>
      <c r="Y19" s="30">
        <f>Y18*'BCA Inputs'!$F$45/'BCA Inputs'!$F$44</f>
        <v>40066.324595617778</v>
      </c>
      <c r="Z19" s="30">
        <f>Z18*'BCA Inputs'!$F$45/'BCA Inputs'!$F$44</f>
        <v>40066.324595617778</v>
      </c>
      <c r="AA19" s="30">
        <f>AA18*'BCA Inputs'!$F$45/'BCA Inputs'!$F$44</f>
        <v>40066.324595617778</v>
      </c>
      <c r="AB19" s="30">
        <f>AB18*'BCA Inputs'!$F$45/'BCA Inputs'!$F$44</f>
        <v>40066.324595617778</v>
      </c>
      <c r="AC19" s="30">
        <f>AC18*'BCA Inputs'!$F$45/'BCA Inputs'!$F$44</f>
        <v>40066.324595617778</v>
      </c>
      <c r="AD19" s="30">
        <f>AD18*'BCA Inputs'!$F$45/'BCA Inputs'!$F$44</f>
        <v>40066.324595617778</v>
      </c>
      <c r="AE19" s="30">
        <f>AE18*'BCA Inputs'!$F$45/'BCA Inputs'!$F$44</f>
        <v>40066.324595617778</v>
      </c>
      <c r="AF19" s="30">
        <f>AF18*'BCA Inputs'!$F$45/'BCA Inputs'!$F$44</f>
        <v>0</v>
      </c>
      <c r="AG19" s="30">
        <f>AG18*'BCA Inputs'!$F$45/'BCA Inputs'!$F$44</f>
        <v>0</v>
      </c>
      <c r="AH19" s="30">
        <f>AH18*'BCA Inputs'!$F$45/'BCA Inputs'!$F$44</f>
        <v>0</v>
      </c>
    </row>
    <row r="20" spans="2:34">
      <c r="B20" s="318"/>
      <c r="C20" s="318"/>
      <c r="D20" s="325" t="s">
        <v>26</v>
      </c>
      <c r="F20" t="s">
        <v>27</v>
      </c>
      <c r="G20" s="30">
        <f>G9*G18/G16*'BCA Inputs'!$F$36</f>
        <v>0</v>
      </c>
      <c r="H20" s="30">
        <f>H9*H18/H16*'BCA Inputs'!$F$36</f>
        <v>0</v>
      </c>
      <c r="I20" s="30">
        <f>I9*I18/I16*'BCA Inputs'!$F$36</f>
        <v>0</v>
      </c>
      <c r="J20" s="30">
        <f>J9*J18/J16*'BCA Inputs'!$F$36</f>
        <v>81183.235481087861</v>
      </c>
      <c r="K20" s="30">
        <f>K9*K18/K16*'BCA Inputs'!$F$36</f>
        <v>129226.69182861492</v>
      </c>
      <c r="L20" s="30">
        <f>L9*L18/L16*'BCA Inputs'!$F$36</f>
        <v>179495.5157184299</v>
      </c>
      <c r="M20" s="30">
        <f>M9*M18/M16*'BCA Inputs'!$F$36</f>
        <v>232023.59516017573</v>
      </c>
      <c r="N20" s="30">
        <f>N9*N18/N16*'BCA Inputs'!$F$36</f>
        <v>287011.14708393498</v>
      </c>
      <c r="O20" s="30">
        <f>O9*O18/O16*'BCA Inputs'!$F$36</f>
        <v>344726.1018090471</v>
      </c>
      <c r="P20" s="30">
        <f>P9*P18/P16*'BCA Inputs'!$F$36</f>
        <v>405598.87381965545</v>
      </c>
      <c r="Q20" s="30">
        <f>Q9*Q18/Q16*'BCA Inputs'!$F$36</f>
        <v>470220.68062958407</v>
      </c>
      <c r="R20" s="30">
        <f>R9*R18/R16*'BCA Inputs'!$F$36</f>
        <v>539075.63564595254</v>
      </c>
      <c r="S20" s="30">
        <f>S9*S18/S16*'BCA Inputs'!$F$36</f>
        <v>612661.44202980399</v>
      </c>
      <c r="T20" s="30">
        <f>T9*T18/T16*'BCA Inputs'!$F$36</f>
        <v>691397.52660544822</v>
      </c>
      <c r="U20" s="30">
        <f>U9*U18/U16*'BCA Inputs'!$F$36</f>
        <v>775839.48626361531</v>
      </c>
      <c r="V20" s="30">
        <f>V9*V18/V16*'BCA Inputs'!$F$36</f>
        <v>866613.15687186527</v>
      </c>
      <c r="W20" s="30">
        <f>W9*W18/W16*'BCA Inputs'!$F$36</f>
        <v>964260.97132821404</v>
      </c>
      <c r="X20" s="30">
        <f>X9*X18/X16*'BCA Inputs'!$F$36</f>
        <v>956729.9474264615</v>
      </c>
      <c r="Y20" s="30">
        <f>Y9*Y18/Y16*'BCA Inputs'!$F$36</f>
        <v>949840.98970135138</v>
      </c>
      <c r="Z20" s="30">
        <f>Z9*Z18/Z16*'BCA Inputs'!$F$36</f>
        <v>943853.72088298784</v>
      </c>
      <c r="AA20" s="30">
        <f>AA9*AA18/AA16*'BCA Inputs'!$F$36</f>
        <v>938480.78162881965</v>
      </c>
      <c r="AB20" s="30">
        <f>AB9*AB18/AB16*'BCA Inputs'!$F$36</f>
        <v>933645.17652026785</v>
      </c>
      <c r="AC20" s="30">
        <f>AC9*AC18/AC16*'BCA Inputs'!$F$36</f>
        <v>929126.75751162635</v>
      </c>
      <c r="AD20" s="30">
        <f>AD9*AD18/AD16*'BCA Inputs'!$F$36</f>
        <v>924759.27224034339</v>
      </c>
      <c r="AE20" s="30">
        <f>AE9*AE18/AE16*'BCA Inputs'!$F$36</f>
        <v>920477.86680771445</v>
      </c>
      <c r="AF20" s="30">
        <f>AF9*AF18/AF16*'BCA Inputs'!$F$36</f>
        <v>0</v>
      </c>
      <c r="AG20" s="30">
        <f>AG9*AG18/AG16*'BCA Inputs'!$F$36</f>
        <v>0</v>
      </c>
      <c r="AH20" s="30">
        <f>AH9*AH18/AH16*'BCA Inputs'!$F$36</f>
        <v>0</v>
      </c>
    </row>
    <row r="21" spans="2:34">
      <c r="D21" s="34"/>
      <c r="F21" s="4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4">
      <c r="D22" s="34" t="s">
        <v>28</v>
      </c>
      <c r="F22" s="34" t="s">
        <v>29</v>
      </c>
      <c r="G22" s="258">
        <f>'BCA Inputs'!$F$31</f>
        <v>50</v>
      </c>
      <c r="H22" s="258">
        <f>'BCA Inputs'!$F$31</f>
        <v>50</v>
      </c>
      <c r="I22" s="258">
        <f>'BCA Inputs'!$F$31</f>
        <v>50</v>
      </c>
      <c r="J22" s="258">
        <f>'BCA Inputs'!$F$31</f>
        <v>50</v>
      </c>
      <c r="K22" s="258">
        <f>'BCA Inputs'!$F$31</f>
        <v>50</v>
      </c>
      <c r="L22" s="258">
        <f>'BCA Inputs'!$F$31</f>
        <v>50</v>
      </c>
      <c r="M22" s="258">
        <f>'BCA Inputs'!$F$31</f>
        <v>50</v>
      </c>
      <c r="N22" s="258">
        <f>'BCA Inputs'!$F$31</f>
        <v>50</v>
      </c>
      <c r="O22" s="258">
        <f>'BCA Inputs'!$F$31</f>
        <v>50</v>
      </c>
      <c r="P22" s="258">
        <f>'BCA Inputs'!$F$31</f>
        <v>50</v>
      </c>
      <c r="Q22" s="258">
        <f>'BCA Inputs'!$F$31</f>
        <v>50</v>
      </c>
      <c r="R22" s="258">
        <f>'BCA Inputs'!$F$31</f>
        <v>50</v>
      </c>
      <c r="S22" s="258">
        <f>'BCA Inputs'!$F$31</f>
        <v>50</v>
      </c>
      <c r="T22" s="258">
        <f>'BCA Inputs'!$F$31</f>
        <v>50</v>
      </c>
      <c r="U22" s="258">
        <f>'BCA Inputs'!$F$31</f>
        <v>50</v>
      </c>
      <c r="V22" s="258">
        <f>'BCA Inputs'!$F$31</f>
        <v>50</v>
      </c>
      <c r="W22" s="258">
        <f>'BCA Inputs'!$F$31</f>
        <v>50</v>
      </c>
      <c r="X22" s="258">
        <f>'BCA Inputs'!$F$31</f>
        <v>50</v>
      </c>
      <c r="Y22" s="258">
        <f>'BCA Inputs'!$F$31</f>
        <v>50</v>
      </c>
      <c r="Z22" s="258">
        <f>'BCA Inputs'!$F$31</f>
        <v>50</v>
      </c>
      <c r="AA22" s="258">
        <f>'BCA Inputs'!$F$31</f>
        <v>50</v>
      </c>
      <c r="AB22" s="258">
        <f>'BCA Inputs'!$F$31</f>
        <v>50</v>
      </c>
      <c r="AC22" s="258">
        <f>'BCA Inputs'!$F$31</f>
        <v>50</v>
      </c>
      <c r="AD22" s="258">
        <f>'BCA Inputs'!$F$31</f>
        <v>50</v>
      </c>
      <c r="AE22" s="258">
        <f>'BCA Inputs'!$F$31</f>
        <v>50</v>
      </c>
      <c r="AF22" s="258">
        <f>'BCA Inputs'!$F$31</f>
        <v>50</v>
      </c>
      <c r="AG22" s="258">
        <f>'BCA Inputs'!$F$31</f>
        <v>50</v>
      </c>
      <c r="AH22" s="258">
        <f>'BCA Inputs'!$F$31</f>
        <v>50</v>
      </c>
    </row>
    <row r="23" spans="2:34">
      <c r="D23" s="34" t="s">
        <v>30</v>
      </c>
      <c r="F23" s="34" t="s">
        <v>31</v>
      </c>
      <c r="G23" s="258">
        <f>'BCA Inputs'!$F$30</f>
        <v>14.761904761904763</v>
      </c>
      <c r="H23" s="258">
        <f>'BCA Inputs'!$F$30</f>
        <v>14.761904761904763</v>
      </c>
      <c r="I23" s="258">
        <f>'BCA Inputs'!$F$30</f>
        <v>14.761904761904763</v>
      </c>
      <c r="J23" s="258">
        <f>'BCA Inputs'!$F$30</f>
        <v>14.761904761904763</v>
      </c>
      <c r="K23" s="258">
        <f>'BCA Inputs'!$F$30</f>
        <v>14.761904761904763</v>
      </c>
      <c r="L23" s="258">
        <f>'BCA Inputs'!$F$30</f>
        <v>14.761904761904763</v>
      </c>
      <c r="M23" s="258">
        <f>'BCA Inputs'!$F$30</f>
        <v>14.761904761904763</v>
      </c>
      <c r="N23" s="258">
        <f>'BCA Inputs'!$F$30</f>
        <v>14.761904761904763</v>
      </c>
      <c r="O23" s="258">
        <f>'BCA Inputs'!$F$30</f>
        <v>14.761904761904763</v>
      </c>
      <c r="P23" s="258">
        <f>'BCA Inputs'!$F$30</f>
        <v>14.761904761904763</v>
      </c>
      <c r="Q23" s="258">
        <f>'BCA Inputs'!$F$30</f>
        <v>14.761904761904763</v>
      </c>
      <c r="R23" s="258">
        <f>'BCA Inputs'!$F$30</f>
        <v>14.761904761904763</v>
      </c>
      <c r="S23" s="258">
        <f>'BCA Inputs'!$F$30</f>
        <v>14.761904761904763</v>
      </c>
      <c r="T23" s="258">
        <f>'BCA Inputs'!$F$30</f>
        <v>14.761904761904763</v>
      </c>
      <c r="U23" s="258">
        <f>'BCA Inputs'!$F$30</f>
        <v>14.761904761904763</v>
      </c>
      <c r="V23" s="258">
        <f>'BCA Inputs'!$F$30</f>
        <v>14.761904761904763</v>
      </c>
      <c r="W23" s="258">
        <f>'BCA Inputs'!$F$30</f>
        <v>14.761904761904763</v>
      </c>
      <c r="X23" s="258">
        <f>'BCA Inputs'!$F$30</f>
        <v>14.761904761904763</v>
      </c>
      <c r="Y23" s="258">
        <f>'BCA Inputs'!$F$30</f>
        <v>14.761904761904763</v>
      </c>
      <c r="Z23" s="258">
        <f>'BCA Inputs'!$F$30</f>
        <v>14.761904761904763</v>
      </c>
      <c r="AA23" s="258">
        <f>'BCA Inputs'!$F$30</f>
        <v>14.761904761904763</v>
      </c>
      <c r="AB23" s="258">
        <f>'BCA Inputs'!$F$30</f>
        <v>14.761904761904763</v>
      </c>
      <c r="AC23" s="258">
        <f>'BCA Inputs'!$F$30</f>
        <v>14.761904761904763</v>
      </c>
      <c r="AD23" s="258">
        <f>'BCA Inputs'!$F$30</f>
        <v>14.761904761904763</v>
      </c>
      <c r="AE23" s="258">
        <f>'BCA Inputs'!$F$30</f>
        <v>14.761904761904763</v>
      </c>
      <c r="AF23" s="258">
        <f>'BCA Inputs'!$F$30</f>
        <v>14.761904761904763</v>
      </c>
      <c r="AG23" s="258">
        <f>'BCA Inputs'!$F$30</f>
        <v>14.761904761904763</v>
      </c>
      <c r="AH23" s="258">
        <f>'BCA Inputs'!$F$30</f>
        <v>14.761904761904763</v>
      </c>
    </row>
    <row r="24" spans="2:34">
      <c r="D24" s="34" t="s">
        <v>32</v>
      </c>
      <c r="F24" s="34" t="s">
        <v>33</v>
      </c>
      <c r="G24" s="258">
        <f>'BCA Inputs'!$F$32</f>
        <v>1163.7499999999998</v>
      </c>
      <c r="H24" s="258">
        <f>'BCA Inputs'!$F$32</f>
        <v>1163.7499999999998</v>
      </c>
      <c r="I24" s="258">
        <f>'BCA Inputs'!$F$32</f>
        <v>1163.7499999999998</v>
      </c>
      <c r="J24" s="258">
        <f>'BCA Inputs'!$F$32</f>
        <v>1163.7499999999998</v>
      </c>
      <c r="K24" s="258">
        <f>'BCA Inputs'!$F$32</f>
        <v>1163.7499999999998</v>
      </c>
      <c r="L24" s="258">
        <f>'BCA Inputs'!$F$32</f>
        <v>1163.7499999999998</v>
      </c>
      <c r="M24" s="258">
        <f>'BCA Inputs'!$F$32</f>
        <v>1163.7499999999998</v>
      </c>
      <c r="N24" s="258">
        <f>'BCA Inputs'!$F$32</f>
        <v>1163.7499999999998</v>
      </c>
      <c r="O24" s="258">
        <f>'BCA Inputs'!$F$32</f>
        <v>1163.7499999999998</v>
      </c>
      <c r="P24" s="258">
        <f>'BCA Inputs'!$F$32</f>
        <v>1163.7499999999998</v>
      </c>
      <c r="Q24" s="258">
        <f>'BCA Inputs'!$F$32</f>
        <v>1163.7499999999998</v>
      </c>
      <c r="R24" s="258">
        <f>'BCA Inputs'!$F$32</f>
        <v>1163.7499999999998</v>
      </c>
      <c r="S24" s="258">
        <f>'BCA Inputs'!$F$32</f>
        <v>1163.7499999999998</v>
      </c>
      <c r="T24" s="258">
        <f>'BCA Inputs'!$F$32</f>
        <v>1163.7499999999998</v>
      </c>
      <c r="U24" s="258">
        <f>'BCA Inputs'!$F$32</f>
        <v>1163.7499999999998</v>
      </c>
      <c r="V24" s="258">
        <f>'BCA Inputs'!$F$32</f>
        <v>1163.7499999999998</v>
      </c>
      <c r="W24" s="258">
        <f>'BCA Inputs'!$F$32</f>
        <v>1163.7499999999998</v>
      </c>
      <c r="X24" s="258">
        <f>'BCA Inputs'!$F$32</f>
        <v>1163.7499999999998</v>
      </c>
      <c r="Y24" s="258">
        <f>'BCA Inputs'!$F$32</f>
        <v>1163.7499999999998</v>
      </c>
      <c r="Z24" s="258">
        <f>'BCA Inputs'!$F$32</f>
        <v>1163.7499999999998</v>
      </c>
      <c r="AA24" s="258">
        <f>'BCA Inputs'!$F$32</f>
        <v>1163.7499999999998</v>
      </c>
      <c r="AB24" s="258">
        <f>'BCA Inputs'!$F$32</f>
        <v>1163.7499999999998</v>
      </c>
      <c r="AC24" s="258">
        <f>'BCA Inputs'!$F$32</f>
        <v>1163.7499999999998</v>
      </c>
      <c r="AD24" s="258">
        <f>'BCA Inputs'!$F$32</f>
        <v>1163.7499999999998</v>
      </c>
      <c r="AE24" s="258">
        <f>'BCA Inputs'!$F$32</f>
        <v>1163.7499999999998</v>
      </c>
      <c r="AF24" s="258">
        <f>'BCA Inputs'!$F$32</f>
        <v>1163.7499999999998</v>
      </c>
      <c r="AG24" s="258">
        <f>'BCA Inputs'!$F$32</f>
        <v>1163.7499999999998</v>
      </c>
      <c r="AH24" s="258">
        <f>'BCA Inputs'!$F$32</f>
        <v>1163.7499999999998</v>
      </c>
    </row>
    <row r="25" spans="2:34">
      <c r="D25" s="13" t="s">
        <v>34</v>
      </c>
      <c r="F25" t="s">
        <v>35</v>
      </c>
      <c r="G25" s="30">
        <f>G23*G22*G9</f>
        <v>0</v>
      </c>
      <c r="H25" s="30">
        <f>H23*H22*H9</f>
        <v>0</v>
      </c>
      <c r="I25" s="30">
        <f>I23*I22*I9</f>
        <v>0</v>
      </c>
      <c r="J25" s="30">
        <f>J23*J22*J9</f>
        <v>738.09523809523819</v>
      </c>
      <c r="K25" s="30">
        <f>K23*K22*K9</f>
        <v>738.09523809523819</v>
      </c>
      <c r="L25" s="30">
        <f>L23*L22*L9</f>
        <v>738.09523809523819</v>
      </c>
      <c r="M25" s="30">
        <f>M23*M22*M9</f>
        <v>738.09523809523819</v>
      </c>
      <c r="N25" s="30">
        <f>N23*N22*N9</f>
        <v>738.09523809523819</v>
      </c>
      <c r="O25" s="30">
        <f>O23*O22*O9</f>
        <v>738.09523809523819</v>
      </c>
      <c r="P25" s="30">
        <f>P23*P22*P9</f>
        <v>738.09523809523819</v>
      </c>
      <c r="Q25" s="30">
        <f>Q23*Q22*Q9</f>
        <v>738.09523809523819</v>
      </c>
      <c r="R25" s="30">
        <f>R23*R22*R9</f>
        <v>738.09523809523819</v>
      </c>
      <c r="S25" s="30">
        <f>S23*S22*S9</f>
        <v>738.09523809523819</v>
      </c>
      <c r="T25" s="30">
        <f>T23*T22*T9</f>
        <v>738.09523809523819</v>
      </c>
      <c r="U25" s="30">
        <f>U23*U22*U9</f>
        <v>738.09523809523819</v>
      </c>
      <c r="V25" s="30">
        <f>V23*V22*V9</f>
        <v>738.09523809523819</v>
      </c>
      <c r="W25" s="30">
        <f>W23*W22*W9</f>
        <v>738.09523809523819</v>
      </c>
      <c r="X25" s="30">
        <f>X23*X22*X9</f>
        <v>738.09523809523819</v>
      </c>
      <c r="Y25" s="30">
        <f>Y23*Y22*Y9</f>
        <v>738.09523809523819</v>
      </c>
      <c r="Z25" s="30">
        <f>Z23*Z22*Z9</f>
        <v>738.09523809523819</v>
      </c>
      <c r="AA25" s="30">
        <f>AA23*AA22*AA9</f>
        <v>738.09523809523819</v>
      </c>
      <c r="AB25" s="30">
        <f>AB23*AB22*AB9</f>
        <v>738.09523809523819</v>
      </c>
      <c r="AC25" s="30">
        <f>AC23*AC22*AC9</f>
        <v>738.09523809523819</v>
      </c>
      <c r="AD25" s="30">
        <f>AD23*AD22*AD9</f>
        <v>738.09523809523819</v>
      </c>
      <c r="AE25" s="30">
        <f>AE23*AE22*AE9</f>
        <v>738.09523809523819</v>
      </c>
      <c r="AF25" s="30">
        <f>AF23*AF22*AF9</f>
        <v>0</v>
      </c>
      <c r="AG25" s="30">
        <f>AG23*AG22*AG9</f>
        <v>0</v>
      </c>
      <c r="AH25" s="30">
        <f>AH23*AH22*AH9</f>
        <v>0</v>
      </c>
    </row>
    <row r="26" spans="2:34">
      <c r="D26" s="13" t="s">
        <v>36</v>
      </c>
      <c r="F26" t="s">
        <v>37</v>
      </c>
      <c r="G26" s="30">
        <f>G25*'BCA Inputs'!$F$33/24*G9</f>
        <v>0</v>
      </c>
      <c r="H26" s="30">
        <f>H25*'BCA Inputs'!$F$33/24*H9</f>
        <v>0</v>
      </c>
      <c r="I26" s="30">
        <f>I25*'BCA Inputs'!$F$33/24*I9</f>
        <v>0</v>
      </c>
      <c r="J26" s="30">
        <f>J25*'BCA Inputs'!$F$33/24*J9</f>
        <v>1537.6984126984128</v>
      </c>
      <c r="K26" s="30">
        <f>K25*'BCA Inputs'!$F$33/24*K9</f>
        <v>1537.6984126984128</v>
      </c>
      <c r="L26" s="30">
        <f>L25*'BCA Inputs'!$F$33/24*L9</f>
        <v>1537.6984126984128</v>
      </c>
      <c r="M26" s="30">
        <f>M25*'BCA Inputs'!$F$33/24*M9</f>
        <v>1537.6984126984128</v>
      </c>
      <c r="N26" s="30">
        <f>N25*'BCA Inputs'!$F$33/24*N9</f>
        <v>1537.6984126984128</v>
      </c>
      <c r="O26" s="30">
        <f>O25*'BCA Inputs'!$F$33/24*O9</f>
        <v>1537.6984126984128</v>
      </c>
      <c r="P26" s="30">
        <f>P25*'BCA Inputs'!$F$33/24*P9</f>
        <v>1537.6984126984128</v>
      </c>
      <c r="Q26" s="30">
        <f>Q25*'BCA Inputs'!$F$33/24*Q9</f>
        <v>1537.6984126984128</v>
      </c>
      <c r="R26" s="30">
        <f>R25*'BCA Inputs'!$F$33/24*R9</f>
        <v>1537.6984126984128</v>
      </c>
      <c r="S26" s="30">
        <f>S25*'BCA Inputs'!$F$33/24*S9</f>
        <v>1537.6984126984128</v>
      </c>
      <c r="T26" s="30">
        <f>T25*'BCA Inputs'!$F$33/24*T9</f>
        <v>1537.6984126984128</v>
      </c>
      <c r="U26" s="30">
        <f>U25*'BCA Inputs'!$F$33/24*U9</f>
        <v>1537.6984126984128</v>
      </c>
      <c r="V26" s="30">
        <f>V25*'BCA Inputs'!$F$33/24*V9</f>
        <v>1537.6984126984128</v>
      </c>
      <c r="W26" s="30">
        <f>W25*'BCA Inputs'!$F$33/24*W9</f>
        <v>1537.6984126984128</v>
      </c>
      <c r="X26" s="30">
        <f>X25*'BCA Inputs'!$F$33/24*X9</f>
        <v>1537.6984126984128</v>
      </c>
      <c r="Y26" s="30">
        <f>Y25*'BCA Inputs'!$F$33/24*Y9</f>
        <v>1537.6984126984128</v>
      </c>
      <c r="Z26" s="30">
        <f>Z25*'BCA Inputs'!$F$33/24*Z9</f>
        <v>1537.6984126984128</v>
      </c>
      <c r="AA26" s="30">
        <f>AA25*'BCA Inputs'!$F$33/24*AA9</f>
        <v>1537.6984126984128</v>
      </c>
      <c r="AB26" s="30">
        <f>AB25*'BCA Inputs'!$F$33/24*AB9</f>
        <v>1537.6984126984128</v>
      </c>
      <c r="AC26" s="30">
        <f>AC25*'BCA Inputs'!$F$33/24*AC9</f>
        <v>1537.6984126984128</v>
      </c>
      <c r="AD26" s="30">
        <f>AD25*'BCA Inputs'!$F$33/24*AD9</f>
        <v>1537.6984126984128</v>
      </c>
      <c r="AE26" s="30">
        <f>AE25*'BCA Inputs'!$F$33/24*AE9</f>
        <v>1537.6984126984128</v>
      </c>
      <c r="AF26" s="30">
        <f>AF25*'BCA Inputs'!$F$33/24*AF9</f>
        <v>0</v>
      </c>
      <c r="AG26" s="30">
        <f>AG25*'BCA Inputs'!$F$33/24*AG9</f>
        <v>0</v>
      </c>
      <c r="AH26" s="30">
        <f>AH25*'BCA Inputs'!$F$33/24*AH9</f>
        <v>0</v>
      </c>
    </row>
    <row r="27" spans="2:34">
      <c r="D27" s="13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2:34">
      <c r="D28" s="34" t="s">
        <v>38</v>
      </c>
      <c r="E28" t="s">
        <v>20</v>
      </c>
      <c r="F28" t="s">
        <v>39</v>
      </c>
      <c r="G28">
        <f>'BCA Inputs'!I81</f>
        <v>57</v>
      </c>
      <c r="H28">
        <f>'BCA Inputs'!J81</f>
        <v>58</v>
      </c>
      <c r="I28">
        <f>'BCA Inputs'!K81</f>
        <v>59</v>
      </c>
      <c r="J28">
        <f>'BCA Inputs'!L81</f>
        <v>60</v>
      </c>
      <c r="K28">
        <f>'BCA Inputs'!M81</f>
        <v>61</v>
      </c>
      <c r="L28">
        <f>'BCA Inputs'!N81</f>
        <v>62</v>
      </c>
      <c r="M28">
        <f>'BCA Inputs'!O81</f>
        <v>63</v>
      </c>
      <c r="N28">
        <f>'BCA Inputs'!P81</f>
        <v>65</v>
      </c>
      <c r="O28">
        <f>'BCA Inputs'!Q81</f>
        <v>66</v>
      </c>
      <c r="P28">
        <f>'BCA Inputs'!R81</f>
        <v>67</v>
      </c>
      <c r="Q28">
        <f>'BCA Inputs'!S81</f>
        <v>68</v>
      </c>
      <c r="R28">
        <f>'BCA Inputs'!T81</f>
        <v>69</v>
      </c>
      <c r="S28">
        <f>'BCA Inputs'!U81</f>
        <v>70</v>
      </c>
      <c r="T28">
        <f>'BCA Inputs'!V81</f>
        <v>72</v>
      </c>
      <c r="U28">
        <f>'BCA Inputs'!W81</f>
        <v>73</v>
      </c>
      <c r="V28">
        <f>'BCA Inputs'!X81</f>
        <v>74</v>
      </c>
      <c r="W28">
        <f>'BCA Inputs'!Y81</f>
        <v>75</v>
      </c>
      <c r="X28">
        <f>'BCA Inputs'!Z81</f>
        <v>76</v>
      </c>
      <c r="Y28">
        <f>'BCA Inputs'!AA81</f>
        <v>78</v>
      </c>
      <c r="Z28">
        <f>'BCA Inputs'!AB81</f>
        <v>79</v>
      </c>
      <c r="AA28">
        <f>'BCA Inputs'!AC81</f>
        <v>80</v>
      </c>
      <c r="AB28">
        <f>'BCA Inputs'!AD81</f>
        <v>81</v>
      </c>
      <c r="AC28">
        <f>'BCA Inputs'!AE81</f>
        <v>82</v>
      </c>
      <c r="AD28">
        <f>'BCA Inputs'!AF81</f>
        <v>84</v>
      </c>
      <c r="AE28">
        <f>'BCA Inputs'!AG81</f>
        <v>0</v>
      </c>
      <c r="AF28">
        <f>'BCA Inputs'!AH81</f>
        <v>0</v>
      </c>
      <c r="AG28">
        <f>'BCA Inputs'!AG81</f>
        <v>0</v>
      </c>
      <c r="AH28">
        <f>'BCA Inputs'!AH81</f>
        <v>0</v>
      </c>
    </row>
    <row r="29" spans="2:34">
      <c r="D29" s="34" t="s">
        <v>40</v>
      </c>
      <c r="F29" t="s">
        <v>41</v>
      </c>
      <c r="G29" s="30">
        <f>'BCA Inputs'!$F$47*G20*0.001+G26*'BCA Inputs'!$F$48</f>
        <v>0</v>
      </c>
      <c r="H29" s="30">
        <f>'BCA Inputs'!$F$47*H20*0.001+H26*'BCA Inputs'!$F$48</f>
        <v>0</v>
      </c>
      <c r="I29" s="30">
        <f>'BCA Inputs'!$F$47*I20*0.001+I26*'BCA Inputs'!$F$48</f>
        <v>0</v>
      </c>
      <c r="J29" s="30">
        <f>'BCA Inputs'!$F$47*J20*0.001+J26*'BCA Inputs'!$F$48</f>
        <v>5025.6004474776364</v>
      </c>
      <c r="K29" s="30">
        <f>'BCA Inputs'!$F$47*K20*0.001+K26*'BCA Inputs'!$F$48</f>
        <v>5133.2177896960975</v>
      </c>
      <c r="L29" s="30">
        <f>'BCA Inputs'!$F$47*L20*0.001+L26*'BCA Inputs'!$F$48</f>
        <v>5245.8199552092829</v>
      </c>
      <c r="M29" s="30">
        <f>'BCA Inputs'!$F$47*M20*0.001+M26*'BCA Inputs'!$F$48</f>
        <v>5363.4828531587937</v>
      </c>
      <c r="N29" s="30">
        <f>'BCA Inputs'!$F$47*N20*0.001+N26*'BCA Inputs'!$F$48</f>
        <v>5486.6549694680143</v>
      </c>
      <c r="O29" s="30">
        <f>'BCA Inputs'!$F$47*O20*0.001+O26*'BCA Inputs'!$F$48</f>
        <v>5615.9364680522658</v>
      </c>
      <c r="P29" s="30">
        <f>'BCA Inputs'!$F$47*P20*0.001+P26*'BCA Inputs'!$F$48</f>
        <v>5752.2914773560278</v>
      </c>
      <c r="Q29" s="30">
        <f>'BCA Inputs'!$F$47*Q20*0.001+Q26*'BCA Inputs'!$F$48</f>
        <v>5897.0443246102686</v>
      </c>
      <c r="R29" s="30">
        <f>'BCA Inputs'!$F$47*R20*0.001+R26*'BCA Inputs'!$F$48</f>
        <v>6051.2794238469342</v>
      </c>
      <c r="S29" s="30">
        <f>'BCA Inputs'!$F$47*S20*0.001+S26*'BCA Inputs'!$F$48</f>
        <v>6216.1116301467609</v>
      </c>
      <c r="T29" s="30">
        <f>'BCA Inputs'!$F$47*T20*0.001+T26*'BCA Inputs'!$F$48</f>
        <v>6392.4804595962041</v>
      </c>
      <c r="U29" s="30">
        <f>'BCA Inputs'!$F$47*U20*0.001+U26*'BCA Inputs'!$F$48</f>
        <v>6581.6304492304989</v>
      </c>
      <c r="V29" s="30">
        <f>'BCA Inputs'!$F$47*V20*0.001+V26*'BCA Inputs'!$F$48</f>
        <v>6784.963471392979</v>
      </c>
      <c r="W29" s="30">
        <f>'BCA Inputs'!$F$47*W20*0.001+W26*'BCA Inputs'!$F$48</f>
        <v>7003.6945757752001</v>
      </c>
      <c r="X29" s="30">
        <f>'BCA Inputs'!$F$47*X20*0.001+X26*'BCA Inputs'!$F$48</f>
        <v>6986.8250822352738</v>
      </c>
      <c r="Y29" s="30">
        <f>'BCA Inputs'!$F$47*Y20*0.001+Y26*'BCA Inputs'!$F$48</f>
        <v>6971.3938169310277</v>
      </c>
      <c r="Z29" s="30">
        <f>'BCA Inputs'!$F$47*Z20*0.001+Z26*'BCA Inputs'!$F$48</f>
        <v>6957.9823347778929</v>
      </c>
      <c r="AA29" s="30">
        <f>'BCA Inputs'!$F$47*AA20*0.001+AA26*'BCA Inputs'!$F$48</f>
        <v>6945.9469508485563</v>
      </c>
      <c r="AB29" s="30">
        <f>'BCA Inputs'!$F$47*AB20*0.001+AB26*'BCA Inputs'!$F$48</f>
        <v>6935.1151954054003</v>
      </c>
      <c r="AC29" s="30">
        <f>'BCA Inputs'!$F$47*AC20*0.001+AC26*'BCA Inputs'!$F$48</f>
        <v>6924.9939368260439</v>
      </c>
      <c r="AD29" s="30">
        <f>'BCA Inputs'!$F$47*AD20*0.001+AD26*'BCA Inputs'!$F$48</f>
        <v>6915.21076981837</v>
      </c>
      <c r="AE29" s="30">
        <f>'BCA Inputs'!$F$47*AE20*0.001+AE26*'BCA Inputs'!$F$48</f>
        <v>6905.6204216492806</v>
      </c>
      <c r="AF29" s="30">
        <f>'BCA Inputs'!$F$47*AF20*0.001+AF26*'BCA Inputs'!$F$48</f>
        <v>0</v>
      </c>
      <c r="AG29" s="30">
        <f>'BCA Inputs'!$F$47*AG20*0.001+AG26*'BCA Inputs'!$F$48</f>
        <v>0</v>
      </c>
      <c r="AH29" s="30">
        <f>'BCA Inputs'!$F$47*AH20*0.001+AH26*'BCA Inputs'!$F$48</f>
        <v>0</v>
      </c>
    </row>
    <row r="30" spans="2:34">
      <c r="D30" s="20"/>
    </row>
    <row r="31" spans="2:34">
      <c r="D31" t="s">
        <v>42</v>
      </c>
      <c r="G31" s="319">
        <f>IF(AND(H9=0,G9=1),(50-SUM($G$9:$AH$9))*SUM($G$33:$I$33)/50,0)</f>
        <v>0</v>
      </c>
      <c r="H31" s="319">
        <f>IF(AND(I9=0,H9=1),(50-SUM($G$9:$AH$9))*SUM($G$33:$I$33)/50,0)</f>
        <v>0</v>
      </c>
      <c r="I31" s="319">
        <f>IF(AND(J9=0,I9=1),(50-SUM($G$9:$AH$9))*SUM($G$33:$I$33)/50,0)</f>
        <v>0</v>
      </c>
      <c r="J31" s="319">
        <f>IF(AND(K9=0,J9=1),(50-SUM($G$9:$AH$9))*SUM($G$33:$I$33)/50,0)</f>
        <v>0</v>
      </c>
      <c r="K31" s="319">
        <f>IF(AND(L9=0,K9=1),(50-SUM($G$9:$AH$9))*SUM($G$33:$I$33)/50,0)</f>
        <v>0</v>
      </c>
      <c r="L31" s="319">
        <f>IF(AND(M9=0,L9=1),(50-SUM($G$9:$AH$9))*SUM($G$33:$I$33)/50,0)</f>
        <v>0</v>
      </c>
      <c r="M31" s="319">
        <f>IF(AND(N9=0,M9=1),(50-SUM($G$9:$AH$9))*SUM($G$33:$I$33)/50,0)</f>
        <v>0</v>
      </c>
      <c r="N31" s="319">
        <f>IF(AND(O9=0,N9=1),(50-SUM($G$9:$AH$9))*SUM($G$33:$I$33)/50,0)</f>
        <v>0</v>
      </c>
      <c r="O31" s="319">
        <f>IF(AND(P9=0,O9=1),(50-SUM($G$9:$AH$9))*SUM($G$33:$I$33)/50,0)</f>
        <v>0</v>
      </c>
      <c r="P31" s="319">
        <f>IF(AND(Q9=0,P9=1),(50-SUM($G$9:$AH$9))*SUM($G$33:$I$33)/50,0)</f>
        <v>0</v>
      </c>
      <c r="Q31" s="319">
        <f>IF(AND(R9=0,Q9=1),(50-SUM($G$9:$AH$9))*SUM($G$33:$I$33)/50,0)</f>
        <v>0</v>
      </c>
      <c r="R31" s="319">
        <f>IF(AND(S9=0,R9=1),(50-SUM($G$9:$AH$9))*SUM($G$33:$I$33)/50,0)</f>
        <v>0</v>
      </c>
      <c r="S31" s="319">
        <f>IF(AND(T9=0,S9=1),(50-SUM($G$9:$AH$9))*SUM($G$33:$I$33)/50,0)</f>
        <v>0</v>
      </c>
      <c r="T31" s="319">
        <f>IF(AND(U9=0,T9=1),(50-SUM($G$9:$AH$9))*SUM($G$33:$I$33)/50,0)</f>
        <v>0</v>
      </c>
      <c r="U31" s="319">
        <f>IF(AND(V9=0,U9=1),(50-SUM($G$9:$AH$9))*SUM($G$33:$I$33)/50,0)</f>
        <v>0</v>
      </c>
      <c r="V31" s="319">
        <f>IF(AND(W9=0,V9=1),(50-SUM($G$9:$AH$9))*SUM($G$33:$I$33)/50,0)</f>
        <v>0</v>
      </c>
      <c r="W31" s="319">
        <f>IF(AND(X9=0,W9=1),(50-SUM($G$9:$AH$9))*SUM($G$33:$I$33)/50,0)</f>
        <v>0</v>
      </c>
      <c r="X31" s="319">
        <f>IF(AND(Y9=0,X9=1),(50-SUM($G$9:$AH$9))*SUM($G$33:$I$33)/50,0)</f>
        <v>0</v>
      </c>
      <c r="Y31" s="319">
        <f>IF(AND(Z9=0,Y9=1),(50-SUM($G$9:$AH$9))*SUM($G$33:$I$33)/50,0)</f>
        <v>0</v>
      </c>
      <c r="Z31" s="319">
        <f>IF(AND(AA9=0,Z9=1),(50-SUM($G$9:$AH$9))*SUM($G$33:$I$33)/50,0)</f>
        <v>0</v>
      </c>
      <c r="AA31" s="319">
        <f>IF(AND(AB9=0,AA9=1),(50-SUM($G$9:$AH$9))*SUM($G$33:$I$33)/50,0)</f>
        <v>0</v>
      </c>
      <c r="AB31" s="319">
        <f>IF(AND(AC9=0,AB9=1),(50-SUM($G$9:$AH$9))*SUM($G$33:$I$33)/50,0)</f>
        <v>0</v>
      </c>
      <c r="AC31" s="319">
        <f>IF(AND(AD9=0,AC9=1),(50-SUM($G$9:$AH$9))*SUM($G$33:$I$33)/50,0)</f>
        <v>0</v>
      </c>
      <c r="AD31" s="319">
        <f>IF(AND(AE9=0,AD9=1),(50-SUM($G$9:$AH$9))*SUM($G$33:$I$33)/50,0)</f>
        <v>0</v>
      </c>
      <c r="AE31" s="319">
        <f>IF(AND(AF9=0,AE9=1),(50-SUM($G$9:$AH$9))*SUM($G$33:$I$33)/50,0)</f>
        <v>9968000</v>
      </c>
      <c r="AF31" s="319">
        <f>IF(AND(AG9=0,AF9=1),(50-SUM($G$9:$AH$9))*SUM($G$33:$I$33)/50,0)</f>
        <v>0</v>
      </c>
      <c r="AG31" s="319">
        <f>IF(AND(AH9=0,AG9=1),(50-SUM($G$9:$AH$9))*SUM($G$33:$I$33)/50,0)</f>
        <v>0</v>
      </c>
      <c r="AH31" s="319">
        <f>IF(AND(AI9=0,AH9=1),(50-SUM($G$9:$AH$9))*SUM($G$33:$I$33)/50,0)</f>
        <v>0</v>
      </c>
    </row>
    <row r="32" spans="2:34"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</row>
    <row r="33" spans="4:34">
      <c r="D33" t="s">
        <v>43</v>
      </c>
      <c r="E33" t="s">
        <v>44</v>
      </c>
      <c r="F33" t="s">
        <v>45</v>
      </c>
      <c r="G33" s="319">
        <f>'BCA Inputs'!$F$17/3</f>
        <v>5933333.333333333</v>
      </c>
      <c r="H33" s="319">
        <f>'BCA Inputs'!$F$17/3</f>
        <v>5933333.333333333</v>
      </c>
      <c r="I33" s="319">
        <f>'BCA Inputs'!$F$17/3</f>
        <v>5933333.333333333</v>
      </c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</row>
    <row r="34" spans="4:34">
      <c r="D34" s="20"/>
    </row>
    <row r="35" spans="4:34">
      <c r="D35" s="20"/>
    </row>
    <row r="36" spans="4:34" ht="15" thickBot="1">
      <c r="D36" s="26" t="s">
        <v>46</v>
      </c>
    </row>
    <row r="37" spans="4:34" ht="15" thickTop="1"/>
    <row r="38" spans="4:34">
      <c r="D38" s="325" t="s">
        <v>47</v>
      </c>
      <c r="F38" t="s">
        <v>45</v>
      </c>
      <c r="G38" s="30">
        <f>G19*'BCA Inputs'!$F$35</f>
        <v>0</v>
      </c>
      <c r="H38" s="30">
        <f>H19*'BCA Inputs'!$F$35</f>
        <v>0</v>
      </c>
      <c r="I38" s="30">
        <f>I19*'BCA Inputs'!$F$35</f>
        <v>0</v>
      </c>
      <c r="J38" s="30">
        <f>J19*'BCA Inputs'!$F$35</f>
        <v>64987.650284604744</v>
      </c>
      <c r="K38" s="30">
        <f>K19*'BCA Inputs'!$F$35</f>
        <v>105264.04595879557</v>
      </c>
      <c r="L38" s="30">
        <f>L19*'BCA Inputs'!$F$35</f>
        <v>148762.55328692184</v>
      </c>
      <c r="M38" s="30">
        <f>M19*'BCA Inputs'!$F$35</f>
        <v>195740.941201298</v>
      </c>
      <c r="N38" s="30">
        <f>N19*'BCA Inputs'!$F$35</f>
        <v>246477.60014882431</v>
      </c>
      <c r="O38" s="30">
        <f>O19*'BCA Inputs'!$F$35</f>
        <v>301273.19181215274</v>
      </c>
      <c r="P38" s="30">
        <f>P19*'BCA Inputs'!$F$35</f>
        <v>360452.43080854742</v>
      </c>
      <c r="Q38" s="30">
        <f>Q19*'BCA Inputs'!$F$35</f>
        <v>424366.00892465364</v>
      </c>
      <c r="R38" s="30">
        <f>R19*'BCA Inputs'!$F$35</f>
        <v>493392.67329004832</v>
      </c>
      <c r="S38" s="30">
        <f>S19*'BCA Inputs'!$F$35</f>
        <v>567941.47080467478</v>
      </c>
      <c r="T38" s="30">
        <f>T19*'BCA Inputs'!$F$35</f>
        <v>648454.17212047114</v>
      </c>
      <c r="U38" s="30">
        <f>U19*'BCA Inputs'!$F$35</f>
        <v>735407.88954153145</v>
      </c>
      <c r="V38" s="30">
        <f>V19*'BCA Inputs'!$F$35</f>
        <v>829317.90435627638</v>
      </c>
      <c r="W38" s="30">
        <f>W19*'BCA Inputs'!$F$35</f>
        <v>930740.72035620105</v>
      </c>
      <c r="X38" s="30">
        <f>X19*'BCA Inputs'!$F$35</f>
        <v>930740.72035620105</v>
      </c>
      <c r="Y38" s="30">
        <f>Y19*'BCA Inputs'!$F$35</f>
        <v>930740.72035620105</v>
      </c>
      <c r="Z38" s="30">
        <f>Z19*'BCA Inputs'!$F$35</f>
        <v>930740.72035620105</v>
      </c>
      <c r="AA38" s="30">
        <f>AA19*'BCA Inputs'!$F$35</f>
        <v>930740.72035620105</v>
      </c>
      <c r="AB38" s="30">
        <f>AB19*'BCA Inputs'!$F$35</f>
        <v>930740.72035620105</v>
      </c>
      <c r="AC38" s="30">
        <f>AC19*'BCA Inputs'!$F$35</f>
        <v>930740.72035620105</v>
      </c>
      <c r="AD38" s="30">
        <f>AD19*'BCA Inputs'!$F$35</f>
        <v>930740.72035620105</v>
      </c>
      <c r="AE38" s="30">
        <f>AE19*'BCA Inputs'!$F$35</f>
        <v>930740.72035620105</v>
      </c>
      <c r="AF38" s="30">
        <f>AF19*'BCA Inputs'!$F$35</f>
        <v>0</v>
      </c>
      <c r="AG38" s="30">
        <f>AG19*'BCA Inputs'!$F$35</f>
        <v>0</v>
      </c>
      <c r="AH38" s="30">
        <f>AH19*'BCA Inputs'!$F$35</f>
        <v>0</v>
      </c>
    </row>
    <row r="39" spans="4:34">
      <c r="D39" s="34" t="s">
        <v>48</v>
      </c>
      <c r="F39" t="s">
        <v>45</v>
      </c>
      <c r="G39" s="30">
        <f>G20*G15</f>
        <v>0</v>
      </c>
      <c r="H39" s="30">
        <f>H20*H15</f>
        <v>0</v>
      </c>
      <c r="I39" s="30">
        <f>I20*I15</f>
        <v>0</v>
      </c>
      <c r="J39" s="30">
        <f>J20*J15</f>
        <v>314128.05705669243</v>
      </c>
      <c r="K39" s="30">
        <f>K20*K15</f>
        <v>483444.03237220715</v>
      </c>
      <c r="L39" s="30">
        <f>L20*L15</f>
        <v>652392.42697953247</v>
      </c>
      <c r="M39" s="30">
        <f>M20*M15</f>
        <v>846364.30126912612</v>
      </c>
      <c r="N39" s="30">
        <f>N20*N15</f>
        <v>1047920.4626643622</v>
      </c>
      <c r="O39" s="30">
        <f>O20*O15</f>
        <v>1266081.75918392</v>
      </c>
      <c r="P39" s="30">
        <f>P20*P15</f>
        <v>1496650.110021557</v>
      </c>
      <c r="Q39" s="30">
        <f>Q20*Q15</f>
        <v>1742822.6391407258</v>
      </c>
      <c r="R39" s="30">
        <f>R20*R15</f>
        <v>2001494.575068455</v>
      </c>
      <c r="S39" s="30">
        <f>S20*S15</f>
        <v>2292155.7670190842</v>
      </c>
      <c r="T39" s="30">
        <f>T20*T15</f>
        <v>2587298.7348385192</v>
      </c>
      <c r="U39" s="30">
        <f>U20*U15</f>
        <v>2918080.4931793339</v>
      </c>
      <c r="V39" s="30">
        <f>V20*V15</f>
        <v>3271533.1296306839</v>
      </c>
      <c r="W39" s="30">
        <f>W20*W15</f>
        <v>3645846.6260676943</v>
      </c>
      <c r="X39" s="30">
        <f>X20*X15</f>
        <v>3623653.9018055676</v>
      </c>
      <c r="Y39" s="30">
        <f>Y20*Y15</f>
        <v>3619841.1622288809</v>
      </c>
      <c r="Z39" s="30">
        <f>Z20*Z15</f>
        <v>3598382.8480819757</v>
      </c>
      <c r="AA39" s="30">
        <f>AA20*AA15</f>
        <v>3593370.6498365649</v>
      </c>
      <c r="AB39" s="30">
        <f>AB20*AB15</f>
        <v>3562735.8421811042</v>
      </c>
      <c r="AC39" s="30">
        <f>AC20*AC15</f>
        <v>3552627.6525566047</v>
      </c>
      <c r="AD39" s="30">
        <f>AD20*AD15</f>
        <v>3610482.1410516384</v>
      </c>
      <c r="AE39" s="30">
        <f>AE20*AE15</f>
        <v>3596957.8034695731</v>
      </c>
      <c r="AF39" s="30">
        <f>AF20*AF15</f>
        <v>0</v>
      </c>
      <c r="AG39" s="30">
        <f>AG20*AG15</f>
        <v>0</v>
      </c>
      <c r="AH39" s="30">
        <f>AH20*AH15</f>
        <v>0</v>
      </c>
    </row>
    <row r="40" spans="4:34">
      <c r="D40" s="13" t="s">
        <v>49</v>
      </c>
      <c r="F40" t="s">
        <v>45</v>
      </c>
      <c r="G40" s="30">
        <f>G25*G24*G9</f>
        <v>0</v>
      </c>
      <c r="H40" s="30">
        <f>H25*H24*H9</f>
        <v>0</v>
      </c>
      <c r="I40" s="30">
        <f>I25*I24*I9</f>
        <v>0</v>
      </c>
      <c r="J40" s="30">
        <f>J25*J24*J9</f>
        <v>858958.33333333326</v>
      </c>
      <c r="K40" s="30">
        <f>K25*K24*K9</f>
        <v>858958.33333333326</v>
      </c>
      <c r="L40" s="30">
        <f>L25*L24*L9</f>
        <v>858958.33333333326</v>
      </c>
      <c r="M40" s="30">
        <f>M25*M24*M9</f>
        <v>858958.33333333326</v>
      </c>
      <c r="N40" s="30">
        <f>N25*N24*N9</f>
        <v>858958.33333333326</v>
      </c>
      <c r="O40" s="30">
        <f>O25*O24*O9</f>
        <v>858958.33333333326</v>
      </c>
      <c r="P40" s="30">
        <f>P25*P24*P9</f>
        <v>858958.33333333326</v>
      </c>
      <c r="Q40" s="30">
        <f>Q25*Q24*Q9</f>
        <v>858958.33333333326</v>
      </c>
      <c r="R40" s="30">
        <f>R25*R24*R9</f>
        <v>858958.33333333326</v>
      </c>
      <c r="S40" s="30">
        <f>S25*S24*S9</f>
        <v>858958.33333333326</v>
      </c>
      <c r="T40" s="30">
        <f>T25*T24*T9</f>
        <v>858958.33333333326</v>
      </c>
      <c r="U40" s="30">
        <f>U25*U24*U9</f>
        <v>858958.33333333326</v>
      </c>
      <c r="V40" s="30">
        <f>V25*V24*V9</f>
        <v>858958.33333333326</v>
      </c>
      <c r="W40" s="30">
        <f>W25*W24*W9</f>
        <v>858958.33333333326</v>
      </c>
      <c r="X40" s="30">
        <f>X25*X24*X9</f>
        <v>858958.33333333326</v>
      </c>
      <c r="Y40" s="30">
        <f>Y25*Y24*Y9</f>
        <v>858958.33333333326</v>
      </c>
      <c r="Z40" s="30">
        <f>Z25*Z24*Z9</f>
        <v>858958.33333333326</v>
      </c>
      <c r="AA40" s="30">
        <f>AA25*AA24*AA9</f>
        <v>858958.33333333326</v>
      </c>
      <c r="AB40" s="30">
        <f>AB25*AB24*AB9</f>
        <v>858958.33333333326</v>
      </c>
      <c r="AC40" s="30">
        <f>AC25*AC24*AC9</f>
        <v>858958.33333333326</v>
      </c>
      <c r="AD40" s="30">
        <f>AD25*AD24*AD9</f>
        <v>858958.33333333326</v>
      </c>
      <c r="AE40" s="30">
        <f>AE25*AE24*AE9</f>
        <v>858958.33333333326</v>
      </c>
      <c r="AF40" s="30">
        <f>AF25*AF24*AF9</f>
        <v>0</v>
      </c>
      <c r="AG40" s="30">
        <f>AG25*AG24*AG9</f>
        <v>0</v>
      </c>
      <c r="AH40" s="30">
        <f>AH25*AH24*AH9</f>
        <v>0</v>
      </c>
    </row>
    <row r="41" spans="4:34">
      <c r="D41" s="13" t="s">
        <v>50</v>
      </c>
      <c r="F41" t="s">
        <v>45</v>
      </c>
      <c r="G41" s="30">
        <f>-1*(1-G11)*'BCA Inputs'!$F$40*G12*0.5*G9</f>
        <v>0</v>
      </c>
      <c r="H41" s="30">
        <f>-1*(1-H11)*'BCA Inputs'!$F$40*H12*0.5*H9</f>
        <v>0</v>
      </c>
      <c r="I41" s="30">
        <f>-1*(1-I11)*'BCA Inputs'!$F$40*I12*0.5*I9</f>
        <v>0</v>
      </c>
      <c r="J41" s="30">
        <f>-1*(1-J11)*'BCA Inputs'!$F$40*J12*0.5*J9</f>
        <v>11448.40660954271</v>
      </c>
      <c r="K41" s="30">
        <f>-1*(1-K11)*'BCA Inputs'!$F$40*K12*0.5*K9</f>
        <v>18543.609350765622</v>
      </c>
      <c r="L41" s="30">
        <f>-1*(1-L11)*'BCA Inputs'!$F$40*L12*0.5*L9</f>
        <v>26206.428311286403</v>
      </c>
      <c r="M41" s="30">
        <f>-1*(1-M11)*'BCA Inputs'!$F$40*M12*0.5*M9</f>
        <v>34482.272788648806</v>
      </c>
      <c r="N41" s="30">
        <f>-1*(1-N11)*'BCA Inputs'!$F$40*N12*0.5*N9</f>
        <v>43420.184824200202</v>
      </c>
      <c r="O41" s="30">
        <f>-1*(1-O11)*'BCA Inputs'!$F$40*O12*0.5*O9</f>
        <v>53073.129822595729</v>
      </c>
      <c r="P41" s="30">
        <f>-1*(1-P11)*'BCA Inputs'!$F$40*P12*0.5*P9</f>
        <v>63498.310420862887</v>
      </c>
      <c r="Q41" s="30">
        <f>-1*(1-Q11)*'BCA Inputs'!$F$40*Q12*0.5*Q9</f>
        <v>74757.505466991424</v>
      </c>
      <c r="R41" s="30">
        <f>-1*(1-R11)*'BCA Inputs'!$F$40*R12*0.5*R9</f>
        <v>86917.436116810219</v>
      </c>
      <c r="S41" s="30">
        <f>-1*(1-S11)*'BCA Inputs'!$F$40*S12*0.5*S9</f>
        <v>100050.16121861456</v>
      </c>
      <c r="T41" s="30">
        <f>-1*(1-T11)*'BCA Inputs'!$F$40*T12*0.5*T9</f>
        <v>114233.50432856318</v>
      </c>
      <c r="U41" s="30">
        <f>-1*(1-U11)*'BCA Inputs'!$F$40*U12*0.5*U9</f>
        <v>129551.51488730779</v>
      </c>
      <c r="V41" s="30">
        <f>-1*(1-V11)*'BCA Inputs'!$F$40*V12*0.5*V9</f>
        <v>146094.96629075191</v>
      </c>
      <c r="W41" s="30">
        <f>-1*(1-W11)*'BCA Inputs'!$F$40*W12*0.5*W9</f>
        <v>163961.89380647155</v>
      </c>
      <c r="X41" s="30">
        <f>-1*(1-X11)*'BCA Inputs'!$F$40*X12*0.5*X9</f>
        <v>163961.89380647155</v>
      </c>
      <c r="Y41" s="30">
        <f>-1*(1-Y11)*'BCA Inputs'!$F$40*Y12*0.5*Y9</f>
        <v>163961.89380647155</v>
      </c>
      <c r="Z41" s="30">
        <f>-1*(1-Z11)*'BCA Inputs'!$F$40*Z12*0.5*Z9</f>
        <v>163961.89380647155</v>
      </c>
      <c r="AA41" s="30">
        <f>-1*(1-AA11)*'BCA Inputs'!$F$40*AA12*0.5*AA9</f>
        <v>163961.89380647155</v>
      </c>
      <c r="AB41" s="30">
        <f>-1*(1-AB11)*'BCA Inputs'!$F$40*AB12*0.5*AB9</f>
        <v>163961.89380647155</v>
      </c>
      <c r="AC41" s="30">
        <f>-1*(1-AC11)*'BCA Inputs'!$F$40*AC12*0.5*AC9</f>
        <v>163961.89380647155</v>
      </c>
      <c r="AD41" s="30">
        <f>-1*(1-AD11)*'BCA Inputs'!$F$40*AD12*0.5*AD9</f>
        <v>163961.89380647155</v>
      </c>
      <c r="AE41" s="30">
        <f>-1*(1-AE11)*'BCA Inputs'!$F$40*AE12*0.5*AE9</f>
        <v>163961.89380647155</v>
      </c>
      <c r="AF41" s="30">
        <f>-1*(1-AF11)*'BCA Inputs'!$F$40*AF12*0.5*AF9</f>
        <v>0</v>
      </c>
      <c r="AG41" s="30">
        <f>-1*(1-AG11)*'BCA Inputs'!$F$40*AG12*0.5*AG9</f>
        <v>0</v>
      </c>
      <c r="AH41" s="30">
        <f>-1*(1-AH11)*'BCA Inputs'!$F$40*AH12*0.5*AH9</f>
        <v>0</v>
      </c>
    </row>
    <row r="42" spans="4:34">
      <c r="D42" s="34" t="s">
        <v>51</v>
      </c>
      <c r="F42" t="s">
        <v>45</v>
      </c>
      <c r="G42" s="30">
        <f>G29*G28</f>
        <v>0</v>
      </c>
      <c r="H42" s="30">
        <f>H29*H28</f>
        <v>0</v>
      </c>
      <c r="I42" s="30">
        <f>I29*I28</f>
        <v>0</v>
      </c>
      <c r="J42" s="30">
        <f>J29*J28</f>
        <v>301536.02684865816</v>
      </c>
      <c r="K42" s="30">
        <f>K29*K28</f>
        <v>313126.28517146193</v>
      </c>
      <c r="L42" s="30">
        <f>L29*L28</f>
        <v>325240.83722297556</v>
      </c>
      <c r="M42" s="30">
        <f>M29*M28</f>
        <v>337899.41974900401</v>
      </c>
      <c r="N42" s="30">
        <f>N29*N28</f>
        <v>356632.57301542093</v>
      </c>
      <c r="O42" s="30">
        <f>O29*O28</f>
        <v>370651.80689144955</v>
      </c>
      <c r="P42" s="30">
        <f>P29*P28</f>
        <v>385403.52898285387</v>
      </c>
      <c r="Q42" s="30">
        <f>Q29*Q28</f>
        <v>400999.01407349826</v>
      </c>
      <c r="R42" s="30">
        <f>R29*R28</f>
        <v>417538.28024543845</v>
      </c>
      <c r="S42" s="30">
        <f>S29*S28</f>
        <v>435127.81411027326</v>
      </c>
      <c r="T42" s="30">
        <f>T29*T28</f>
        <v>460258.5930909267</v>
      </c>
      <c r="U42" s="30">
        <f>U29*U28</f>
        <v>480459.02279382641</v>
      </c>
      <c r="V42" s="30">
        <f>V29*V28</f>
        <v>502087.29688308045</v>
      </c>
      <c r="W42" s="30">
        <f>W29*W28</f>
        <v>525277.09318314004</v>
      </c>
      <c r="X42" s="30">
        <f>X29*X28</f>
        <v>530998.70624988084</v>
      </c>
      <c r="Y42" s="30">
        <f>Y29*Y28</f>
        <v>543768.7177206201</v>
      </c>
      <c r="Z42" s="30">
        <f>Z29*Z28</f>
        <v>549680.60444745352</v>
      </c>
      <c r="AA42" s="30">
        <f>AA29*AA28</f>
        <v>555675.7560678845</v>
      </c>
      <c r="AB42" s="30">
        <f>AB29*AB28</f>
        <v>561744.33082783746</v>
      </c>
      <c r="AC42" s="30">
        <f>AC29*AC28</f>
        <v>567849.50281973556</v>
      </c>
      <c r="AD42" s="30">
        <f>AD29*AD28</f>
        <v>580877.70466474304</v>
      </c>
      <c r="AE42" s="30">
        <f>AE29*AE28</f>
        <v>0</v>
      </c>
      <c r="AF42" s="30">
        <f>AF29*AF28</f>
        <v>0</v>
      </c>
      <c r="AG42" s="30">
        <f>AG29*AG28</f>
        <v>0</v>
      </c>
      <c r="AH42" s="30">
        <f>AH29*AH28</f>
        <v>0</v>
      </c>
    </row>
    <row r="43" spans="4:34">
      <c r="D43" t="s">
        <v>19</v>
      </c>
      <c r="F43" t="s">
        <v>45</v>
      </c>
      <c r="G43" s="30">
        <f>G17*G18</f>
        <v>0</v>
      </c>
      <c r="H43" s="30">
        <f>H17*H18</f>
        <v>0</v>
      </c>
      <c r="I43" s="30">
        <f>I17*I18</f>
        <v>0</v>
      </c>
      <c r="J43" s="30">
        <f>J17*J18</f>
        <v>33389.048908599121</v>
      </c>
      <c r="K43" s="30">
        <f>K17*K18</f>
        <v>54082.065799320924</v>
      </c>
      <c r="L43" s="30">
        <f>L17*L18</f>
        <v>76430.524041300567</v>
      </c>
      <c r="M43" s="30">
        <f>M17*M18</f>
        <v>100566.85894263847</v>
      </c>
      <c r="N43" s="30">
        <f>N17*N18</f>
        <v>126634.10063608341</v>
      </c>
      <c r="O43" s="30">
        <f>O17*O18</f>
        <v>154786.72166500398</v>
      </c>
      <c r="P43" s="30">
        <f>P17*P18</f>
        <v>185191.55237623822</v>
      </c>
      <c r="Q43" s="30">
        <f>Q17*Q18</f>
        <v>218028.76954437111</v>
      </c>
      <c r="R43" s="30">
        <f>R17*R18</f>
        <v>253492.96408595465</v>
      </c>
      <c r="S43" s="30">
        <f>S17*S18</f>
        <v>291794.29419086495</v>
      </c>
      <c r="T43" s="30">
        <f>T17*T18</f>
        <v>333159.73070416797</v>
      </c>
      <c r="U43" s="30">
        <f>U17*U18</f>
        <v>377834.40213853534</v>
      </c>
      <c r="V43" s="30">
        <f>V17*V18</f>
        <v>426083.04728765209</v>
      </c>
      <c r="W43" s="30">
        <f>W17*W18</f>
        <v>478191.58404869813</v>
      </c>
      <c r="X43" s="30">
        <f>X17*X18</f>
        <v>478191.58404869813</v>
      </c>
      <c r="Y43" s="30">
        <f>Y17*Y18</f>
        <v>478191.58404869813</v>
      </c>
      <c r="Z43" s="30">
        <f>Z17*Z18</f>
        <v>478191.58404869813</v>
      </c>
      <c r="AA43" s="30">
        <f>AA17*AA18</f>
        <v>478191.58404869813</v>
      </c>
      <c r="AB43" s="30">
        <f>AB17*AB18</f>
        <v>478191.58404869813</v>
      </c>
      <c r="AC43" s="30">
        <f>AC17*AC18</f>
        <v>478191.58404869813</v>
      </c>
      <c r="AD43" s="30">
        <f>AD17*AD18</f>
        <v>478191.58404869813</v>
      </c>
      <c r="AE43" s="30">
        <f>AE17*AE18</f>
        <v>478191.58404869813</v>
      </c>
      <c r="AF43" s="30">
        <f>AF17*AF18</f>
        <v>0</v>
      </c>
      <c r="AG43" s="30">
        <f>AG17*AG18</f>
        <v>0</v>
      </c>
      <c r="AH43" s="30">
        <f>AH17*AH18</f>
        <v>0</v>
      </c>
    </row>
    <row r="44" spans="4:34">
      <c r="D44" s="34" t="s">
        <v>52</v>
      </c>
      <c r="F44" t="s">
        <v>45</v>
      </c>
      <c r="G44" s="30">
        <f t="shared" ref="G44:AG44" si="0">G31</f>
        <v>0</v>
      </c>
      <c r="H44" s="30">
        <f t="shared" si="0"/>
        <v>0</v>
      </c>
      <c r="I44" s="30">
        <f t="shared" si="0"/>
        <v>0</v>
      </c>
      <c r="J44" s="30">
        <f t="shared" si="0"/>
        <v>0</v>
      </c>
      <c r="K44" s="30">
        <f t="shared" si="0"/>
        <v>0</v>
      </c>
      <c r="L44" s="30">
        <f t="shared" si="0"/>
        <v>0</v>
      </c>
      <c r="M44" s="30">
        <f t="shared" si="0"/>
        <v>0</v>
      </c>
      <c r="N44" s="30">
        <f t="shared" si="0"/>
        <v>0</v>
      </c>
      <c r="O44" s="30">
        <f t="shared" si="0"/>
        <v>0</v>
      </c>
      <c r="P44" s="30">
        <f t="shared" si="0"/>
        <v>0</v>
      </c>
      <c r="Q44" s="30">
        <f t="shared" si="0"/>
        <v>0</v>
      </c>
      <c r="R44" s="30">
        <f t="shared" si="0"/>
        <v>0</v>
      </c>
      <c r="S44" s="30">
        <f t="shared" si="0"/>
        <v>0</v>
      </c>
      <c r="T44" s="30">
        <f t="shared" si="0"/>
        <v>0</v>
      </c>
      <c r="U44" s="30">
        <f t="shared" si="0"/>
        <v>0</v>
      </c>
      <c r="V44" s="30">
        <f t="shared" si="0"/>
        <v>0</v>
      </c>
      <c r="W44" s="30">
        <f t="shared" si="0"/>
        <v>0</v>
      </c>
      <c r="X44" s="30">
        <f t="shared" si="0"/>
        <v>0</v>
      </c>
      <c r="Y44" s="30">
        <f t="shared" si="0"/>
        <v>0</v>
      </c>
      <c r="Z44" s="30">
        <f t="shared" si="0"/>
        <v>0</v>
      </c>
      <c r="AA44" s="30">
        <f t="shared" si="0"/>
        <v>0</v>
      </c>
      <c r="AB44" s="30">
        <f t="shared" si="0"/>
        <v>0</v>
      </c>
      <c r="AC44" s="30">
        <f t="shared" si="0"/>
        <v>0</v>
      </c>
      <c r="AD44" s="30">
        <f t="shared" si="0"/>
        <v>0</v>
      </c>
      <c r="AE44" s="30">
        <f t="shared" si="0"/>
        <v>9968000</v>
      </c>
      <c r="AF44" s="30">
        <f t="shared" si="0"/>
        <v>0</v>
      </c>
      <c r="AG44" s="30">
        <f t="shared" si="0"/>
        <v>0</v>
      </c>
      <c r="AH44" s="30">
        <f>AH31</f>
        <v>0</v>
      </c>
    </row>
    <row r="45" spans="4:34">
      <c r="D45" s="20"/>
    </row>
    <row r="46" spans="4:34" ht="15" thickBot="1">
      <c r="D46" s="26" t="s">
        <v>53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4:34" ht="15" thickTop="1"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4:34">
      <c r="D48" s="325" t="s">
        <v>47</v>
      </c>
      <c r="E48" s="320">
        <f>SUM(G48:AH48)</f>
        <v>3795620.9995622234</v>
      </c>
      <c r="F48" t="s">
        <v>54</v>
      </c>
      <c r="G48" s="30">
        <f>G38*Discount!N$15</f>
        <v>0</v>
      </c>
      <c r="H48" s="30">
        <f>H38*Discount!O$15</f>
        <v>0</v>
      </c>
      <c r="I48" s="30">
        <f>I38*Discount!P$15</f>
        <v>0</v>
      </c>
      <c r="J48" s="30">
        <f>J38*Discount!Q$15</f>
        <v>43304.015411253342</v>
      </c>
      <c r="K48" s="30">
        <f>K38*Discount!R$15</f>
        <v>65553.157450567669</v>
      </c>
      <c r="L48" s="30">
        <f>L38*Discount!S$15</f>
        <v>86581.160431330194</v>
      </c>
      <c r="M48" s="30">
        <f>M38*Discount!T$15</f>
        <v>106470.10272456569</v>
      </c>
      <c r="N48" s="30">
        <f>N38*Discount!U$15</f>
        <v>125296.71356271885</v>
      </c>
      <c r="O48" s="30">
        <f>O38*Discount!V$15</f>
        <v>143132.72317464944</v>
      </c>
      <c r="P48" s="30">
        <f>P38*Discount!W$15</f>
        <v>160045.19001638872</v>
      </c>
      <c r="Q48" s="30">
        <f>Q38*Discount!X$15</f>
        <v>176096.80659608112</v>
      </c>
      <c r="R48" s="30">
        <f>R38*Discount!Y$15</f>
        <v>191346.1852935089</v>
      </c>
      <c r="S48" s="30">
        <f>S38*Discount!Z$15</f>
        <v>205848.12548298179</v>
      </c>
      <c r="T48" s="30">
        <f>T38*Discount!AA$15</f>
        <v>219653.86318275364</v>
      </c>
      <c r="U48" s="30">
        <f>U38*Discount!AB$15</f>
        <v>232811.30437410797</v>
      </c>
      <c r="V48" s="30">
        <f>V38*Discount!AC$15</f>
        <v>245365.24305846856</v>
      </c>
      <c r="W48" s="30">
        <f>W38*Discount!AD$15</f>
        <v>257357.56505100109</v>
      </c>
      <c r="X48" s="30">
        <f>X38*Discount!AE$15</f>
        <v>240521.08883271131</v>
      </c>
      <c r="Y48" s="30">
        <f>Y38*Discount!AF$15</f>
        <v>224786.06432963672</v>
      </c>
      <c r="Z48" s="30">
        <f>Z38*Discount!AG$15</f>
        <v>210080.43395293152</v>
      </c>
      <c r="AA48" s="30">
        <f>AA38*Discount!AH$15</f>
        <v>196336.85416161822</v>
      </c>
      <c r="AB48" s="30">
        <f>AB38*Discount!AI$15</f>
        <v>183492.38706693292</v>
      </c>
      <c r="AC48" s="30">
        <f>AC38*Discount!AJ$15</f>
        <v>171488.21221208683</v>
      </c>
      <c r="AD48" s="30">
        <f>AD38*Discount!AK$15</f>
        <v>160269.3572075578</v>
      </c>
      <c r="AE48" s="30">
        <f>AE38*Discount!AL$15</f>
        <v>149784.44598837174</v>
      </c>
      <c r="AF48" s="30">
        <f>AF38*Discount!AM$15</f>
        <v>0</v>
      </c>
      <c r="AG48" s="30">
        <f>AG38*Discount!AN$15</f>
        <v>0</v>
      </c>
      <c r="AH48" s="30">
        <f>AH38*Discount!AO$15</f>
        <v>0</v>
      </c>
    </row>
    <row r="49" spans="4:34">
      <c r="D49" s="34" t="s">
        <v>48</v>
      </c>
      <c r="E49" s="320">
        <f>SUM(G49:AH49)</f>
        <v>15194022.671209011</v>
      </c>
      <c r="F49" t="s">
        <v>54</v>
      </c>
      <c r="G49" s="30">
        <f>G39*Discount!N$15</f>
        <v>0</v>
      </c>
      <c r="H49" s="30">
        <f>H39*Discount!O$15</f>
        <v>0</v>
      </c>
      <c r="I49" s="30">
        <f>I39*Discount!P$15</f>
        <v>0</v>
      </c>
      <c r="J49" s="30">
        <f>J39*Discount!Q$15</f>
        <v>209316.78810231676</v>
      </c>
      <c r="K49" s="30">
        <f>K39*Discount!R$15</f>
        <v>301064.64637543791</v>
      </c>
      <c r="L49" s="30">
        <f>L39*Discount!S$15</f>
        <v>379698.33225136989</v>
      </c>
      <c r="M49" s="30">
        <f>M39*Discount!T$15</f>
        <v>460366.10197893321</v>
      </c>
      <c r="N49" s="30">
        <f>N39*Discount!U$15</f>
        <v>532709.62540891452</v>
      </c>
      <c r="O49" s="30">
        <f>O39*Discount!V$15</f>
        <v>601506.32342600368</v>
      </c>
      <c r="P49" s="30">
        <f>P39*Discount!W$15</f>
        <v>664530.54764853348</v>
      </c>
      <c r="Q49" s="30">
        <f>Q39*Discount!X$15</f>
        <v>723209.43421867525</v>
      </c>
      <c r="R49" s="30">
        <f>R39*Discount!Y$15</f>
        <v>776214.10401419131</v>
      </c>
      <c r="S49" s="30">
        <f>S39*Discount!Z$15</f>
        <v>830782.734156347</v>
      </c>
      <c r="T49" s="30">
        <f>T39*Discount!AA$15</f>
        <v>876407.59632517234</v>
      </c>
      <c r="U49" s="30">
        <f>U39*Discount!AB$15</f>
        <v>923789.55345345766</v>
      </c>
      <c r="V49" s="30">
        <f>V39*Discount!AC$15</f>
        <v>967928.60410838912</v>
      </c>
      <c r="W49" s="30">
        <f>W39*Discount!AD$15</f>
        <v>1008106.9729871716</v>
      </c>
      <c r="X49" s="30">
        <f>X39*Discount!AE$15</f>
        <v>936421.02784717921</v>
      </c>
      <c r="Y49" s="30">
        <f>Y39*Discount!AF$15</f>
        <v>874239.0126054046</v>
      </c>
      <c r="Z49" s="30">
        <f>Z39*Discount!AG$15</f>
        <v>812202.38216776401</v>
      </c>
      <c r="AA49" s="30">
        <f>AA39*Discount!AH$15</f>
        <v>758010.3392871829</v>
      </c>
      <c r="AB49" s="30">
        <f>AB39*Discount!AI$15</f>
        <v>702381.32905643317</v>
      </c>
      <c r="AC49" s="30">
        <f>AC39*Discount!AJ$15</f>
        <v>654568.72302631906</v>
      </c>
      <c r="AD49" s="30">
        <f>AD39*Discount!AK$15</f>
        <v>621708.75228738226</v>
      </c>
      <c r="AE49" s="30">
        <f>AE39*Discount!AL$15</f>
        <v>578859.74047643482</v>
      </c>
      <c r="AF49" s="30">
        <f>AF39*Discount!AM$15</f>
        <v>0</v>
      </c>
      <c r="AG49" s="30">
        <f>AG39*Discount!AN$15</f>
        <v>0</v>
      </c>
      <c r="AH49" s="30">
        <f>AH39*Discount!AO$15</f>
        <v>0</v>
      </c>
    </row>
    <row r="50" spans="4:34">
      <c r="D50" s="13" t="s">
        <v>49</v>
      </c>
      <c r="E50" s="320">
        <f>SUM(G50:AH50)</f>
        <v>6774184.8619987313</v>
      </c>
      <c r="F50" t="s">
        <v>54</v>
      </c>
      <c r="G50" s="30">
        <f>G40*Discount!N$15</f>
        <v>0</v>
      </c>
      <c r="H50" s="30">
        <f>H40*Discount!O$15</f>
        <v>0</v>
      </c>
      <c r="I50" s="30">
        <f>I40*Discount!P$15</f>
        <v>0</v>
      </c>
      <c r="J50" s="30">
        <f>J40*Discount!Q$15</f>
        <v>572360.20599905855</v>
      </c>
      <c r="K50" s="30">
        <f>K40*Discount!R$15</f>
        <v>534916.08037295181</v>
      </c>
      <c r="L50" s="30">
        <f>L40*Discount!S$15</f>
        <v>499921.57044201106</v>
      </c>
      <c r="M50" s="30">
        <f>M40*Discount!T$15</f>
        <v>467216.42097384215</v>
      </c>
      <c r="N50" s="30">
        <f>N40*Discount!U$15</f>
        <v>436650.86072321696</v>
      </c>
      <c r="O50" s="30">
        <f>O40*Discount!V$15</f>
        <v>408084.91656375409</v>
      </c>
      <c r="P50" s="30">
        <f>P40*Discount!W$15</f>
        <v>381387.77248948987</v>
      </c>
      <c r="Q50" s="30">
        <f>Q40*Discount!X$15</f>
        <v>356437.17055092508</v>
      </c>
      <c r="R50" s="30">
        <f>R40*Discount!Y$15</f>
        <v>333118.850982173</v>
      </c>
      <c r="S50" s="30">
        <f>S40*Discount!Z$15</f>
        <v>311326.02895530185</v>
      </c>
      <c r="T50" s="30">
        <f>T40*Discount!AA$15</f>
        <v>290958.90556570271</v>
      </c>
      <c r="U50" s="30">
        <f>U40*Discount!AB$15</f>
        <v>271924.21080906794</v>
      </c>
      <c r="V50" s="30">
        <f>V40*Discount!AC$15</f>
        <v>254134.77645707282</v>
      </c>
      <c r="W50" s="30">
        <f>W40*Discount!AD$15</f>
        <v>237509.13687576898</v>
      </c>
      <c r="X50" s="30">
        <f>X40*Discount!AE$15</f>
        <v>221971.15595866262</v>
      </c>
      <c r="Y50" s="30">
        <f>Y40*Discount!AF$15</f>
        <v>207449.67846603983</v>
      </c>
      <c r="Z50" s="30">
        <f>Z40*Discount!AG$15</f>
        <v>193878.20417386899</v>
      </c>
      <c r="AA50" s="30">
        <f>AA40*Discount!AH$15</f>
        <v>181194.58334006448</v>
      </c>
      <c r="AB50" s="30">
        <f>AB40*Discount!AI$15</f>
        <v>169340.73209351819</v>
      </c>
      <c r="AC50" s="30">
        <f>AC40*Discount!AJ$15</f>
        <v>158262.36644254034</v>
      </c>
      <c r="AD50" s="30">
        <f>AD40*Discount!AK$15</f>
        <v>147908.75368461717</v>
      </c>
      <c r="AE50" s="30">
        <f>AE40*Discount!AL$15</f>
        <v>138232.48007908143</v>
      </c>
      <c r="AF50" s="30">
        <f>AF40*Discount!AM$15</f>
        <v>0</v>
      </c>
      <c r="AG50" s="30">
        <f>AG40*Discount!AN$15</f>
        <v>0</v>
      </c>
      <c r="AH50" s="30">
        <f>AH40*Discount!AO$15</f>
        <v>0</v>
      </c>
    </row>
    <row r="51" spans="4:34">
      <c r="D51" s="13" t="s">
        <v>50</v>
      </c>
      <c r="E51" s="320">
        <f>SUM(G51:AH51)</f>
        <v>668647.23294975422</v>
      </c>
      <c r="F51" t="s">
        <v>54</v>
      </c>
      <c r="G51" s="30">
        <f>G41*Discount!N$15</f>
        <v>0</v>
      </c>
      <c r="H51" s="30">
        <f>H41*Discount!O$15</f>
        <v>0</v>
      </c>
      <c r="I51" s="30">
        <f>I41*Discount!P$15</f>
        <v>0</v>
      </c>
      <c r="J51" s="30">
        <f>J41*Discount!Q$15</f>
        <v>7628.5567193583493</v>
      </c>
      <c r="K51" s="30">
        <f>K41*Discount!R$15</f>
        <v>11548.027936797982</v>
      </c>
      <c r="L51" s="30">
        <f>L41*Discount!S$15</f>
        <v>15252.379875299672</v>
      </c>
      <c r="M51" s="30">
        <f>M41*Discount!T$15</f>
        <v>18756.071690737273</v>
      </c>
      <c r="N51" s="30">
        <f>N41*Discount!U$15</f>
        <v>22072.620219740787</v>
      </c>
      <c r="O51" s="30">
        <f>O41*Discount!V$15</f>
        <v>25214.661660458427</v>
      </c>
      <c r="P51" s="30">
        <f>P41*Discount!W$15</f>
        <v>28194.009218443727</v>
      </c>
      <c r="Q51" s="30">
        <f>Q41*Discount!X$15</f>
        <v>31021.706981634426</v>
      </c>
      <c r="R51" s="30">
        <f>R41*Discount!Y$15</f>
        <v>33708.080271120925</v>
      </c>
      <c r="S51" s="30">
        <f>S41*Discount!Z$15</f>
        <v>36262.782698263225</v>
      </c>
      <c r="T51" s="30">
        <f>T41*Discount!AA$15</f>
        <v>38694.840143631773</v>
      </c>
      <c r="U51" s="30">
        <f>U41*Discount!AB$15</f>
        <v>41012.691859151557</v>
      </c>
      <c r="V51" s="30">
        <f>V41*Discount!AC$15</f>
        <v>43224.22888165374</v>
      </c>
      <c r="W51" s="30">
        <f>W41*Discount!AD$15</f>
        <v>45336.829933727735</v>
      </c>
      <c r="X51" s="30">
        <f>X41*Discount!AE$15</f>
        <v>42370.869096941809</v>
      </c>
      <c r="Y51" s="30">
        <f>Y41*Discount!AF$15</f>
        <v>39598.94308125403</v>
      </c>
      <c r="Z51" s="30">
        <f>Z41*Discount!AG$15</f>
        <v>37008.358019863583</v>
      </c>
      <c r="AA51" s="30">
        <f>AA41*Discount!AH$15</f>
        <v>34587.250485853809</v>
      </c>
      <c r="AB51" s="30">
        <f>AB41*Discount!AI$15</f>
        <v>32324.533164349356</v>
      </c>
      <c r="AC51" s="30">
        <f>AC41*Discount!AJ$15</f>
        <v>30209.844078831167</v>
      </c>
      <c r="AD51" s="30">
        <f>AD41*Discount!AK$15</f>
        <v>28233.499139094554</v>
      </c>
      <c r="AE51" s="30">
        <f>AE41*Discount!AL$15</f>
        <v>26386.447793546307</v>
      </c>
      <c r="AF51" s="30">
        <f>AF41*Discount!AM$15</f>
        <v>0</v>
      </c>
      <c r="AG51" s="30">
        <f>AG41*Discount!AN$15</f>
        <v>0</v>
      </c>
      <c r="AH51" s="30">
        <f>AH41*Discount!AO$15</f>
        <v>0</v>
      </c>
    </row>
    <row r="52" spans="4:34">
      <c r="D52" s="34" t="s">
        <v>51</v>
      </c>
      <c r="E52" s="320">
        <f>SUM(G52:AH52)</f>
        <v>5798314.0460246159</v>
      </c>
      <c r="F52" t="s">
        <v>54</v>
      </c>
      <c r="G52" s="30">
        <f>G42*Discount!N$19</f>
        <v>0</v>
      </c>
      <c r="H52" s="30">
        <f>H42*Discount!O$19</f>
        <v>0</v>
      </c>
      <c r="I52" s="30">
        <f>I42*Discount!P$19</f>
        <v>0</v>
      </c>
      <c r="J52" s="30">
        <f>J42*Discount!Q$19</f>
        <v>252531.67530869096</v>
      </c>
      <c r="K52" s="30">
        <f>K42*Discount!R$19</f>
        <v>254600.32445139397</v>
      </c>
      <c r="L52" s="30">
        <f>L42*Discount!S$19</f>
        <v>256748.12027981255</v>
      </c>
      <c r="M52" s="30">
        <f>M42*Discount!T$19</f>
        <v>258971.76914483926</v>
      </c>
      <c r="N52" s="30">
        <f>N42*Discount!U$19</f>
        <v>265368.12743473676</v>
      </c>
      <c r="O52" s="30">
        <f>O42*Discount!V$19</f>
        <v>267766.75150815892</v>
      </c>
      <c r="P52" s="30">
        <f>P42*Discount!W$19</f>
        <v>270314.28098394314</v>
      </c>
      <c r="Q52" s="30">
        <f>Q42*Discount!X$19</f>
        <v>273060.81596929184</v>
      </c>
      <c r="R52" s="30">
        <f>R42*Discount!Y$19</f>
        <v>276041.99168114399</v>
      </c>
      <c r="S52" s="30">
        <f>S42*Discount!Z$19</f>
        <v>279291.98613129696</v>
      </c>
      <c r="T52" s="30">
        <f>T42*Discount!AA$19</f>
        <v>286817.93870622886</v>
      </c>
      <c r="U52" s="30">
        <f>U42*Discount!AB$19</f>
        <v>290685.61034477275</v>
      </c>
      <c r="V52" s="30">
        <f>V42*Discount!AC$19</f>
        <v>294923.3707417571</v>
      </c>
      <c r="W52" s="30">
        <f>W42*Discount!AD$19</f>
        <v>299558.18644673022</v>
      </c>
      <c r="X52" s="30">
        <f>X42*Discount!AE$19</f>
        <v>294001.10915487091</v>
      </c>
      <c r="Y52" s="30">
        <f>Y42*Discount!AF$19</f>
        <v>292302.48047271906</v>
      </c>
      <c r="Z52" s="30">
        <f>Z42*Discount!AG$19</f>
        <v>286874.18534173281</v>
      </c>
      <c r="AA52" s="30">
        <f>AA42*Discount!AH$19</f>
        <v>281556.32040202891</v>
      </c>
      <c r="AB52" s="30">
        <f>AB42*Discount!AI$19</f>
        <v>276340.98753167555</v>
      </c>
      <c r="AC52" s="30">
        <f>AC42*Discount!AJ$19</f>
        <v>271208.08504917019</v>
      </c>
      <c r="AD52" s="30">
        <f>AD42*Discount!AK$19</f>
        <v>269349.92893962213</v>
      </c>
      <c r="AE52" s="30">
        <f>AE42*Discount!AL$19</f>
        <v>0</v>
      </c>
      <c r="AF52" s="30">
        <f>AF42*Discount!AM$19</f>
        <v>0</v>
      </c>
      <c r="AG52" s="30">
        <f>AG42*Discount!AN$19</f>
        <v>0</v>
      </c>
      <c r="AH52" s="30">
        <f>AH42*Discount!AO$19</f>
        <v>0</v>
      </c>
    </row>
    <row r="53" spans="4:34">
      <c r="D53" t="s">
        <v>19</v>
      </c>
      <c r="E53" s="320">
        <f>SUM(G53:AH53)</f>
        <v>1950096.281953299</v>
      </c>
      <c r="F53" t="s">
        <v>54</v>
      </c>
      <c r="G53" s="30">
        <f>G43*Discount!N$15</f>
        <v>0</v>
      </c>
      <c r="H53" s="30">
        <f>H43*Discount!O$15</f>
        <v>0</v>
      </c>
      <c r="I53" s="30">
        <f>I43*Discount!P$15</f>
        <v>0</v>
      </c>
      <c r="J53" s="30">
        <f>J43*Discount!Q$15</f>
        <v>22248.53310087424</v>
      </c>
      <c r="K53" s="30">
        <f>K43*Discount!R$15</f>
        <v>33679.592517112578</v>
      </c>
      <c r="L53" s="30">
        <f>L43*Discount!S$15</f>
        <v>44483.260858713984</v>
      </c>
      <c r="M53" s="30">
        <f>M43*Discount!T$15</f>
        <v>54701.707964601446</v>
      </c>
      <c r="N53" s="30">
        <f>N43*Discount!U$15</f>
        <v>64374.355418469619</v>
      </c>
      <c r="O53" s="30">
        <f>O43*Discount!V$15</f>
        <v>73538.056439493783</v>
      </c>
      <c r="P53" s="30">
        <f>P43*Discount!W$15</f>
        <v>82227.264005406774</v>
      </c>
      <c r="Q53" s="30">
        <f>Q43*Discount!X$15</f>
        <v>90474.187977797163</v>
      </c>
      <c r="R53" s="30">
        <f>R43*Discount!Y$15</f>
        <v>98308.941949118758</v>
      </c>
      <c r="S53" s="30">
        <f>S43*Discount!Z$15</f>
        <v>105759.68048383071</v>
      </c>
      <c r="T53" s="30">
        <f>T43*Discount!AA$15</f>
        <v>112852.7273820992</v>
      </c>
      <c r="U53" s="30">
        <f>U43*Discount!AB$15</f>
        <v>119612.69555337832</v>
      </c>
      <c r="V53" s="30">
        <f>V43*Discount!AC$15</f>
        <v>126062.59904876549</v>
      </c>
      <c r="W53" s="30">
        <f>W43*Discount!AD$15</f>
        <v>132223.95776511828</v>
      </c>
      <c r="X53" s="30">
        <f>X43*Discount!AE$15</f>
        <v>123573.79230384885</v>
      </c>
      <c r="Y53" s="30">
        <f>Y43*Discount!AF$15</f>
        <v>115489.52551761575</v>
      </c>
      <c r="Z53" s="30">
        <f>Z43*Discount!AG$15</f>
        <v>107934.13599777174</v>
      </c>
      <c r="AA53" s="30">
        <f>AA43*Discount!AH$15</f>
        <v>100873.02429698291</v>
      </c>
      <c r="AB53" s="30">
        <f>AB43*Discount!AI$15</f>
        <v>94273.854483161602</v>
      </c>
      <c r="AC53" s="30">
        <f>AC43*Discount!AJ$15</f>
        <v>88106.406059029527</v>
      </c>
      <c r="AD53" s="30">
        <f>AD43*Discount!AK$15</f>
        <v>82342.435569186491</v>
      </c>
      <c r="AE53" s="30">
        <f>AE43*Discount!AL$15</f>
        <v>76955.547260921929</v>
      </c>
      <c r="AF53" s="30">
        <f>AF43*Discount!AM$15</f>
        <v>0</v>
      </c>
      <c r="AG53" s="30">
        <f>AG43*Discount!AN$15</f>
        <v>0</v>
      </c>
      <c r="AH53" s="30">
        <f>AH43*Discount!AO$15</f>
        <v>0</v>
      </c>
    </row>
    <row r="54" spans="4:34">
      <c r="D54" s="34" t="s">
        <v>52</v>
      </c>
      <c r="E54" s="320">
        <f>SUM(G54:AH54)</f>
        <v>1604153.9012504881</v>
      </c>
      <c r="F54" t="s">
        <v>54</v>
      </c>
      <c r="G54" s="30">
        <f>G44*Discount!N$15</f>
        <v>0</v>
      </c>
      <c r="H54" s="30">
        <f>H44*Discount!O$15</f>
        <v>0</v>
      </c>
      <c r="I54" s="30">
        <f>I44*Discount!P$15</f>
        <v>0</v>
      </c>
      <c r="J54" s="30">
        <f>J44*Discount!Q$15</f>
        <v>0</v>
      </c>
      <c r="K54" s="30">
        <f>K44*Discount!R$15</f>
        <v>0</v>
      </c>
      <c r="L54" s="30">
        <f>L44*Discount!S$15</f>
        <v>0</v>
      </c>
      <c r="M54" s="30">
        <f>M44*Discount!T$15</f>
        <v>0</v>
      </c>
      <c r="N54" s="30">
        <f>N44*Discount!U$15</f>
        <v>0</v>
      </c>
      <c r="O54" s="30">
        <f>O44*Discount!V$15</f>
        <v>0</v>
      </c>
      <c r="P54" s="30">
        <f>P44*Discount!W$15</f>
        <v>0</v>
      </c>
      <c r="Q54" s="30">
        <f>Q44*Discount!X$15</f>
        <v>0</v>
      </c>
      <c r="R54" s="30">
        <f>R44*Discount!Y$15</f>
        <v>0</v>
      </c>
      <c r="S54" s="30">
        <f>S44*Discount!Z$15</f>
        <v>0</v>
      </c>
      <c r="T54" s="30">
        <f>T44*Discount!AA$15</f>
        <v>0</v>
      </c>
      <c r="U54" s="30">
        <f>U44*Discount!AB$15</f>
        <v>0</v>
      </c>
      <c r="V54" s="30">
        <f>V44*Discount!AC$15</f>
        <v>0</v>
      </c>
      <c r="W54" s="30">
        <f>W44*Discount!AD$15</f>
        <v>0</v>
      </c>
      <c r="X54" s="30">
        <f>X44*Discount!AE$15</f>
        <v>0</v>
      </c>
      <c r="Y54" s="30">
        <f>Y44*Discount!AF$15</f>
        <v>0</v>
      </c>
      <c r="Z54" s="30">
        <f>Z44*Discount!AG$15</f>
        <v>0</v>
      </c>
      <c r="AA54" s="30">
        <f>AA44*Discount!AH$15</f>
        <v>0</v>
      </c>
      <c r="AB54" s="30">
        <f>AB44*Discount!AI$15</f>
        <v>0</v>
      </c>
      <c r="AC54" s="30">
        <f>AC44*Discount!AJ$15</f>
        <v>0</v>
      </c>
      <c r="AD54" s="30">
        <f>AD44*Discount!AK$15</f>
        <v>0</v>
      </c>
      <c r="AE54" s="30">
        <f>AE44*Discount!AL$15</f>
        <v>1604153.9012504881</v>
      </c>
      <c r="AF54" s="30">
        <f>AF44*Discount!AM$15</f>
        <v>0</v>
      </c>
      <c r="AG54" s="30">
        <f>AG44*Discount!AN$15</f>
        <v>0</v>
      </c>
      <c r="AH54" s="30">
        <f>AH44*Discount!AO$15</f>
        <v>0</v>
      </c>
    </row>
    <row r="55" spans="4:34">
      <c r="D55" s="34" t="s">
        <v>43</v>
      </c>
      <c r="E55" s="320">
        <f>SUM(G55:AH55)</f>
        <v>13600263.659304136</v>
      </c>
      <c r="F55" t="s">
        <v>54</v>
      </c>
      <c r="G55" s="30">
        <f>G33*Discount!N$15</f>
        <v>4843367.4028857211</v>
      </c>
      <c r="H55" s="30">
        <f>H33*Discount!O$15</f>
        <v>4526511.5914819827</v>
      </c>
      <c r="I55" s="30">
        <f>I33*Discount!P$15</f>
        <v>4230384.6649364326</v>
      </c>
      <c r="J55" s="30">
        <f>J33*Discount!Q$15</f>
        <v>0</v>
      </c>
      <c r="K55" s="30">
        <f>K33*Discount!R$15</f>
        <v>0</v>
      </c>
      <c r="L55" s="30">
        <f>L33*Discount!S$15</f>
        <v>0</v>
      </c>
      <c r="M55" s="30">
        <f>M33*Discount!T$15</f>
        <v>0</v>
      </c>
      <c r="N55" s="30">
        <f>N33*Discount!U$15</f>
        <v>0</v>
      </c>
      <c r="O55" s="30">
        <f>O33*Discount!V$15</f>
        <v>0</v>
      </c>
      <c r="P55" s="30">
        <f>P33*Discount!W$15</f>
        <v>0</v>
      </c>
      <c r="Q55" s="30">
        <f>Q33*Discount!X$15</f>
        <v>0</v>
      </c>
      <c r="R55" s="30">
        <f>R33*Discount!Y$15</f>
        <v>0</v>
      </c>
      <c r="S55" s="30">
        <f>S33*Discount!Z$15</f>
        <v>0</v>
      </c>
      <c r="T55" s="30">
        <f>T33*Discount!AA$15</f>
        <v>0</v>
      </c>
      <c r="U55" s="30">
        <f>U33*Discount!AB$15</f>
        <v>0</v>
      </c>
      <c r="V55" s="30">
        <f>V33*Discount!AC$15</f>
        <v>0</v>
      </c>
      <c r="W55" s="30">
        <f>W33*Discount!AD$15</f>
        <v>0</v>
      </c>
      <c r="X55" s="30">
        <f>X33*Discount!AE$15</f>
        <v>0</v>
      </c>
      <c r="Y55" s="30">
        <f>Y33*Discount!AF$15</f>
        <v>0</v>
      </c>
      <c r="Z55" s="30">
        <f>Z33*Discount!AG$15</f>
        <v>0</v>
      </c>
      <c r="AA55" s="30">
        <f>AA33*Discount!AH$15</f>
        <v>0</v>
      </c>
      <c r="AB55" s="30">
        <f>AB33*Discount!AI$15</f>
        <v>0</v>
      </c>
      <c r="AC55" s="30">
        <f>AC33*Discount!AJ$15</f>
        <v>0</v>
      </c>
      <c r="AD55" s="30">
        <f>AD33*Discount!AK$15</f>
        <v>0</v>
      </c>
      <c r="AE55" s="30">
        <f>AE33*Discount!AL$15</f>
        <v>0</v>
      </c>
      <c r="AF55" s="30">
        <f>AF33*Discount!AM$15</f>
        <v>0</v>
      </c>
      <c r="AG55" s="30">
        <f>AG33*Discount!AN$15</f>
        <v>0</v>
      </c>
      <c r="AH55" s="30">
        <f>AH33*Discount!AO$15</f>
        <v>0</v>
      </c>
    </row>
    <row r="56" spans="4:34">
      <c r="D56" s="34"/>
      <c r="J56" s="30">
        <f>J46*Discount!Q$15</f>
        <v>0</v>
      </c>
    </row>
    <row r="57" spans="4:34">
      <c r="D57" s="34"/>
      <c r="J57" s="30"/>
    </row>
    <row r="58" spans="4:34">
      <c r="D58" s="25" t="s">
        <v>55</v>
      </c>
      <c r="E58" s="352" t="s">
        <v>54</v>
      </c>
    </row>
    <row r="59" spans="4:34">
      <c r="D59" s="16" t="s">
        <v>56</v>
      </c>
      <c r="E59" s="62">
        <f>SUM(E48:E49)</f>
        <v>18989643.670771234</v>
      </c>
    </row>
    <row r="60" spans="4:34">
      <c r="D60" s="16" t="s">
        <v>57</v>
      </c>
      <c r="E60" s="62">
        <f>E50</f>
        <v>6774184.8619987313</v>
      </c>
    </row>
    <row r="61" spans="4:34">
      <c r="D61" s="16" t="s">
        <v>58</v>
      </c>
      <c r="E61" s="62">
        <f>E51</f>
        <v>668647.23294975422</v>
      </c>
    </row>
    <row r="62" spans="4:34">
      <c r="D62" s="16" t="s">
        <v>59</v>
      </c>
      <c r="E62" s="62">
        <f>E53</f>
        <v>1950096.281953299</v>
      </c>
    </row>
    <row r="63" spans="4:34">
      <c r="D63" s="16" t="s">
        <v>60</v>
      </c>
      <c r="E63" s="62">
        <f>E52</f>
        <v>5798314.0460246159</v>
      </c>
    </row>
    <row r="64" spans="4:34">
      <c r="D64" s="16" t="s">
        <v>61</v>
      </c>
      <c r="E64" s="62">
        <f>E54</f>
        <v>1604153.9012504881</v>
      </c>
    </row>
    <row r="67" spans="4:7">
      <c r="D67" s="25" t="s">
        <v>62</v>
      </c>
      <c r="E67" s="260">
        <f>'BCA Inputs'!F38</f>
        <v>0.08</v>
      </c>
      <c r="F67" s="260">
        <v>0.06</v>
      </c>
      <c r="G67" s="260">
        <v>0.04</v>
      </c>
    </row>
    <row r="68" spans="4:7">
      <c r="D68" s="25" t="s">
        <v>63</v>
      </c>
      <c r="E68" s="62">
        <f>SUM(E48:E54)</f>
        <v>35785039.994948126</v>
      </c>
      <c r="F68" s="28">
        <v>27602382.064862471</v>
      </c>
      <c r="G68" s="28">
        <v>20871253.364581093</v>
      </c>
    </row>
    <row r="69" spans="4:7">
      <c r="D69" s="25" t="s">
        <v>64</v>
      </c>
      <c r="E69" s="62">
        <f>E55</f>
        <v>13600263.659304136</v>
      </c>
      <c r="F69" s="28">
        <v>13600263.659304136</v>
      </c>
      <c r="G69" s="28">
        <v>13600263.659304136</v>
      </c>
    </row>
    <row r="70" spans="4:7">
      <c r="D70" s="25" t="s">
        <v>65</v>
      </c>
      <c r="E70" s="32">
        <f>E68/E55</f>
        <v>2.6312019304469194</v>
      </c>
      <c r="F70" s="41">
        <v>2.0295475702766455</v>
      </c>
      <c r="G70" s="41">
        <v>1.5346212314275811</v>
      </c>
    </row>
    <row r="71" spans="4:7">
      <c r="D71" s="25" t="s">
        <v>66</v>
      </c>
      <c r="E71" s="62">
        <f>E68-E55</f>
        <v>22184776.335643992</v>
      </c>
      <c r="F71" s="28">
        <v>14002118.405558335</v>
      </c>
      <c r="G71" s="28">
        <v>7270989.7052769568</v>
      </c>
    </row>
    <row r="74" spans="4:7">
      <c r="D74" t="s">
        <v>67</v>
      </c>
    </row>
  </sheetData>
  <hyperlinks>
    <hyperlink ref="E15" r:id="rId1" xr:uid="{45A68B19-30C9-41CD-ACB0-D85687B6FC77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69F4-0803-4D87-B03C-5E21ED1009A8}">
  <dimension ref="B1:AH34"/>
  <sheetViews>
    <sheetView showGridLines="0" zoomScale="85" zoomScaleNormal="85" workbookViewId="0">
      <selection activeCell="H27" sqref="H27"/>
    </sheetView>
  </sheetViews>
  <sheetFormatPr defaultRowHeight="14.45"/>
  <cols>
    <col min="1" max="1" width="3.140625" customWidth="1"/>
    <col min="2" max="2" width="7" customWidth="1"/>
    <col min="3" max="3" width="3.140625" customWidth="1"/>
    <col min="4" max="4" width="37.85546875" customWidth="1"/>
    <col min="5" max="5" width="12.42578125" customWidth="1"/>
    <col min="6" max="6" width="13" customWidth="1"/>
    <col min="7" max="7" width="11.85546875" customWidth="1"/>
    <col min="8" max="9" width="12.5703125" customWidth="1"/>
    <col min="10" max="10" width="12.85546875" bestFit="1" customWidth="1"/>
    <col min="11" max="12" width="13.5703125" bestFit="1" customWidth="1"/>
    <col min="13" max="13" width="10.85546875" customWidth="1"/>
    <col min="14" max="14" width="11.140625" customWidth="1"/>
    <col min="15" max="16" width="10.140625" customWidth="1"/>
    <col min="17" max="18" width="10.140625" bestFit="1" customWidth="1"/>
    <col min="19" max="19" width="10.5703125" bestFit="1" customWidth="1"/>
    <col min="20" max="20" width="11.5703125" customWidth="1"/>
    <col min="21" max="34" width="9.140625" bestFit="1" customWidth="1"/>
    <col min="35" max="38" width="8.85546875" bestFit="1" customWidth="1"/>
  </cols>
  <sheetData>
    <row r="1" spans="2:34">
      <c r="B1" s="7">
        <f>SUM(A:A)</f>
        <v>0</v>
      </c>
    </row>
    <row r="2" spans="2:34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2:34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7" spans="2:34" s="20" customFormat="1">
      <c r="G7" s="265">
        <v>2023</v>
      </c>
      <c r="H7" s="265">
        <f t="shared" ref="H7:AH7" si="0">G7+1</f>
        <v>2024</v>
      </c>
      <c r="I7" s="265">
        <f t="shared" si="0"/>
        <v>2025</v>
      </c>
      <c r="J7" s="265">
        <f t="shared" si="0"/>
        <v>2026</v>
      </c>
      <c r="K7" s="265">
        <f t="shared" si="0"/>
        <v>2027</v>
      </c>
      <c r="L7" s="265">
        <f t="shared" si="0"/>
        <v>2028</v>
      </c>
      <c r="M7" s="265">
        <f t="shared" si="0"/>
        <v>2029</v>
      </c>
      <c r="N7" s="265">
        <f t="shared" si="0"/>
        <v>2030</v>
      </c>
      <c r="O7" s="265">
        <f t="shared" si="0"/>
        <v>2031</v>
      </c>
      <c r="P7" s="265">
        <f t="shared" si="0"/>
        <v>2032</v>
      </c>
      <c r="Q7" s="265">
        <f t="shared" si="0"/>
        <v>2033</v>
      </c>
      <c r="R7" s="265">
        <f t="shared" si="0"/>
        <v>2034</v>
      </c>
      <c r="S7" s="265">
        <f t="shared" si="0"/>
        <v>2035</v>
      </c>
      <c r="T7" s="265">
        <f t="shared" si="0"/>
        <v>2036</v>
      </c>
      <c r="U7" s="265">
        <f t="shared" si="0"/>
        <v>2037</v>
      </c>
      <c r="V7" s="265">
        <f t="shared" si="0"/>
        <v>2038</v>
      </c>
      <c r="W7" s="265">
        <f t="shared" si="0"/>
        <v>2039</v>
      </c>
      <c r="X7" s="265">
        <f t="shared" si="0"/>
        <v>2040</v>
      </c>
      <c r="Y7" s="265">
        <f t="shared" si="0"/>
        <v>2041</v>
      </c>
      <c r="Z7" s="265">
        <f t="shared" si="0"/>
        <v>2042</v>
      </c>
      <c r="AA7" s="265">
        <f t="shared" si="0"/>
        <v>2043</v>
      </c>
      <c r="AB7" s="265">
        <f t="shared" si="0"/>
        <v>2044</v>
      </c>
      <c r="AC7" s="265">
        <f t="shared" si="0"/>
        <v>2045</v>
      </c>
      <c r="AD7" s="265">
        <f t="shared" si="0"/>
        <v>2046</v>
      </c>
      <c r="AE7" s="265">
        <f t="shared" si="0"/>
        <v>2047</v>
      </c>
      <c r="AF7" s="265">
        <f t="shared" si="0"/>
        <v>2048</v>
      </c>
      <c r="AG7" s="265">
        <f t="shared" si="0"/>
        <v>2049</v>
      </c>
      <c r="AH7" s="265">
        <f t="shared" si="0"/>
        <v>2050</v>
      </c>
    </row>
    <row r="8" spans="2:34">
      <c r="D8" s="265" t="s">
        <v>4</v>
      </c>
      <c r="E8" s="265" t="s">
        <v>6</v>
      </c>
    </row>
    <row r="10" spans="2:34">
      <c r="D10" t="s">
        <v>7</v>
      </c>
      <c r="G10">
        <f>Discount!M38</f>
        <v>0</v>
      </c>
      <c r="H10">
        <f>Discount!N38</f>
        <v>0</v>
      </c>
      <c r="I10">
        <v>1</v>
      </c>
      <c r="J10">
        <v>1</v>
      </c>
      <c r="K10">
        <v>1</v>
      </c>
      <c r="L10">
        <v>1</v>
      </c>
      <c r="M10">
        <f>Discount!S38</f>
        <v>1</v>
      </c>
      <c r="N10">
        <f>Discount!T38</f>
        <v>1</v>
      </c>
      <c r="O10">
        <f>Discount!U38</f>
        <v>1</v>
      </c>
      <c r="P10">
        <f>Discount!V38</f>
        <v>1</v>
      </c>
      <c r="Q10">
        <f>Discount!W38</f>
        <v>1</v>
      </c>
      <c r="R10">
        <f>Discount!X38</f>
        <v>1</v>
      </c>
      <c r="S10">
        <f>Discount!Y38</f>
        <v>1</v>
      </c>
      <c r="T10">
        <f>Discount!Z38</f>
        <v>1</v>
      </c>
      <c r="U10">
        <f>Discount!AA38</f>
        <v>1</v>
      </c>
      <c r="V10">
        <f>Discount!AB38</f>
        <v>1</v>
      </c>
      <c r="W10">
        <f>Discount!AC38</f>
        <v>1</v>
      </c>
      <c r="X10">
        <f>Discount!AD38</f>
        <v>1</v>
      </c>
      <c r="Y10">
        <f>Discount!AE38</f>
        <v>1</v>
      </c>
      <c r="Z10">
        <f>Discount!AF38</f>
        <v>1</v>
      </c>
      <c r="AA10">
        <f>Discount!AG38</f>
        <v>1</v>
      </c>
      <c r="AB10">
        <f>Discount!AH38</f>
        <v>1</v>
      </c>
      <c r="AC10">
        <f>Discount!AI38</f>
        <v>1</v>
      </c>
      <c r="AD10">
        <f>Discount!AJ38</f>
        <v>1</v>
      </c>
      <c r="AE10">
        <f>Discount!AK38</f>
        <v>1</v>
      </c>
      <c r="AF10">
        <f>Discount!AL38</f>
        <v>1</v>
      </c>
      <c r="AG10">
        <v>0</v>
      </c>
      <c r="AH10">
        <v>0</v>
      </c>
    </row>
    <row r="11" spans="2:34">
      <c r="D11" t="s">
        <v>43</v>
      </c>
      <c r="E11" t="s">
        <v>45</v>
      </c>
      <c r="G11" s="29">
        <v>0</v>
      </c>
      <c r="H11" s="29">
        <v>6450000</v>
      </c>
      <c r="I11" s="29">
        <v>6450000</v>
      </c>
    </row>
    <row r="14" spans="2:34" ht="15" thickBot="1">
      <c r="D14" s="26" t="s">
        <v>68</v>
      </c>
    </row>
    <row r="15" spans="2:34" ht="15" thickTop="1"/>
    <row r="16" spans="2:34">
      <c r="D16" t="s">
        <v>69</v>
      </c>
      <c r="E16" t="s">
        <v>45</v>
      </c>
      <c r="G16" s="30">
        <f>'BCA Inputs'!$F$103*'BCA Inputs'!$F$104*G10*'BCA Inputs'!$F$105</f>
        <v>0</v>
      </c>
      <c r="H16" s="30">
        <f>'BCA Inputs'!$F$103*'BCA Inputs'!$F$104*H10*'BCA Inputs'!$F$105</f>
        <v>0</v>
      </c>
      <c r="I16" s="30">
        <f>'BCA Inputs'!$F$103*'BCA Inputs'!$F$104*I10*'BCA Inputs'!$F$105</f>
        <v>2570517.5999999996</v>
      </c>
      <c r="J16" s="30">
        <f>'BCA Inputs'!$F$103*'BCA Inputs'!$F$104*J10*'BCA Inputs'!$F$105</f>
        <v>2570517.5999999996</v>
      </c>
      <c r="K16" s="30">
        <f>'BCA Inputs'!$F$103*'BCA Inputs'!$F$104*K10*'BCA Inputs'!$F$105</f>
        <v>2570517.5999999996</v>
      </c>
      <c r="L16" s="30">
        <f>'BCA Inputs'!$F$103*'BCA Inputs'!$F$104*L10*'BCA Inputs'!$F$105</f>
        <v>2570517.5999999996</v>
      </c>
      <c r="M16" s="30">
        <f>'BCA Inputs'!$F$103*'BCA Inputs'!$F$104*M10*'BCA Inputs'!$F$105</f>
        <v>2570517.5999999996</v>
      </c>
      <c r="N16" s="30">
        <f>'BCA Inputs'!$F$103*'BCA Inputs'!$F$104*N10*'BCA Inputs'!$F$105</f>
        <v>2570517.5999999996</v>
      </c>
      <c r="O16" s="30">
        <f>'BCA Inputs'!$F$103*'BCA Inputs'!$F$104*O10*'BCA Inputs'!$F$105</f>
        <v>2570517.5999999996</v>
      </c>
      <c r="P16" s="30">
        <f>'BCA Inputs'!$F$103*'BCA Inputs'!$F$104*P10*'BCA Inputs'!$F$105</f>
        <v>2570517.5999999996</v>
      </c>
      <c r="Q16" s="30">
        <f>'BCA Inputs'!$F$103*'BCA Inputs'!$F$104*Q10*'BCA Inputs'!$F$105</f>
        <v>2570517.5999999996</v>
      </c>
      <c r="R16" s="30">
        <f>'BCA Inputs'!$F$103*'BCA Inputs'!$F$104*R10*'BCA Inputs'!$F$105</f>
        <v>2570517.5999999996</v>
      </c>
      <c r="S16" s="30">
        <f>'BCA Inputs'!$F$103*'BCA Inputs'!$F$104*S10*'BCA Inputs'!$F$105</f>
        <v>2570517.5999999996</v>
      </c>
      <c r="T16" s="30">
        <f>'BCA Inputs'!$F$103*'BCA Inputs'!$F$104*T10*'BCA Inputs'!$F$105</f>
        <v>2570517.5999999996</v>
      </c>
      <c r="U16" s="30">
        <f>'BCA Inputs'!$F$103*'BCA Inputs'!$F$104*U10*'BCA Inputs'!$F$105</f>
        <v>2570517.5999999996</v>
      </c>
      <c r="V16" s="30">
        <f>'BCA Inputs'!$F$103*'BCA Inputs'!$F$104*V10*'BCA Inputs'!$F$105</f>
        <v>2570517.5999999996</v>
      </c>
      <c r="W16" s="30">
        <f>'BCA Inputs'!$F$103*'BCA Inputs'!$F$104*W10*'BCA Inputs'!$F$105</f>
        <v>2570517.5999999996</v>
      </c>
      <c r="X16" s="30">
        <f>'BCA Inputs'!$F$103*'BCA Inputs'!$F$104*X10*'BCA Inputs'!$F$105</f>
        <v>2570517.5999999996</v>
      </c>
      <c r="Y16" s="30">
        <f>'BCA Inputs'!$F$103*'BCA Inputs'!$F$104*Y10*'BCA Inputs'!$F$105</f>
        <v>2570517.5999999996</v>
      </c>
      <c r="Z16" s="30">
        <f>'BCA Inputs'!$F$103*'BCA Inputs'!$F$104*Z10*'BCA Inputs'!$F$105</f>
        <v>2570517.5999999996</v>
      </c>
      <c r="AA16" s="30">
        <f>'BCA Inputs'!$F$103*'BCA Inputs'!$F$104*AA10*'BCA Inputs'!$F$105</f>
        <v>2570517.5999999996</v>
      </c>
      <c r="AB16" s="30">
        <f>'BCA Inputs'!$F$103*'BCA Inputs'!$F$104*AB10*'BCA Inputs'!$F$105</f>
        <v>2570517.5999999996</v>
      </c>
      <c r="AC16" s="30">
        <f>'BCA Inputs'!$F$103*'BCA Inputs'!$F$104*AC10*'BCA Inputs'!$F$105</f>
        <v>2570517.5999999996</v>
      </c>
      <c r="AD16" s="30">
        <f>'BCA Inputs'!$F$103*'BCA Inputs'!$F$104*AD10*'BCA Inputs'!$F$105</f>
        <v>2570517.5999999996</v>
      </c>
      <c r="AE16" s="30">
        <f>'BCA Inputs'!$F$103*'BCA Inputs'!$F$104*AE10*'BCA Inputs'!$F$105</f>
        <v>2570517.5999999996</v>
      </c>
      <c r="AF16" s="30">
        <f>'BCA Inputs'!$F$103*'BCA Inputs'!$F$104*AF10*'BCA Inputs'!$F$105</f>
        <v>2570517.5999999996</v>
      </c>
      <c r="AG16" s="30">
        <f>'BCA Inputs'!$F$103*'BCA Inputs'!$F$104*AG10*'BCA Inputs'!$F$105</f>
        <v>0</v>
      </c>
      <c r="AH16" s="30">
        <f>'BCA Inputs'!$F$103*'BCA Inputs'!$F$104*AH10*'BCA Inputs'!$F$105</f>
        <v>0</v>
      </c>
    </row>
    <row r="17" spans="4:34">
      <c r="D17" s="4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4:34" ht="15" thickBot="1">
      <c r="D18" s="26" t="s">
        <v>70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4:34" ht="15" thickTop="1"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4:34">
      <c r="D20" t="s">
        <v>71</v>
      </c>
      <c r="E20" t="s">
        <v>54</v>
      </c>
      <c r="G20" s="30">
        <f>G16*Discount!M$15</f>
        <v>0</v>
      </c>
      <c r="H20" s="30">
        <f>H16*Discount!N$15</f>
        <v>0</v>
      </c>
      <c r="I20" s="30">
        <f>I16*Discount!O$15</f>
        <v>1961035.5695238952</v>
      </c>
      <c r="J20" s="30">
        <f>J16*Discount!P$15</f>
        <v>1832743.5229195282</v>
      </c>
      <c r="K20" s="30">
        <f>K16*Discount!Q$15</f>
        <v>1712844.4139434844</v>
      </c>
      <c r="L20" s="30">
        <f>L16*Discount!R$15</f>
        <v>1600789.1719097984</v>
      </c>
      <c r="M20" s="30">
        <f>M16*Discount!S$15</f>
        <v>1496064.6466446714</v>
      </c>
      <c r="N20" s="30">
        <f>N16*Discount!T$15</f>
        <v>1398191.2585464218</v>
      </c>
      <c r="O20" s="30">
        <f>O16*Discount!U$15</f>
        <v>1306720.8023798335</v>
      </c>
      <c r="P20" s="30">
        <f>P16*Discount!V$15</f>
        <v>1221234.3947475078</v>
      </c>
      <c r="Q20" s="30">
        <f>Q16*Discount!W$15</f>
        <v>1141340.5558387926</v>
      </c>
      <c r="R20" s="30">
        <f>R16*Discount!X$15</f>
        <v>1066673.4166717685</v>
      </c>
      <c r="S20" s="30">
        <f>S16*Discount!Y$15</f>
        <v>996891.04361847544</v>
      </c>
      <c r="T20" s="30">
        <f>T16*Discount!Z$15</f>
        <v>931673.8725406311</v>
      </c>
      <c r="U20" s="30">
        <f>U16*Discount!AA$15</f>
        <v>870723.24536507588</v>
      </c>
      <c r="V20" s="30">
        <f>V16*Discount!AB$15</f>
        <v>813760.0423972673</v>
      </c>
      <c r="W20" s="30">
        <f>W16*Discount!AC$15</f>
        <v>760523.40410959546</v>
      </c>
      <c r="X20" s="30">
        <f>X16*Discount!AD$15</f>
        <v>710769.53655102383</v>
      </c>
      <c r="Y20" s="30">
        <f>Y16*Discount!AE$15</f>
        <v>664270.59490749892</v>
      </c>
      <c r="Z20" s="30">
        <f>Z16*Discount!AF$15</f>
        <v>620813.64010046632</v>
      </c>
      <c r="AA20" s="30">
        <f>AA16*Discount!AG$15</f>
        <v>580199.66364529554</v>
      </c>
      <c r="AB20" s="30">
        <f>AB16*Discount!AH$15</f>
        <v>542242.67630401452</v>
      </c>
      <c r="AC20" s="30">
        <f>AC16*Discount!AI$15</f>
        <v>506768.85635889211</v>
      </c>
      <c r="AD20" s="30">
        <f>AD16*Discount!AJ$15</f>
        <v>473615.75360644114</v>
      </c>
      <c r="AE20" s="30">
        <f>AE16*Discount!AK$15</f>
        <v>442631.54542658059</v>
      </c>
      <c r="AF20" s="30">
        <f>AF16*Discount!AL$15</f>
        <v>413674.34152016864</v>
      </c>
      <c r="AG20" s="30">
        <f>AG16*Discount!AM$15</f>
        <v>0</v>
      </c>
      <c r="AH20" s="30">
        <f>AH16*Discount!AN$15</f>
        <v>0</v>
      </c>
    </row>
    <row r="21" spans="4:34">
      <c r="D21" t="s">
        <v>43</v>
      </c>
      <c r="E21" t="s">
        <v>54</v>
      </c>
      <c r="G21" s="30">
        <f>G11*Discount!M$15</f>
        <v>0</v>
      </c>
      <c r="H21" s="30">
        <f>H11*Discount!N$15</f>
        <v>5265121.3059459943</v>
      </c>
      <c r="I21" s="30">
        <f>I11*Discount!O$15</f>
        <v>4920674.1177065372</v>
      </c>
      <c r="J21" s="30">
        <f>J11*Discount!P$15</f>
        <v>0</v>
      </c>
      <c r="K21" s="30">
        <f>K11*Discount!Q$15</f>
        <v>0</v>
      </c>
      <c r="L21" s="30">
        <f>L11*Discount!R$15</f>
        <v>0</v>
      </c>
      <c r="M21" s="30">
        <f>M11*Discount!S$15</f>
        <v>0</v>
      </c>
      <c r="N21" s="30">
        <f>N11*Discount!T$15</f>
        <v>0</v>
      </c>
      <c r="O21" s="30">
        <f>O11*Discount!U$15</f>
        <v>0</v>
      </c>
      <c r="P21" s="30">
        <f>P11*Discount!V$15</f>
        <v>0</v>
      </c>
      <c r="Q21" s="30">
        <f>Q11*Discount!W$15</f>
        <v>0</v>
      </c>
      <c r="R21" s="30">
        <f>R11*Discount!X$15</f>
        <v>0</v>
      </c>
      <c r="S21" s="30">
        <f>S11*Discount!Y$15</f>
        <v>0</v>
      </c>
      <c r="T21" s="30">
        <f>T11*Discount!Z$15</f>
        <v>0</v>
      </c>
      <c r="U21" s="30">
        <f>U11*Discount!AA$15</f>
        <v>0</v>
      </c>
      <c r="V21" s="30">
        <f>V11*Discount!AB$15</f>
        <v>0</v>
      </c>
      <c r="W21" s="30">
        <f>W11*Discount!AC$15</f>
        <v>0</v>
      </c>
      <c r="X21" s="30">
        <f>X11*Discount!AD$15</f>
        <v>0</v>
      </c>
      <c r="Y21" s="30">
        <f>Y11*Discount!AE$15</f>
        <v>0</v>
      </c>
      <c r="Z21" s="30">
        <f>Z11*Discount!AF$15</f>
        <v>0</v>
      </c>
      <c r="AA21" s="30">
        <f>AA11*Discount!AG$15</f>
        <v>0</v>
      </c>
      <c r="AB21" s="30">
        <f>AB11*Discount!AH$15</f>
        <v>0</v>
      </c>
      <c r="AC21" s="30">
        <f>AC11*Discount!AI$15</f>
        <v>0</v>
      </c>
      <c r="AD21" s="30">
        <f>AD11*Discount!AJ$15</f>
        <v>0</v>
      </c>
      <c r="AE21" s="30">
        <f>AE11*Discount!AK$15</f>
        <v>0</v>
      </c>
      <c r="AF21" s="30">
        <f>AF11*Discount!AL$15</f>
        <v>0</v>
      </c>
      <c r="AG21" s="30">
        <f>AG11*Discount!AM$15</f>
        <v>0</v>
      </c>
      <c r="AH21" s="30">
        <f>AH11*Discount!AN$15</f>
        <v>0</v>
      </c>
    </row>
    <row r="22" spans="4:34"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4:34">
      <c r="D23" t="s">
        <v>71</v>
      </c>
      <c r="F23" s="30">
        <f>SUM(G20:AH20)</f>
        <v>24066195.969577141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4:34">
      <c r="D24" t="s">
        <v>43</v>
      </c>
      <c r="F24" s="30">
        <f>SUM(G21:AH21)</f>
        <v>10185795.423652532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4:34">
      <c r="D25" t="s">
        <v>66</v>
      </c>
      <c r="F25" s="30">
        <f>F23-F24</f>
        <v>13880400.54592461</v>
      </c>
    </row>
    <row r="26" spans="4:34">
      <c r="D26" t="s">
        <v>65</v>
      </c>
      <c r="F26" s="31">
        <f>F23/F24</f>
        <v>2.362721316166708</v>
      </c>
    </row>
    <row r="29" spans="4:34">
      <c r="F29" s="30"/>
    </row>
    <row r="30" spans="4:34">
      <c r="E30" s="321">
        <f>'BCA Inputs'!F105</f>
        <v>0.7</v>
      </c>
      <c r="F30" s="321">
        <v>0.5</v>
      </c>
      <c r="G30" s="321">
        <v>0.3</v>
      </c>
    </row>
    <row r="31" spans="4:34">
      <c r="D31" s="322" t="s">
        <v>72</v>
      </c>
      <c r="E31" s="209">
        <f>F23</f>
        <v>24066195.969577141</v>
      </c>
      <c r="F31" s="209">
        <v>17190139.97826938</v>
      </c>
      <c r="G31" s="209">
        <v>10314083.986961627</v>
      </c>
    </row>
    <row r="32" spans="4:34">
      <c r="D32" s="323" t="s">
        <v>73</v>
      </c>
      <c r="E32" s="209">
        <f>F24</f>
        <v>10185795.423652532</v>
      </c>
      <c r="F32" s="209">
        <v>10185795.423652532</v>
      </c>
      <c r="G32" s="209">
        <v>10185795.423652532</v>
      </c>
    </row>
    <row r="33" spans="4:7">
      <c r="D33" s="322" t="s">
        <v>65</v>
      </c>
      <c r="E33" s="261">
        <f>F26</f>
        <v>2.362721316166708</v>
      </c>
      <c r="F33" s="261">
        <v>1.6876580829762193</v>
      </c>
      <c r="G33" s="261">
        <v>1.0125948497857316</v>
      </c>
    </row>
    <row r="34" spans="4:7">
      <c r="D34" s="324" t="s">
        <v>66</v>
      </c>
      <c r="E34" s="209">
        <f>F25</f>
        <v>13880400.54592461</v>
      </c>
      <c r="F34" s="209">
        <v>7004344.554616848</v>
      </c>
      <c r="G34" s="209">
        <v>128288.5633090958</v>
      </c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417A-177A-4928-8865-067539E5862E}">
  <dimension ref="B1:AF56"/>
  <sheetViews>
    <sheetView showGridLines="0" topLeftCell="D4" zoomScale="80" zoomScaleNormal="80" workbookViewId="0">
      <selection activeCell="E63" sqref="E63"/>
    </sheetView>
  </sheetViews>
  <sheetFormatPr defaultRowHeight="14.45"/>
  <cols>
    <col min="1" max="1" width="3.140625" customWidth="1"/>
    <col min="2" max="2" width="4.42578125" customWidth="1"/>
    <col min="3" max="3" width="3.140625" customWidth="1"/>
    <col min="4" max="4" width="29.5703125" customWidth="1"/>
    <col min="5" max="5" width="33.140625" customWidth="1"/>
    <col min="6" max="6" width="30.140625" bestFit="1" customWidth="1"/>
    <col min="7" max="7" width="27.85546875" customWidth="1"/>
    <col min="8" max="8" width="19.85546875" bestFit="1" customWidth="1"/>
    <col min="9" max="9" width="17.28515625" bestFit="1" customWidth="1"/>
    <col min="10" max="10" width="18" bestFit="1" customWidth="1"/>
    <col min="11" max="11" width="18.42578125" bestFit="1" customWidth="1"/>
    <col min="12" max="12" width="15.28515625" bestFit="1" customWidth="1"/>
    <col min="13" max="14" width="16.140625" bestFit="1" customWidth="1"/>
    <col min="15" max="15" width="17.42578125" customWidth="1"/>
    <col min="16" max="16" width="16.5703125" customWidth="1"/>
    <col min="17" max="22" width="16.140625" bestFit="1" customWidth="1"/>
    <col min="23" max="23" width="16.140625" customWidth="1"/>
    <col min="24" max="26" width="16.140625" bestFit="1" customWidth="1"/>
    <col min="27" max="30" width="16.42578125" bestFit="1" customWidth="1"/>
    <col min="31" max="32" width="17.140625" bestFit="1" customWidth="1"/>
  </cols>
  <sheetData>
    <row r="1" spans="2:32">
      <c r="B1" s="7">
        <f>SUM(A:A)</f>
        <v>0</v>
      </c>
    </row>
    <row r="2" spans="2:32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2:32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</row>
    <row r="6" spans="2:32" ht="16.5">
      <c r="B6" s="1"/>
      <c r="C6" s="1"/>
      <c r="D6" s="1" t="s">
        <v>74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</row>
    <row r="8" spans="2:32">
      <c r="D8" s="40"/>
    </row>
    <row r="9" spans="2:32">
      <c r="D9" s="289"/>
      <c r="E9" s="272"/>
      <c r="F9" s="290" t="s">
        <v>3</v>
      </c>
      <c r="G9" s="290">
        <v>2023</v>
      </c>
      <c r="H9" s="290">
        <f t="shared" ref="H9:AE9" si="0">G9+1</f>
        <v>2024</v>
      </c>
      <c r="I9" s="290">
        <f t="shared" si="0"/>
        <v>2025</v>
      </c>
      <c r="J9" s="290">
        <f t="shared" si="0"/>
        <v>2026</v>
      </c>
      <c r="K9" s="290">
        <f t="shared" si="0"/>
        <v>2027</v>
      </c>
      <c r="L9" s="290">
        <f t="shared" si="0"/>
        <v>2028</v>
      </c>
      <c r="M9" s="290">
        <f t="shared" si="0"/>
        <v>2029</v>
      </c>
      <c r="N9" s="290">
        <f t="shared" si="0"/>
        <v>2030</v>
      </c>
      <c r="O9" s="290">
        <f t="shared" si="0"/>
        <v>2031</v>
      </c>
      <c r="P9" s="290">
        <f t="shared" si="0"/>
        <v>2032</v>
      </c>
      <c r="Q9" s="290">
        <f t="shared" si="0"/>
        <v>2033</v>
      </c>
      <c r="R9" s="290">
        <f t="shared" si="0"/>
        <v>2034</v>
      </c>
      <c r="S9" s="290">
        <f t="shared" si="0"/>
        <v>2035</v>
      </c>
      <c r="T9" s="290">
        <f t="shared" si="0"/>
        <v>2036</v>
      </c>
      <c r="U9" s="290">
        <f t="shared" si="0"/>
        <v>2037</v>
      </c>
      <c r="V9" s="290">
        <f t="shared" si="0"/>
        <v>2038</v>
      </c>
      <c r="W9" s="290">
        <f t="shared" si="0"/>
        <v>2039</v>
      </c>
      <c r="X9" s="290">
        <f t="shared" si="0"/>
        <v>2040</v>
      </c>
      <c r="Y9" s="290">
        <f t="shared" si="0"/>
        <v>2041</v>
      </c>
      <c r="Z9" s="290">
        <f t="shared" si="0"/>
        <v>2042</v>
      </c>
      <c r="AA9" s="290">
        <f t="shared" si="0"/>
        <v>2043</v>
      </c>
      <c r="AB9" s="290">
        <f t="shared" si="0"/>
        <v>2044</v>
      </c>
      <c r="AC9" s="290">
        <f t="shared" si="0"/>
        <v>2045</v>
      </c>
      <c r="AD9" s="290">
        <f t="shared" si="0"/>
        <v>2046</v>
      </c>
      <c r="AE9" s="290">
        <f t="shared" si="0"/>
        <v>2047</v>
      </c>
    </row>
    <row r="10" spans="2:32">
      <c r="D10" s="289"/>
      <c r="E10" s="272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</row>
    <row r="11" spans="2:32">
      <c r="D11" s="290" t="s">
        <v>75</v>
      </c>
      <c r="E11" s="290" t="s">
        <v>4</v>
      </c>
      <c r="F11" s="290" t="s">
        <v>6</v>
      </c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</row>
    <row r="12" spans="2:32">
      <c r="D12" s="272"/>
      <c r="E12" s="272"/>
      <c r="F12" s="272"/>
      <c r="G12" s="289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2:32">
      <c r="D13" s="291" t="s">
        <v>76</v>
      </c>
      <c r="E13" s="313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</row>
    <row r="14" spans="2:32">
      <c r="D14" s="292"/>
      <c r="E14" s="293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</row>
    <row r="15" spans="2:32" s="266" customFormat="1" ht="15" thickBot="1">
      <c r="D15" s="292"/>
      <c r="E15" s="294"/>
      <c r="F15" s="295" t="s">
        <v>77</v>
      </c>
      <c r="G15" s="296">
        <f>'BCA Inputs'!$F$53/7</f>
        <v>71428571.428571433</v>
      </c>
      <c r="H15" s="296">
        <f>'BCA Inputs'!$F$53/7</f>
        <v>71428571.428571433</v>
      </c>
      <c r="I15" s="296">
        <f>'BCA Inputs'!$F$53/7</f>
        <v>71428571.428571433</v>
      </c>
      <c r="J15" s="296">
        <f>'BCA Inputs'!$F$53/7</f>
        <v>71428571.428571433</v>
      </c>
      <c r="K15" s="296">
        <f>'BCA Inputs'!$F$53/7</f>
        <v>71428571.428571433</v>
      </c>
      <c r="L15" s="296">
        <f>'BCA Inputs'!$F$53/7</f>
        <v>71428571.428571433</v>
      </c>
      <c r="M15" s="296">
        <f>'BCA Inputs'!$F$53/7</f>
        <v>71428571.428571433</v>
      </c>
      <c r="N15" s="297">
        <v>0</v>
      </c>
      <c r="O15" s="297">
        <v>0</v>
      </c>
      <c r="P15" s="297">
        <v>0</v>
      </c>
      <c r="Q15" s="297">
        <v>0</v>
      </c>
      <c r="R15" s="297">
        <v>0</v>
      </c>
      <c r="S15" s="297">
        <v>0</v>
      </c>
      <c r="T15" s="297">
        <v>0</v>
      </c>
      <c r="U15" s="297">
        <v>0</v>
      </c>
      <c r="V15" s="297">
        <v>0</v>
      </c>
      <c r="W15" s="297">
        <v>0</v>
      </c>
      <c r="X15" s="297">
        <v>0</v>
      </c>
      <c r="Y15" s="297">
        <v>0</v>
      </c>
      <c r="Z15" s="297">
        <v>0</v>
      </c>
      <c r="AA15" s="297">
        <v>0</v>
      </c>
      <c r="AB15" s="297">
        <v>0</v>
      </c>
      <c r="AC15" s="297">
        <v>0</v>
      </c>
      <c r="AD15" s="297">
        <v>0</v>
      </c>
      <c r="AE15" s="297">
        <v>0</v>
      </c>
    </row>
    <row r="16" spans="2:32" ht="15" thickBot="1">
      <c r="D16" s="272"/>
      <c r="E16" s="353" t="s">
        <v>78</v>
      </c>
      <c r="F16" s="354" t="s">
        <v>77</v>
      </c>
      <c r="G16" s="355">
        <f t="shared" ref="G16:AE16" si="1">SUM(G15)</f>
        <v>71428571.428571433</v>
      </c>
      <c r="H16" s="355">
        <f t="shared" si="1"/>
        <v>71428571.428571433</v>
      </c>
      <c r="I16" s="355">
        <f t="shared" si="1"/>
        <v>71428571.428571433</v>
      </c>
      <c r="J16" s="355">
        <f t="shared" si="1"/>
        <v>71428571.428571433</v>
      </c>
      <c r="K16" s="355">
        <f t="shared" si="1"/>
        <v>71428571.428571433</v>
      </c>
      <c r="L16" s="355">
        <f t="shared" si="1"/>
        <v>71428571.428571433</v>
      </c>
      <c r="M16" s="355">
        <f t="shared" si="1"/>
        <v>71428571.428571433</v>
      </c>
      <c r="N16" s="355">
        <f t="shared" si="1"/>
        <v>0</v>
      </c>
      <c r="O16" s="355">
        <f t="shared" si="1"/>
        <v>0</v>
      </c>
      <c r="P16" s="355">
        <f t="shared" si="1"/>
        <v>0</v>
      </c>
      <c r="Q16" s="355">
        <f t="shared" si="1"/>
        <v>0</v>
      </c>
      <c r="R16" s="355">
        <f t="shared" si="1"/>
        <v>0</v>
      </c>
      <c r="S16" s="355">
        <f t="shared" si="1"/>
        <v>0</v>
      </c>
      <c r="T16" s="355">
        <f t="shared" si="1"/>
        <v>0</v>
      </c>
      <c r="U16" s="355">
        <f t="shared" si="1"/>
        <v>0</v>
      </c>
      <c r="V16" s="355">
        <f t="shared" si="1"/>
        <v>0</v>
      </c>
      <c r="W16" s="355">
        <f t="shared" si="1"/>
        <v>0</v>
      </c>
      <c r="X16" s="355">
        <f t="shared" si="1"/>
        <v>0</v>
      </c>
      <c r="Y16" s="355">
        <f t="shared" si="1"/>
        <v>0</v>
      </c>
      <c r="Z16" s="355">
        <f t="shared" si="1"/>
        <v>0</v>
      </c>
      <c r="AA16" s="355">
        <f t="shared" si="1"/>
        <v>0</v>
      </c>
      <c r="AB16" s="355">
        <f t="shared" si="1"/>
        <v>0</v>
      </c>
      <c r="AC16" s="355">
        <f t="shared" si="1"/>
        <v>0</v>
      </c>
      <c r="AD16" s="355">
        <f t="shared" si="1"/>
        <v>0</v>
      </c>
      <c r="AE16" s="356">
        <f t="shared" si="1"/>
        <v>0</v>
      </c>
    </row>
    <row r="17" spans="2:32" ht="15.75" customHeight="1">
      <c r="D17" s="272"/>
      <c r="E17" s="272"/>
      <c r="F17" s="295"/>
      <c r="G17" s="272"/>
      <c r="H17" s="272"/>
      <c r="I17" s="272"/>
      <c r="J17" s="272"/>
      <c r="K17" s="272"/>
      <c r="L17" s="272"/>
      <c r="M17" s="272"/>
      <c r="N17" s="272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</row>
    <row r="18" spans="2:32">
      <c r="D18" s="291" t="s">
        <v>79</v>
      </c>
      <c r="E18" s="313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</row>
    <row r="19" spans="2:32">
      <c r="D19" s="272"/>
      <c r="E19" s="293"/>
      <c r="F19" s="295"/>
      <c r="G19" s="272"/>
      <c r="H19" s="272"/>
      <c r="I19" s="272"/>
      <c r="J19" s="272"/>
      <c r="K19" s="272"/>
      <c r="L19" s="272"/>
      <c r="M19" s="289"/>
      <c r="N19" s="272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</row>
    <row r="20" spans="2:32">
      <c r="D20" s="300"/>
      <c r="E20" s="272" t="s">
        <v>80</v>
      </c>
      <c r="F20" s="295" t="s">
        <v>81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301">
        <f>'BCA Inputs'!F74</f>
        <v>695</v>
      </c>
      <c r="O20" s="298">
        <f>N20*(1+'BCA Inputs'!$F$72)</f>
        <v>764.50000000000011</v>
      </c>
      <c r="P20" s="298">
        <f>O20*(1+'BCA Inputs'!$F$72)</f>
        <v>840.95000000000016</v>
      </c>
      <c r="Q20" s="298">
        <f>P20*(1+'BCA Inputs'!$F$72)</f>
        <v>925.0450000000003</v>
      </c>
      <c r="R20" s="298">
        <f>Q20*(1+'BCA Inputs'!$F$72)</f>
        <v>1017.5495000000004</v>
      </c>
      <c r="S20" s="298">
        <f>R20*(1+'BCA Inputs'!$F$72)</f>
        <v>1119.3044500000005</v>
      </c>
      <c r="T20" s="298">
        <f>S20*(1+'BCA Inputs'!$F$72)</f>
        <v>1231.2348950000007</v>
      </c>
      <c r="U20" s="298">
        <f>T20*(1+'BCA Inputs'!$F$72)</f>
        <v>1354.358384500001</v>
      </c>
      <c r="V20" s="298">
        <f>U20*(1+'BCA Inputs'!$F$72)</f>
        <v>1489.7942229500011</v>
      </c>
      <c r="W20" s="298">
        <f>V20*(1+'BCA Inputs'!$F$72)</f>
        <v>1638.7736452450013</v>
      </c>
      <c r="X20" s="298">
        <f>W20*(1+'BCA Inputs'!$F$72)</f>
        <v>1802.6510097695016</v>
      </c>
      <c r="Y20" s="298">
        <f>X20*(1+'BCA Inputs'!$F$72)</f>
        <v>1982.916110746452</v>
      </c>
      <c r="Z20" s="298">
        <f>Y20*(1+'BCA Inputs'!$F$72)</f>
        <v>2181.2077218210975</v>
      </c>
      <c r="AA20" s="298">
        <f>Z20*(1+'BCA Inputs'!$F$72)</f>
        <v>2399.3284940032077</v>
      </c>
      <c r="AB20" s="298">
        <f>AA20*(1+'BCA Inputs'!$F$72)</f>
        <v>2639.2613434035288</v>
      </c>
      <c r="AC20" s="298">
        <f>AB20*(1+'BCA Inputs'!$F$72)</f>
        <v>2903.187477743882</v>
      </c>
      <c r="AD20" s="298">
        <f>AC20*(1+'BCA Inputs'!$F$72)</f>
        <v>3193.5062255182706</v>
      </c>
      <c r="AE20" s="298">
        <f>AD20*(1+'BCA Inputs'!$F$72)</f>
        <v>3512.8568480700978</v>
      </c>
    </row>
    <row r="21" spans="2:32">
      <c r="D21" s="300"/>
      <c r="E21" s="272" t="s">
        <v>82</v>
      </c>
      <c r="F21" s="295" t="s">
        <v>81</v>
      </c>
      <c r="G21" s="298">
        <v>0</v>
      </c>
      <c r="H21" s="298">
        <v>0</v>
      </c>
      <c r="I21" s="298">
        <v>0</v>
      </c>
      <c r="J21" s="298">
        <v>0</v>
      </c>
      <c r="K21" s="298">
        <v>0</v>
      </c>
      <c r="L21" s="298">
        <v>0</v>
      </c>
      <c r="M21" s="298"/>
      <c r="N21" s="301">
        <f>'BCA Inputs'!F74</f>
        <v>695</v>
      </c>
      <c r="O21" s="298">
        <f>N21*(1+'BCA Inputs'!$F$73)</f>
        <v>799.24999999999989</v>
      </c>
      <c r="P21" s="298">
        <f>O21*(1+'BCA Inputs'!$F$73)</f>
        <v>919.13749999999982</v>
      </c>
      <c r="Q21" s="298">
        <f>P21*(1+'BCA Inputs'!$F$73)</f>
        <v>1057.0081249999996</v>
      </c>
      <c r="R21" s="298">
        <f>Q21*(1+'BCA Inputs'!$F$73)</f>
        <v>1215.5593437499995</v>
      </c>
      <c r="S21" s="298">
        <f>R21*(1+'BCA Inputs'!$F$73)</f>
        <v>1397.8932453124992</v>
      </c>
      <c r="T21" s="298">
        <f>S21*(1+'BCA Inputs'!$F$73)</f>
        <v>1607.5772321093739</v>
      </c>
      <c r="U21" s="298">
        <f>T21*(1+'BCA Inputs'!$F$73)</f>
        <v>1848.7138169257798</v>
      </c>
      <c r="V21" s="298">
        <f>U21*(1+'BCA Inputs'!$F$73)</f>
        <v>2126.0208894646466</v>
      </c>
      <c r="W21" s="298">
        <f>V21*(1+'BCA Inputs'!$F$73)</f>
        <v>2444.9240228843432</v>
      </c>
      <c r="X21" s="298">
        <f>W21*(1+'BCA Inputs'!$F$73)</f>
        <v>2811.6626263169946</v>
      </c>
      <c r="Y21" s="298">
        <f>X21*(1+'BCA Inputs'!$F$73)</f>
        <v>3233.4120202645436</v>
      </c>
      <c r="Z21" s="298">
        <f>Y21*(1+'BCA Inputs'!$F$73)</f>
        <v>3718.4238233042247</v>
      </c>
      <c r="AA21" s="298">
        <f>Z21*(1+'BCA Inputs'!$F$73)</f>
        <v>4276.1873967998581</v>
      </c>
      <c r="AB21" s="298">
        <f>AA21*(1+'BCA Inputs'!$F$73)</f>
        <v>4917.6155063198366</v>
      </c>
      <c r="AC21" s="298">
        <f>AB21*(1+'BCA Inputs'!$F$73)</f>
        <v>5655.2578322678119</v>
      </c>
      <c r="AD21" s="298">
        <f>AC21*(1+'BCA Inputs'!$F$73)</f>
        <v>6503.5465071079834</v>
      </c>
      <c r="AE21" s="298">
        <f>AD21*(1+'BCA Inputs'!$F$73)</f>
        <v>7479.0784831741803</v>
      </c>
    </row>
    <row r="22" spans="2:32" ht="15" thickBot="1">
      <c r="D22" s="300"/>
      <c r="E22" s="272"/>
      <c r="F22" s="295"/>
      <c r="G22" s="298"/>
      <c r="H22" s="298"/>
      <c r="I22" s="298"/>
      <c r="J22" s="298"/>
      <c r="K22" s="298"/>
      <c r="L22" s="298"/>
      <c r="M22" s="298"/>
      <c r="N22" s="301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</row>
    <row r="23" spans="2:32" ht="15" thickBot="1">
      <c r="D23" s="272"/>
      <c r="E23" s="353" t="s">
        <v>83</v>
      </c>
      <c r="F23" s="354" t="s">
        <v>33</v>
      </c>
      <c r="G23" s="355">
        <f>G20*('BCA Inputs'!$F$69-'BCA Inputs'!$F$68)</f>
        <v>0</v>
      </c>
      <c r="H23" s="355">
        <v>0</v>
      </c>
      <c r="I23" s="355">
        <f>I20*('BCA Inputs'!$F$69-'BCA Inputs'!$F$68)</f>
        <v>0</v>
      </c>
      <c r="J23" s="355">
        <f>J20*('BCA Inputs'!$F$69-'BCA Inputs'!$F$68)</f>
        <v>0</v>
      </c>
      <c r="K23" s="355">
        <f>K20*('BCA Inputs'!$F$69-'BCA Inputs'!$F$68)</f>
        <v>0</v>
      </c>
      <c r="L23" s="355">
        <f>(L20*1000000)*('BCA Inputs'!$F$69-'BCA Inputs'!$F$68)*'BCA Inputs'!$F$71</f>
        <v>0</v>
      </c>
      <c r="M23" s="355">
        <f>(M20*1000000)*('BCA Inputs'!$F$69-'BCA Inputs'!$F$68)*'BCA Inputs'!O84</f>
        <v>0</v>
      </c>
      <c r="N23" s="355">
        <f>(N20*1000000)*('BCA Inputs'!$F$69-'BCA Inputs'!$F$68)*'BCA Inputs'!P84</f>
        <v>15906569.249999998</v>
      </c>
      <c r="O23" s="355">
        <f>(O20*1000000)*('BCA Inputs'!$F$69-'BCA Inputs'!$F$68)*'BCA Inputs'!Q84</f>
        <v>17766414.270000007</v>
      </c>
      <c r="P23" s="355">
        <f>(P20*1000000)*('BCA Inputs'!$F$69-'BCA Inputs'!$F$68)*'BCA Inputs'!R84</f>
        <v>19839162.601500005</v>
      </c>
      <c r="Q23" s="355">
        <f>(Q20*1000000)*('BCA Inputs'!$F$69-'BCA Inputs'!$F$68)*'BCA Inputs'!S84</f>
        <v>22148796.456600007</v>
      </c>
      <c r="R23" s="355">
        <f>(R20*1000000)*('BCA Inputs'!$F$69-'BCA Inputs'!$F$68)*'BCA Inputs'!T84</f>
        <v>24721965.456705011</v>
      </c>
      <c r="S23" s="355">
        <f>(S20*1000000)*('BCA Inputs'!$F$69-'BCA Inputs'!$F$68)*'BCA Inputs'!U84</f>
        <v>27588280.292265009</v>
      </c>
      <c r="T23" s="355">
        <f>(T20*1000000)*('BCA Inputs'!$F$69-'BCA Inputs'!$F$68)*'BCA Inputs'!V84</f>
        <v>31214168.559248418</v>
      </c>
      <c r="U23" s="355">
        <f>(U20*1000000)*('BCA Inputs'!$F$69-'BCA Inputs'!$F$68)*'BCA Inputs'!W84</f>
        <v>34812468.545939557</v>
      </c>
      <c r="V23" s="355">
        <f>(V20*1000000)*('BCA Inputs'!$F$69-'BCA Inputs'!$F$68)*'BCA Inputs'!X84</f>
        <v>38818286.844376437</v>
      </c>
      <c r="W23" s="355">
        <f>(W20*1000000)*('BCA Inputs'!$F$69-'BCA Inputs'!$F$68)*'BCA Inputs'!Y84</f>
        <v>43277144.117041305</v>
      </c>
      <c r="X23" s="355">
        <f>(X20*1000000)*('BCA Inputs'!$F$69-'BCA Inputs'!$F$68)*'BCA Inputs'!Z84</f>
        <v>48239589.975795381</v>
      </c>
      <c r="Y23" s="355">
        <f>(Y20*1000000)*('BCA Inputs'!$F$69-'BCA Inputs'!$F$68)*'BCA Inputs'!AA84</f>
        <v>54459958.156884789</v>
      </c>
      <c r="Z23" s="355">
        <f>(Z20*1000000)*('BCA Inputs'!$F$69-'BCA Inputs'!$F$68)*'BCA Inputs'!AB84</f>
        <v>60673979.023503698</v>
      </c>
      <c r="AA23" s="355">
        <f>(AA20*1000000)*('BCA Inputs'!$F$69-'BCA Inputs'!$F$68)*'BCA Inputs'!AC84</f>
        <v>67586204.481877565</v>
      </c>
      <c r="AB23" s="355">
        <f>(AB20*1000000)*('BCA Inputs'!$F$69-'BCA Inputs'!$F$68)*'BCA Inputs'!AD84</f>
        <v>75274135.241691142</v>
      </c>
      <c r="AC23" s="355">
        <f>(AC20*1000000)*('BCA Inputs'!$F$69-'BCA Inputs'!$F$68)*'BCA Inputs'!AE84</f>
        <v>83823790.108648673</v>
      </c>
      <c r="AD23" s="355">
        <f>(AD20*1000000)*('BCA Inputs'!$F$69-'BCA Inputs'!$F$68)*'BCA Inputs'!AF84</f>
        <v>94455100.073648006</v>
      </c>
      <c r="AE23" s="356">
        <f>(AE20*1000000)*('BCA Inputs'!$F$69-'BCA Inputs'!$F$68)*'BCA Inputs'!AF84</f>
        <v>103900610.08101282</v>
      </c>
    </row>
    <row r="24" spans="2:32" ht="15" thickBot="1">
      <c r="D24" s="272"/>
      <c r="E24" s="357" t="s">
        <v>84</v>
      </c>
      <c r="F24" s="358" t="s">
        <v>33</v>
      </c>
      <c r="G24" s="359">
        <f>(G21*1000000)*('BCA Inputs'!$F$69-'BCA Inputs'!$F$68)*'BCA Inputs'!$F$71</f>
        <v>0</v>
      </c>
      <c r="H24" s="359">
        <f>(H21*1000000)*('BCA Inputs'!$F$69-'BCA Inputs'!$F$68)*'BCA Inputs'!$F$71</f>
        <v>0</v>
      </c>
      <c r="I24" s="359">
        <f>(I21*1000000)*('BCA Inputs'!$F$69-'BCA Inputs'!$F$68)*'BCA Inputs'!$F$71</f>
        <v>0</v>
      </c>
      <c r="J24" s="359">
        <f>(J21*1000000)*('BCA Inputs'!$F$69-'BCA Inputs'!$F$68)*'BCA Inputs'!$F$71</f>
        <v>0</v>
      </c>
      <c r="K24" s="359">
        <f>(K21*1000000)*('BCA Inputs'!$F$69-'BCA Inputs'!$F$68)*'BCA Inputs'!$F$71</f>
        <v>0</v>
      </c>
      <c r="L24" s="359">
        <f>(L21*1000000)*('BCA Inputs'!$F$69-'BCA Inputs'!$F$68)*'BCA Inputs'!$F$71</f>
        <v>0</v>
      </c>
      <c r="M24" s="359">
        <f>(M21*1000000)*('BCA Inputs'!$F$69-'BCA Inputs'!$F$68)*'BCA Inputs'!O84</f>
        <v>0</v>
      </c>
      <c r="N24" s="359">
        <f>(N21*1000000)*('BCA Inputs'!$F$69-'BCA Inputs'!$F$68)*'BCA Inputs'!P84</f>
        <v>15906569.249999998</v>
      </c>
      <c r="O24" s="359">
        <f>(O21*1000000)*('BCA Inputs'!$F$69-'BCA Inputs'!$F$68)*'BCA Inputs'!Q84</f>
        <v>18573978.554999996</v>
      </c>
      <c r="P24" s="359">
        <f>(P21*1000000)*('BCA Inputs'!$F$69-'BCA Inputs'!$F$68)*'BCA Inputs'!R84</f>
        <v>21683712.843374997</v>
      </c>
      <c r="Q24" s="359">
        <f>(Q21*1000000)*('BCA Inputs'!$F$69-'BCA Inputs'!$F$68)*'BCA Inputs'!S84</f>
        <v>25308452.900774993</v>
      </c>
      <c r="R24" s="359">
        <f>(R21*1000000)*('BCA Inputs'!$F$69-'BCA Inputs'!$F$68)*'BCA Inputs'!T84</f>
        <v>29532731.436419051</v>
      </c>
      <c r="S24" s="359">
        <f>(S21*1000000)*('BCA Inputs'!$F$69-'BCA Inputs'!$F$68)*'BCA Inputs'!U84</f>
        <v>34454853.342488885</v>
      </c>
      <c r="T24" s="359">
        <f>(T21*1000000)*('BCA Inputs'!$F$69-'BCA Inputs'!$F$68)*'BCA Inputs'!V84</f>
        <v>40755169.382258281</v>
      </c>
      <c r="U24" s="359">
        <f>(U21*1000000)*('BCA Inputs'!$F$69-'BCA Inputs'!$F$68)*'BCA Inputs'!W84</f>
        <v>47519395.411674753</v>
      </c>
      <c r="V24" s="359">
        <f>(V21*1000000)*('BCA Inputs'!$F$69-'BCA Inputs'!$F$68)*'BCA Inputs'!X84</f>
        <v>55395897.938815355</v>
      </c>
      <c r="W24" s="359">
        <f>(W21*1000000)*('BCA Inputs'!$F$69-'BCA Inputs'!$F$68)*'BCA Inputs'!Y84</f>
        <v>64566164.827335455</v>
      </c>
      <c r="X24" s="359">
        <f>(X21*1000000)*('BCA Inputs'!$F$69-'BCA Inputs'!$F$68)*'BCA Inputs'!Z84</f>
        <v>75241104.078788266</v>
      </c>
      <c r="Y24" s="359">
        <f>(Y21*1000000)*('BCA Inputs'!$F$69-'BCA Inputs'!$F$68)*'BCA Inputs'!AA84</f>
        <v>88804303.103517175</v>
      </c>
      <c r="Z24" s="359">
        <f>(Z21*1000000)*('BCA Inputs'!$F$69-'BCA Inputs'!$F$68)*'BCA Inputs'!AB84</f>
        <v>103434242.78146839</v>
      </c>
      <c r="AA24" s="359">
        <f>(AA21*1000000)*('BCA Inputs'!$F$69-'BCA Inputs'!$F$68)*'BCA Inputs'!AC84</f>
        <v>120455067.54297584</v>
      </c>
      <c r="AB24" s="359">
        <f>(AB21*1000000)*('BCA Inputs'!$F$69-'BCA Inputs'!$F$68)*'BCA Inputs'!AD84</f>
        <v>140254869.27035251</v>
      </c>
      <c r="AC24" s="359">
        <f>(AC21*1000000)*('BCA Inputs'!$F$69-'BCA Inputs'!$F$68)*'BCA Inputs'!AE84</f>
        <v>163284372.49622518</v>
      </c>
      <c r="AD24" s="359">
        <f>(AD21*1000000)*('BCA Inputs'!$F$69-'BCA Inputs'!$F$68)*'BCA Inputs'!AF84</f>
        <v>192356955.89189452</v>
      </c>
      <c r="AE24" s="360">
        <f>(AE21*1000000)*('BCA Inputs'!$F$69-'BCA Inputs'!$F$68)*'BCA Inputs'!AF84</f>
        <v>221210499.27567866</v>
      </c>
    </row>
    <row r="25" spans="2:32">
      <c r="D25" s="272"/>
      <c r="E25" s="272"/>
      <c r="F25" s="295"/>
      <c r="G25" s="272"/>
      <c r="H25" s="298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</row>
    <row r="26" spans="2:32">
      <c r="D26" s="291" t="s">
        <v>85</v>
      </c>
      <c r="E26" s="313"/>
      <c r="F26" s="295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</row>
    <row r="27" spans="2:32">
      <c r="D27" s="272"/>
      <c r="E27" s="293"/>
      <c r="F27" s="295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</row>
    <row r="28" spans="2:32" ht="15" thickBot="1">
      <c r="D28" s="272"/>
      <c r="E28" s="272"/>
      <c r="F28" s="295" t="s">
        <v>77</v>
      </c>
      <c r="G28" s="302">
        <v>0</v>
      </c>
      <c r="H28" s="302">
        <v>0</v>
      </c>
      <c r="I28" s="302">
        <v>0</v>
      </c>
      <c r="J28" s="302" t="s">
        <v>86</v>
      </c>
      <c r="K28" s="302" t="s">
        <v>86</v>
      </c>
      <c r="L28" s="302" t="s">
        <v>86</v>
      </c>
      <c r="M28" s="302" t="s">
        <v>86</v>
      </c>
      <c r="N28" s="303">
        <f>'BCA Inputs'!$O$89*'BCA Inputs'!P$89</f>
        <v>27931034.482758619</v>
      </c>
      <c r="O28" s="303">
        <f>'BCA Inputs'!$O$89*'BCA Inputs'!$P$89</f>
        <v>27931034.482758619</v>
      </c>
      <c r="P28" s="303">
        <f>'BCA Inputs'!$O$89*'BCA Inputs'!$P$89</f>
        <v>27931034.482758619</v>
      </c>
      <c r="Q28" s="303">
        <f>'BCA Inputs'!$O$89*'BCA Inputs'!$P$89</f>
        <v>27931034.482758619</v>
      </c>
      <c r="R28" s="303">
        <f>'BCA Inputs'!$O$89*'BCA Inputs'!$P$89</f>
        <v>27931034.482758619</v>
      </c>
      <c r="S28" s="303">
        <f>'BCA Inputs'!$O$89*'BCA Inputs'!$P$89</f>
        <v>27931034.482758619</v>
      </c>
      <c r="T28" s="303">
        <f>'BCA Inputs'!$O$89*'BCA Inputs'!$P$89</f>
        <v>27931034.482758619</v>
      </c>
      <c r="U28" s="303">
        <f>'BCA Inputs'!$O$89*'BCA Inputs'!$P$89</f>
        <v>27931034.482758619</v>
      </c>
      <c r="V28" s="303">
        <f>'BCA Inputs'!$O$89*'BCA Inputs'!$P$89</f>
        <v>27931034.482758619</v>
      </c>
      <c r="W28" s="303">
        <f>'BCA Inputs'!$O$89*'BCA Inputs'!$P$89</f>
        <v>27931034.482758619</v>
      </c>
      <c r="X28" s="303">
        <f>'BCA Inputs'!$O$89*'BCA Inputs'!$P$89</f>
        <v>27931034.482758619</v>
      </c>
      <c r="Y28" s="303">
        <f>'BCA Inputs'!$O$89*'BCA Inputs'!$P$89</f>
        <v>27931034.482758619</v>
      </c>
      <c r="Z28" s="303">
        <f>'BCA Inputs'!$O$89*'BCA Inputs'!$P$89</f>
        <v>27931034.482758619</v>
      </c>
      <c r="AA28" s="303">
        <f>'BCA Inputs'!$O$89*'BCA Inputs'!$P$89</f>
        <v>27931034.482758619</v>
      </c>
      <c r="AB28" s="303">
        <f>'BCA Inputs'!$O$89*'BCA Inputs'!$P$89</f>
        <v>27931034.482758619</v>
      </c>
      <c r="AC28" s="303">
        <f>'BCA Inputs'!$O$89*'BCA Inputs'!$P$89</f>
        <v>27931034.482758619</v>
      </c>
      <c r="AD28" s="303">
        <f>'BCA Inputs'!$O$89*'BCA Inputs'!$P$89</f>
        <v>27931034.482758619</v>
      </c>
      <c r="AE28" s="303">
        <f>'BCA Inputs'!$O$89*'BCA Inputs'!$P$89</f>
        <v>27931034.482758619</v>
      </c>
    </row>
    <row r="29" spans="2:32" ht="15" thickBot="1">
      <c r="B29" s="40"/>
      <c r="D29" s="272"/>
      <c r="E29" s="353" t="s">
        <v>78</v>
      </c>
      <c r="F29" s="354" t="s">
        <v>77</v>
      </c>
      <c r="G29" s="355">
        <f t="shared" ref="G29:AE29" si="2">SUM(G28)</f>
        <v>0</v>
      </c>
      <c r="H29" s="355">
        <f t="shared" si="2"/>
        <v>0</v>
      </c>
      <c r="I29" s="355">
        <f t="shared" si="2"/>
        <v>0</v>
      </c>
      <c r="J29" s="355">
        <f t="shared" si="2"/>
        <v>0</v>
      </c>
      <c r="K29" s="355">
        <f t="shared" si="2"/>
        <v>0</v>
      </c>
      <c r="L29" s="355">
        <f t="shared" si="2"/>
        <v>0</v>
      </c>
      <c r="M29" s="355">
        <f t="shared" si="2"/>
        <v>0</v>
      </c>
      <c r="N29" s="355">
        <f t="shared" si="2"/>
        <v>27931034.482758619</v>
      </c>
      <c r="O29" s="355">
        <f t="shared" si="2"/>
        <v>27931034.482758619</v>
      </c>
      <c r="P29" s="355">
        <f t="shared" si="2"/>
        <v>27931034.482758619</v>
      </c>
      <c r="Q29" s="355">
        <f t="shared" si="2"/>
        <v>27931034.482758619</v>
      </c>
      <c r="R29" s="355">
        <f t="shared" si="2"/>
        <v>27931034.482758619</v>
      </c>
      <c r="S29" s="355">
        <f t="shared" si="2"/>
        <v>27931034.482758619</v>
      </c>
      <c r="T29" s="355">
        <f t="shared" si="2"/>
        <v>27931034.482758619</v>
      </c>
      <c r="U29" s="355">
        <f t="shared" si="2"/>
        <v>27931034.482758619</v>
      </c>
      <c r="V29" s="355">
        <f t="shared" si="2"/>
        <v>27931034.482758619</v>
      </c>
      <c r="W29" s="355">
        <f t="shared" si="2"/>
        <v>27931034.482758619</v>
      </c>
      <c r="X29" s="355">
        <f t="shared" si="2"/>
        <v>27931034.482758619</v>
      </c>
      <c r="Y29" s="355">
        <f t="shared" si="2"/>
        <v>27931034.482758619</v>
      </c>
      <c r="Z29" s="355">
        <f t="shared" si="2"/>
        <v>27931034.482758619</v>
      </c>
      <c r="AA29" s="355">
        <f t="shared" si="2"/>
        <v>27931034.482758619</v>
      </c>
      <c r="AB29" s="355">
        <f t="shared" si="2"/>
        <v>27931034.482758619</v>
      </c>
      <c r="AC29" s="355">
        <f t="shared" si="2"/>
        <v>27931034.482758619</v>
      </c>
      <c r="AD29" s="355">
        <f t="shared" si="2"/>
        <v>27931034.482758619</v>
      </c>
      <c r="AE29" s="356">
        <f t="shared" si="2"/>
        <v>27931034.482758619</v>
      </c>
    </row>
    <row r="30" spans="2:32">
      <c r="B30" s="40"/>
      <c r="E30" s="20"/>
      <c r="F30" s="28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2:32">
      <c r="D31" s="20"/>
      <c r="E31" s="20"/>
      <c r="F31" s="20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2:32" ht="16.5">
      <c r="B32" s="264"/>
      <c r="C32" s="264"/>
      <c r="D32" s="264" t="s">
        <v>87</v>
      </c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</row>
    <row r="35" spans="4:31" ht="15" thickBot="1">
      <c r="D35" s="304" t="s">
        <v>88</v>
      </c>
      <c r="E35" s="305">
        <f>SUM(G35:AE35)</f>
        <v>359765647.64009994</v>
      </c>
      <c r="F35" s="272"/>
      <c r="G35" s="361">
        <f>SUM(G16:G16)*Discount!M15</f>
        <v>62388480.590943687</v>
      </c>
      <c r="H35" s="361">
        <f>SUM(H16:H16)*Discount!N15</f>
        <v>58306991.206489421</v>
      </c>
      <c r="I35" s="361">
        <f>SUM(I16:I16)*Discount!O15</f>
        <v>54492515.146251805</v>
      </c>
      <c r="J35" s="361">
        <f>SUM(J16:J16)*Discount!P15</f>
        <v>50927584.248833455</v>
      </c>
      <c r="K35" s="361">
        <f>SUM(K16:K16)*Discount!Q15</f>
        <v>47595873.1297509</v>
      </c>
      <c r="L35" s="361">
        <f>SUM(L16:L16)*Discount!R15</f>
        <v>44482124.420327939</v>
      </c>
      <c r="M35" s="361">
        <f>SUM(M16:M16)*Discount!S15</f>
        <v>41572078.897502743</v>
      </c>
      <c r="N35" s="306">
        <f>SUM(N16:N16)*Discount!T15</f>
        <v>0</v>
      </c>
      <c r="O35" s="306">
        <f>SUM(O16:O16)*Discount!U15</f>
        <v>0</v>
      </c>
      <c r="P35" s="306">
        <f>SUM(P16:P16)*Discount!V15</f>
        <v>0</v>
      </c>
      <c r="Q35" s="306">
        <f>SUM(Q16:Q16)*Discount!W15</f>
        <v>0</v>
      </c>
      <c r="R35" s="306">
        <f>SUM(R16:R16)*Discount!X15</f>
        <v>0</v>
      </c>
      <c r="S35" s="306">
        <f>SUM(S16:S16)*Discount!Y15</f>
        <v>0</v>
      </c>
      <c r="T35" s="306">
        <f>SUM(T16:T16)*Discount!Z15</f>
        <v>0</v>
      </c>
      <c r="U35" s="306">
        <f>SUM(U16:U16)*Discount!AA15</f>
        <v>0</v>
      </c>
      <c r="V35" s="306">
        <f>SUM(V16:V16)*Discount!AB15</f>
        <v>0</v>
      </c>
      <c r="W35" s="306">
        <f>SUM(W16:W16)*Discount!AC15</f>
        <v>0</v>
      </c>
      <c r="X35" s="306">
        <f>SUM(X16:X16)*Discount!AD15</f>
        <v>0</v>
      </c>
      <c r="Y35" s="306">
        <f>SUM(Y16:Y16)*Discount!AE15</f>
        <v>0</v>
      </c>
      <c r="Z35" s="306">
        <f>SUM(Z16:Z16)*Discount!AF15</f>
        <v>0</v>
      </c>
      <c r="AA35" s="306">
        <f>SUM(AA16:AA16)*Discount!AG15</f>
        <v>0</v>
      </c>
      <c r="AB35" s="306">
        <f>SUM(AB16:AB16)*Discount!AH15</f>
        <v>0</v>
      </c>
      <c r="AC35" s="306">
        <f>SUM(AC16:AC16)*Discount!AI15</f>
        <v>0</v>
      </c>
      <c r="AD35" s="306">
        <f>SUM(AD16:AD16)*Discount!AJ15</f>
        <v>0</v>
      </c>
      <c r="AE35" s="306">
        <f>SUM(AE16:AE16)*Discount!AK15</f>
        <v>0</v>
      </c>
    </row>
    <row r="36" spans="4:31" ht="15" thickTop="1">
      <c r="D36" s="272"/>
      <c r="E36" s="307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</row>
    <row r="37" spans="4:31">
      <c r="D37" s="272" t="s">
        <v>89</v>
      </c>
      <c r="E37" s="363">
        <f>SUM(G37:AE37)</f>
        <v>479205572.96036732</v>
      </c>
      <c r="F37" s="272"/>
      <c r="G37" s="302">
        <f>G23*Discount!M19</f>
        <v>0</v>
      </c>
      <c r="H37" s="302">
        <f>H23*Discount!N19</f>
        <v>0</v>
      </c>
      <c r="I37" s="302">
        <f>I23*Discount!O19</f>
        <v>0</v>
      </c>
      <c r="J37" s="302">
        <f>J23*Discount!P19</f>
        <v>0</v>
      </c>
      <c r="K37" s="302">
        <f>K23*Discount!Q19</f>
        <v>0</v>
      </c>
      <c r="L37" s="302">
        <f>L23*Discount!R19</f>
        <v>0</v>
      </c>
      <c r="M37" s="302">
        <f>M23*Discount!S19</f>
        <v>0</v>
      </c>
      <c r="N37" s="302">
        <f>N23*Discount!T19</f>
        <v>12191060.827382615</v>
      </c>
      <c r="O37" s="302">
        <f>O23*Discount!U19</f>
        <v>13219880.747841349</v>
      </c>
      <c r="P37" s="302">
        <f>P23*Discount!V19</f>
        <v>14332233.173226057</v>
      </c>
      <c r="Q37" s="302">
        <f>Q23*Discount!W19</f>
        <v>15534720.205148663</v>
      </c>
      <c r="R37" s="302">
        <f>R23*Discount!X19</f>
        <v>16834455.505008332</v>
      </c>
      <c r="S37" s="302">
        <f>S23*Discount!Y19</f>
        <v>18239103.333131298</v>
      </c>
      <c r="T37" s="302">
        <f>T23*Discount!Z19</f>
        <v>20035187.017808586</v>
      </c>
      <c r="U37" s="302">
        <f>U23*Discount!AA19</f>
        <v>21693979.470469657</v>
      </c>
      <c r="V37" s="302">
        <f>V23*Discount!AB19</f>
        <v>23485701.940367471</v>
      </c>
      <c r="W37" s="302">
        <f>W23*Discount!AC19</f>
        <v>25420761.087382793</v>
      </c>
      <c r="X37" s="302">
        <f>X23*Discount!AD19</f>
        <v>27510364.102332711</v>
      </c>
      <c r="Y37" s="302">
        <f>Y23*Discount!AE19</f>
        <v>30153158.405469432</v>
      </c>
      <c r="Z37" s="302">
        <f>Z23*Discount!AF19</f>
        <v>32615253.490606096</v>
      </c>
      <c r="AA37" s="302">
        <f>AA23*Discount!AG19</f>
        <v>35272733.282208897</v>
      </c>
      <c r="AB37" s="302">
        <f>AB23*Discount!AH19</f>
        <v>38140783.197145782</v>
      </c>
      <c r="AC37" s="302">
        <f>AC23*Discount!AI19</f>
        <v>41235750.262286358</v>
      </c>
      <c r="AD37" s="302">
        <f>AD23*Discount!AJ19</f>
        <v>45112281.840341687</v>
      </c>
      <c r="AE37" s="302">
        <f>AE23*Discount!AK19</f>
        <v>48178165.072209567</v>
      </c>
    </row>
    <row r="38" spans="4:31">
      <c r="D38" s="272" t="s">
        <v>90</v>
      </c>
      <c r="E38" s="363">
        <f>SUM(G38:AE38)</f>
        <v>785908795.94929433</v>
      </c>
      <c r="F38" s="272"/>
      <c r="G38" s="302">
        <f>G24*Discount!M19</f>
        <v>0</v>
      </c>
      <c r="H38" s="302">
        <f>H24*Discount!N19</f>
        <v>0</v>
      </c>
      <c r="I38" s="302">
        <f>I24*Discount!O19</f>
        <v>0</v>
      </c>
      <c r="J38" s="302">
        <f>J24*Discount!P19</f>
        <v>0</v>
      </c>
      <c r="K38" s="302">
        <f>K24*Discount!Q19</f>
        <v>0</v>
      </c>
      <c r="L38" s="302">
        <f>L24*Discount!R19</f>
        <v>0</v>
      </c>
      <c r="M38" s="302">
        <f>M24*Discount!S19</f>
        <v>0</v>
      </c>
      <c r="N38" s="302">
        <f>N24*Discount!T19</f>
        <v>12191060.827382615</v>
      </c>
      <c r="O38" s="302">
        <f>O24*Discount!U19</f>
        <v>13820784.418197766</v>
      </c>
      <c r="P38" s="302">
        <f>P24*Discount!V19</f>
        <v>15664775.513711944</v>
      </c>
      <c r="Q38" s="302">
        <f>Q24*Discount!W19</f>
        <v>17750839.663415071</v>
      </c>
      <c r="R38" s="302">
        <f>R24*Discount!X19</f>
        <v>20110353.045288201</v>
      </c>
      <c r="S38" s="302">
        <f>S24*Discount!Y19</f>
        <v>22778717.041588571</v>
      </c>
      <c r="T38" s="302">
        <f>T24*Discount!Z19</f>
        <v>26159192.386179384</v>
      </c>
      <c r="U38" s="302">
        <f>U24*Discount!AA19</f>
        <v>29612516.192283701</v>
      </c>
      <c r="V38" s="302">
        <f>V24*Discount!AB19</f>
        <v>33515429.285321753</v>
      </c>
      <c r="W38" s="302">
        <f>W24*Discount!AC19</f>
        <v>37925817.054040946</v>
      </c>
      <c r="X38" s="302">
        <f>X24*Discount!AD19</f>
        <v>42908950.298034683</v>
      </c>
      <c r="Y38" s="302">
        <f>Y24*Discount!AE19</f>
        <v>49168789.495831758</v>
      </c>
      <c r="Z38" s="302">
        <f>Z24*Discount!AF19</f>
        <v>55601002.311380573</v>
      </c>
      <c r="AA38" s="302">
        <f>AA24*Discount!AG19</f>
        <v>62864596.443984419</v>
      </c>
      <c r="AB38" s="302">
        <f>AB24*Discount!AH19</f>
        <v>71065984.936373174</v>
      </c>
      <c r="AC38" s="302">
        <f>AC24*Discount!AI19</f>
        <v>80325091.447920278</v>
      </c>
      <c r="AD38" s="302">
        <f>AD24*Discount!AJ19</f>
        <v>91870753.420188233</v>
      </c>
      <c r="AE38" s="302">
        <f>AE24*Discount!AK19</f>
        <v>102574142.16817132</v>
      </c>
    </row>
    <row r="39" spans="4:31">
      <c r="D39" s="272" t="s">
        <v>85</v>
      </c>
      <c r="E39" s="363">
        <f>SUM(G39:AE39)</f>
        <v>163521687.36867765</v>
      </c>
      <c r="F39" s="272"/>
      <c r="G39" s="302">
        <f>G29*Discount!M15</f>
        <v>0</v>
      </c>
      <c r="H39" s="302">
        <f>H29*Discount!N15</f>
        <v>0</v>
      </c>
      <c r="I39" s="302">
        <f>I29*Discount!O15</f>
        <v>0</v>
      </c>
      <c r="J39" s="302">
        <f>J29*Discount!P15</f>
        <v>0</v>
      </c>
      <c r="K39" s="302">
        <f>K29*Discount!Q15</f>
        <v>0</v>
      </c>
      <c r="L39" s="302">
        <f>L29*Discount!R15</f>
        <v>0</v>
      </c>
      <c r="M39" s="302">
        <f>M29*Discount!S15</f>
        <v>0</v>
      </c>
      <c r="N39" s="302">
        <f>N29*Discount!T15</f>
        <v>15192632.12045379</v>
      </c>
      <c r="O39" s="302">
        <f>O29*Discount!U15</f>
        <v>14198721.607900737</v>
      </c>
      <c r="P39" s="302">
        <f>P29*Discount!V15</f>
        <v>13269833.278411902</v>
      </c>
      <c r="Q39" s="302">
        <f>Q29*Discount!W15</f>
        <v>12401713.344310191</v>
      </c>
      <c r="R39" s="302">
        <f>R29*Discount!X15</f>
        <v>11590386.303093635</v>
      </c>
      <c r="S39" s="302">
        <f>S29*Discount!Y15</f>
        <v>10832136.731863212</v>
      </c>
      <c r="T39" s="302">
        <f>T29*Discount!Z15</f>
        <v>10123492.272769356</v>
      </c>
      <c r="U39" s="302">
        <f>U29*Discount!AA15</f>
        <v>9461207.7315601464</v>
      </c>
      <c r="V39" s="302">
        <f>V29*Discount!AB15</f>
        <v>8842250.2164113522</v>
      </c>
      <c r="W39" s="302">
        <f>W29*Discount!AC15</f>
        <v>8263785.2489825711</v>
      </c>
      <c r="X39" s="302">
        <f>X29*Discount!AD15</f>
        <v>7723163.784095861</v>
      </c>
      <c r="Y39" s="302">
        <f>Y29*Discount!AE15</f>
        <v>7217910.0785942636</v>
      </c>
      <c r="Z39" s="302">
        <f>Z29*Discount!AF15</f>
        <v>6745710.3538264139</v>
      </c>
      <c r="AA39" s="302">
        <f>AA29*Discount!AG15</f>
        <v>6304402.1998377703</v>
      </c>
      <c r="AB39" s="302">
        <f>AB29*Discount!AH15</f>
        <v>5891964.6727455789</v>
      </c>
      <c r="AC39" s="302">
        <f>AC29*Discount!AI15</f>
        <v>5506509.0399491396</v>
      </c>
      <c r="AD39" s="302">
        <f>AD29*Discount!AJ15</f>
        <v>5146270.1307935873</v>
      </c>
      <c r="AE39" s="302">
        <f>AE29*Discount!AK15</f>
        <v>4809598.2530781198</v>
      </c>
    </row>
    <row r="40" spans="4:31" ht="15" thickBot="1">
      <c r="D40" s="291" t="s">
        <v>91</v>
      </c>
      <c r="E40" s="363">
        <f>SUM(G40:AE40)</f>
        <v>642727260.32904506</v>
      </c>
      <c r="F40" s="272"/>
      <c r="G40" s="302">
        <f>SUM(G37,G39)</f>
        <v>0</v>
      </c>
      <c r="H40" s="302">
        <f>SUM(H37,H39)</f>
        <v>0</v>
      </c>
      <c r="I40" s="302">
        <f>SUM(I37,I39)</f>
        <v>0</v>
      </c>
      <c r="J40" s="302">
        <f>SUM(J37,J39)</f>
        <v>0</v>
      </c>
      <c r="K40" s="302">
        <f>SUM(K37,K39)</f>
        <v>0</v>
      </c>
      <c r="L40" s="302">
        <f>SUM(L37,L39)</f>
        <v>0</v>
      </c>
      <c r="M40" s="302">
        <f>SUM(M37,M39)</f>
        <v>0</v>
      </c>
      <c r="N40" s="302">
        <f>SUM(N37,N39)</f>
        <v>27383692.947836407</v>
      </c>
      <c r="O40" s="302">
        <f>SUM(O37,O39)</f>
        <v>27418602.355742086</v>
      </c>
      <c r="P40" s="302">
        <f>SUM(P37,P39)</f>
        <v>27602066.451637961</v>
      </c>
      <c r="Q40" s="302">
        <f>SUM(Q37,Q39)</f>
        <v>27936433.549458854</v>
      </c>
      <c r="R40" s="302">
        <f>SUM(R37,R39)</f>
        <v>28424841.808101967</v>
      </c>
      <c r="S40" s="302">
        <f>SUM(S37,S39)</f>
        <v>29071240.06499451</v>
      </c>
      <c r="T40" s="302">
        <f>SUM(T37,T39)</f>
        <v>30158679.290577941</v>
      </c>
      <c r="U40" s="302">
        <f>SUM(U37,U39)</f>
        <v>31155187.202029802</v>
      </c>
      <c r="V40" s="302">
        <f>SUM(V37,V39)</f>
        <v>32327952.156778824</v>
      </c>
      <c r="W40" s="302">
        <f>SUM(W37,W39)</f>
        <v>33684546.336365364</v>
      </c>
      <c r="X40" s="302">
        <f>SUM(X37,X39)</f>
        <v>35233527.886428572</v>
      </c>
      <c r="Y40" s="302">
        <f>SUM(Y37,Y39)</f>
        <v>37371068.4840637</v>
      </c>
      <c r="Z40" s="302">
        <f>SUM(Z37,Z39)</f>
        <v>39360963.84443251</v>
      </c>
      <c r="AA40" s="302">
        <f>SUM(AA37,AA39)</f>
        <v>41577135.482046664</v>
      </c>
      <c r="AB40" s="302">
        <f>SUM(AB37,AB39)</f>
        <v>44032747.86989136</v>
      </c>
      <c r="AC40" s="302">
        <f>SUM(AC37,AC39)</f>
        <v>46742259.302235499</v>
      </c>
      <c r="AD40" s="302">
        <f>SUM(AD37,AD39)</f>
        <v>50258551.971135274</v>
      </c>
      <c r="AE40" s="302">
        <f>SUM(AE37,AE39)</f>
        <v>52987763.325287685</v>
      </c>
    </row>
    <row r="41" spans="4:31" ht="15.6" thickTop="1" thickBot="1">
      <c r="D41" s="308" t="s">
        <v>92</v>
      </c>
      <c r="E41" s="364">
        <f>SUM(G41:AE41)</f>
        <v>949430483.31797194</v>
      </c>
      <c r="F41" s="272"/>
      <c r="G41" s="302">
        <f>SUM(G38,G39)</f>
        <v>0</v>
      </c>
      <c r="H41" s="302">
        <f>SUM(H38,H39)</f>
        <v>0</v>
      </c>
      <c r="I41" s="302">
        <f>SUM(I38,I39)</f>
        <v>0</v>
      </c>
      <c r="J41" s="302">
        <f>SUM(J38,J39)</f>
        <v>0</v>
      </c>
      <c r="K41" s="302">
        <f>SUM(K38,K39)</f>
        <v>0</v>
      </c>
      <c r="L41" s="302">
        <f>SUM(L38,L39)</f>
        <v>0</v>
      </c>
      <c r="M41" s="302">
        <f>SUM(M38,M39)</f>
        <v>0</v>
      </c>
      <c r="N41" s="302">
        <f>SUM(N38,N39)</f>
        <v>27383692.947836407</v>
      </c>
      <c r="O41" s="302">
        <f>SUM(O38,O39)</f>
        <v>28019506.026098505</v>
      </c>
      <c r="P41" s="302">
        <f>SUM(P38,P39)</f>
        <v>28934608.792123847</v>
      </c>
      <c r="Q41" s="302">
        <f>SUM(Q38,Q39)</f>
        <v>30152553.007725261</v>
      </c>
      <c r="R41" s="302">
        <f>SUM(R38,R39)</f>
        <v>31700739.348381836</v>
      </c>
      <c r="S41" s="302">
        <f>SUM(S38,S39)</f>
        <v>33610853.773451783</v>
      </c>
      <c r="T41" s="302">
        <f>SUM(T38,T39)</f>
        <v>36282684.658948742</v>
      </c>
      <c r="U41" s="302">
        <f>SUM(U38,U39)</f>
        <v>39073723.923843846</v>
      </c>
      <c r="V41" s="302">
        <f>SUM(V38,V39)</f>
        <v>42357679.501733109</v>
      </c>
      <c r="W41" s="302">
        <f>SUM(W38,W39)</f>
        <v>46189602.303023517</v>
      </c>
      <c r="X41" s="302">
        <f>SUM(X38,X39)</f>
        <v>50632114.082130544</v>
      </c>
      <c r="Y41" s="302">
        <f>SUM(Y38,Y39)</f>
        <v>56386699.574426025</v>
      </c>
      <c r="Z41" s="302">
        <f>SUM(Z38,Z39)</f>
        <v>62346712.665206984</v>
      </c>
      <c r="AA41" s="302">
        <f>SUM(AA38,AA39)</f>
        <v>69168998.643822193</v>
      </c>
      <c r="AB41" s="302">
        <f>SUM(AB38,AB39)</f>
        <v>76957949.60911876</v>
      </c>
      <c r="AC41" s="302">
        <f>SUM(AC38,AC39)</f>
        <v>85831600.487869412</v>
      </c>
      <c r="AD41" s="302">
        <f>SUM(AD38,AD39)</f>
        <v>97017023.55098182</v>
      </c>
      <c r="AE41" s="302">
        <f>SUM(AE38,AE39)</f>
        <v>107383740.42124943</v>
      </c>
    </row>
    <row r="42" spans="4:31" ht="15" thickTop="1">
      <c r="D42" s="20"/>
      <c r="E42" s="67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</row>
    <row r="43" spans="4:31">
      <c r="E43" s="66"/>
    </row>
    <row r="44" spans="4:31" ht="15" thickBot="1">
      <c r="D44" s="272" t="s">
        <v>93</v>
      </c>
      <c r="E44" s="365">
        <f>E40-E35</f>
        <v>282961612.68894511</v>
      </c>
      <c r="F44" s="272"/>
      <c r="G44" s="272"/>
      <c r="H44" s="31"/>
    </row>
    <row r="45" spans="4:31" ht="15.6" thickTop="1" thickBot="1">
      <c r="D45" s="309" t="s">
        <v>94</v>
      </c>
      <c r="E45" s="366">
        <f>E40/E35</f>
        <v>1.786516485231554</v>
      </c>
      <c r="F45" s="272"/>
      <c r="G45" s="272"/>
      <c r="I45" s="20"/>
      <c r="K45" s="20"/>
    </row>
    <row r="46" spans="4:31" ht="15" thickTop="1">
      <c r="D46" s="272"/>
      <c r="E46" s="272"/>
      <c r="F46" s="272"/>
      <c r="G46" s="272"/>
    </row>
    <row r="47" spans="4:31" ht="15" thickBot="1">
      <c r="D47" s="272" t="s">
        <v>95</v>
      </c>
      <c r="E47" s="365">
        <f>E41-E35</f>
        <v>589664835.67787194</v>
      </c>
      <c r="F47" s="272"/>
      <c r="G47" s="272"/>
      <c r="M47" s="45"/>
      <c r="N47" s="45"/>
    </row>
    <row r="48" spans="4:31" ht="15.6" thickTop="1" thickBot="1">
      <c r="D48" s="309" t="s">
        <v>96</v>
      </c>
      <c r="E48" s="366">
        <f>E41/E35</f>
        <v>2.6390248472743489</v>
      </c>
      <c r="F48" s="272"/>
      <c r="G48" s="272"/>
    </row>
    <row r="49" spans="4:15" ht="15" thickTop="1">
      <c r="D49" s="272"/>
      <c r="E49" s="272"/>
      <c r="F49" s="272"/>
      <c r="G49" s="272"/>
    </row>
    <row r="50" spans="4:15">
      <c r="D50" s="272"/>
      <c r="E50" s="272"/>
      <c r="F50" s="272"/>
      <c r="G50" s="272"/>
    </row>
    <row r="51" spans="4:15">
      <c r="D51" s="272"/>
      <c r="E51" s="272"/>
      <c r="F51" s="272"/>
      <c r="G51" s="272"/>
    </row>
    <row r="52" spans="4:15">
      <c r="D52" s="272"/>
      <c r="E52" s="310" t="s">
        <v>97</v>
      </c>
      <c r="F52" s="310" t="s">
        <v>98</v>
      </c>
      <c r="G52" s="310" t="s">
        <v>99</v>
      </c>
    </row>
    <row r="53" spans="4:15">
      <c r="D53" s="290" t="s">
        <v>100</v>
      </c>
      <c r="E53" s="311">
        <f>E41</f>
        <v>949430483.31797194</v>
      </c>
      <c r="F53" s="311">
        <v>775454603.40510595</v>
      </c>
      <c r="G53" s="311">
        <f>E40</f>
        <v>642727260.32904506</v>
      </c>
      <c r="O53" s="64"/>
    </row>
    <row r="54" spans="4:15">
      <c r="D54" s="290" t="s">
        <v>101</v>
      </c>
      <c r="E54" s="311">
        <f>E35</f>
        <v>359765647.64009994</v>
      </c>
      <c r="F54" s="311">
        <v>359765647.64009994</v>
      </c>
      <c r="G54" s="311">
        <f>E35</f>
        <v>359765647.64009994</v>
      </c>
    </row>
    <row r="55" spans="4:15">
      <c r="D55" s="290" t="s">
        <v>65</v>
      </c>
      <c r="E55" s="312">
        <f>E53/E54</f>
        <v>2.6390248472743489</v>
      </c>
      <c r="F55" s="312">
        <v>2.1554437131275264</v>
      </c>
      <c r="G55" s="312">
        <f>G53/G54</f>
        <v>1.786516485231554</v>
      </c>
    </row>
    <row r="56" spans="4:15">
      <c r="D56" s="290" t="s">
        <v>102</v>
      </c>
      <c r="E56" s="311">
        <f>E53-E54</f>
        <v>589664835.67787194</v>
      </c>
      <c r="F56" s="311">
        <v>415688955.76500636</v>
      </c>
      <c r="G56" s="311">
        <f>G53-G54</f>
        <v>282961612.68894511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A8E9-62BF-4B0C-B92C-0F1CD5749A76}">
  <sheetPr>
    <tabColor theme="0" tint="-0.499984740745262"/>
  </sheetPr>
  <dimension ref="B1:T3"/>
  <sheetViews>
    <sheetView showGridLines="0" zoomScale="85" zoomScaleNormal="85" workbookViewId="0">
      <selection activeCell="U32" sqref="U32"/>
    </sheetView>
  </sheetViews>
  <sheetFormatPr defaultRowHeight="14.45"/>
  <cols>
    <col min="1" max="1" width="3.140625" customWidth="1"/>
    <col min="2" max="2" width="4.42578125" customWidth="1"/>
    <col min="3" max="3" width="3.140625" customWidth="1"/>
  </cols>
  <sheetData>
    <row r="1" spans="2:20">
      <c r="B1" s="7">
        <f>SUM(A:A)</f>
        <v>0</v>
      </c>
    </row>
    <row r="2" spans="2:20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088A-EAA5-4664-9B20-D988192FE722}">
  <dimension ref="B1:AF108"/>
  <sheetViews>
    <sheetView showGridLines="0" topLeftCell="A49" zoomScale="85" zoomScaleNormal="85" workbookViewId="0">
      <selection activeCell="F38" sqref="F38"/>
    </sheetView>
  </sheetViews>
  <sheetFormatPr defaultRowHeight="14.45"/>
  <cols>
    <col min="1" max="1" width="3.140625" customWidth="1"/>
    <col min="2" max="2" width="4.42578125" customWidth="1"/>
    <col min="3" max="3" width="3.140625" customWidth="1"/>
    <col min="4" max="4" width="30.85546875" customWidth="1"/>
    <col min="5" max="5" width="45.42578125" bestFit="1" customWidth="1"/>
    <col min="6" max="6" width="16.140625" style="45" customWidth="1"/>
    <col min="7" max="7" width="19.42578125" customWidth="1"/>
    <col min="8" max="8" width="15.5703125" customWidth="1"/>
    <col min="9" max="9" width="18.42578125" customWidth="1"/>
    <col min="11" max="11" width="21.140625" customWidth="1"/>
    <col min="12" max="12" width="14.42578125" bestFit="1" customWidth="1"/>
    <col min="13" max="13" width="15.42578125" bestFit="1" customWidth="1"/>
    <col min="15" max="15" width="15.85546875" bestFit="1" customWidth="1"/>
    <col min="16" max="16" width="11.5703125" customWidth="1"/>
    <col min="20" max="20" width="14.85546875" bestFit="1" customWidth="1"/>
    <col min="21" max="21" width="23.85546875" customWidth="1"/>
  </cols>
  <sheetData>
    <row r="1" spans="2:19">
      <c r="B1" s="7">
        <f>SUM(A:A)</f>
        <v>0</v>
      </c>
    </row>
    <row r="2" spans="2:19" ht="26.45">
      <c r="B2" s="5"/>
      <c r="C2" s="6" t="e">
        <f>#REF!&amp;" - "&amp;#REF!</f>
        <v>#REF!</v>
      </c>
      <c r="D2" s="5"/>
      <c r="E2" s="5"/>
      <c r="F2" s="35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2:19" ht="18">
      <c r="B3" s="2"/>
      <c r="C3" s="4" t="e">
        <f ca="1">MID(CELL("filename",A1),FIND("]",CELL("filename",A1))+1,99)</f>
        <v>#VALUE!</v>
      </c>
      <c r="D3" s="2"/>
      <c r="E3" s="2"/>
      <c r="F3" s="3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6" spans="2:19" ht="16.5">
      <c r="B6" s="1"/>
      <c r="C6" s="1"/>
      <c r="D6" s="1" t="s">
        <v>103</v>
      </c>
      <c r="E6" s="1"/>
      <c r="F6" s="34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" spans="2:19">
      <c r="B8" s="383"/>
      <c r="C8" s="383"/>
      <c r="D8" s="383"/>
      <c r="E8" s="268" t="s">
        <v>104</v>
      </c>
      <c r="F8" s="329" t="s">
        <v>105</v>
      </c>
      <c r="G8" s="268" t="s">
        <v>6</v>
      </c>
      <c r="H8" s="269" t="s">
        <v>5</v>
      </c>
    </row>
    <row r="9" spans="2:19">
      <c r="B9" s="383"/>
      <c r="C9" s="383"/>
      <c r="D9" s="383"/>
      <c r="E9" s="13"/>
      <c r="F9" s="330"/>
      <c r="G9" s="35"/>
      <c r="H9" s="33"/>
    </row>
    <row r="10" spans="2:19">
      <c r="B10" s="383"/>
      <c r="C10" s="383"/>
      <c r="D10" s="383"/>
      <c r="E10" s="34" t="s">
        <v>106</v>
      </c>
      <c r="F10" s="331">
        <v>7.0000000000000007E-2</v>
      </c>
      <c r="G10" s="34" t="s">
        <v>107</v>
      </c>
      <c r="H10" s="13" t="s">
        <v>108</v>
      </c>
    </row>
    <row r="11" spans="2:19">
      <c r="B11" s="383"/>
      <c r="C11" s="383"/>
      <c r="D11" s="383"/>
      <c r="E11" s="34" t="s">
        <v>109</v>
      </c>
      <c r="F11" s="331">
        <v>0.03</v>
      </c>
      <c r="G11" s="34" t="s">
        <v>107</v>
      </c>
      <c r="H11" s="13" t="s">
        <v>108</v>
      </c>
    </row>
    <row r="12" spans="2:19">
      <c r="B12" s="383"/>
      <c r="C12" s="383"/>
      <c r="D12" s="383"/>
      <c r="E12" s="13"/>
      <c r="F12" s="328"/>
      <c r="G12" s="34"/>
      <c r="H12" s="13"/>
    </row>
    <row r="13" spans="2:19" ht="16.5">
      <c r="B13" s="1"/>
      <c r="C13" s="1"/>
      <c r="D13" s="1" t="s">
        <v>110</v>
      </c>
      <c r="E13" s="1"/>
      <c r="F13" s="34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>
      <c r="M14" s="40"/>
      <c r="N14" s="40"/>
      <c r="O14" s="40"/>
    </row>
    <row r="15" spans="2:19">
      <c r="B15" s="33"/>
      <c r="C15" s="33"/>
      <c r="D15" s="270"/>
      <c r="E15" s="268" t="s">
        <v>104</v>
      </c>
      <c r="F15" s="329" t="s">
        <v>105</v>
      </c>
      <c r="G15" s="268" t="s">
        <v>6</v>
      </c>
      <c r="H15" s="269" t="s">
        <v>5</v>
      </c>
    </row>
    <row r="16" spans="2:19">
      <c r="B16" s="33"/>
      <c r="C16" s="274"/>
      <c r="E16" s="250"/>
      <c r="F16" s="332"/>
      <c r="G16" s="252"/>
    </row>
    <row r="17" spans="2:9">
      <c r="B17" s="33"/>
      <c r="C17" s="33"/>
      <c r="E17" s="13" t="s">
        <v>111</v>
      </c>
      <c r="F17" s="333">
        <v>17800000</v>
      </c>
      <c r="G17" s="34" t="s">
        <v>33</v>
      </c>
    </row>
    <row r="18" spans="2:9">
      <c r="B18" s="33"/>
      <c r="C18" s="33"/>
      <c r="E18" s="13"/>
      <c r="F18" s="333"/>
      <c r="G18" s="34"/>
    </row>
    <row r="19" spans="2:9">
      <c r="B19" s="33"/>
      <c r="C19" s="274"/>
      <c r="E19" s="250" t="s">
        <v>112</v>
      </c>
      <c r="F19" s="332"/>
      <c r="G19" s="252"/>
    </row>
    <row r="20" spans="2:9">
      <c r="B20" s="33"/>
      <c r="C20" s="33"/>
      <c r="D20" s="249"/>
      <c r="E20" s="250" t="s">
        <v>113</v>
      </c>
      <c r="F20" s="332"/>
      <c r="G20" s="250"/>
    </row>
    <row r="21" spans="2:9">
      <c r="B21" s="33"/>
      <c r="C21" s="33"/>
      <c r="D21" s="249"/>
      <c r="E21" s="253" t="s">
        <v>114</v>
      </c>
      <c r="F21" s="348">
        <v>2.8000000000000001E-2</v>
      </c>
      <c r="G21" s="34" t="s">
        <v>33</v>
      </c>
      <c r="H21" s="13" t="s">
        <v>108</v>
      </c>
      <c r="I21" s="251"/>
    </row>
    <row r="22" spans="2:9">
      <c r="B22" s="33"/>
      <c r="C22" s="33"/>
      <c r="D22" s="249"/>
      <c r="E22" s="253" t="s">
        <v>115</v>
      </c>
      <c r="F22" s="348">
        <v>0.2</v>
      </c>
      <c r="G22" s="34" t="s">
        <v>33</v>
      </c>
      <c r="H22" s="13" t="s">
        <v>108</v>
      </c>
      <c r="I22" s="251"/>
    </row>
    <row r="23" spans="2:9">
      <c r="B23" s="33"/>
      <c r="C23" s="33"/>
      <c r="D23" s="249"/>
      <c r="E23" s="250" t="s">
        <v>116</v>
      </c>
      <c r="F23" s="347"/>
      <c r="I23" s="251"/>
    </row>
    <row r="24" spans="2:9">
      <c r="B24" s="33"/>
      <c r="C24" s="33"/>
      <c r="D24" s="249"/>
      <c r="E24" s="253" t="s">
        <v>114</v>
      </c>
      <c r="F24" s="348">
        <v>2.0000000000000001E-4</v>
      </c>
      <c r="G24" s="34" t="s">
        <v>33</v>
      </c>
      <c r="H24" s="13" t="s">
        <v>108</v>
      </c>
      <c r="I24" s="251"/>
    </row>
    <row r="25" spans="2:9">
      <c r="B25" s="33"/>
      <c r="C25" s="33"/>
      <c r="D25" s="249"/>
      <c r="E25" s="253" t="s">
        <v>115</v>
      </c>
      <c r="F25" s="348">
        <v>2.07E-2</v>
      </c>
      <c r="G25" s="34" t="s">
        <v>33</v>
      </c>
      <c r="H25" s="13" t="s">
        <v>108</v>
      </c>
      <c r="I25" s="251"/>
    </row>
    <row r="26" spans="2:9">
      <c r="B26" s="33"/>
      <c r="C26" s="33"/>
      <c r="D26" s="249"/>
      <c r="E26" s="250" t="s">
        <v>117</v>
      </c>
      <c r="F26" s="347"/>
      <c r="I26" s="251"/>
    </row>
    <row r="27" spans="2:9">
      <c r="B27" s="33"/>
      <c r="C27" s="33"/>
      <c r="D27" s="249"/>
      <c r="E27" s="253" t="s">
        <v>114</v>
      </c>
      <c r="F27" s="348">
        <v>0.08</v>
      </c>
      <c r="G27" s="34" t="s">
        <v>33</v>
      </c>
      <c r="H27" s="13" t="s">
        <v>108</v>
      </c>
      <c r="I27" s="251"/>
    </row>
    <row r="28" spans="2:9">
      <c r="B28" s="33"/>
      <c r="C28" s="33"/>
      <c r="D28" s="249"/>
      <c r="E28" s="253" t="s">
        <v>115</v>
      </c>
      <c r="F28" s="348">
        <v>1.7999999999999999E-2</v>
      </c>
      <c r="G28" s="34" t="s">
        <v>33</v>
      </c>
      <c r="H28" s="13" t="s">
        <v>108</v>
      </c>
      <c r="I28" s="251"/>
    </row>
    <row r="29" spans="2:9">
      <c r="B29" s="33"/>
      <c r="C29" s="33"/>
    </row>
    <row r="30" spans="2:9">
      <c r="B30" s="33"/>
      <c r="C30" s="33"/>
      <c r="E30" s="34" t="s">
        <v>30</v>
      </c>
      <c r="F30" s="346">
        <f>'Deviation '!$F$8</f>
        <v>14.761904761904763</v>
      </c>
    </row>
    <row r="31" spans="2:9">
      <c r="B31" s="33"/>
      <c r="C31" s="33"/>
      <c r="E31" s="34" t="s">
        <v>28</v>
      </c>
      <c r="F31" s="346">
        <f>'Deviation '!$C$11</f>
        <v>50</v>
      </c>
    </row>
    <row r="32" spans="2:9">
      <c r="B32" s="33"/>
      <c r="C32" s="33"/>
      <c r="E32" s="34" t="s">
        <v>32</v>
      </c>
      <c r="F32" s="346">
        <f>'Vsl operating cost'!$F$41</f>
        <v>1163.7499999999998</v>
      </c>
      <c r="G32" s="34" t="s">
        <v>33</v>
      </c>
    </row>
    <row r="33" spans="2:10">
      <c r="B33" s="33"/>
      <c r="C33" s="33"/>
      <c r="E33" s="13" t="s">
        <v>118</v>
      </c>
      <c r="F33" s="345">
        <v>50</v>
      </c>
    </row>
    <row r="34" spans="2:10">
      <c r="B34" s="33"/>
      <c r="C34" s="33"/>
      <c r="E34" t="s">
        <v>119</v>
      </c>
      <c r="F34" s="337">
        <v>0.6</v>
      </c>
      <c r="H34" t="s">
        <v>120</v>
      </c>
    </row>
    <row r="35" spans="2:10">
      <c r="B35" s="33"/>
      <c r="C35" s="33"/>
      <c r="E35" s="34" t="s">
        <v>121</v>
      </c>
      <c r="F35" s="34">
        <v>23.23</v>
      </c>
      <c r="G35" s="34" t="s">
        <v>122</v>
      </c>
      <c r="H35" s="210" t="s">
        <v>123</v>
      </c>
    </row>
    <row r="36" spans="2:10">
      <c r="B36" s="33"/>
      <c r="C36" s="33"/>
      <c r="E36" s="13" t="s">
        <v>124</v>
      </c>
      <c r="F36" s="328">
        <v>4.5460900000000004</v>
      </c>
    </row>
    <row r="37" spans="2:10">
      <c r="B37" s="33"/>
      <c r="C37" s="33"/>
      <c r="E37" s="13"/>
      <c r="F37" s="328"/>
    </row>
    <row r="38" spans="2:10">
      <c r="B38" s="33"/>
      <c r="C38" s="33"/>
      <c r="E38" s="13" t="s">
        <v>125</v>
      </c>
      <c r="F38" s="331">
        <v>0.08</v>
      </c>
      <c r="H38" t="s">
        <v>126</v>
      </c>
    </row>
    <row r="39" spans="2:10">
      <c r="B39" s="33"/>
      <c r="C39" s="33"/>
      <c r="E39" s="13"/>
      <c r="F39" s="331"/>
    </row>
    <row r="40" spans="2:10">
      <c r="B40" s="33"/>
      <c r="C40" s="33"/>
      <c r="E40" t="s">
        <v>127</v>
      </c>
      <c r="F40">
        <v>55</v>
      </c>
      <c r="G40" t="s">
        <v>128</v>
      </c>
      <c r="H40" t="s">
        <v>120</v>
      </c>
    </row>
    <row r="41" spans="2:10">
      <c r="B41" s="33"/>
      <c r="C41" s="33"/>
      <c r="F41" s="331"/>
    </row>
    <row r="42" spans="2:10">
      <c r="B42" s="33"/>
      <c r="C42" s="33"/>
      <c r="E42" s="13" t="s">
        <v>129</v>
      </c>
    </row>
    <row r="43" spans="2:10">
      <c r="B43" s="33"/>
      <c r="C43" s="33"/>
      <c r="E43" s="13" t="s">
        <v>130</v>
      </c>
      <c r="F43" s="344">
        <f>112*2</f>
        <v>224</v>
      </c>
      <c r="G43" s="326"/>
      <c r="H43" s="326"/>
      <c r="I43" s="327"/>
      <c r="J43" s="326"/>
    </row>
    <row r="44" spans="2:10">
      <c r="B44" s="33"/>
      <c r="C44" s="33"/>
      <c r="E44" s="13" t="s">
        <v>131</v>
      </c>
      <c r="F44" s="344">
        <v>80</v>
      </c>
    </row>
    <row r="45" spans="2:10">
      <c r="B45" s="33"/>
      <c r="C45" s="33"/>
      <c r="E45" t="s">
        <v>132</v>
      </c>
      <c r="F45" s="45">
        <v>1.6</v>
      </c>
    </row>
    <row r="46" spans="2:10">
      <c r="B46" s="33"/>
      <c r="C46" s="33"/>
    </row>
    <row r="47" spans="2:10">
      <c r="B47" s="33"/>
      <c r="C47" s="33"/>
      <c r="E47" t="s">
        <v>133</v>
      </c>
      <c r="F47">
        <v>2.2400000000000002</v>
      </c>
      <c r="G47" t="s">
        <v>134</v>
      </c>
      <c r="H47" s="210" t="s">
        <v>135</v>
      </c>
    </row>
    <row r="48" spans="2:10">
      <c r="E48" t="s">
        <v>136</v>
      </c>
      <c r="F48">
        <v>3.15</v>
      </c>
      <c r="G48" t="s">
        <v>137</v>
      </c>
      <c r="H48" s="210" t="s">
        <v>138</v>
      </c>
    </row>
    <row r="50" spans="2:19" ht="16.5">
      <c r="B50" s="1"/>
      <c r="C50" s="1"/>
      <c r="D50" s="1" t="s">
        <v>139</v>
      </c>
      <c r="E50" s="1"/>
      <c r="F50" s="34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>
      <c r="M51" s="40"/>
      <c r="N51" s="40"/>
      <c r="O51" s="40"/>
    </row>
    <row r="52" spans="2:19">
      <c r="C52" s="68" t="s">
        <v>140</v>
      </c>
      <c r="E52" s="268" t="s">
        <v>104</v>
      </c>
      <c r="F52" s="329" t="s">
        <v>105</v>
      </c>
      <c r="G52" s="268" t="s">
        <v>6</v>
      </c>
      <c r="H52" s="269" t="s">
        <v>5</v>
      </c>
    </row>
    <row r="53" spans="2:19">
      <c r="E53" s="13" t="s">
        <v>141</v>
      </c>
      <c r="F53" s="333">
        <v>500000000</v>
      </c>
      <c r="G53" s="13" t="s">
        <v>33</v>
      </c>
      <c r="H53" s="36"/>
    </row>
    <row r="56" spans="2:19">
      <c r="C56" s="68" t="s">
        <v>142</v>
      </c>
    </row>
    <row r="57" spans="2:19">
      <c r="E57" s="268" t="s">
        <v>104</v>
      </c>
      <c r="F57" s="329" t="s">
        <v>105</v>
      </c>
      <c r="G57" s="268" t="s">
        <v>6</v>
      </c>
      <c r="H57" s="269" t="s">
        <v>5</v>
      </c>
    </row>
    <row r="58" spans="2:19">
      <c r="E58" t="s">
        <v>143</v>
      </c>
      <c r="F58" s="334">
        <v>8760</v>
      </c>
      <c r="G58" s="272" t="s">
        <v>144</v>
      </c>
      <c r="H58" s="36"/>
    </row>
    <row r="59" spans="2:19" ht="15" thickBot="1">
      <c r="E59" t="s">
        <v>145</v>
      </c>
      <c r="F59" s="334">
        <f>F58*0.47</f>
        <v>4117.2</v>
      </c>
      <c r="G59" s="272" t="s">
        <v>9</v>
      </c>
      <c r="H59" t="s">
        <v>146</v>
      </c>
    </row>
    <row r="60" spans="2:19" ht="15" thickBot="1">
      <c r="E60" t="s">
        <v>147</v>
      </c>
      <c r="F60" s="335">
        <v>2</v>
      </c>
      <c r="G60" s="272" t="s">
        <v>148</v>
      </c>
    </row>
    <row r="61" spans="2:19">
      <c r="E61" t="s">
        <v>147</v>
      </c>
      <c r="F61" s="334">
        <f>F60*1000</f>
        <v>2000</v>
      </c>
      <c r="G61" s="272" t="s">
        <v>149</v>
      </c>
    </row>
    <row r="62" spans="2:19">
      <c r="E62" t="s">
        <v>150</v>
      </c>
      <c r="F62" s="334">
        <f>F61*F59</f>
        <v>8234400</v>
      </c>
      <c r="G62" s="272" t="s">
        <v>151</v>
      </c>
    </row>
    <row r="63" spans="2:19">
      <c r="E63" t="s">
        <v>152</v>
      </c>
      <c r="F63" s="334">
        <f>F62/1000</f>
        <v>8234.4</v>
      </c>
      <c r="G63" s="272" t="s">
        <v>153</v>
      </c>
      <c r="H63" t="s">
        <v>154</v>
      </c>
    </row>
    <row r="65" spans="2:32">
      <c r="C65" s="68" t="s">
        <v>155</v>
      </c>
    </row>
    <row r="66" spans="2:32">
      <c r="C66" s="68"/>
    </row>
    <row r="67" spans="2:32">
      <c r="B67" s="383"/>
      <c r="C67" s="383"/>
      <c r="D67" s="383"/>
      <c r="E67" s="268" t="s">
        <v>104</v>
      </c>
      <c r="F67" s="329" t="s">
        <v>105</v>
      </c>
      <c r="G67" s="268" t="s">
        <v>6</v>
      </c>
      <c r="H67" s="269" t="s">
        <v>5</v>
      </c>
    </row>
    <row r="68" spans="2:32">
      <c r="E68" s="13" t="s">
        <v>156</v>
      </c>
      <c r="F68" s="336">
        <v>10.89</v>
      </c>
      <c r="G68" s="13" t="s">
        <v>157</v>
      </c>
      <c r="H68" s="271" t="s">
        <v>158</v>
      </c>
    </row>
    <row r="69" spans="2:32">
      <c r="E69" s="13" t="s">
        <v>159</v>
      </c>
      <c r="F69" s="336">
        <v>363</v>
      </c>
      <c r="G69" s="13" t="s">
        <v>157</v>
      </c>
      <c r="H69" s="271" t="s">
        <v>158</v>
      </c>
    </row>
    <row r="70" spans="2:32">
      <c r="E70" s="13" t="s">
        <v>160</v>
      </c>
      <c r="F70" s="336">
        <f>H81</f>
        <v>56</v>
      </c>
      <c r="G70" s="13" t="s">
        <v>161</v>
      </c>
      <c r="H70" s="271" t="s">
        <v>162</v>
      </c>
      <c r="I70" s="40"/>
    </row>
    <row r="71" spans="2:32">
      <c r="E71" s="13" t="s">
        <v>160</v>
      </c>
      <c r="F71" s="336">
        <f>F70/1000000</f>
        <v>5.5999999999999999E-5</v>
      </c>
      <c r="G71" s="13" t="s">
        <v>163</v>
      </c>
      <c r="H71" s="36"/>
    </row>
    <row r="72" spans="2:32">
      <c r="E72" t="s">
        <v>80</v>
      </c>
      <c r="F72" s="337">
        <v>0.1</v>
      </c>
      <c r="G72" s="13" t="s">
        <v>164</v>
      </c>
      <c r="H72" s="36"/>
    </row>
    <row r="73" spans="2:32">
      <c r="E73" t="s">
        <v>82</v>
      </c>
      <c r="F73" s="337">
        <v>0.15</v>
      </c>
      <c r="G73" s="13" t="s">
        <v>164</v>
      </c>
      <c r="H73" s="36"/>
    </row>
    <row r="74" spans="2:32">
      <c r="E74" s="13" t="s">
        <v>165</v>
      </c>
      <c r="F74" s="336">
        <v>695</v>
      </c>
      <c r="G74" s="13" t="s">
        <v>166</v>
      </c>
      <c r="H74" s="271" t="s">
        <v>158</v>
      </c>
    </row>
    <row r="75" spans="2:32">
      <c r="E75" s="13"/>
      <c r="F75" s="336"/>
      <c r="G75" s="13"/>
      <c r="H75" s="36"/>
    </row>
    <row r="76" spans="2:32">
      <c r="E76" s="13"/>
      <c r="F76" s="336"/>
      <c r="G76" s="13"/>
      <c r="H76" s="36"/>
    </row>
    <row r="77" spans="2:32">
      <c r="E77" s="254" t="s">
        <v>167</v>
      </c>
      <c r="F77" s="338"/>
      <c r="G77" s="16"/>
      <c r="H77" s="16">
        <v>2022</v>
      </c>
      <c r="I77" s="16">
        <v>2023</v>
      </c>
      <c r="J77" s="16">
        <v>2024</v>
      </c>
      <c r="K77" s="16">
        <v>2025</v>
      </c>
      <c r="L77" s="16">
        <v>2026</v>
      </c>
      <c r="M77" s="16">
        <v>2027</v>
      </c>
      <c r="N77" s="16">
        <v>2028</v>
      </c>
      <c r="O77" s="16">
        <v>2029</v>
      </c>
      <c r="P77" s="16">
        <v>2030</v>
      </c>
      <c r="Q77" s="16">
        <v>2031</v>
      </c>
      <c r="R77" s="16">
        <v>2032</v>
      </c>
      <c r="S77" s="16">
        <v>2033</v>
      </c>
      <c r="T77" s="16">
        <v>2034</v>
      </c>
      <c r="U77" s="16">
        <v>2035</v>
      </c>
      <c r="V77" s="16">
        <v>2036</v>
      </c>
      <c r="W77" s="16">
        <v>2037</v>
      </c>
      <c r="X77" s="16">
        <v>2038</v>
      </c>
      <c r="Y77" s="16">
        <v>2039</v>
      </c>
      <c r="Z77" s="16">
        <v>2040</v>
      </c>
      <c r="AA77" s="16">
        <v>2041</v>
      </c>
      <c r="AB77" s="16">
        <v>2042</v>
      </c>
      <c r="AC77" s="16">
        <v>2043</v>
      </c>
      <c r="AD77" s="16">
        <v>2044</v>
      </c>
      <c r="AE77" s="16">
        <v>2045</v>
      </c>
      <c r="AF77" s="16">
        <v>2046</v>
      </c>
    </row>
    <row r="78" spans="2:32">
      <c r="E78" s="16"/>
      <c r="F78" s="339" t="s">
        <v>168</v>
      </c>
      <c r="G78" s="63"/>
      <c r="H78" s="255">
        <v>44300</v>
      </c>
      <c r="I78" s="255">
        <v>45100</v>
      </c>
      <c r="J78" s="255">
        <v>46000</v>
      </c>
      <c r="K78" s="255">
        <v>46900</v>
      </c>
      <c r="L78" s="255">
        <v>47800</v>
      </c>
      <c r="M78" s="255">
        <v>48700</v>
      </c>
      <c r="N78" s="255">
        <v>49500</v>
      </c>
      <c r="O78" s="255">
        <v>50400</v>
      </c>
      <c r="P78" s="255">
        <v>51300</v>
      </c>
      <c r="Q78" s="255">
        <v>51300</v>
      </c>
      <c r="R78" s="255">
        <v>51300</v>
      </c>
      <c r="S78" s="255">
        <v>51300</v>
      </c>
      <c r="T78" s="255">
        <v>51300</v>
      </c>
      <c r="U78" s="255">
        <v>51300</v>
      </c>
      <c r="V78" s="255">
        <v>51300</v>
      </c>
      <c r="W78" s="255">
        <v>51300</v>
      </c>
      <c r="X78" s="255">
        <v>51300</v>
      </c>
      <c r="Y78" s="255">
        <v>51300</v>
      </c>
      <c r="Z78" s="255">
        <v>51300</v>
      </c>
      <c r="AA78" s="255">
        <v>51300</v>
      </c>
      <c r="AB78" s="255">
        <v>51300</v>
      </c>
      <c r="AC78" s="255">
        <v>51300</v>
      </c>
      <c r="AD78" s="255">
        <v>51300</v>
      </c>
      <c r="AE78" s="255">
        <v>51300</v>
      </c>
      <c r="AF78" s="255">
        <v>51300</v>
      </c>
    </row>
    <row r="79" spans="2:32">
      <c r="E79" s="256"/>
      <c r="F79" s="339" t="s">
        <v>169</v>
      </c>
      <c r="G79" s="63"/>
      <c r="H79" s="255">
        <v>16600</v>
      </c>
      <c r="I79" s="255">
        <v>16800</v>
      </c>
      <c r="J79" s="255">
        <v>17000</v>
      </c>
      <c r="K79" s="255">
        <v>17200</v>
      </c>
      <c r="L79" s="255">
        <v>17500</v>
      </c>
      <c r="M79" s="255">
        <v>17900</v>
      </c>
      <c r="N79" s="255">
        <v>18200</v>
      </c>
      <c r="O79" s="255">
        <v>18600</v>
      </c>
      <c r="P79" s="255">
        <v>18900</v>
      </c>
      <c r="Q79" s="255">
        <v>18900</v>
      </c>
      <c r="R79" s="255">
        <v>18900</v>
      </c>
      <c r="S79" s="255">
        <v>18900</v>
      </c>
      <c r="T79" s="255">
        <v>18900</v>
      </c>
      <c r="U79" s="255">
        <v>18900</v>
      </c>
      <c r="V79" s="255">
        <v>18900</v>
      </c>
      <c r="W79" s="255">
        <v>18900</v>
      </c>
      <c r="X79" s="255">
        <v>18900</v>
      </c>
      <c r="Y79" s="255">
        <v>18900</v>
      </c>
      <c r="Z79" s="255">
        <v>18900</v>
      </c>
      <c r="AA79" s="255">
        <v>18900</v>
      </c>
      <c r="AB79" s="255">
        <v>18900</v>
      </c>
      <c r="AC79" s="255">
        <v>18900</v>
      </c>
      <c r="AD79" s="255">
        <v>18900</v>
      </c>
      <c r="AE79" s="255">
        <v>18900</v>
      </c>
      <c r="AF79" s="255">
        <v>18900</v>
      </c>
    </row>
    <row r="80" spans="2:32">
      <c r="E80" s="256"/>
      <c r="F80" s="339" t="s">
        <v>170</v>
      </c>
      <c r="G80" s="63"/>
      <c r="H80" s="255">
        <v>796700</v>
      </c>
      <c r="I80" s="255">
        <v>810500</v>
      </c>
      <c r="J80" s="255">
        <v>824500</v>
      </c>
      <c r="K80" s="255">
        <v>838800</v>
      </c>
      <c r="L80" s="255">
        <v>852100</v>
      </c>
      <c r="M80" s="255">
        <v>865600</v>
      </c>
      <c r="N80" s="255">
        <v>879400</v>
      </c>
      <c r="O80" s="255">
        <v>893400</v>
      </c>
      <c r="P80" s="255">
        <v>907600</v>
      </c>
      <c r="Q80" s="255">
        <v>907600</v>
      </c>
      <c r="R80" s="255">
        <v>907600</v>
      </c>
      <c r="S80" s="255">
        <v>907600</v>
      </c>
      <c r="T80" s="255">
        <v>907600</v>
      </c>
      <c r="U80" s="255">
        <v>907600</v>
      </c>
      <c r="V80" s="255">
        <v>907600</v>
      </c>
      <c r="W80" s="255">
        <v>907600</v>
      </c>
      <c r="X80" s="255">
        <v>907600</v>
      </c>
      <c r="Y80" s="255">
        <v>907600</v>
      </c>
      <c r="Z80" s="255">
        <v>907600</v>
      </c>
      <c r="AA80" s="255">
        <v>907600</v>
      </c>
      <c r="AB80" s="255">
        <v>907600</v>
      </c>
      <c r="AC80" s="255">
        <v>907600</v>
      </c>
      <c r="AD80" s="255">
        <v>907600</v>
      </c>
      <c r="AE80" s="255">
        <v>907600</v>
      </c>
      <c r="AF80" s="255">
        <v>907600</v>
      </c>
    </row>
    <row r="81" spans="3:32">
      <c r="E81" s="256"/>
      <c r="F81" s="339" t="s">
        <v>171</v>
      </c>
      <c r="G81" s="63"/>
      <c r="H81" s="256">
        <v>56</v>
      </c>
      <c r="I81" s="256">
        <v>57</v>
      </c>
      <c r="J81" s="256">
        <v>58</v>
      </c>
      <c r="K81" s="256">
        <v>59</v>
      </c>
      <c r="L81" s="256">
        <v>60</v>
      </c>
      <c r="M81" s="256">
        <v>61</v>
      </c>
      <c r="N81" s="256">
        <v>62</v>
      </c>
      <c r="O81" s="256">
        <v>63</v>
      </c>
      <c r="P81" s="256">
        <v>65</v>
      </c>
      <c r="Q81" s="256">
        <v>66</v>
      </c>
      <c r="R81" s="256">
        <v>67</v>
      </c>
      <c r="S81" s="256">
        <v>68</v>
      </c>
      <c r="T81" s="256">
        <v>69</v>
      </c>
      <c r="U81" s="256">
        <v>70</v>
      </c>
      <c r="V81" s="256">
        <v>72</v>
      </c>
      <c r="W81" s="256">
        <v>73</v>
      </c>
      <c r="X81" s="256">
        <v>74</v>
      </c>
      <c r="Y81" s="256">
        <v>75</v>
      </c>
      <c r="Z81" s="256">
        <v>76</v>
      </c>
      <c r="AA81" s="256">
        <v>78</v>
      </c>
      <c r="AB81" s="256">
        <v>79</v>
      </c>
      <c r="AC81" s="256">
        <v>80</v>
      </c>
      <c r="AD81" s="256">
        <v>81</v>
      </c>
      <c r="AE81" s="256">
        <v>82</v>
      </c>
      <c r="AF81" s="256">
        <v>84</v>
      </c>
    </row>
    <row r="83" spans="3:32">
      <c r="E83" s="254" t="s">
        <v>172</v>
      </c>
      <c r="F83" s="338"/>
      <c r="G83" s="16"/>
      <c r="H83" s="16">
        <v>2022</v>
      </c>
      <c r="I83" s="16">
        <v>2023</v>
      </c>
      <c r="J83" s="16">
        <v>2024</v>
      </c>
      <c r="K83" s="16">
        <v>2025</v>
      </c>
      <c r="L83" s="16">
        <v>2026</v>
      </c>
      <c r="M83" s="16">
        <v>2027</v>
      </c>
      <c r="N83" s="16">
        <v>2028</v>
      </c>
      <c r="O83" s="16">
        <v>2029</v>
      </c>
      <c r="P83" s="16">
        <v>2030</v>
      </c>
      <c r="Q83" s="16">
        <v>2031</v>
      </c>
      <c r="R83" s="16">
        <v>2032</v>
      </c>
      <c r="S83" s="16">
        <v>2033</v>
      </c>
      <c r="T83" s="16">
        <v>2034</v>
      </c>
      <c r="U83" s="16">
        <v>2035</v>
      </c>
      <c r="V83" s="16">
        <v>2036</v>
      </c>
      <c r="W83" s="16">
        <v>2037</v>
      </c>
      <c r="X83" s="16">
        <v>2038</v>
      </c>
      <c r="Y83" s="16">
        <v>2039</v>
      </c>
      <c r="Z83" s="16">
        <v>2040</v>
      </c>
      <c r="AA83" s="16">
        <v>2041</v>
      </c>
      <c r="AB83" s="16">
        <v>2042</v>
      </c>
      <c r="AC83" s="16">
        <v>2043</v>
      </c>
      <c r="AD83" s="16">
        <v>2044</v>
      </c>
      <c r="AE83" s="16">
        <v>2045</v>
      </c>
      <c r="AF83" s="16">
        <v>2046</v>
      </c>
    </row>
    <row r="84" spans="3:32">
      <c r="E84" s="256"/>
      <c r="F84" s="339" t="s">
        <v>171</v>
      </c>
      <c r="G84" s="63"/>
      <c r="H84" s="256">
        <f t="shared" ref="H84:AF84" si="0">H81/1000000</f>
        <v>5.5999999999999999E-5</v>
      </c>
      <c r="I84" s="256">
        <f t="shared" si="0"/>
        <v>5.7000000000000003E-5</v>
      </c>
      <c r="J84" s="256">
        <f t="shared" si="0"/>
        <v>5.8E-5</v>
      </c>
      <c r="K84" s="256">
        <f t="shared" si="0"/>
        <v>5.8999999999999998E-5</v>
      </c>
      <c r="L84" s="256">
        <f t="shared" si="0"/>
        <v>6.0000000000000002E-5</v>
      </c>
      <c r="M84" s="256">
        <f t="shared" si="0"/>
        <v>6.0999999999999999E-5</v>
      </c>
      <c r="N84" s="256">
        <f t="shared" si="0"/>
        <v>6.2000000000000003E-5</v>
      </c>
      <c r="O84" s="256">
        <f t="shared" si="0"/>
        <v>6.3E-5</v>
      </c>
      <c r="P84" s="256">
        <f t="shared" si="0"/>
        <v>6.4999999999999994E-5</v>
      </c>
      <c r="Q84" s="256">
        <f t="shared" si="0"/>
        <v>6.6000000000000005E-5</v>
      </c>
      <c r="R84" s="256">
        <f t="shared" si="0"/>
        <v>6.7000000000000002E-5</v>
      </c>
      <c r="S84" s="256">
        <f t="shared" si="0"/>
        <v>6.7999999999999999E-5</v>
      </c>
      <c r="T84" s="256">
        <f t="shared" si="0"/>
        <v>6.8999999999999997E-5</v>
      </c>
      <c r="U84" s="256">
        <f t="shared" si="0"/>
        <v>6.9999999999999994E-5</v>
      </c>
      <c r="V84" s="256">
        <f t="shared" si="0"/>
        <v>7.2000000000000002E-5</v>
      </c>
      <c r="W84" s="256">
        <f t="shared" si="0"/>
        <v>7.2999999999999999E-5</v>
      </c>
      <c r="X84" s="256">
        <f t="shared" si="0"/>
        <v>7.3999999999999996E-5</v>
      </c>
      <c r="Y84" s="256">
        <f t="shared" si="0"/>
        <v>7.4999999999999993E-5</v>
      </c>
      <c r="Z84" s="256">
        <f t="shared" si="0"/>
        <v>7.6000000000000004E-5</v>
      </c>
      <c r="AA84" s="256">
        <f t="shared" si="0"/>
        <v>7.7999999999999999E-5</v>
      </c>
      <c r="AB84" s="256">
        <f t="shared" si="0"/>
        <v>7.8999999999999996E-5</v>
      </c>
      <c r="AC84" s="256">
        <f t="shared" si="0"/>
        <v>8.0000000000000007E-5</v>
      </c>
      <c r="AD84" s="256">
        <f t="shared" si="0"/>
        <v>8.1000000000000004E-5</v>
      </c>
      <c r="AE84" s="256">
        <f t="shared" si="0"/>
        <v>8.2000000000000001E-5</v>
      </c>
      <c r="AF84" s="256">
        <f t="shared" si="0"/>
        <v>8.3999999999999995E-5</v>
      </c>
    </row>
    <row r="85" spans="3:32">
      <c r="E85" s="13"/>
      <c r="F85" s="336"/>
      <c r="G85" s="13"/>
      <c r="H85" s="36"/>
    </row>
    <row r="87" spans="3:32">
      <c r="C87" s="68" t="s">
        <v>173</v>
      </c>
    </row>
    <row r="88" spans="3:32" ht="44.1" thickBot="1">
      <c r="E88" s="16" t="s">
        <v>174</v>
      </c>
      <c r="F88" s="338" t="s">
        <v>33</v>
      </c>
      <c r="G88" s="16" t="s">
        <v>175</v>
      </c>
      <c r="H88" s="16" t="s">
        <v>176</v>
      </c>
      <c r="I88" s="16"/>
      <c r="J88" s="16"/>
      <c r="K88" s="24" t="s">
        <v>177</v>
      </c>
      <c r="L88" s="16"/>
      <c r="M88" s="16"/>
      <c r="O88" s="257" t="s">
        <v>178</v>
      </c>
      <c r="P88" s="285" t="s">
        <v>179</v>
      </c>
    </row>
    <row r="89" spans="3:32" ht="15" thickBot="1">
      <c r="E89" s="281">
        <v>29</v>
      </c>
      <c r="F89" s="340">
        <v>8.1</v>
      </c>
      <c r="G89" s="281">
        <v>4</v>
      </c>
      <c r="H89" s="281"/>
      <c r="I89" s="281">
        <f>F89*G89</f>
        <v>32.4</v>
      </c>
      <c r="J89" s="281">
        <f>I89/E89/G89</f>
        <v>0.27931034482758621</v>
      </c>
      <c r="K89" s="282">
        <f>J89*1000000</f>
        <v>279310.3448275862</v>
      </c>
      <c r="L89" s="283">
        <f>K89*100</f>
        <v>27931034.482758619</v>
      </c>
      <c r="M89" s="284">
        <f>L89*20</f>
        <v>558620689.65517235</v>
      </c>
      <c r="O89" s="286">
        <v>100</v>
      </c>
      <c r="P89" s="287">
        <f>K89</f>
        <v>279310.3448275862</v>
      </c>
    </row>
    <row r="90" spans="3:32">
      <c r="E90" s="16">
        <v>32</v>
      </c>
      <c r="F90" s="338">
        <v>2</v>
      </c>
      <c r="G90" s="16">
        <v>10</v>
      </c>
      <c r="H90" s="16">
        <v>55</v>
      </c>
      <c r="I90" s="16">
        <f>F90*G90</f>
        <v>20</v>
      </c>
      <c r="J90" s="16">
        <f>(I90+H90)/E90/G90</f>
        <v>0.234375</v>
      </c>
      <c r="K90" s="28">
        <f>J90*1000000</f>
        <v>234375</v>
      </c>
      <c r="L90" s="32">
        <f>K90*100</f>
        <v>23437500</v>
      </c>
      <c r="M90" s="32">
        <f>L90*20</f>
        <v>468750000</v>
      </c>
    </row>
    <row r="91" spans="3:32">
      <c r="E91" s="16">
        <v>30</v>
      </c>
      <c r="F91" s="338">
        <v>2.2000000000000002</v>
      </c>
      <c r="G91" s="16">
        <v>6</v>
      </c>
      <c r="H91" s="16">
        <v>20</v>
      </c>
      <c r="I91" s="16">
        <f>F91*G91</f>
        <v>13.200000000000001</v>
      </c>
      <c r="J91" s="16">
        <f>(I91+H91)/E91/G91</f>
        <v>0.18444444444444444</v>
      </c>
      <c r="K91" s="28">
        <f>J91*1000000</f>
        <v>184444.44444444444</v>
      </c>
      <c r="L91" s="32">
        <f>K91*100</f>
        <v>18444444.444444444</v>
      </c>
      <c r="M91" s="32">
        <f>L91*20</f>
        <v>368888888.8888889</v>
      </c>
    </row>
    <row r="92" spans="3:32">
      <c r="E92" s="16">
        <v>72</v>
      </c>
      <c r="F92" s="338">
        <v>4.4000000000000004</v>
      </c>
      <c r="G92" s="16">
        <v>10</v>
      </c>
      <c r="H92" s="16"/>
      <c r="I92" s="16">
        <f>F92*G92</f>
        <v>44</v>
      </c>
      <c r="J92" s="16">
        <f>(I92+H92)/E92/G92</f>
        <v>6.1111111111111116E-2</v>
      </c>
      <c r="K92" s="28">
        <f>J92*1000000</f>
        <v>61111.111111111117</v>
      </c>
      <c r="L92" s="32">
        <f>K92*100</f>
        <v>6111111.1111111119</v>
      </c>
      <c r="M92" s="32">
        <f>L92*20</f>
        <v>122222222.22222224</v>
      </c>
    </row>
    <row r="94" spans="3:32">
      <c r="E94" t="s">
        <v>180</v>
      </c>
    </row>
    <row r="99" spans="2:19" ht="16.5">
      <c r="B99" s="1"/>
      <c r="C99" s="1"/>
      <c r="D99" s="1" t="s">
        <v>181</v>
      </c>
      <c r="E99" s="1"/>
      <c r="F99" s="34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1" spans="2:19">
      <c r="C101" s="33"/>
      <c r="D101" s="13"/>
    </row>
    <row r="102" spans="2:19">
      <c r="C102" s="33"/>
      <c r="D102" s="13"/>
      <c r="E102" s="268" t="s">
        <v>104</v>
      </c>
      <c r="F102" s="329" t="s">
        <v>105</v>
      </c>
      <c r="G102" s="268" t="s">
        <v>6</v>
      </c>
      <c r="H102" s="269" t="s">
        <v>5</v>
      </c>
    </row>
    <row r="103" spans="2:19">
      <c r="C103" s="33"/>
      <c r="D103" s="13"/>
      <c r="E103" s="34" t="s">
        <v>182</v>
      </c>
      <c r="F103" s="341">
        <v>3672168</v>
      </c>
      <c r="G103" s="13" t="s">
        <v>183</v>
      </c>
      <c r="H103" t="s">
        <v>67</v>
      </c>
    </row>
    <row r="104" spans="2:19">
      <c r="E104" s="34" t="s">
        <v>184</v>
      </c>
      <c r="F104" s="342">
        <v>1</v>
      </c>
      <c r="G104" s="13"/>
      <c r="H104" s="40"/>
    </row>
    <row r="105" spans="2:19">
      <c r="E105" s="34" t="s">
        <v>185</v>
      </c>
      <c r="F105" s="343">
        <v>0.7</v>
      </c>
      <c r="G105" s="13"/>
      <c r="H105" t="s">
        <v>186</v>
      </c>
    </row>
    <row r="108" spans="2:19">
      <c r="E108" t="s">
        <v>187</v>
      </c>
    </row>
  </sheetData>
  <mergeCells count="6">
    <mergeCell ref="B67:D67"/>
    <mergeCell ref="B10:D10"/>
    <mergeCell ref="B11:D11"/>
    <mergeCell ref="B8:D8"/>
    <mergeCell ref="B12:D12"/>
    <mergeCell ref="B9:D9"/>
  </mergeCells>
  <hyperlinks>
    <hyperlink ref="H68" r:id="rId1" display="C:\Users\GORDONH\AppData\Local\Microsoft\Windows\INetCache\Content.Outlook\V3L4590N\Maine OSW DNV Socioeconomic Analysis of Offshore Wind in the Gulf of Maine Final Report.pdf" xr:uid="{01C50E03-1952-4B0B-8B2A-AD9D6601690C}"/>
    <hyperlink ref="H69" r:id="rId2" display="C:\Users\GORDONH\AppData\Local\Microsoft\Windows\INetCache\Content.Outlook\V3L4590N\Maine OSW DNV Socioeconomic Analysis of Offshore Wind in the Gulf of Maine Final Report.pdf" xr:uid="{32280888-3261-45BA-BAD2-E80F10427849}"/>
    <hyperlink ref="H70" r:id="rId3" display="https://www.transportation.gov/sites/dot.gov/files/2023-01/Benefit Cost Analysis Guidance 2023 Update.pdf" xr:uid="{57D23515-F1E1-4F63-B40E-493CCF4F1E69}"/>
    <hyperlink ref="H74" r:id="rId4" display="C:\Users\GORDONH\AppData\Local\Microsoft\Windows\INetCache\Content.Outlook\V3L4590N\Maine OSW DNV Socioeconomic Analysis of Offshore Wind in the Gulf of Maine Final Report.pdf" xr:uid="{AB9AC676-EA8E-4FFF-A209-E3C3518C0EAB}"/>
    <hyperlink ref="H35" r:id="rId5" location="tab-1" xr:uid="{3DF29C5F-05B4-4BE8-8D5B-C8129A7CE70A}"/>
    <hyperlink ref="H47" r:id="rId6" xr:uid="{2B9E003C-35E1-4846-A42E-551A024A99D9}"/>
    <hyperlink ref="H48" r:id="rId7" xr:uid="{6EF9D0C4-6071-4D7A-AE7F-5E6292FEC613}"/>
  </hyperlinks>
  <pageMargins left="0.70866141732283472" right="0.70866141732283472" top="0.74803149606299213" bottom="0.74803149606299213" header="0.31496062992125984" footer="0.31496062992125984"/>
  <pageSetup paperSize="9" orientation="portrait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25AA-FB73-4A5E-A394-8A868F7C4581}">
  <dimension ref="B1:Y372"/>
  <sheetViews>
    <sheetView showGridLines="0" topLeftCell="A4" zoomScale="85" zoomScaleNormal="85" workbookViewId="0">
      <selection activeCell="X15" sqref="X15"/>
    </sheetView>
  </sheetViews>
  <sheetFormatPr defaultRowHeight="14.45"/>
  <cols>
    <col min="1" max="1" width="3.140625" customWidth="1"/>
    <col min="2" max="2" width="4.42578125" customWidth="1"/>
    <col min="3" max="3" width="3.140625" customWidth="1"/>
    <col min="4" max="4" width="10.5703125" customWidth="1"/>
    <col min="21" max="21" width="10.42578125" customWidth="1"/>
    <col min="24" max="24" width="13.85546875" bestFit="1" customWidth="1"/>
    <col min="25" max="25" width="13.140625" customWidth="1"/>
  </cols>
  <sheetData>
    <row r="1" spans="2:25">
      <c r="B1" s="7">
        <f>SUM(A:A)</f>
        <v>0</v>
      </c>
    </row>
    <row r="2" spans="2:25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5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6" spans="2:25" ht="16.5">
      <c r="B6" s="1"/>
      <c r="C6" s="1"/>
      <c r="D6" s="1" t="s"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8" spans="2:25">
      <c r="D8" s="20" t="s">
        <v>188</v>
      </c>
      <c r="I8" s="20" t="s">
        <v>189</v>
      </c>
      <c r="R8" s="20" t="s">
        <v>190</v>
      </c>
      <c r="X8" s="20" t="s">
        <v>191</v>
      </c>
    </row>
    <row r="9" spans="2:25" ht="15" thickBot="1"/>
    <row r="10" spans="2:25" ht="29.45" thickBot="1">
      <c r="D10" s="8" t="s">
        <v>3</v>
      </c>
      <c r="E10" s="9" t="s">
        <v>192</v>
      </c>
      <c r="F10" s="10" t="s">
        <v>193</v>
      </c>
      <c r="I10" s="367" t="s">
        <v>189</v>
      </c>
      <c r="J10" s="368"/>
      <c r="K10" s="368"/>
      <c r="L10" s="368"/>
      <c r="M10" s="368"/>
      <c r="N10" s="368"/>
      <c r="O10" s="369"/>
      <c r="R10" s="22" t="s">
        <v>194</v>
      </c>
      <c r="S10" s="22" t="s">
        <v>195</v>
      </c>
      <c r="T10" s="22" t="s">
        <v>196</v>
      </c>
      <c r="U10" s="22" t="s">
        <v>197</v>
      </c>
      <c r="X10" s="22" t="s">
        <v>198</v>
      </c>
      <c r="Y10" s="22" t="s">
        <v>199</v>
      </c>
    </row>
    <row r="11" spans="2:25" ht="23.1" thickBot="1">
      <c r="D11" s="8">
        <v>2013</v>
      </c>
      <c r="E11" s="9">
        <v>7165</v>
      </c>
      <c r="F11" s="11"/>
      <c r="I11" s="14"/>
      <c r="J11" s="15">
        <v>2017</v>
      </c>
      <c r="K11" s="15">
        <v>2018</v>
      </c>
      <c r="L11" s="15">
        <v>2019</v>
      </c>
      <c r="M11" s="15">
        <v>2020</v>
      </c>
      <c r="N11" s="15">
        <v>2021</v>
      </c>
      <c r="O11" s="15">
        <v>2022</v>
      </c>
      <c r="R11" s="21">
        <v>44562</v>
      </c>
      <c r="S11" s="17" t="s">
        <v>200</v>
      </c>
      <c r="T11" s="17">
        <v>332</v>
      </c>
      <c r="U11" s="17">
        <v>667</v>
      </c>
      <c r="X11" s="23">
        <v>44565</v>
      </c>
      <c r="Y11" s="17">
        <v>152</v>
      </c>
    </row>
    <row r="12" spans="2:25" ht="23.1" thickBot="1">
      <c r="D12" s="8">
        <v>2014</v>
      </c>
      <c r="E12" s="9">
        <v>11779</v>
      </c>
      <c r="F12" s="12">
        <v>0.64</v>
      </c>
      <c r="I12" s="17" t="s">
        <v>201</v>
      </c>
      <c r="J12" s="17">
        <v>669</v>
      </c>
      <c r="K12" s="17">
        <v>638</v>
      </c>
      <c r="L12" s="17">
        <v>760</v>
      </c>
      <c r="M12" s="17">
        <v>576</v>
      </c>
      <c r="N12" s="18">
        <v>1409</v>
      </c>
      <c r="O12" s="18">
        <v>1668</v>
      </c>
      <c r="R12" s="21">
        <v>44593</v>
      </c>
      <c r="S12" s="17" t="s">
        <v>200</v>
      </c>
      <c r="T12" s="17">
        <v>360</v>
      </c>
      <c r="U12" s="17">
        <v>722.25</v>
      </c>
      <c r="X12" s="23">
        <v>44596</v>
      </c>
      <c r="Y12" s="17">
        <v>148</v>
      </c>
    </row>
    <row r="13" spans="2:25" ht="23.1" thickBot="1">
      <c r="D13" s="8">
        <v>2015</v>
      </c>
      <c r="E13" s="9">
        <v>13061</v>
      </c>
      <c r="F13" s="12">
        <v>0.11</v>
      </c>
      <c r="I13" s="17"/>
      <c r="J13" s="17"/>
      <c r="K13" s="19">
        <v>-0.05</v>
      </c>
      <c r="L13" s="19">
        <v>0.19</v>
      </c>
      <c r="M13" s="19">
        <v>-0.24</v>
      </c>
      <c r="N13" s="19">
        <v>1.45</v>
      </c>
      <c r="O13" s="19">
        <v>0.18</v>
      </c>
      <c r="R13" s="21">
        <v>44621</v>
      </c>
      <c r="S13" s="17" t="s">
        <v>200</v>
      </c>
      <c r="T13" s="17">
        <v>455</v>
      </c>
      <c r="U13" s="17">
        <v>914.25</v>
      </c>
      <c r="X13" s="23">
        <v>44624</v>
      </c>
      <c r="Y13" s="17">
        <v>148</v>
      </c>
    </row>
    <row r="14" spans="2:25" ht="23.1" thickBot="1">
      <c r="D14" s="8">
        <v>2016</v>
      </c>
      <c r="E14" s="9">
        <v>15562</v>
      </c>
      <c r="F14" s="12">
        <v>0.19</v>
      </c>
      <c r="I14" s="17"/>
      <c r="J14" s="17"/>
      <c r="K14" s="17"/>
      <c r="L14" s="17"/>
      <c r="M14" s="17"/>
      <c r="N14" s="17"/>
      <c r="O14" s="17"/>
      <c r="R14" s="21">
        <v>44652</v>
      </c>
      <c r="S14" s="17" t="s">
        <v>200</v>
      </c>
      <c r="T14" s="17">
        <v>291</v>
      </c>
      <c r="U14" s="17">
        <v>582.75</v>
      </c>
      <c r="X14" s="23">
        <v>44655</v>
      </c>
      <c r="Y14" s="17">
        <v>150</v>
      </c>
    </row>
    <row r="15" spans="2:25" ht="23.1" thickBot="1">
      <c r="D15" s="8">
        <v>2017</v>
      </c>
      <c r="E15" s="9">
        <v>17731</v>
      </c>
      <c r="F15" s="12">
        <v>0.14000000000000001</v>
      </c>
      <c r="I15" s="17" t="s">
        <v>202</v>
      </c>
      <c r="J15" s="18">
        <v>1960</v>
      </c>
      <c r="K15" s="18">
        <v>2126</v>
      </c>
      <c r="L15" s="18">
        <v>2276</v>
      </c>
      <c r="M15" s="18">
        <v>2825</v>
      </c>
      <c r="N15" s="18">
        <v>3940</v>
      </c>
      <c r="O15" s="18">
        <v>4459</v>
      </c>
      <c r="R15" s="21">
        <v>44682</v>
      </c>
      <c r="S15" s="17" t="s">
        <v>200</v>
      </c>
      <c r="T15" s="17">
        <v>287</v>
      </c>
      <c r="U15" s="17">
        <v>574</v>
      </c>
      <c r="X15" s="23">
        <v>44685</v>
      </c>
      <c r="Y15" s="17">
        <v>147</v>
      </c>
    </row>
    <row r="16" spans="2:25" ht="23.1" thickBot="1">
      <c r="D16" s="8">
        <v>2018</v>
      </c>
      <c r="E16" s="9">
        <v>22325</v>
      </c>
      <c r="F16" s="12">
        <v>0.26</v>
      </c>
      <c r="I16" s="17"/>
      <c r="J16" s="17"/>
      <c r="K16" s="19">
        <v>0.08</v>
      </c>
      <c r="L16" s="19">
        <v>7.0000000000000007E-2</v>
      </c>
      <c r="M16" s="19">
        <v>0.19</v>
      </c>
      <c r="N16" s="19">
        <v>0.28000000000000003</v>
      </c>
      <c r="O16" s="19">
        <v>0.12</v>
      </c>
      <c r="P16" s="20" t="s">
        <v>203</v>
      </c>
      <c r="R16" s="21">
        <v>44713</v>
      </c>
      <c r="S16" s="17" t="s">
        <v>200</v>
      </c>
      <c r="T16" s="17">
        <v>366</v>
      </c>
      <c r="U16" s="17">
        <v>732</v>
      </c>
      <c r="X16" s="23">
        <v>44716</v>
      </c>
      <c r="Y16" s="17">
        <v>144</v>
      </c>
    </row>
    <row r="17" spans="4:25" ht="23.1" thickBot="1">
      <c r="D17" s="8">
        <v>2019</v>
      </c>
      <c r="E17" s="9">
        <v>27746</v>
      </c>
      <c r="F17" s="12">
        <v>0.24</v>
      </c>
      <c r="I17" s="20" t="s">
        <v>78</v>
      </c>
      <c r="J17" s="209">
        <f t="shared" ref="J17:O17" si="0">J12+J15</f>
        <v>2629</v>
      </c>
      <c r="K17" s="209">
        <f t="shared" si="0"/>
        <v>2764</v>
      </c>
      <c r="L17" s="209">
        <f t="shared" si="0"/>
        <v>3036</v>
      </c>
      <c r="M17" s="209">
        <f t="shared" si="0"/>
        <v>3401</v>
      </c>
      <c r="N17" s="209">
        <f t="shared" si="0"/>
        <v>5349</v>
      </c>
      <c r="O17" s="209">
        <f t="shared" si="0"/>
        <v>6127</v>
      </c>
      <c r="P17" s="273">
        <f>(O17/J17)^(1/(O11-J11))-1</f>
        <v>0.18438107385832336</v>
      </c>
      <c r="R17" s="21">
        <v>44743</v>
      </c>
      <c r="S17" s="17" t="s">
        <v>200</v>
      </c>
      <c r="T17" s="17">
        <v>362</v>
      </c>
      <c r="U17" s="17">
        <v>724</v>
      </c>
      <c r="X17" s="23">
        <v>44746</v>
      </c>
      <c r="Y17" s="17">
        <v>166</v>
      </c>
    </row>
    <row r="18" spans="4:25" ht="23.1" thickBot="1">
      <c r="D18" s="8">
        <v>2020</v>
      </c>
      <c r="E18" s="9">
        <v>28718</v>
      </c>
      <c r="F18" s="12">
        <v>0.04</v>
      </c>
      <c r="R18" s="21">
        <v>44774</v>
      </c>
      <c r="S18" s="17" t="s">
        <v>200</v>
      </c>
      <c r="T18" s="17">
        <v>406</v>
      </c>
      <c r="U18" s="17">
        <v>812.5</v>
      </c>
      <c r="X18" s="23">
        <v>44777</v>
      </c>
      <c r="Y18" s="17">
        <v>153</v>
      </c>
    </row>
    <row r="19" spans="4:25" ht="23.1" thickBot="1">
      <c r="D19" s="8">
        <v>2021</v>
      </c>
      <c r="E19" s="9">
        <v>38174</v>
      </c>
      <c r="F19" s="12">
        <v>0.33</v>
      </c>
      <c r="R19" s="21">
        <v>44805</v>
      </c>
      <c r="S19" s="17" t="s">
        <v>200</v>
      </c>
      <c r="T19" s="17">
        <v>333</v>
      </c>
      <c r="U19" s="17">
        <v>667</v>
      </c>
      <c r="X19" s="23">
        <v>44808</v>
      </c>
      <c r="Y19" s="17">
        <v>146</v>
      </c>
    </row>
    <row r="20" spans="4:25" ht="23.1" thickBot="1">
      <c r="D20" s="8">
        <v>2022</v>
      </c>
      <c r="E20" s="9">
        <v>43435</v>
      </c>
      <c r="F20" s="12">
        <v>0.14000000000000001</v>
      </c>
      <c r="R20" s="21">
        <v>44835</v>
      </c>
      <c r="S20" s="17" t="s">
        <v>200</v>
      </c>
      <c r="T20" s="17">
        <v>314</v>
      </c>
      <c r="U20" s="17">
        <v>629.25</v>
      </c>
      <c r="X20" s="23">
        <v>44838</v>
      </c>
      <c r="Y20" s="17">
        <v>146</v>
      </c>
    </row>
    <row r="21" spans="4:25" ht="30.6" thickBot="1">
      <c r="D21" s="8" t="s">
        <v>204</v>
      </c>
      <c r="E21" s="9">
        <v>50000</v>
      </c>
      <c r="F21" s="12">
        <v>0.15</v>
      </c>
      <c r="R21" s="21">
        <v>44866</v>
      </c>
      <c r="S21" s="17" t="s">
        <v>200</v>
      </c>
      <c r="T21" s="17">
        <v>425</v>
      </c>
      <c r="U21" s="17">
        <v>853.25</v>
      </c>
      <c r="X21" s="23">
        <v>44869</v>
      </c>
      <c r="Y21" s="17">
        <v>136</v>
      </c>
    </row>
    <row r="22" spans="4:25">
      <c r="R22" s="21">
        <v>44896</v>
      </c>
      <c r="S22" s="17" t="s">
        <v>200</v>
      </c>
      <c r="T22" s="17">
        <v>409</v>
      </c>
      <c r="U22" s="17">
        <v>820</v>
      </c>
      <c r="X22" s="23">
        <v>44899</v>
      </c>
      <c r="Y22" s="17">
        <v>140</v>
      </c>
    </row>
    <row r="23" spans="4:25">
      <c r="R23" s="21">
        <v>44927</v>
      </c>
      <c r="S23" s="17" t="s">
        <v>200</v>
      </c>
      <c r="T23" s="17">
        <v>308</v>
      </c>
      <c r="U23" s="17">
        <v>617</v>
      </c>
      <c r="X23" s="17" t="s">
        <v>205</v>
      </c>
      <c r="Y23" s="17">
        <v>152</v>
      </c>
    </row>
    <row r="24" spans="4:25">
      <c r="R24" s="21">
        <v>44958</v>
      </c>
      <c r="S24" s="17" t="s">
        <v>200</v>
      </c>
      <c r="T24" s="17">
        <v>314</v>
      </c>
      <c r="U24" s="17">
        <v>630.75</v>
      </c>
      <c r="X24" s="17" t="s">
        <v>206</v>
      </c>
      <c r="Y24" s="17">
        <v>145</v>
      </c>
    </row>
    <row r="25" spans="4:25">
      <c r="R25" s="21">
        <v>44986</v>
      </c>
      <c r="S25" s="17" t="s">
        <v>200</v>
      </c>
      <c r="T25" s="17">
        <v>408</v>
      </c>
      <c r="U25" s="17">
        <v>817.5</v>
      </c>
      <c r="X25" s="17" t="s">
        <v>207</v>
      </c>
      <c r="Y25" s="17">
        <v>138</v>
      </c>
    </row>
    <row r="26" spans="4:25">
      <c r="R26" s="17"/>
      <c r="S26" s="17"/>
      <c r="T26" s="17"/>
      <c r="U26" s="17"/>
      <c r="X26" s="17" t="s">
        <v>208</v>
      </c>
      <c r="Y26" s="17">
        <v>134</v>
      </c>
    </row>
    <row r="27" spans="4:25">
      <c r="R27" s="17"/>
      <c r="S27" s="17"/>
      <c r="T27" s="17"/>
      <c r="U27" s="17"/>
      <c r="X27" s="17" t="s">
        <v>209</v>
      </c>
      <c r="Y27" s="17">
        <v>134</v>
      </c>
    </row>
    <row r="28" spans="4:25">
      <c r="R28" s="21">
        <v>44562</v>
      </c>
      <c r="S28" s="17" t="s">
        <v>210</v>
      </c>
      <c r="T28" s="17">
        <v>118</v>
      </c>
      <c r="U28" s="17">
        <v>236</v>
      </c>
      <c r="X28" s="17" t="s">
        <v>211</v>
      </c>
      <c r="Y28" s="17">
        <v>132</v>
      </c>
    </row>
    <row r="29" spans="4:25">
      <c r="R29" s="21">
        <v>44593</v>
      </c>
      <c r="S29" s="17" t="s">
        <v>210</v>
      </c>
      <c r="T29" s="17">
        <v>205</v>
      </c>
      <c r="U29" s="17">
        <v>410</v>
      </c>
      <c r="X29" s="17" t="s">
        <v>212</v>
      </c>
      <c r="Y29" s="17">
        <v>125</v>
      </c>
    </row>
    <row r="30" spans="4:25">
      <c r="R30" s="21">
        <v>44621</v>
      </c>
      <c r="S30" s="17" t="s">
        <v>210</v>
      </c>
      <c r="T30" s="17">
        <v>262</v>
      </c>
      <c r="U30" s="17">
        <v>524</v>
      </c>
      <c r="X30" s="17" t="s">
        <v>213</v>
      </c>
      <c r="Y30" s="17">
        <v>120</v>
      </c>
    </row>
    <row r="31" spans="4:25">
      <c r="R31" s="21">
        <v>44652</v>
      </c>
      <c r="S31" s="17" t="s">
        <v>210</v>
      </c>
      <c r="T31" s="17">
        <v>178</v>
      </c>
      <c r="U31" s="17">
        <v>356</v>
      </c>
      <c r="X31" s="17" t="s">
        <v>214</v>
      </c>
      <c r="Y31" s="17">
        <v>179</v>
      </c>
    </row>
    <row r="32" spans="4:25">
      <c r="R32" s="21">
        <v>44682</v>
      </c>
      <c r="S32" s="17" t="s">
        <v>210</v>
      </c>
      <c r="T32" s="17">
        <v>86</v>
      </c>
      <c r="U32" s="17">
        <v>172</v>
      </c>
      <c r="X32" s="17" t="s">
        <v>215</v>
      </c>
      <c r="Y32" s="17">
        <v>138</v>
      </c>
    </row>
    <row r="33" spans="18:25">
      <c r="R33" s="21">
        <v>44713</v>
      </c>
      <c r="S33" s="17" t="s">
        <v>210</v>
      </c>
      <c r="T33" s="17">
        <v>166</v>
      </c>
      <c r="U33" s="17">
        <v>332</v>
      </c>
      <c r="X33" s="17" t="s">
        <v>216</v>
      </c>
      <c r="Y33" s="17">
        <v>74</v>
      </c>
    </row>
    <row r="34" spans="18:25">
      <c r="R34" s="21">
        <v>44743</v>
      </c>
      <c r="S34" s="17" t="s">
        <v>210</v>
      </c>
      <c r="T34" s="17">
        <v>96</v>
      </c>
      <c r="U34" s="17">
        <v>192</v>
      </c>
      <c r="X34" s="17" t="s">
        <v>217</v>
      </c>
      <c r="Y34" s="17">
        <v>74</v>
      </c>
    </row>
    <row r="35" spans="18:25">
      <c r="R35" s="21">
        <v>44774</v>
      </c>
      <c r="S35" s="17" t="s">
        <v>210</v>
      </c>
      <c r="T35" s="17">
        <v>179</v>
      </c>
      <c r="U35" s="17">
        <v>358</v>
      </c>
      <c r="X35" s="17" t="s">
        <v>218</v>
      </c>
      <c r="Y35" s="17">
        <v>127</v>
      </c>
    </row>
    <row r="36" spans="18:25">
      <c r="R36" s="21">
        <v>44805</v>
      </c>
      <c r="S36" s="17" t="s">
        <v>210</v>
      </c>
      <c r="T36" s="17">
        <v>101</v>
      </c>
      <c r="U36" s="17">
        <v>202</v>
      </c>
      <c r="X36" s="17" t="s">
        <v>219</v>
      </c>
      <c r="Y36" s="17">
        <v>115</v>
      </c>
    </row>
    <row r="37" spans="18:25">
      <c r="R37" s="21">
        <v>44835</v>
      </c>
      <c r="S37" s="17" t="s">
        <v>210</v>
      </c>
      <c r="T37" s="17">
        <v>92</v>
      </c>
      <c r="U37" s="17">
        <v>184</v>
      </c>
      <c r="X37" s="17" t="s">
        <v>220</v>
      </c>
      <c r="Y37" s="17">
        <v>109</v>
      </c>
    </row>
    <row r="38" spans="18:25">
      <c r="R38" s="21">
        <v>44866</v>
      </c>
      <c r="S38" s="17" t="s">
        <v>210</v>
      </c>
      <c r="T38" s="17">
        <v>122</v>
      </c>
      <c r="U38" s="17">
        <v>244</v>
      </c>
      <c r="X38" s="17" t="s">
        <v>221</v>
      </c>
      <c r="Y38" s="17">
        <v>116</v>
      </c>
    </row>
    <row r="39" spans="18:25">
      <c r="R39" s="21">
        <v>44896</v>
      </c>
      <c r="S39" s="17" t="s">
        <v>210</v>
      </c>
      <c r="T39" s="17">
        <v>73</v>
      </c>
      <c r="U39" s="17">
        <v>146</v>
      </c>
      <c r="X39" s="17" t="s">
        <v>222</v>
      </c>
      <c r="Y39" s="17">
        <v>93</v>
      </c>
    </row>
    <row r="40" spans="18:25">
      <c r="R40" s="21">
        <v>44927</v>
      </c>
      <c r="S40" s="17" t="s">
        <v>210</v>
      </c>
      <c r="T40" s="17">
        <v>107</v>
      </c>
      <c r="U40" s="17">
        <v>214</v>
      </c>
      <c r="X40" s="17" t="s">
        <v>223</v>
      </c>
      <c r="Y40" s="17">
        <v>84</v>
      </c>
    </row>
    <row r="41" spans="18:25">
      <c r="R41" s="21">
        <v>44958</v>
      </c>
      <c r="S41" s="17" t="s">
        <v>210</v>
      </c>
      <c r="T41" s="17">
        <v>132</v>
      </c>
      <c r="U41" s="17">
        <v>264</v>
      </c>
      <c r="X41" s="23">
        <v>44566</v>
      </c>
      <c r="Y41" s="17">
        <v>84</v>
      </c>
    </row>
    <row r="42" spans="18:25">
      <c r="R42" s="21">
        <v>44986</v>
      </c>
      <c r="S42" s="17" t="s">
        <v>210</v>
      </c>
      <c r="T42" s="17">
        <v>97</v>
      </c>
      <c r="U42" s="17">
        <v>194</v>
      </c>
      <c r="X42" s="23">
        <v>44597</v>
      </c>
      <c r="Y42" s="17">
        <v>82</v>
      </c>
    </row>
    <row r="43" spans="18:25">
      <c r="X43" s="23">
        <v>44625</v>
      </c>
      <c r="Y43" s="17">
        <v>67</v>
      </c>
    </row>
    <row r="44" spans="18:25">
      <c r="X44" s="23">
        <v>44656</v>
      </c>
      <c r="Y44" s="17">
        <v>98</v>
      </c>
    </row>
    <row r="45" spans="18:25">
      <c r="X45" s="23">
        <v>44686</v>
      </c>
      <c r="Y45" s="17">
        <v>93</v>
      </c>
    </row>
    <row r="46" spans="18:25">
      <c r="X46" s="23">
        <v>44717</v>
      </c>
      <c r="Y46" s="17">
        <v>90</v>
      </c>
    </row>
    <row r="47" spans="18:25">
      <c r="X47" s="23">
        <v>44747</v>
      </c>
      <c r="Y47" s="17">
        <v>86</v>
      </c>
    </row>
    <row r="48" spans="18:25">
      <c r="X48" s="23">
        <v>44778</v>
      </c>
      <c r="Y48" s="17">
        <v>86</v>
      </c>
    </row>
    <row r="49" spans="24:25">
      <c r="X49" s="23">
        <v>44809</v>
      </c>
      <c r="Y49" s="17">
        <v>81</v>
      </c>
    </row>
    <row r="50" spans="24:25">
      <c r="X50" s="23">
        <v>44839</v>
      </c>
      <c r="Y50" s="17">
        <v>85</v>
      </c>
    </row>
    <row r="51" spans="24:25">
      <c r="X51" s="23">
        <v>44870</v>
      </c>
      <c r="Y51" s="17">
        <v>102</v>
      </c>
    </row>
    <row r="52" spans="24:25">
      <c r="X52" s="23">
        <v>44900</v>
      </c>
      <c r="Y52" s="17">
        <v>93</v>
      </c>
    </row>
    <row r="53" spans="24:25">
      <c r="X53" s="17" t="s">
        <v>224</v>
      </c>
      <c r="Y53" s="17">
        <v>86</v>
      </c>
    </row>
    <row r="54" spans="24:25">
      <c r="X54" s="17" t="s">
        <v>225</v>
      </c>
      <c r="Y54" s="17">
        <v>88</v>
      </c>
    </row>
    <row r="55" spans="24:25">
      <c r="X55" s="17" t="s">
        <v>226</v>
      </c>
      <c r="Y55" s="17">
        <v>88</v>
      </c>
    </row>
    <row r="56" spans="24:25">
      <c r="X56" s="17" t="s">
        <v>227</v>
      </c>
      <c r="Y56" s="17">
        <v>85</v>
      </c>
    </row>
    <row r="57" spans="24:25">
      <c r="X57" s="17" t="s">
        <v>228</v>
      </c>
      <c r="Y57" s="17">
        <v>77</v>
      </c>
    </row>
    <row r="58" spans="24:25">
      <c r="X58" s="17" t="s">
        <v>229</v>
      </c>
      <c r="Y58" s="17">
        <v>84</v>
      </c>
    </row>
    <row r="59" spans="24:25">
      <c r="X59" s="17" t="s">
        <v>230</v>
      </c>
      <c r="Y59" s="17">
        <v>64</v>
      </c>
    </row>
    <row r="60" spans="24:25">
      <c r="X60" s="17" t="s">
        <v>231</v>
      </c>
      <c r="Y60" s="17">
        <v>60</v>
      </c>
    </row>
    <row r="61" spans="24:25">
      <c r="X61" s="17" t="s">
        <v>232</v>
      </c>
      <c r="Y61" s="17">
        <v>61</v>
      </c>
    </row>
    <row r="62" spans="24:25">
      <c r="X62" s="17" t="s">
        <v>233</v>
      </c>
      <c r="Y62" s="17">
        <v>61</v>
      </c>
    </row>
    <row r="63" spans="24:25">
      <c r="X63" s="17" t="s">
        <v>234</v>
      </c>
      <c r="Y63" s="17">
        <v>57</v>
      </c>
    </row>
    <row r="64" spans="24:25">
      <c r="X64" s="17" t="s">
        <v>235</v>
      </c>
      <c r="Y64" s="17">
        <v>56</v>
      </c>
    </row>
    <row r="65" spans="24:25">
      <c r="X65" s="17" t="s">
        <v>236</v>
      </c>
      <c r="Y65" s="17">
        <v>129</v>
      </c>
    </row>
    <row r="66" spans="24:25">
      <c r="X66" s="17" t="s">
        <v>237</v>
      </c>
      <c r="Y66" s="17">
        <v>122</v>
      </c>
    </row>
    <row r="67" spans="24:25">
      <c r="X67" s="17" t="s">
        <v>238</v>
      </c>
      <c r="Y67" s="17">
        <v>103</v>
      </c>
    </row>
    <row r="68" spans="24:25">
      <c r="X68" s="17" t="s">
        <v>239</v>
      </c>
      <c r="Y68" s="17">
        <v>99</v>
      </c>
    </row>
    <row r="69" spans="24:25">
      <c r="X69" s="17" t="s">
        <v>240</v>
      </c>
      <c r="Y69" s="17">
        <v>99</v>
      </c>
    </row>
    <row r="70" spans="24:25">
      <c r="X70" s="17" t="s">
        <v>241</v>
      </c>
      <c r="Y70" s="17">
        <v>99</v>
      </c>
    </row>
    <row r="71" spans="24:25">
      <c r="X71" s="17" t="s">
        <v>242</v>
      </c>
      <c r="Y71" s="17">
        <v>91</v>
      </c>
    </row>
    <row r="72" spans="24:25">
      <c r="X72" s="23">
        <v>44567</v>
      </c>
      <c r="Y72" s="17">
        <v>86</v>
      </c>
    </row>
    <row r="73" spans="24:25">
      <c r="X73" s="23">
        <v>44598</v>
      </c>
      <c r="Y73" s="17">
        <v>94</v>
      </c>
    </row>
    <row r="74" spans="24:25">
      <c r="X74" s="23">
        <v>44626</v>
      </c>
      <c r="Y74" s="17">
        <v>82</v>
      </c>
    </row>
    <row r="75" spans="24:25">
      <c r="X75" s="23">
        <v>44657</v>
      </c>
      <c r="Y75" s="17">
        <v>79</v>
      </c>
    </row>
    <row r="76" spans="24:25">
      <c r="X76" s="23">
        <v>44687</v>
      </c>
      <c r="Y76" s="17">
        <v>79</v>
      </c>
    </row>
    <row r="77" spans="24:25">
      <c r="X77" s="23">
        <v>44718</v>
      </c>
      <c r="Y77" s="17">
        <v>74</v>
      </c>
    </row>
    <row r="78" spans="24:25">
      <c r="X78" s="23">
        <v>44748</v>
      </c>
      <c r="Y78" s="17">
        <v>66</v>
      </c>
    </row>
    <row r="79" spans="24:25">
      <c r="X79" s="23">
        <v>44779</v>
      </c>
      <c r="Y79" s="17">
        <v>103</v>
      </c>
    </row>
    <row r="80" spans="24:25">
      <c r="X80" s="23">
        <v>44810</v>
      </c>
      <c r="Y80" s="17">
        <v>99</v>
      </c>
    </row>
    <row r="81" spans="24:25">
      <c r="X81" s="23">
        <v>44840</v>
      </c>
      <c r="Y81" s="17">
        <v>90</v>
      </c>
    </row>
    <row r="82" spans="24:25">
      <c r="X82" s="23">
        <v>44871</v>
      </c>
      <c r="Y82" s="17">
        <v>91</v>
      </c>
    </row>
    <row r="83" spans="24:25">
      <c r="X83" s="23">
        <v>44901</v>
      </c>
      <c r="Y83" s="17">
        <v>91</v>
      </c>
    </row>
    <row r="84" spans="24:25">
      <c r="X84" s="17" t="s">
        <v>243</v>
      </c>
      <c r="Y84" s="17">
        <v>78</v>
      </c>
    </row>
    <row r="85" spans="24:25">
      <c r="X85" s="17" t="s">
        <v>244</v>
      </c>
      <c r="Y85" s="17">
        <v>83</v>
      </c>
    </row>
    <row r="86" spans="24:25">
      <c r="X86" s="17" t="s">
        <v>245</v>
      </c>
      <c r="Y86" s="17">
        <v>96</v>
      </c>
    </row>
    <row r="87" spans="24:25">
      <c r="X87" s="17" t="s">
        <v>246</v>
      </c>
      <c r="Y87" s="17">
        <v>109</v>
      </c>
    </row>
    <row r="88" spans="24:25">
      <c r="X88" s="17" t="s">
        <v>247</v>
      </c>
      <c r="Y88" s="17">
        <v>107</v>
      </c>
    </row>
    <row r="89" spans="24:25">
      <c r="X89" s="17" t="s">
        <v>248</v>
      </c>
      <c r="Y89" s="17">
        <v>107</v>
      </c>
    </row>
    <row r="90" spans="24:25">
      <c r="X90" s="17" t="s">
        <v>249</v>
      </c>
      <c r="Y90" s="17">
        <v>109</v>
      </c>
    </row>
    <row r="91" spans="24:25">
      <c r="X91" s="17" t="s">
        <v>250</v>
      </c>
      <c r="Y91" s="17">
        <v>102</v>
      </c>
    </row>
    <row r="92" spans="24:25">
      <c r="X92" s="17" t="s">
        <v>251</v>
      </c>
      <c r="Y92" s="17">
        <v>118</v>
      </c>
    </row>
    <row r="93" spans="24:25">
      <c r="X93" s="17" t="s">
        <v>252</v>
      </c>
      <c r="Y93" s="17">
        <v>99</v>
      </c>
    </row>
    <row r="94" spans="24:25">
      <c r="X94" s="17" t="s">
        <v>253</v>
      </c>
      <c r="Y94" s="17">
        <v>96</v>
      </c>
    </row>
    <row r="95" spans="24:25">
      <c r="X95" s="17" t="s">
        <v>254</v>
      </c>
      <c r="Y95" s="17">
        <v>92</v>
      </c>
    </row>
    <row r="96" spans="24:25">
      <c r="X96" s="17" t="s">
        <v>255</v>
      </c>
      <c r="Y96" s="17">
        <v>92</v>
      </c>
    </row>
    <row r="97" spans="24:25">
      <c r="X97" s="17" t="s">
        <v>256</v>
      </c>
      <c r="Y97" s="17">
        <v>95</v>
      </c>
    </row>
    <row r="98" spans="24:25">
      <c r="X98" s="17" t="s">
        <v>257</v>
      </c>
      <c r="Y98" s="17">
        <v>74</v>
      </c>
    </row>
    <row r="99" spans="24:25">
      <c r="X99" s="17" t="s">
        <v>258</v>
      </c>
      <c r="Y99" s="17">
        <v>110</v>
      </c>
    </row>
    <row r="100" spans="24:25">
      <c r="X100" s="17" t="s">
        <v>259</v>
      </c>
      <c r="Y100" s="17">
        <v>88</v>
      </c>
    </row>
    <row r="101" spans="24:25">
      <c r="X101" s="23">
        <v>44568</v>
      </c>
      <c r="Y101" s="17">
        <v>112</v>
      </c>
    </row>
    <row r="102" spans="24:25">
      <c r="X102" s="23">
        <v>44599</v>
      </c>
      <c r="Y102" s="17">
        <v>104</v>
      </c>
    </row>
    <row r="103" spans="24:25">
      <c r="X103" s="23">
        <v>44627</v>
      </c>
      <c r="Y103" s="17">
        <v>104</v>
      </c>
    </row>
    <row r="104" spans="24:25">
      <c r="X104" s="23">
        <v>44658</v>
      </c>
      <c r="Y104" s="17">
        <v>104</v>
      </c>
    </row>
    <row r="105" spans="24:25">
      <c r="X105" s="23">
        <v>44688</v>
      </c>
      <c r="Y105" s="17">
        <v>98</v>
      </c>
    </row>
    <row r="106" spans="24:25">
      <c r="X106" s="23">
        <v>44719</v>
      </c>
      <c r="Y106" s="17">
        <v>126</v>
      </c>
    </row>
    <row r="107" spans="24:25">
      <c r="X107" s="23">
        <v>44749</v>
      </c>
      <c r="Y107" s="17">
        <v>121</v>
      </c>
    </row>
    <row r="108" spans="24:25">
      <c r="X108" s="23">
        <v>44780</v>
      </c>
      <c r="Y108" s="17">
        <v>140</v>
      </c>
    </row>
    <row r="109" spans="24:25">
      <c r="X109" s="23">
        <v>44811</v>
      </c>
      <c r="Y109" s="17">
        <v>134</v>
      </c>
    </row>
    <row r="110" spans="24:25">
      <c r="X110" s="23">
        <v>44841</v>
      </c>
      <c r="Y110" s="17">
        <v>134</v>
      </c>
    </row>
    <row r="111" spans="24:25">
      <c r="X111" s="23">
        <v>44872</v>
      </c>
      <c r="Y111" s="17">
        <v>135</v>
      </c>
    </row>
    <row r="112" spans="24:25">
      <c r="X112" s="23">
        <v>44902</v>
      </c>
      <c r="Y112" s="17">
        <v>118</v>
      </c>
    </row>
    <row r="113" spans="24:25">
      <c r="X113" s="17" t="s">
        <v>260</v>
      </c>
      <c r="Y113" s="17">
        <v>105</v>
      </c>
    </row>
    <row r="114" spans="24:25">
      <c r="X114" s="17" t="s">
        <v>261</v>
      </c>
      <c r="Y114" s="17">
        <v>94</v>
      </c>
    </row>
    <row r="115" spans="24:25">
      <c r="X115" s="17" t="s">
        <v>262</v>
      </c>
      <c r="Y115" s="17">
        <v>120</v>
      </c>
    </row>
    <row r="116" spans="24:25">
      <c r="X116" s="17" t="s">
        <v>263</v>
      </c>
      <c r="Y116" s="17">
        <v>115</v>
      </c>
    </row>
    <row r="117" spans="24:25">
      <c r="X117" s="17" t="s">
        <v>264</v>
      </c>
      <c r="Y117" s="17">
        <v>115</v>
      </c>
    </row>
    <row r="118" spans="24:25">
      <c r="X118" s="17" t="s">
        <v>265</v>
      </c>
      <c r="Y118" s="17">
        <v>107</v>
      </c>
    </row>
    <row r="119" spans="24:25">
      <c r="X119" s="17" t="s">
        <v>266</v>
      </c>
      <c r="Y119" s="17">
        <v>104</v>
      </c>
    </row>
    <row r="120" spans="24:25">
      <c r="X120" s="17" t="s">
        <v>267</v>
      </c>
      <c r="Y120" s="17">
        <v>120</v>
      </c>
    </row>
    <row r="121" spans="24:25">
      <c r="X121" s="17" t="s">
        <v>268</v>
      </c>
      <c r="Y121" s="17">
        <v>125</v>
      </c>
    </row>
    <row r="122" spans="24:25">
      <c r="X122" s="17" t="s">
        <v>269</v>
      </c>
      <c r="Y122" s="17">
        <v>107</v>
      </c>
    </row>
    <row r="123" spans="24:25">
      <c r="X123" s="17" t="s">
        <v>270</v>
      </c>
      <c r="Y123" s="17">
        <v>105</v>
      </c>
    </row>
    <row r="124" spans="24:25">
      <c r="X124" s="17" t="s">
        <v>271</v>
      </c>
      <c r="Y124" s="17">
        <v>105</v>
      </c>
    </row>
    <row r="125" spans="24:25">
      <c r="X125" s="17" t="s">
        <v>272</v>
      </c>
      <c r="Y125" s="17">
        <v>110</v>
      </c>
    </row>
    <row r="126" spans="24:25">
      <c r="X126" s="17" t="s">
        <v>273</v>
      </c>
      <c r="Y126" s="17">
        <v>99</v>
      </c>
    </row>
    <row r="127" spans="24:25">
      <c r="X127" s="17" t="s">
        <v>274</v>
      </c>
      <c r="Y127" s="17">
        <v>174</v>
      </c>
    </row>
    <row r="128" spans="24:25">
      <c r="X128" s="17" t="s">
        <v>275</v>
      </c>
      <c r="Y128" s="17">
        <v>137</v>
      </c>
    </row>
    <row r="129" spans="24:25">
      <c r="X129" s="17" t="s">
        <v>276</v>
      </c>
      <c r="Y129" s="17">
        <v>127</v>
      </c>
    </row>
    <row r="130" spans="24:25">
      <c r="X130" s="17" t="s">
        <v>277</v>
      </c>
      <c r="Y130" s="17">
        <v>119</v>
      </c>
    </row>
    <row r="131" spans="24:25">
      <c r="X131" s="17" t="s">
        <v>278</v>
      </c>
      <c r="Y131" s="17">
        <v>119</v>
      </c>
    </row>
    <row r="132" spans="24:25">
      <c r="X132" s="23">
        <v>44569</v>
      </c>
      <c r="Y132" s="17">
        <v>117</v>
      </c>
    </row>
    <row r="133" spans="24:25">
      <c r="X133" s="23">
        <v>44600</v>
      </c>
      <c r="Y133" s="17">
        <v>109</v>
      </c>
    </row>
    <row r="134" spans="24:25">
      <c r="X134" s="23">
        <v>44628</v>
      </c>
      <c r="Y134" s="17">
        <v>130</v>
      </c>
    </row>
    <row r="135" spans="24:25">
      <c r="X135" s="23">
        <v>44659</v>
      </c>
      <c r="Y135" s="17">
        <v>152</v>
      </c>
    </row>
    <row r="136" spans="24:25">
      <c r="X136" s="23">
        <v>44689</v>
      </c>
      <c r="Y136" s="17">
        <v>148</v>
      </c>
    </row>
    <row r="137" spans="24:25">
      <c r="X137" s="23">
        <v>44720</v>
      </c>
      <c r="Y137" s="17">
        <v>144</v>
      </c>
    </row>
    <row r="138" spans="24:25">
      <c r="X138" s="23">
        <v>44750</v>
      </c>
      <c r="Y138" s="17">
        <v>151</v>
      </c>
    </row>
    <row r="139" spans="24:25">
      <c r="X139" s="23">
        <v>44781</v>
      </c>
      <c r="Y139" s="17">
        <v>141</v>
      </c>
    </row>
    <row r="140" spans="24:25">
      <c r="X140" s="23">
        <v>44812</v>
      </c>
      <c r="Y140" s="17">
        <v>136</v>
      </c>
    </row>
    <row r="141" spans="24:25">
      <c r="X141" s="23">
        <v>44842</v>
      </c>
      <c r="Y141" s="17">
        <v>145</v>
      </c>
    </row>
    <row r="142" spans="24:25">
      <c r="X142" s="23">
        <v>44873</v>
      </c>
      <c r="Y142" s="17">
        <v>142</v>
      </c>
    </row>
    <row r="143" spans="24:25">
      <c r="X143" s="23">
        <v>44903</v>
      </c>
      <c r="Y143" s="17">
        <v>135</v>
      </c>
    </row>
    <row r="144" spans="24:25">
      <c r="X144" s="17" t="s">
        <v>279</v>
      </c>
      <c r="Y144" s="17">
        <v>132</v>
      </c>
    </row>
    <row r="145" spans="24:25">
      <c r="X145" s="17" t="s">
        <v>280</v>
      </c>
      <c r="Y145" s="17">
        <v>132</v>
      </c>
    </row>
    <row r="146" spans="24:25">
      <c r="X146" s="17" t="s">
        <v>281</v>
      </c>
      <c r="Y146" s="17">
        <v>130</v>
      </c>
    </row>
    <row r="147" spans="24:25">
      <c r="X147" s="17" t="s">
        <v>282</v>
      </c>
      <c r="Y147" s="17">
        <v>130</v>
      </c>
    </row>
    <row r="148" spans="24:25">
      <c r="X148" s="17" t="s">
        <v>283</v>
      </c>
      <c r="Y148" s="17">
        <v>195</v>
      </c>
    </row>
    <row r="149" spans="24:25">
      <c r="X149" s="17" t="s">
        <v>284</v>
      </c>
      <c r="Y149" s="17">
        <v>152</v>
      </c>
    </row>
    <row r="150" spans="24:25">
      <c r="X150" s="17" t="s">
        <v>285</v>
      </c>
      <c r="Y150" s="17">
        <v>152</v>
      </c>
    </row>
    <row r="151" spans="24:25">
      <c r="X151" s="17" t="s">
        <v>286</v>
      </c>
      <c r="Y151" s="17">
        <v>152</v>
      </c>
    </row>
    <row r="152" spans="24:25">
      <c r="X152" s="17" t="s">
        <v>287</v>
      </c>
      <c r="Y152" s="17">
        <v>152</v>
      </c>
    </row>
    <row r="153" spans="24:25">
      <c r="X153" s="17" t="s">
        <v>288</v>
      </c>
      <c r="Y153" s="17">
        <v>149</v>
      </c>
    </row>
    <row r="154" spans="24:25">
      <c r="X154" s="17" t="s">
        <v>289</v>
      </c>
      <c r="Y154" s="17">
        <v>152</v>
      </c>
    </row>
    <row r="155" spans="24:25">
      <c r="X155" s="17" t="s">
        <v>290</v>
      </c>
      <c r="Y155" s="17">
        <v>156</v>
      </c>
    </row>
    <row r="156" spans="24:25">
      <c r="X156" s="17" t="s">
        <v>291</v>
      </c>
      <c r="Y156" s="17">
        <v>163</v>
      </c>
    </row>
    <row r="157" spans="24:25">
      <c r="X157" s="17" t="s">
        <v>292</v>
      </c>
      <c r="Y157" s="17">
        <v>155</v>
      </c>
    </row>
    <row r="158" spans="24:25">
      <c r="X158" s="17" t="s">
        <v>293</v>
      </c>
      <c r="Y158" s="17">
        <v>150</v>
      </c>
    </row>
    <row r="159" spans="24:25">
      <c r="X159" s="17" t="s">
        <v>294</v>
      </c>
      <c r="Y159" s="17">
        <v>150</v>
      </c>
    </row>
    <row r="160" spans="24:25">
      <c r="X160" s="17" t="s">
        <v>295</v>
      </c>
      <c r="Y160" s="17">
        <v>154</v>
      </c>
    </row>
    <row r="161" spans="24:25">
      <c r="X161" s="17" t="s">
        <v>296</v>
      </c>
      <c r="Y161" s="17">
        <v>149</v>
      </c>
    </row>
    <row r="162" spans="24:25">
      <c r="X162" s="17" t="s">
        <v>297</v>
      </c>
      <c r="Y162" s="17">
        <v>137</v>
      </c>
    </row>
    <row r="163" spans="24:25">
      <c r="X163" s="23">
        <v>44570</v>
      </c>
      <c r="Y163" s="17">
        <v>121</v>
      </c>
    </row>
    <row r="164" spans="24:25">
      <c r="X164" s="23">
        <v>44601</v>
      </c>
      <c r="Y164" s="17">
        <v>116</v>
      </c>
    </row>
    <row r="165" spans="24:25">
      <c r="X165" s="23">
        <v>44629</v>
      </c>
      <c r="Y165" s="17">
        <v>111</v>
      </c>
    </row>
    <row r="166" spans="24:25">
      <c r="X166" s="23">
        <v>44660</v>
      </c>
      <c r="Y166" s="17">
        <v>111</v>
      </c>
    </row>
    <row r="167" spans="24:25">
      <c r="X167" s="23">
        <v>44690</v>
      </c>
      <c r="Y167" s="17">
        <v>111</v>
      </c>
    </row>
    <row r="168" spans="24:25">
      <c r="X168" s="23">
        <v>44721</v>
      </c>
      <c r="Y168" s="17">
        <v>121</v>
      </c>
    </row>
    <row r="169" spans="24:25">
      <c r="X169" s="23">
        <v>44751</v>
      </c>
      <c r="Y169" s="17">
        <v>141</v>
      </c>
    </row>
    <row r="170" spans="24:25">
      <c r="X170" s="23">
        <v>44782</v>
      </c>
      <c r="Y170" s="17">
        <v>141</v>
      </c>
    </row>
    <row r="171" spans="24:25">
      <c r="X171" s="23">
        <v>44813</v>
      </c>
      <c r="Y171" s="17">
        <v>128</v>
      </c>
    </row>
    <row r="172" spans="24:25">
      <c r="X172" s="23">
        <v>44843</v>
      </c>
      <c r="Y172" s="17">
        <v>123</v>
      </c>
    </row>
    <row r="173" spans="24:25">
      <c r="X173" s="23">
        <v>44874</v>
      </c>
      <c r="Y173" s="17">
        <v>123</v>
      </c>
    </row>
    <row r="174" spans="24:25">
      <c r="X174" s="23">
        <v>44904</v>
      </c>
      <c r="Y174" s="17">
        <v>117</v>
      </c>
    </row>
    <row r="175" spans="24:25">
      <c r="X175" s="17" t="s">
        <v>298</v>
      </c>
      <c r="Y175" s="17">
        <v>108</v>
      </c>
    </row>
    <row r="176" spans="24:25">
      <c r="X176" s="17" t="s">
        <v>299</v>
      </c>
      <c r="Y176" s="17">
        <v>122</v>
      </c>
    </row>
    <row r="177" spans="24:25">
      <c r="X177" s="17" t="s">
        <v>300</v>
      </c>
      <c r="Y177" s="17">
        <v>139</v>
      </c>
    </row>
    <row r="178" spans="24:25">
      <c r="X178" s="17" t="s">
        <v>301</v>
      </c>
      <c r="Y178" s="17">
        <v>132</v>
      </c>
    </row>
    <row r="179" spans="24:25">
      <c r="X179" s="17" t="s">
        <v>302</v>
      </c>
      <c r="Y179" s="17">
        <v>130</v>
      </c>
    </row>
    <row r="180" spans="24:25">
      <c r="X180" s="17" t="s">
        <v>303</v>
      </c>
      <c r="Y180" s="17">
        <v>130</v>
      </c>
    </row>
    <row r="181" spans="24:25">
      <c r="X181" s="17" t="s">
        <v>304</v>
      </c>
      <c r="Y181" s="17">
        <v>125</v>
      </c>
    </row>
    <row r="182" spans="24:25">
      <c r="X182" s="17" t="s">
        <v>305</v>
      </c>
      <c r="Y182" s="17">
        <v>118</v>
      </c>
    </row>
    <row r="183" spans="24:25">
      <c r="X183" s="17" t="s">
        <v>306</v>
      </c>
      <c r="Y183" s="17">
        <v>121</v>
      </c>
    </row>
    <row r="184" spans="24:25">
      <c r="X184" s="17" t="s">
        <v>307</v>
      </c>
      <c r="Y184" s="17">
        <v>105</v>
      </c>
    </row>
    <row r="185" spans="24:25">
      <c r="X185" s="17" t="s">
        <v>308</v>
      </c>
      <c r="Y185" s="17">
        <v>92</v>
      </c>
    </row>
    <row r="186" spans="24:25">
      <c r="X186" s="17" t="s">
        <v>309</v>
      </c>
      <c r="Y186" s="17">
        <v>89</v>
      </c>
    </row>
    <row r="187" spans="24:25">
      <c r="X187" s="17" t="s">
        <v>310</v>
      </c>
      <c r="Y187" s="17">
        <v>89</v>
      </c>
    </row>
    <row r="188" spans="24:25">
      <c r="X188" s="17" t="s">
        <v>311</v>
      </c>
      <c r="Y188" s="17">
        <v>81</v>
      </c>
    </row>
    <row r="189" spans="24:25">
      <c r="X189" s="17" t="s">
        <v>312</v>
      </c>
      <c r="Y189" s="17">
        <v>77</v>
      </c>
    </row>
    <row r="190" spans="24:25">
      <c r="X190" s="17" t="s">
        <v>313</v>
      </c>
      <c r="Y190" s="17">
        <v>99</v>
      </c>
    </row>
    <row r="191" spans="24:25">
      <c r="X191" s="17" t="s">
        <v>314</v>
      </c>
      <c r="Y191" s="17">
        <v>87</v>
      </c>
    </row>
    <row r="192" spans="24:25">
      <c r="X192" s="17" t="s">
        <v>315</v>
      </c>
      <c r="Y192" s="17">
        <v>69</v>
      </c>
    </row>
    <row r="193" spans="24:25">
      <c r="X193" s="23">
        <v>44571</v>
      </c>
      <c r="Y193" s="17">
        <v>71</v>
      </c>
    </row>
    <row r="194" spans="24:25">
      <c r="X194" s="23">
        <v>44602</v>
      </c>
      <c r="Y194" s="17">
        <v>71</v>
      </c>
    </row>
    <row r="195" spans="24:25">
      <c r="X195" s="23">
        <v>44630</v>
      </c>
      <c r="Y195" s="17">
        <v>71</v>
      </c>
    </row>
    <row r="196" spans="24:25">
      <c r="X196" s="23">
        <v>44661</v>
      </c>
      <c r="Y196" s="17">
        <v>66</v>
      </c>
    </row>
    <row r="197" spans="24:25">
      <c r="X197" s="23">
        <v>44691</v>
      </c>
      <c r="Y197" s="17">
        <v>90</v>
      </c>
    </row>
    <row r="198" spans="24:25">
      <c r="X198" s="23">
        <v>44722</v>
      </c>
      <c r="Y198" s="17">
        <v>87</v>
      </c>
    </row>
    <row r="199" spans="24:25">
      <c r="X199" s="23">
        <v>44752</v>
      </c>
      <c r="Y199" s="17">
        <v>79</v>
      </c>
    </row>
    <row r="200" spans="24:25">
      <c r="X200" s="23">
        <v>44783</v>
      </c>
      <c r="Y200" s="17">
        <v>75</v>
      </c>
    </row>
    <row r="201" spans="24:25">
      <c r="X201" s="23">
        <v>44814</v>
      </c>
      <c r="Y201" s="17">
        <v>75</v>
      </c>
    </row>
    <row r="202" spans="24:25">
      <c r="X202" s="23">
        <v>44844</v>
      </c>
      <c r="Y202" s="17">
        <v>64</v>
      </c>
    </row>
    <row r="203" spans="24:25">
      <c r="X203" s="23">
        <v>44875</v>
      </c>
      <c r="Y203" s="17">
        <v>65</v>
      </c>
    </row>
    <row r="204" spans="24:25">
      <c r="X204" s="23">
        <v>44905</v>
      </c>
      <c r="Y204" s="17">
        <v>56</v>
      </c>
    </row>
    <row r="205" spans="24:25">
      <c r="X205" s="17" t="s">
        <v>316</v>
      </c>
      <c r="Y205" s="17">
        <v>41</v>
      </c>
    </row>
    <row r="206" spans="24:25">
      <c r="X206" s="17" t="s">
        <v>317</v>
      </c>
      <c r="Y206" s="17">
        <v>43</v>
      </c>
    </row>
    <row r="207" spans="24:25">
      <c r="X207" s="17" t="s">
        <v>318</v>
      </c>
      <c r="Y207" s="17">
        <v>45</v>
      </c>
    </row>
    <row r="208" spans="24:25">
      <c r="X208" s="17" t="s">
        <v>319</v>
      </c>
      <c r="Y208" s="17">
        <v>45</v>
      </c>
    </row>
    <row r="209" spans="24:25">
      <c r="X209" s="17" t="s">
        <v>320</v>
      </c>
      <c r="Y209" s="17">
        <v>43</v>
      </c>
    </row>
    <row r="210" spans="24:25">
      <c r="X210" s="17" t="s">
        <v>321</v>
      </c>
      <c r="Y210" s="17">
        <v>43</v>
      </c>
    </row>
    <row r="211" spans="24:25">
      <c r="X211" s="17" t="s">
        <v>322</v>
      </c>
      <c r="Y211" s="17">
        <v>63</v>
      </c>
    </row>
    <row r="212" spans="24:25">
      <c r="X212" s="17" t="s">
        <v>323</v>
      </c>
      <c r="Y212" s="17">
        <v>77</v>
      </c>
    </row>
    <row r="213" spans="24:25">
      <c r="X213" s="17" t="s">
        <v>324</v>
      </c>
      <c r="Y213" s="17">
        <v>69</v>
      </c>
    </row>
    <row r="214" spans="24:25">
      <c r="X214" s="17" t="s">
        <v>325</v>
      </c>
      <c r="Y214" s="17">
        <v>74</v>
      </c>
    </row>
    <row r="215" spans="24:25">
      <c r="X215" s="17" t="s">
        <v>326</v>
      </c>
      <c r="Y215" s="17">
        <v>74</v>
      </c>
    </row>
    <row r="216" spans="24:25">
      <c r="X216" s="17" t="s">
        <v>327</v>
      </c>
      <c r="Y216" s="17">
        <v>73</v>
      </c>
    </row>
    <row r="217" spans="24:25">
      <c r="X217" s="17" t="s">
        <v>328</v>
      </c>
      <c r="Y217" s="17">
        <v>73</v>
      </c>
    </row>
    <row r="218" spans="24:25">
      <c r="X218" s="17" t="s">
        <v>329</v>
      </c>
      <c r="Y218" s="17">
        <v>87</v>
      </c>
    </row>
    <row r="219" spans="24:25">
      <c r="X219" s="17" t="s">
        <v>330</v>
      </c>
      <c r="Y219" s="17">
        <v>96</v>
      </c>
    </row>
    <row r="220" spans="24:25">
      <c r="X220" s="17" t="s">
        <v>331</v>
      </c>
      <c r="Y220" s="17">
        <v>83</v>
      </c>
    </row>
    <row r="221" spans="24:25">
      <c r="X221" s="17" t="s">
        <v>332</v>
      </c>
      <c r="Y221" s="17">
        <v>81</v>
      </c>
    </row>
    <row r="222" spans="24:25">
      <c r="X222" s="17" t="s">
        <v>333</v>
      </c>
      <c r="Y222" s="17">
        <v>81</v>
      </c>
    </row>
    <row r="223" spans="24:25">
      <c r="X223" s="17" t="s">
        <v>334</v>
      </c>
      <c r="Y223" s="17">
        <v>79</v>
      </c>
    </row>
    <row r="224" spans="24:25">
      <c r="X224" s="23">
        <v>44572</v>
      </c>
      <c r="Y224" s="17">
        <v>81</v>
      </c>
    </row>
    <row r="225" spans="24:25">
      <c r="X225" s="23">
        <v>44603</v>
      </c>
      <c r="Y225" s="17">
        <v>103</v>
      </c>
    </row>
    <row r="226" spans="24:25">
      <c r="X226" s="23">
        <v>44631</v>
      </c>
      <c r="Y226" s="17">
        <v>66</v>
      </c>
    </row>
    <row r="227" spans="24:25">
      <c r="X227" s="23">
        <v>44662</v>
      </c>
      <c r="Y227" s="17">
        <v>59</v>
      </c>
    </row>
    <row r="228" spans="24:25">
      <c r="X228" s="23">
        <v>44692</v>
      </c>
      <c r="Y228" s="17">
        <v>58</v>
      </c>
    </row>
    <row r="229" spans="24:25">
      <c r="X229" s="23">
        <v>44723</v>
      </c>
      <c r="Y229" s="17">
        <v>58</v>
      </c>
    </row>
    <row r="230" spans="24:25">
      <c r="X230" s="23">
        <v>44753</v>
      </c>
      <c r="Y230" s="17">
        <v>59</v>
      </c>
    </row>
    <row r="231" spans="24:25">
      <c r="X231" s="23">
        <v>44784</v>
      </c>
      <c r="Y231" s="17">
        <v>64</v>
      </c>
    </row>
    <row r="232" spans="24:25">
      <c r="X232" s="23">
        <v>44815</v>
      </c>
      <c r="Y232" s="17">
        <v>85</v>
      </c>
    </row>
    <row r="233" spans="24:25">
      <c r="X233" s="23">
        <v>44845</v>
      </c>
      <c r="Y233" s="17">
        <v>99</v>
      </c>
    </row>
    <row r="234" spans="24:25">
      <c r="X234" s="23">
        <v>44876</v>
      </c>
      <c r="Y234" s="17">
        <v>96</v>
      </c>
    </row>
    <row r="235" spans="24:25">
      <c r="X235" s="23">
        <v>44906</v>
      </c>
      <c r="Y235" s="17">
        <v>92</v>
      </c>
    </row>
    <row r="236" spans="24:25">
      <c r="X236" s="17" t="s">
        <v>335</v>
      </c>
      <c r="Y236" s="17">
        <v>92</v>
      </c>
    </row>
    <row r="237" spans="24:25">
      <c r="X237" s="17" t="s">
        <v>336</v>
      </c>
      <c r="Y237" s="17">
        <v>89</v>
      </c>
    </row>
    <row r="238" spans="24:25">
      <c r="X238" s="17" t="s">
        <v>337</v>
      </c>
      <c r="Y238" s="17">
        <v>82</v>
      </c>
    </row>
    <row r="239" spans="24:25">
      <c r="X239" s="17" t="s">
        <v>338</v>
      </c>
      <c r="Y239" s="17">
        <v>89</v>
      </c>
    </row>
    <row r="240" spans="24:25">
      <c r="X240" s="17" t="s">
        <v>339</v>
      </c>
      <c r="Y240" s="17">
        <v>123</v>
      </c>
    </row>
    <row r="241" spans="24:25">
      <c r="X241" s="17" t="s">
        <v>340</v>
      </c>
      <c r="Y241" s="17">
        <v>118</v>
      </c>
    </row>
    <row r="242" spans="24:25">
      <c r="X242" s="17" t="s">
        <v>341</v>
      </c>
      <c r="Y242" s="17">
        <v>110</v>
      </c>
    </row>
    <row r="243" spans="24:25">
      <c r="X243" s="17" t="s">
        <v>342</v>
      </c>
      <c r="Y243" s="17">
        <v>110</v>
      </c>
    </row>
    <row r="244" spans="24:25">
      <c r="X244" s="17" t="s">
        <v>343</v>
      </c>
      <c r="Y244" s="17">
        <v>106</v>
      </c>
    </row>
    <row r="245" spans="24:25">
      <c r="X245" s="17" t="s">
        <v>344</v>
      </c>
      <c r="Y245" s="17">
        <v>95</v>
      </c>
    </row>
    <row r="246" spans="24:25">
      <c r="X246" s="17" t="s">
        <v>345</v>
      </c>
      <c r="Y246" s="17">
        <v>96</v>
      </c>
    </row>
    <row r="247" spans="24:25">
      <c r="X247" s="17" t="s">
        <v>346</v>
      </c>
      <c r="Y247" s="17">
        <v>91</v>
      </c>
    </row>
    <row r="248" spans="24:25">
      <c r="X248" s="17" t="s">
        <v>347</v>
      </c>
      <c r="Y248" s="17">
        <v>122</v>
      </c>
    </row>
    <row r="249" spans="24:25">
      <c r="X249" s="17" t="s">
        <v>348</v>
      </c>
      <c r="Y249" s="17">
        <v>109</v>
      </c>
    </row>
    <row r="250" spans="24:25">
      <c r="X250" s="17" t="s">
        <v>349</v>
      </c>
      <c r="Y250" s="17">
        <v>127</v>
      </c>
    </row>
    <row r="251" spans="24:25">
      <c r="X251" s="17" t="s">
        <v>350</v>
      </c>
      <c r="Y251" s="17">
        <v>123</v>
      </c>
    </row>
    <row r="252" spans="24:25">
      <c r="X252" s="17" t="s">
        <v>351</v>
      </c>
      <c r="Y252" s="17">
        <v>109</v>
      </c>
    </row>
    <row r="253" spans="24:25">
      <c r="X253" s="17" t="s">
        <v>352</v>
      </c>
      <c r="Y253" s="17">
        <v>139</v>
      </c>
    </row>
    <row r="254" spans="24:25">
      <c r="X254" s="23">
        <v>44573</v>
      </c>
      <c r="Y254" s="17">
        <v>127</v>
      </c>
    </row>
    <row r="255" spans="24:25">
      <c r="X255" s="23">
        <v>44604</v>
      </c>
      <c r="Y255" s="17">
        <v>157</v>
      </c>
    </row>
    <row r="256" spans="24:25">
      <c r="X256" s="23">
        <v>44632</v>
      </c>
      <c r="Y256" s="17">
        <v>170</v>
      </c>
    </row>
    <row r="257" spans="24:25">
      <c r="X257" s="23">
        <v>44663</v>
      </c>
      <c r="Y257" s="17">
        <v>170</v>
      </c>
    </row>
    <row r="258" spans="24:25">
      <c r="X258" s="23">
        <v>44693</v>
      </c>
      <c r="Y258" s="17">
        <v>166</v>
      </c>
    </row>
    <row r="259" spans="24:25">
      <c r="X259" s="23">
        <v>44724</v>
      </c>
      <c r="Y259" s="17">
        <v>157</v>
      </c>
    </row>
    <row r="260" spans="24:25">
      <c r="X260" s="23">
        <v>44754</v>
      </c>
      <c r="Y260" s="17">
        <v>155</v>
      </c>
    </row>
    <row r="261" spans="24:25">
      <c r="X261" s="23">
        <v>44785</v>
      </c>
      <c r="Y261" s="17">
        <v>178</v>
      </c>
    </row>
    <row r="262" spans="24:25">
      <c r="X262" s="23">
        <v>44816</v>
      </c>
      <c r="Y262" s="17">
        <v>174</v>
      </c>
    </row>
    <row r="263" spans="24:25">
      <c r="X263" s="23">
        <v>44846</v>
      </c>
      <c r="Y263" s="17">
        <v>165</v>
      </c>
    </row>
    <row r="264" spans="24:25">
      <c r="X264" s="23">
        <v>44877</v>
      </c>
      <c r="Y264" s="17">
        <v>165</v>
      </c>
    </row>
    <row r="265" spans="24:25">
      <c r="X265" s="23">
        <v>44907</v>
      </c>
      <c r="Y265" s="17">
        <v>165</v>
      </c>
    </row>
    <row r="266" spans="24:25">
      <c r="X266" s="17" t="s">
        <v>353</v>
      </c>
      <c r="Y266" s="17">
        <v>172</v>
      </c>
    </row>
    <row r="267" spans="24:25">
      <c r="X267" s="17" t="s">
        <v>354</v>
      </c>
      <c r="Y267" s="17">
        <v>191</v>
      </c>
    </row>
    <row r="268" spans="24:25">
      <c r="X268" s="17" t="s">
        <v>355</v>
      </c>
      <c r="Y268" s="17">
        <v>162</v>
      </c>
    </row>
    <row r="269" spans="24:25">
      <c r="X269" s="17" t="s">
        <v>356</v>
      </c>
      <c r="Y269" s="17">
        <v>155</v>
      </c>
    </row>
    <row r="270" spans="24:25">
      <c r="X270" s="17" t="s">
        <v>357</v>
      </c>
      <c r="Y270" s="17">
        <v>172</v>
      </c>
    </row>
    <row r="271" spans="24:25">
      <c r="X271" s="17" t="s">
        <v>358</v>
      </c>
      <c r="Y271" s="17">
        <v>170</v>
      </c>
    </row>
    <row r="272" spans="24:25">
      <c r="X272" s="17" t="s">
        <v>359</v>
      </c>
      <c r="Y272" s="17">
        <v>167</v>
      </c>
    </row>
    <row r="273" spans="24:25">
      <c r="X273" s="17" t="s">
        <v>360</v>
      </c>
      <c r="Y273" s="17">
        <v>164</v>
      </c>
    </row>
    <row r="274" spans="24:25">
      <c r="X274" s="17" t="s">
        <v>361</v>
      </c>
      <c r="Y274" s="17">
        <v>195</v>
      </c>
    </row>
    <row r="275" spans="24:25">
      <c r="X275" s="17" t="s">
        <v>362</v>
      </c>
      <c r="Y275" s="17">
        <v>151</v>
      </c>
    </row>
    <row r="276" spans="24:25">
      <c r="X276" s="17" t="s">
        <v>363</v>
      </c>
      <c r="Y276" s="17">
        <v>138</v>
      </c>
    </row>
    <row r="277" spans="24:25">
      <c r="X277" s="17" t="s">
        <v>364</v>
      </c>
      <c r="Y277" s="17">
        <v>137</v>
      </c>
    </row>
    <row r="278" spans="24:25">
      <c r="X278" s="17" t="s">
        <v>365</v>
      </c>
      <c r="Y278" s="17">
        <v>137</v>
      </c>
    </row>
    <row r="279" spans="24:25">
      <c r="X279" s="17" t="s">
        <v>366</v>
      </c>
      <c r="Y279" s="17">
        <v>137</v>
      </c>
    </row>
    <row r="280" spans="24:25">
      <c r="X280" s="17" t="s">
        <v>367</v>
      </c>
      <c r="Y280" s="17">
        <v>128</v>
      </c>
    </row>
    <row r="281" spans="24:25">
      <c r="X281" s="17" t="s">
        <v>368</v>
      </c>
      <c r="Y281" s="17">
        <v>132</v>
      </c>
    </row>
    <row r="282" spans="24:25">
      <c r="X282" s="17" t="s">
        <v>369</v>
      </c>
      <c r="Y282" s="17">
        <v>143</v>
      </c>
    </row>
    <row r="283" spans="24:25">
      <c r="X283" s="17" t="s">
        <v>370</v>
      </c>
      <c r="Y283" s="17">
        <v>131</v>
      </c>
    </row>
    <row r="284" spans="24:25">
      <c r="X284" s="17" t="s">
        <v>371</v>
      </c>
      <c r="Y284" s="17">
        <v>127</v>
      </c>
    </row>
    <row r="285" spans="24:25">
      <c r="X285" s="23">
        <v>44927</v>
      </c>
      <c r="Y285" s="17">
        <v>127</v>
      </c>
    </row>
    <row r="286" spans="24:25">
      <c r="X286" s="23">
        <v>44958</v>
      </c>
      <c r="Y286" s="17">
        <v>127</v>
      </c>
    </row>
    <row r="287" spans="24:25">
      <c r="X287" s="23">
        <v>44986</v>
      </c>
      <c r="Y287" s="17">
        <v>118</v>
      </c>
    </row>
    <row r="288" spans="24:25">
      <c r="X288" s="23">
        <v>45017</v>
      </c>
      <c r="Y288" s="17">
        <v>127</v>
      </c>
    </row>
    <row r="289" spans="24:25">
      <c r="X289" s="23">
        <v>45047</v>
      </c>
      <c r="Y289" s="17">
        <v>127</v>
      </c>
    </row>
    <row r="290" spans="24:25">
      <c r="X290" s="23">
        <v>45078</v>
      </c>
      <c r="Y290" s="17">
        <v>119</v>
      </c>
    </row>
    <row r="291" spans="24:25">
      <c r="X291" s="23">
        <v>45108</v>
      </c>
      <c r="Y291" s="17">
        <v>111</v>
      </c>
    </row>
    <row r="292" spans="24:25">
      <c r="X292" s="23">
        <v>45139</v>
      </c>
      <c r="Y292" s="17">
        <v>111</v>
      </c>
    </row>
    <row r="293" spans="24:25">
      <c r="X293" s="23">
        <v>45170</v>
      </c>
      <c r="Y293" s="17">
        <v>111</v>
      </c>
    </row>
    <row r="294" spans="24:25">
      <c r="X294" s="23">
        <v>45200</v>
      </c>
      <c r="Y294" s="17">
        <v>101</v>
      </c>
    </row>
    <row r="295" spans="24:25">
      <c r="X295" s="23">
        <v>45231</v>
      </c>
      <c r="Y295" s="17">
        <v>108</v>
      </c>
    </row>
    <row r="296" spans="24:25">
      <c r="X296" s="23">
        <v>45261</v>
      </c>
      <c r="Y296" s="17">
        <v>112</v>
      </c>
    </row>
    <row r="297" spans="24:25">
      <c r="X297" s="17" t="s">
        <v>372</v>
      </c>
      <c r="Y297" s="17">
        <v>126</v>
      </c>
    </row>
    <row r="298" spans="24:25">
      <c r="X298" s="17" t="s">
        <v>373</v>
      </c>
      <c r="Y298" s="17">
        <v>117</v>
      </c>
    </row>
    <row r="299" spans="24:25">
      <c r="X299" s="17" t="s">
        <v>374</v>
      </c>
      <c r="Y299" s="17">
        <v>117</v>
      </c>
    </row>
    <row r="300" spans="24:25">
      <c r="X300" s="17" t="s">
        <v>375</v>
      </c>
      <c r="Y300" s="17">
        <v>114</v>
      </c>
    </row>
    <row r="301" spans="24:25">
      <c r="X301" s="17" t="s">
        <v>376</v>
      </c>
      <c r="Y301" s="17">
        <v>115</v>
      </c>
    </row>
    <row r="302" spans="24:25">
      <c r="X302" s="17" t="s">
        <v>377</v>
      </c>
      <c r="Y302" s="17">
        <v>118</v>
      </c>
    </row>
    <row r="303" spans="24:25">
      <c r="X303" s="17" t="s">
        <v>378</v>
      </c>
      <c r="Y303" s="17">
        <v>150</v>
      </c>
    </row>
    <row r="304" spans="24:25">
      <c r="X304" s="17" t="s">
        <v>379</v>
      </c>
      <c r="Y304" s="17">
        <v>155</v>
      </c>
    </row>
    <row r="305" spans="24:25">
      <c r="X305" s="17" t="s">
        <v>380</v>
      </c>
      <c r="Y305" s="17">
        <v>160</v>
      </c>
    </row>
    <row r="306" spans="24:25">
      <c r="X306" s="17" t="s">
        <v>381</v>
      </c>
      <c r="Y306" s="17">
        <v>160</v>
      </c>
    </row>
    <row r="307" spans="24:25">
      <c r="X307" s="17" t="s">
        <v>382</v>
      </c>
      <c r="Y307" s="17">
        <v>160</v>
      </c>
    </row>
    <row r="308" spans="24:25">
      <c r="X308" s="17" t="s">
        <v>383</v>
      </c>
      <c r="Y308" s="17">
        <v>162</v>
      </c>
    </row>
    <row r="309" spans="24:25">
      <c r="X309" s="17" t="s">
        <v>384</v>
      </c>
      <c r="Y309" s="17">
        <v>181</v>
      </c>
    </row>
    <row r="310" spans="24:25">
      <c r="X310" s="17" t="s">
        <v>385</v>
      </c>
      <c r="Y310" s="17">
        <v>172</v>
      </c>
    </row>
    <row r="311" spans="24:25">
      <c r="X311" s="17" t="s">
        <v>386</v>
      </c>
      <c r="Y311" s="17">
        <v>140</v>
      </c>
    </row>
    <row r="312" spans="24:25">
      <c r="X312" s="17" t="s">
        <v>387</v>
      </c>
      <c r="Y312" s="17">
        <v>140</v>
      </c>
    </row>
    <row r="313" spans="24:25">
      <c r="X313" s="17" t="s">
        <v>388</v>
      </c>
      <c r="Y313" s="17">
        <v>140</v>
      </c>
    </row>
    <row r="314" spans="24:25">
      <c r="X314" s="17" t="s">
        <v>389</v>
      </c>
      <c r="Y314" s="17">
        <v>137</v>
      </c>
    </row>
    <row r="315" spans="24:25">
      <c r="X315" s="17" t="s">
        <v>390</v>
      </c>
      <c r="Y315" s="17">
        <v>137</v>
      </c>
    </row>
    <row r="316" spans="24:25">
      <c r="X316" s="23">
        <v>44928</v>
      </c>
      <c r="Y316" s="17">
        <v>126</v>
      </c>
    </row>
    <row r="317" spans="24:25">
      <c r="X317" s="23">
        <v>44959</v>
      </c>
      <c r="Y317" s="17">
        <v>125</v>
      </c>
    </row>
    <row r="318" spans="24:25">
      <c r="X318" s="23">
        <v>44987</v>
      </c>
      <c r="Y318" s="17">
        <v>114</v>
      </c>
    </row>
    <row r="319" spans="24:25">
      <c r="X319" s="23">
        <v>45018</v>
      </c>
      <c r="Y319" s="17">
        <v>120</v>
      </c>
    </row>
    <row r="320" spans="24:25">
      <c r="X320" s="23">
        <v>45048</v>
      </c>
      <c r="Y320" s="17">
        <v>120</v>
      </c>
    </row>
    <row r="321" spans="24:25">
      <c r="X321" s="23">
        <v>45079</v>
      </c>
      <c r="Y321" s="17">
        <v>117</v>
      </c>
    </row>
    <row r="322" spans="24:25">
      <c r="X322" s="23">
        <v>45109</v>
      </c>
      <c r="Y322" s="17">
        <v>102</v>
      </c>
    </row>
    <row r="323" spans="24:25">
      <c r="X323" s="23">
        <v>45140</v>
      </c>
      <c r="Y323" s="17">
        <v>91</v>
      </c>
    </row>
    <row r="324" spans="24:25">
      <c r="X324" s="23">
        <v>45171</v>
      </c>
      <c r="Y324" s="17">
        <v>104</v>
      </c>
    </row>
    <row r="325" spans="24:25">
      <c r="X325" s="23">
        <v>45201</v>
      </c>
      <c r="Y325" s="17">
        <v>116</v>
      </c>
    </row>
    <row r="326" spans="24:25">
      <c r="X326" s="23">
        <v>45232</v>
      </c>
      <c r="Y326" s="17">
        <v>105</v>
      </c>
    </row>
    <row r="327" spans="24:25">
      <c r="X327" s="23">
        <v>45262</v>
      </c>
      <c r="Y327" s="17">
        <v>105</v>
      </c>
    </row>
    <row r="328" spans="24:25">
      <c r="X328" s="17" t="s">
        <v>391</v>
      </c>
      <c r="Y328" s="17">
        <v>105</v>
      </c>
    </row>
    <row r="329" spans="24:25">
      <c r="X329" s="17" t="s">
        <v>392</v>
      </c>
      <c r="Y329" s="17">
        <v>92</v>
      </c>
    </row>
    <row r="330" spans="24:25">
      <c r="X330" s="17" t="s">
        <v>393</v>
      </c>
      <c r="Y330" s="17">
        <v>79</v>
      </c>
    </row>
    <row r="331" spans="24:25">
      <c r="X331" s="17" t="s">
        <v>394</v>
      </c>
      <c r="Y331" s="17">
        <v>65</v>
      </c>
    </row>
    <row r="332" spans="24:25">
      <c r="X332" s="17" t="s">
        <v>395</v>
      </c>
      <c r="Y332" s="17">
        <v>69</v>
      </c>
    </row>
    <row r="333" spans="24:25">
      <c r="X333" s="17" t="s">
        <v>396</v>
      </c>
      <c r="Y333" s="17">
        <v>66</v>
      </c>
    </row>
    <row r="334" spans="24:25">
      <c r="X334" s="17" t="s">
        <v>397</v>
      </c>
      <c r="Y334" s="17">
        <v>66</v>
      </c>
    </row>
    <row r="335" spans="24:25">
      <c r="X335" s="17" t="s">
        <v>398</v>
      </c>
      <c r="Y335" s="17">
        <v>66</v>
      </c>
    </row>
    <row r="336" spans="24:25">
      <c r="X336" s="17" t="s">
        <v>399</v>
      </c>
      <c r="Y336" s="17">
        <v>68</v>
      </c>
    </row>
    <row r="337" spans="24:25">
      <c r="X337" s="17" t="s">
        <v>400</v>
      </c>
      <c r="Y337" s="17">
        <v>75</v>
      </c>
    </row>
    <row r="338" spans="24:25">
      <c r="X338" s="17" t="s">
        <v>401</v>
      </c>
      <c r="Y338" s="17">
        <v>99</v>
      </c>
    </row>
    <row r="339" spans="24:25">
      <c r="X339" s="17" t="s">
        <v>402</v>
      </c>
      <c r="Y339" s="17">
        <v>69</v>
      </c>
    </row>
    <row r="340" spans="24:25">
      <c r="X340" s="17" t="s">
        <v>403</v>
      </c>
      <c r="Y340" s="17">
        <v>68</v>
      </c>
    </row>
    <row r="341" spans="24:25">
      <c r="X341" s="17" t="s">
        <v>404</v>
      </c>
      <c r="Y341" s="17">
        <v>68</v>
      </c>
    </row>
    <row r="342" spans="24:25">
      <c r="X342" s="17" t="s">
        <v>405</v>
      </c>
      <c r="Y342" s="17">
        <v>62</v>
      </c>
    </row>
    <row r="343" spans="24:25">
      <c r="X343" s="17" t="s">
        <v>406</v>
      </c>
      <c r="Y343" s="17">
        <v>49</v>
      </c>
    </row>
    <row r="344" spans="24:25">
      <c r="X344" s="23">
        <v>44929</v>
      </c>
      <c r="Y344" s="17">
        <v>41</v>
      </c>
    </row>
    <row r="345" spans="24:25">
      <c r="X345" s="23">
        <v>44960</v>
      </c>
      <c r="Y345" s="17">
        <v>35</v>
      </c>
    </row>
    <row r="346" spans="24:25">
      <c r="X346" s="23">
        <v>44988</v>
      </c>
      <c r="Y346" s="17">
        <v>63</v>
      </c>
    </row>
    <row r="347" spans="24:25">
      <c r="X347" s="23">
        <v>45019</v>
      </c>
      <c r="Y347" s="17">
        <v>62</v>
      </c>
    </row>
    <row r="348" spans="24:25">
      <c r="X348" s="23">
        <v>45049</v>
      </c>
      <c r="Y348" s="17">
        <v>86</v>
      </c>
    </row>
    <row r="349" spans="24:25">
      <c r="X349" s="23">
        <v>45080</v>
      </c>
      <c r="Y349" s="17">
        <v>66</v>
      </c>
    </row>
    <row r="350" spans="24:25">
      <c r="X350" s="23">
        <v>45110</v>
      </c>
      <c r="Y350" s="17">
        <v>62</v>
      </c>
    </row>
    <row r="351" spans="24:25">
      <c r="X351" s="23">
        <v>45141</v>
      </c>
      <c r="Y351" s="17">
        <v>94</v>
      </c>
    </row>
    <row r="352" spans="24:25">
      <c r="X352" s="23">
        <v>45172</v>
      </c>
      <c r="Y352" s="17">
        <v>66</v>
      </c>
    </row>
    <row r="353" spans="24:25">
      <c r="X353" s="23">
        <v>45202</v>
      </c>
      <c r="Y353" s="17">
        <v>80</v>
      </c>
    </row>
    <row r="354" spans="24:25">
      <c r="X354" s="23">
        <v>45233</v>
      </c>
      <c r="Y354" s="17">
        <v>95</v>
      </c>
    </row>
    <row r="355" spans="24:25">
      <c r="X355" s="23">
        <v>45263</v>
      </c>
      <c r="Y355" s="17">
        <v>95</v>
      </c>
    </row>
    <row r="356" spans="24:25">
      <c r="X356" s="17" t="s">
        <v>407</v>
      </c>
      <c r="Y356" s="17">
        <v>87</v>
      </c>
    </row>
    <row r="357" spans="24:25">
      <c r="X357" s="17" t="s">
        <v>408</v>
      </c>
      <c r="Y357" s="17">
        <v>81</v>
      </c>
    </row>
    <row r="358" spans="24:25">
      <c r="X358" s="17" t="s">
        <v>409</v>
      </c>
      <c r="Y358" s="17">
        <v>73</v>
      </c>
    </row>
    <row r="359" spans="24:25">
      <c r="X359" s="17" t="s">
        <v>410</v>
      </c>
      <c r="Y359" s="17">
        <v>81</v>
      </c>
    </row>
    <row r="360" spans="24:25">
      <c r="X360" s="17" t="s">
        <v>411</v>
      </c>
      <c r="Y360" s="17">
        <v>92</v>
      </c>
    </row>
    <row r="361" spans="24:25">
      <c r="X361" s="17" t="s">
        <v>412</v>
      </c>
      <c r="Y361" s="17">
        <v>90</v>
      </c>
    </row>
    <row r="362" spans="24:25">
      <c r="X362" s="17" t="s">
        <v>413</v>
      </c>
      <c r="Y362" s="17">
        <v>90</v>
      </c>
    </row>
    <row r="363" spans="24:25">
      <c r="X363" s="17" t="s">
        <v>414</v>
      </c>
      <c r="Y363" s="17">
        <v>91</v>
      </c>
    </row>
    <row r="364" spans="24:25">
      <c r="X364" s="17" t="s">
        <v>415</v>
      </c>
      <c r="Y364" s="17">
        <v>79</v>
      </c>
    </row>
    <row r="365" spans="24:25">
      <c r="X365" s="17" t="s">
        <v>416</v>
      </c>
      <c r="Y365" s="17">
        <v>69</v>
      </c>
    </row>
    <row r="366" spans="24:25">
      <c r="X366" s="17" t="s">
        <v>417</v>
      </c>
      <c r="Y366" s="17">
        <v>86</v>
      </c>
    </row>
    <row r="367" spans="24:25">
      <c r="X367" s="17" t="s">
        <v>418</v>
      </c>
      <c r="Y367" s="17">
        <v>109</v>
      </c>
    </row>
    <row r="368" spans="24:25">
      <c r="X368" s="17" t="s">
        <v>419</v>
      </c>
      <c r="Y368" s="17">
        <v>108</v>
      </c>
    </row>
    <row r="369" spans="24:25">
      <c r="X369" s="17" t="s">
        <v>420</v>
      </c>
      <c r="Y369" s="17">
        <v>108</v>
      </c>
    </row>
    <row r="370" spans="24:25">
      <c r="X370" s="17" t="s">
        <v>421</v>
      </c>
      <c r="Y370" s="17">
        <v>99</v>
      </c>
    </row>
    <row r="371" spans="24:25">
      <c r="X371" s="17" t="s">
        <v>422</v>
      </c>
      <c r="Y371" s="17">
        <v>111</v>
      </c>
    </row>
    <row r="372" spans="24:25">
      <c r="X372" s="17" t="s">
        <v>423</v>
      </c>
      <c r="Y372" s="17">
        <v>103</v>
      </c>
    </row>
  </sheetData>
  <mergeCells count="1">
    <mergeCell ref="I10:O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E6EE-6B8E-4560-895C-B0497881AB58}">
  <dimension ref="B1:BC51"/>
  <sheetViews>
    <sheetView showGridLines="0" topLeftCell="A43" zoomScale="70" zoomScaleNormal="70" workbookViewId="0">
      <selection activeCell="L15" sqref="L15"/>
    </sheetView>
  </sheetViews>
  <sheetFormatPr defaultRowHeight="14.45"/>
  <cols>
    <col min="1" max="1" width="3.140625" customWidth="1"/>
    <col min="2" max="2" width="4.42578125" customWidth="1"/>
    <col min="3" max="3" width="3.140625" customWidth="1"/>
    <col min="6" max="6" width="38.5703125" customWidth="1"/>
    <col min="12" max="12" width="11.85546875" bestFit="1" customWidth="1"/>
  </cols>
  <sheetData>
    <row r="1" spans="2:55">
      <c r="B1" s="7">
        <f>SUM(A:A)</f>
        <v>0</v>
      </c>
    </row>
    <row r="2" spans="2:55" ht="26.45">
      <c r="B2" s="5"/>
      <c r="C2" s="6" t="e">
        <f>#REF!&amp;" - "&amp;#REF!</f>
        <v>#REF!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55" ht="18">
      <c r="B3" s="2"/>
      <c r="C3" s="4" t="e">
        <f ca="1">MID(CELL("filename",A1),FIND("]",CELL("filename",A1))+1,99)</f>
        <v>#VALUE!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6" spans="2:55" ht="16.5">
      <c r="B6" s="1"/>
      <c r="C6" s="1"/>
      <c r="D6" s="1" t="s"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8" spans="2:55">
      <c r="H8" t="s">
        <v>3</v>
      </c>
      <c r="I8">
        <v>2019</v>
      </c>
      <c r="J8">
        <f>I8+1</f>
        <v>2020</v>
      </c>
      <c r="K8">
        <f t="shared" ref="K8:BC8" si="0">J8+1</f>
        <v>2021</v>
      </c>
      <c r="L8">
        <f t="shared" si="0"/>
        <v>2022</v>
      </c>
      <c r="M8">
        <f t="shared" si="0"/>
        <v>2023</v>
      </c>
      <c r="N8">
        <f t="shared" si="0"/>
        <v>2024</v>
      </c>
      <c r="O8">
        <f t="shared" si="0"/>
        <v>2025</v>
      </c>
      <c r="P8">
        <f t="shared" si="0"/>
        <v>2026</v>
      </c>
      <c r="Q8">
        <f t="shared" si="0"/>
        <v>2027</v>
      </c>
      <c r="R8">
        <f t="shared" si="0"/>
        <v>2028</v>
      </c>
      <c r="S8">
        <f t="shared" si="0"/>
        <v>2029</v>
      </c>
      <c r="T8">
        <f t="shared" si="0"/>
        <v>2030</v>
      </c>
      <c r="U8">
        <f t="shared" si="0"/>
        <v>2031</v>
      </c>
      <c r="V8">
        <f t="shared" si="0"/>
        <v>2032</v>
      </c>
      <c r="W8">
        <f t="shared" si="0"/>
        <v>2033</v>
      </c>
      <c r="X8">
        <f t="shared" si="0"/>
        <v>2034</v>
      </c>
      <c r="Y8">
        <f t="shared" si="0"/>
        <v>2035</v>
      </c>
      <c r="Z8">
        <f t="shared" si="0"/>
        <v>2036</v>
      </c>
      <c r="AA8">
        <f t="shared" si="0"/>
        <v>2037</v>
      </c>
      <c r="AB8">
        <f t="shared" si="0"/>
        <v>2038</v>
      </c>
      <c r="AC8">
        <f t="shared" si="0"/>
        <v>2039</v>
      </c>
      <c r="AD8">
        <f t="shared" si="0"/>
        <v>2040</v>
      </c>
      <c r="AE8">
        <f t="shared" si="0"/>
        <v>2041</v>
      </c>
      <c r="AF8">
        <f t="shared" si="0"/>
        <v>2042</v>
      </c>
      <c r="AG8">
        <f t="shared" si="0"/>
        <v>2043</v>
      </c>
      <c r="AH8">
        <f t="shared" si="0"/>
        <v>2044</v>
      </c>
      <c r="AI8">
        <f t="shared" si="0"/>
        <v>2045</v>
      </c>
      <c r="AJ8">
        <f t="shared" si="0"/>
        <v>2046</v>
      </c>
      <c r="AK8">
        <f t="shared" si="0"/>
        <v>2047</v>
      </c>
      <c r="AL8">
        <f t="shared" si="0"/>
        <v>2048</v>
      </c>
      <c r="AM8">
        <f t="shared" si="0"/>
        <v>2049</v>
      </c>
      <c r="AN8">
        <f t="shared" si="0"/>
        <v>2050</v>
      </c>
      <c r="AO8">
        <f t="shared" si="0"/>
        <v>2051</v>
      </c>
      <c r="AP8">
        <f t="shared" si="0"/>
        <v>2052</v>
      </c>
      <c r="AQ8">
        <f t="shared" si="0"/>
        <v>2053</v>
      </c>
      <c r="AR8">
        <f t="shared" si="0"/>
        <v>2054</v>
      </c>
      <c r="AS8">
        <f t="shared" si="0"/>
        <v>2055</v>
      </c>
      <c r="AT8">
        <f t="shared" si="0"/>
        <v>2056</v>
      </c>
      <c r="AU8">
        <f t="shared" si="0"/>
        <v>2057</v>
      </c>
      <c r="AV8">
        <f t="shared" si="0"/>
        <v>2058</v>
      </c>
      <c r="AW8">
        <f t="shared" si="0"/>
        <v>2059</v>
      </c>
      <c r="AX8">
        <f t="shared" si="0"/>
        <v>2060</v>
      </c>
      <c r="AY8">
        <f t="shared" si="0"/>
        <v>2061</v>
      </c>
      <c r="AZ8">
        <f t="shared" si="0"/>
        <v>2062</v>
      </c>
      <c r="BA8">
        <f t="shared" si="0"/>
        <v>2063</v>
      </c>
      <c r="BB8">
        <f t="shared" si="0"/>
        <v>2064</v>
      </c>
      <c r="BC8">
        <f t="shared" si="0"/>
        <v>2065</v>
      </c>
    </row>
    <row r="9" spans="2:55">
      <c r="B9" s="383"/>
      <c r="C9" s="383"/>
      <c r="D9" s="383"/>
      <c r="E9" s="33"/>
      <c r="F9" s="33" t="s">
        <v>4</v>
      </c>
      <c r="G9" s="33" t="s">
        <v>5</v>
      </c>
      <c r="H9" s="33" t="s">
        <v>6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3"/>
    </row>
    <row r="10" spans="2:55">
      <c r="B10" s="383"/>
      <c r="C10" s="383"/>
      <c r="D10" s="383"/>
      <c r="E10" s="383"/>
      <c r="F10" s="383"/>
      <c r="G10" s="33"/>
      <c r="H10" s="33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3"/>
    </row>
    <row r="11" spans="2:55">
      <c r="B11" s="383" t="s">
        <v>424</v>
      </c>
      <c r="C11" s="383"/>
      <c r="D11" s="383"/>
      <c r="E11" s="384"/>
      <c r="F11" s="38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</row>
    <row r="12" spans="2:55">
      <c r="B12" s="383"/>
      <c r="C12" s="383"/>
      <c r="D12" s="383"/>
      <c r="E12" s="384"/>
      <c r="F12" s="38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2:55">
      <c r="B13" s="384"/>
      <c r="C13" s="384"/>
      <c r="D13" s="384"/>
      <c r="E13" s="13"/>
      <c r="F13" s="37" t="s">
        <v>106</v>
      </c>
      <c r="G13" s="39">
        <v>7.0000000000000007E-2</v>
      </c>
      <c r="H13" s="37" t="s">
        <v>107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</row>
    <row r="14" spans="2:55">
      <c r="B14" s="384"/>
      <c r="C14" s="384"/>
      <c r="D14" s="384"/>
      <c r="E14" s="13"/>
      <c r="F14" s="37" t="s">
        <v>425</v>
      </c>
      <c r="G14" s="37">
        <v>2021</v>
      </c>
      <c r="H14" s="37" t="s">
        <v>426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2:55">
      <c r="B15" s="385"/>
      <c r="C15" s="385"/>
      <c r="D15" s="385"/>
      <c r="E15" s="40"/>
      <c r="F15" s="40" t="s">
        <v>427</v>
      </c>
      <c r="G15" s="40"/>
      <c r="H15" s="40"/>
      <c r="I15" s="40">
        <f>IF(I8&lt;=$G$14,1,(1/(1+$G$13)^(I8-$G$14)))</f>
        <v>1</v>
      </c>
      <c r="J15" s="40">
        <f t="shared" ref="J15:AX15" si="1">IF(J8&lt;=$G$14,1,(1/(1+$G$13)^(J8-$G$14)))</f>
        <v>1</v>
      </c>
      <c r="K15" s="40">
        <f t="shared" si="1"/>
        <v>1</v>
      </c>
      <c r="L15" s="40">
        <f>IF(L8&lt;=$G$14,1,(1/(1+$G$13)^(L8-$G$14)))</f>
        <v>0.93457943925233644</v>
      </c>
      <c r="M15" s="40">
        <f t="shared" si="1"/>
        <v>0.87343872827321156</v>
      </c>
      <c r="N15" s="40">
        <f t="shared" si="1"/>
        <v>0.81629787689085187</v>
      </c>
      <c r="O15" s="40">
        <f t="shared" si="1"/>
        <v>0.7628952120475252</v>
      </c>
      <c r="P15" s="40">
        <f t="shared" si="1"/>
        <v>0.71298617948366838</v>
      </c>
      <c r="Q15" s="40">
        <f t="shared" si="1"/>
        <v>0.66634222381651254</v>
      </c>
      <c r="R15" s="40">
        <f t="shared" si="1"/>
        <v>0.62274974188459109</v>
      </c>
      <c r="S15" s="40">
        <f t="shared" si="1"/>
        <v>0.5820091045650384</v>
      </c>
      <c r="T15" s="40">
        <f t="shared" si="1"/>
        <v>0.54393374258414806</v>
      </c>
      <c r="U15" s="40">
        <f t="shared" si="1"/>
        <v>0.5083492921347178</v>
      </c>
      <c r="V15" s="40">
        <f t="shared" si="1"/>
        <v>0.47509279638758667</v>
      </c>
      <c r="W15" s="40">
        <f t="shared" si="1"/>
        <v>0.44401195924073528</v>
      </c>
      <c r="X15" s="40">
        <f t="shared" si="1"/>
        <v>0.41496444788853759</v>
      </c>
      <c r="Y15" s="40">
        <f t="shared" si="1"/>
        <v>0.3878172410173249</v>
      </c>
      <c r="Z15" s="40">
        <f t="shared" si="1"/>
        <v>0.36244601964235967</v>
      </c>
      <c r="AA15" s="40">
        <f t="shared" si="1"/>
        <v>0.33873459779659787</v>
      </c>
      <c r="AB15" s="40">
        <f t="shared" si="1"/>
        <v>0.31657439046411018</v>
      </c>
      <c r="AC15" s="40">
        <f t="shared" si="1"/>
        <v>0.29586391632159825</v>
      </c>
      <c r="AD15" s="40">
        <f t="shared" si="1"/>
        <v>0.27650833301083949</v>
      </c>
      <c r="AE15" s="40">
        <f t="shared" si="1"/>
        <v>0.2584190028138687</v>
      </c>
      <c r="AF15" s="40">
        <f t="shared" si="1"/>
        <v>0.24151308674193336</v>
      </c>
      <c r="AG15" s="40">
        <f t="shared" si="1"/>
        <v>0.22571316517937698</v>
      </c>
      <c r="AH15" s="40">
        <f t="shared" si="1"/>
        <v>0.21094688334521211</v>
      </c>
      <c r="AI15" s="40">
        <f t="shared" si="1"/>
        <v>0.19714661994879637</v>
      </c>
      <c r="AJ15" s="40">
        <f t="shared" si="1"/>
        <v>0.18424917752223957</v>
      </c>
      <c r="AK15" s="40">
        <f t="shared" si="1"/>
        <v>0.17219549301143888</v>
      </c>
      <c r="AL15" s="40">
        <f t="shared" si="1"/>
        <v>0.16093036730041013</v>
      </c>
      <c r="AM15" s="40">
        <f t="shared" si="1"/>
        <v>0.15040221243028987</v>
      </c>
      <c r="AN15" s="40">
        <f t="shared" si="1"/>
        <v>0.1405628153554111</v>
      </c>
      <c r="AO15" s="40">
        <f t="shared" si="1"/>
        <v>0.13136711715458982</v>
      </c>
      <c r="AP15" s="40">
        <f t="shared" si="1"/>
        <v>0.1227730066865325</v>
      </c>
      <c r="AQ15" s="40">
        <f t="shared" si="1"/>
        <v>0.11474112774442291</v>
      </c>
      <c r="AR15" s="40">
        <f t="shared" si="1"/>
        <v>0.10723469882656347</v>
      </c>
      <c r="AS15" s="40">
        <f t="shared" si="1"/>
        <v>0.10021934469772288</v>
      </c>
      <c r="AT15" s="40">
        <f t="shared" si="1"/>
        <v>9.366293896983445E-2</v>
      </c>
      <c r="AU15" s="40">
        <f t="shared" si="1"/>
        <v>8.7535456981153698E-2</v>
      </c>
      <c r="AV15" s="40">
        <f t="shared" si="1"/>
        <v>8.1808838300143641E-2</v>
      </c>
      <c r="AW15" s="40">
        <f t="shared" si="1"/>
        <v>7.6456858224433308E-2</v>
      </c>
      <c r="AX15" s="40">
        <f t="shared" si="1"/>
        <v>7.1455007686386268E-2</v>
      </c>
    </row>
    <row r="16" spans="2:55">
      <c r="B16" s="385"/>
      <c r="C16" s="385"/>
      <c r="D16" s="385"/>
      <c r="E16" s="385"/>
      <c r="F16" s="38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  <row r="17" spans="2:50">
      <c r="B17" s="385"/>
      <c r="C17" s="385"/>
      <c r="D17" s="385"/>
      <c r="E17" s="40"/>
      <c r="F17" s="37" t="s">
        <v>109</v>
      </c>
      <c r="G17" s="39">
        <v>0.03</v>
      </c>
      <c r="H17" s="37" t="s">
        <v>107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</row>
    <row r="18" spans="2:50">
      <c r="B18" s="385"/>
      <c r="C18" s="385"/>
      <c r="D18" s="385"/>
      <c r="E18" s="40"/>
      <c r="F18" s="37" t="s">
        <v>425</v>
      </c>
      <c r="G18" s="37">
        <v>2021</v>
      </c>
      <c r="H18" s="37" t="s">
        <v>426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</row>
    <row r="19" spans="2:50">
      <c r="B19" s="385"/>
      <c r="C19" s="385"/>
      <c r="D19" s="385"/>
      <c r="E19" s="40"/>
      <c r="F19" s="40" t="s">
        <v>427</v>
      </c>
      <c r="G19" s="40"/>
      <c r="H19" s="40"/>
      <c r="I19" s="40">
        <f>IF(I8&lt;=$G$18,1,(1/(1+$G$17)^(I8-$G$18)))</f>
        <v>1</v>
      </c>
      <c r="J19" s="40">
        <f t="shared" ref="J19:AX19" si="2">IF(J8&lt;=$G$18,1,(1/(1+$G$17)^(J8-$G$18)))</f>
        <v>1</v>
      </c>
      <c r="K19" s="40">
        <f t="shared" si="2"/>
        <v>1</v>
      </c>
      <c r="L19" s="40">
        <f t="shared" si="2"/>
        <v>0.970873786407767</v>
      </c>
      <c r="M19" s="40">
        <f t="shared" si="2"/>
        <v>0.94259590913375435</v>
      </c>
      <c r="N19" s="40">
        <f t="shared" si="2"/>
        <v>0.91514165935315961</v>
      </c>
      <c r="O19" s="40">
        <f t="shared" si="2"/>
        <v>0.888487047915689</v>
      </c>
      <c r="P19" s="40">
        <f t="shared" si="2"/>
        <v>0.86260878438416411</v>
      </c>
      <c r="Q19" s="40">
        <f t="shared" si="2"/>
        <v>0.83748425668365445</v>
      </c>
      <c r="R19" s="40">
        <f t="shared" si="2"/>
        <v>0.81309151134335378</v>
      </c>
      <c r="S19" s="40">
        <f t="shared" si="2"/>
        <v>0.78940923431393573</v>
      </c>
      <c r="T19" s="40">
        <f t="shared" si="2"/>
        <v>0.76641673234362695</v>
      </c>
      <c r="U19" s="40">
        <f t="shared" si="2"/>
        <v>0.74409391489672516</v>
      </c>
      <c r="V19" s="40">
        <f t="shared" si="2"/>
        <v>0.72242127659876232</v>
      </c>
      <c r="W19" s="40">
        <f t="shared" si="2"/>
        <v>0.70137988019297326</v>
      </c>
      <c r="X19" s="40">
        <f t="shared" si="2"/>
        <v>0.68095133999317792</v>
      </c>
      <c r="Y19" s="40">
        <f t="shared" si="2"/>
        <v>0.66111780581861923</v>
      </c>
      <c r="Z19" s="40">
        <f t="shared" si="2"/>
        <v>0.64186194739671765</v>
      </c>
      <c r="AA19" s="40">
        <f t="shared" si="2"/>
        <v>0.62316693922011435</v>
      </c>
      <c r="AB19" s="40">
        <f t="shared" si="2"/>
        <v>0.60501644584477121</v>
      </c>
      <c r="AC19" s="40">
        <f t="shared" si="2"/>
        <v>0.5873946076162827</v>
      </c>
      <c r="AD19" s="40">
        <f t="shared" si="2"/>
        <v>0.57028602681192497</v>
      </c>
      <c r="AE19" s="40">
        <f t="shared" si="2"/>
        <v>0.55367575418633497</v>
      </c>
      <c r="AF19" s="40">
        <f t="shared" si="2"/>
        <v>0.5375492759090631</v>
      </c>
      <c r="AG19" s="40">
        <f t="shared" si="2"/>
        <v>0.52189250088258554</v>
      </c>
      <c r="AH19" s="40">
        <f t="shared" si="2"/>
        <v>0.50669174842969467</v>
      </c>
      <c r="AI19" s="40">
        <f t="shared" si="2"/>
        <v>0.49193373633950943</v>
      </c>
      <c r="AJ19" s="40">
        <f t="shared" si="2"/>
        <v>0.47760556926165965</v>
      </c>
      <c r="AK19" s="40">
        <f t="shared" si="2"/>
        <v>0.46369472743850448</v>
      </c>
      <c r="AL19" s="40">
        <f t="shared" si="2"/>
        <v>0.45018905576553836</v>
      </c>
      <c r="AM19" s="40">
        <f t="shared" si="2"/>
        <v>0.4370767531704256</v>
      </c>
      <c r="AN19" s="40">
        <f t="shared" si="2"/>
        <v>0.42434636230138412</v>
      </c>
      <c r="AO19" s="40">
        <f t="shared" si="2"/>
        <v>0.41198675951590691</v>
      </c>
      <c r="AP19" s="40">
        <f t="shared" si="2"/>
        <v>0.39998714516107459</v>
      </c>
      <c r="AQ19" s="40">
        <f t="shared" si="2"/>
        <v>0.38833703413696569</v>
      </c>
      <c r="AR19" s="40">
        <f t="shared" si="2"/>
        <v>0.37702624673491814</v>
      </c>
      <c r="AS19" s="40">
        <f t="shared" si="2"/>
        <v>0.36604489974263904</v>
      </c>
      <c r="AT19" s="40">
        <f t="shared" si="2"/>
        <v>0.35538339780838735</v>
      </c>
      <c r="AU19" s="40">
        <f t="shared" si="2"/>
        <v>0.34503242505668674</v>
      </c>
      <c r="AV19" s="40">
        <f t="shared" si="2"/>
        <v>0.33498293694823961</v>
      </c>
      <c r="AW19" s="40">
        <f t="shared" si="2"/>
        <v>0.3252261523769317</v>
      </c>
      <c r="AX19" s="40">
        <f t="shared" si="2"/>
        <v>0.31575354599702099</v>
      </c>
    </row>
    <row r="20" spans="2:50">
      <c r="B20" s="385"/>
      <c r="C20" s="385"/>
      <c r="D20" s="385"/>
      <c r="E20" s="385"/>
      <c r="F20" s="385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</row>
    <row r="21" spans="2:50">
      <c r="B21" s="383" t="s">
        <v>428</v>
      </c>
      <c r="C21" s="383"/>
      <c r="D21" s="383"/>
      <c r="E21" s="384"/>
      <c r="F21" s="38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</row>
    <row r="22" spans="2:50" ht="15" thickBot="1">
      <c r="B22" s="383"/>
      <c r="C22" s="383"/>
      <c r="D22" s="383"/>
      <c r="E22" s="13"/>
      <c r="F22" s="43" t="s">
        <v>429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2:50" ht="15" thickTop="1">
      <c r="B23" s="33"/>
      <c r="C23" s="33"/>
      <c r="D23" s="3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</row>
    <row r="24" spans="2:50">
      <c r="B24" s="384"/>
      <c r="C24" s="384"/>
      <c r="D24" s="384"/>
      <c r="E24" s="13"/>
      <c r="F24" s="37" t="s">
        <v>430</v>
      </c>
      <c r="G24" s="37">
        <v>2023</v>
      </c>
      <c r="H24" s="37" t="s">
        <v>426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</row>
    <row r="25" spans="2:50">
      <c r="B25" s="384"/>
      <c r="C25" s="384"/>
      <c r="D25" s="384"/>
      <c r="E25" s="13"/>
      <c r="F25" s="37" t="s">
        <v>431</v>
      </c>
      <c r="G25" s="37">
        <v>28</v>
      </c>
      <c r="H25" s="37" t="s">
        <v>175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2:50">
      <c r="B26" s="384"/>
      <c r="C26" s="384"/>
      <c r="D26" s="384"/>
      <c r="E26" s="13"/>
      <c r="F26" s="34" t="s">
        <v>432</v>
      </c>
      <c r="G26" s="34">
        <f>G24+G25-1</f>
        <v>2050</v>
      </c>
      <c r="H26" s="34" t="s">
        <v>426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</row>
    <row r="27" spans="2:50">
      <c r="B27" s="384"/>
      <c r="C27" s="384"/>
      <c r="D27" s="384"/>
      <c r="E27" s="13"/>
      <c r="F27" s="13"/>
      <c r="G27" s="34"/>
      <c r="H27" s="3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2:50">
      <c r="B28" s="384"/>
      <c r="C28" s="384"/>
      <c r="D28" s="384"/>
      <c r="E28" s="13"/>
      <c r="F28" s="13" t="s">
        <v>433</v>
      </c>
      <c r="G28" s="34">
        <f>SUM(I28:AX28)</f>
        <v>1</v>
      </c>
      <c r="H28" s="13" t="s">
        <v>427</v>
      </c>
      <c r="I28" s="13">
        <f>IF(I$8=$G$24,1,0)</f>
        <v>0</v>
      </c>
      <c r="J28" s="13">
        <f t="shared" ref="J28:AX28" si="3">IF(J$8=$G$24,1,0)</f>
        <v>0</v>
      </c>
      <c r="K28" s="13">
        <f t="shared" si="3"/>
        <v>0</v>
      </c>
      <c r="L28" s="13">
        <f t="shared" si="3"/>
        <v>0</v>
      </c>
      <c r="M28" s="13">
        <f t="shared" si="3"/>
        <v>1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3"/>
        <v>0</v>
      </c>
      <c r="S28" s="13">
        <f t="shared" si="3"/>
        <v>0</v>
      </c>
      <c r="T28" s="13">
        <f t="shared" si="3"/>
        <v>0</v>
      </c>
      <c r="U28" s="13">
        <f t="shared" si="3"/>
        <v>0</v>
      </c>
      <c r="V28" s="13">
        <f t="shared" si="3"/>
        <v>0</v>
      </c>
      <c r="W28" s="13">
        <f t="shared" si="3"/>
        <v>0</v>
      </c>
      <c r="X28" s="13">
        <f t="shared" si="3"/>
        <v>0</v>
      </c>
      <c r="Y28" s="13">
        <f t="shared" si="3"/>
        <v>0</v>
      </c>
      <c r="Z28" s="13">
        <f t="shared" si="3"/>
        <v>0</v>
      </c>
      <c r="AA28" s="13">
        <f t="shared" si="3"/>
        <v>0</v>
      </c>
      <c r="AB28" s="13">
        <f t="shared" si="3"/>
        <v>0</v>
      </c>
      <c r="AC28" s="13">
        <f t="shared" si="3"/>
        <v>0</v>
      </c>
      <c r="AD28" s="13">
        <f t="shared" si="3"/>
        <v>0</v>
      </c>
      <c r="AE28" s="13">
        <f t="shared" si="3"/>
        <v>0</v>
      </c>
      <c r="AF28" s="13">
        <f t="shared" si="3"/>
        <v>0</v>
      </c>
      <c r="AG28" s="13">
        <f t="shared" si="3"/>
        <v>0</v>
      </c>
      <c r="AH28" s="13">
        <f t="shared" si="3"/>
        <v>0</v>
      </c>
      <c r="AI28" s="13">
        <f t="shared" si="3"/>
        <v>0</v>
      </c>
      <c r="AJ28" s="13">
        <f t="shared" si="3"/>
        <v>0</v>
      </c>
      <c r="AK28" s="13">
        <f t="shared" si="3"/>
        <v>0</v>
      </c>
      <c r="AL28" s="13">
        <f t="shared" si="3"/>
        <v>0</v>
      </c>
      <c r="AM28" s="13">
        <f t="shared" si="3"/>
        <v>0</v>
      </c>
      <c r="AN28" s="13">
        <f t="shared" si="3"/>
        <v>0</v>
      </c>
      <c r="AO28" s="13">
        <f t="shared" si="3"/>
        <v>0</v>
      </c>
      <c r="AP28" s="13">
        <f t="shared" si="3"/>
        <v>0</v>
      </c>
      <c r="AQ28" s="13">
        <f t="shared" si="3"/>
        <v>0</v>
      </c>
      <c r="AR28" s="13">
        <f t="shared" si="3"/>
        <v>0</v>
      </c>
      <c r="AS28" s="13">
        <f t="shared" si="3"/>
        <v>0</v>
      </c>
      <c r="AT28" s="13">
        <f t="shared" si="3"/>
        <v>0</v>
      </c>
      <c r="AU28" s="13">
        <f t="shared" si="3"/>
        <v>0</v>
      </c>
      <c r="AV28" s="13">
        <f t="shared" si="3"/>
        <v>0</v>
      </c>
      <c r="AW28" s="13">
        <f t="shared" si="3"/>
        <v>0</v>
      </c>
      <c r="AX28" s="13">
        <f t="shared" si="3"/>
        <v>0</v>
      </c>
    </row>
    <row r="29" spans="2:50">
      <c r="B29" s="384"/>
      <c r="C29" s="384"/>
      <c r="D29" s="384"/>
      <c r="E29" s="13"/>
      <c r="F29" s="13" t="s">
        <v>434</v>
      </c>
      <c r="G29" s="34">
        <f>SUM(I29:AX29)</f>
        <v>1</v>
      </c>
      <c r="H29" s="13" t="s">
        <v>427</v>
      </c>
      <c r="I29" s="13">
        <f>IF(I$8=$G$26,1,0)</f>
        <v>0</v>
      </c>
      <c r="J29" s="13">
        <f t="shared" ref="J29:AX29" si="4">IF(J$8=$G$26,1,0)</f>
        <v>0</v>
      </c>
      <c r="K29" s="13">
        <f t="shared" si="4"/>
        <v>0</v>
      </c>
      <c r="L29" s="13">
        <f t="shared" si="4"/>
        <v>0</v>
      </c>
      <c r="M29" s="13">
        <f t="shared" si="4"/>
        <v>0</v>
      </c>
      <c r="N29" s="13">
        <f t="shared" si="4"/>
        <v>0</v>
      </c>
      <c r="O29" s="13">
        <f t="shared" si="4"/>
        <v>0</v>
      </c>
      <c r="P29" s="13">
        <f t="shared" si="4"/>
        <v>0</v>
      </c>
      <c r="Q29" s="13">
        <f t="shared" si="4"/>
        <v>0</v>
      </c>
      <c r="R29" s="13">
        <f t="shared" si="4"/>
        <v>0</v>
      </c>
      <c r="S29" s="13">
        <f t="shared" si="4"/>
        <v>0</v>
      </c>
      <c r="T29" s="13">
        <f t="shared" si="4"/>
        <v>0</v>
      </c>
      <c r="U29" s="13">
        <f t="shared" si="4"/>
        <v>0</v>
      </c>
      <c r="V29" s="13">
        <f t="shared" si="4"/>
        <v>0</v>
      </c>
      <c r="W29" s="13">
        <f t="shared" si="4"/>
        <v>0</v>
      </c>
      <c r="X29" s="13">
        <f t="shared" si="4"/>
        <v>0</v>
      </c>
      <c r="Y29" s="13">
        <f t="shared" si="4"/>
        <v>0</v>
      </c>
      <c r="Z29" s="13">
        <f t="shared" si="4"/>
        <v>0</v>
      </c>
      <c r="AA29" s="13">
        <f t="shared" si="4"/>
        <v>0</v>
      </c>
      <c r="AB29" s="13">
        <f t="shared" si="4"/>
        <v>0</v>
      </c>
      <c r="AC29" s="13">
        <f t="shared" si="4"/>
        <v>0</v>
      </c>
      <c r="AD29" s="13">
        <f t="shared" si="4"/>
        <v>0</v>
      </c>
      <c r="AE29" s="13">
        <f t="shared" si="4"/>
        <v>0</v>
      </c>
      <c r="AF29" s="13">
        <f t="shared" si="4"/>
        <v>0</v>
      </c>
      <c r="AG29" s="13">
        <f t="shared" si="4"/>
        <v>0</v>
      </c>
      <c r="AH29" s="13">
        <f t="shared" si="4"/>
        <v>0</v>
      </c>
      <c r="AI29" s="13">
        <f t="shared" si="4"/>
        <v>0</v>
      </c>
      <c r="AJ29" s="13">
        <f t="shared" si="4"/>
        <v>0</v>
      </c>
      <c r="AK29" s="13">
        <f t="shared" si="4"/>
        <v>0</v>
      </c>
      <c r="AL29" s="13">
        <f t="shared" si="4"/>
        <v>0</v>
      </c>
      <c r="AM29" s="13">
        <f t="shared" si="4"/>
        <v>0</v>
      </c>
      <c r="AN29" s="13">
        <f t="shared" si="4"/>
        <v>1</v>
      </c>
      <c r="AO29" s="13">
        <f t="shared" si="4"/>
        <v>0</v>
      </c>
      <c r="AP29" s="13">
        <f t="shared" si="4"/>
        <v>0</v>
      </c>
      <c r="AQ29" s="13">
        <f t="shared" si="4"/>
        <v>0</v>
      </c>
      <c r="AR29" s="13">
        <f t="shared" si="4"/>
        <v>0</v>
      </c>
      <c r="AS29" s="13">
        <f t="shared" si="4"/>
        <v>0</v>
      </c>
      <c r="AT29" s="13">
        <f t="shared" si="4"/>
        <v>0</v>
      </c>
      <c r="AU29" s="13">
        <f t="shared" si="4"/>
        <v>0</v>
      </c>
      <c r="AV29" s="13">
        <f t="shared" si="4"/>
        <v>0</v>
      </c>
      <c r="AW29" s="13">
        <f t="shared" si="4"/>
        <v>0</v>
      </c>
      <c r="AX29" s="13">
        <f t="shared" si="4"/>
        <v>0</v>
      </c>
    </row>
    <row r="30" spans="2:50">
      <c r="B30" s="384"/>
      <c r="C30" s="384"/>
      <c r="D30" s="384"/>
      <c r="E30" s="13"/>
      <c r="F30" s="40" t="s">
        <v>435</v>
      </c>
      <c r="G30" s="40">
        <f>SUM(I30:AX30)</f>
        <v>28</v>
      </c>
      <c r="H30" s="40" t="s">
        <v>427</v>
      </c>
      <c r="I30" s="40">
        <f>IF(AND(I$8&gt;=$G$24,I$8&lt;=$G$26),1,0)</f>
        <v>0</v>
      </c>
      <c r="J30" s="40">
        <f t="shared" ref="J30:AX30" si="5">IF(AND(J$8&gt;=$G$24,J$8&lt;=$G$26),1,0)</f>
        <v>0</v>
      </c>
      <c r="K30" s="40">
        <f t="shared" si="5"/>
        <v>0</v>
      </c>
      <c r="L30" s="40">
        <f t="shared" si="5"/>
        <v>0</v>
      </c>
      <c r="M30" s="40">
        <f t="shared" si="5"/>
        <v>1</v>
      </c>
      <c r="N30" s="40">
        <f t="shared" si="5"/>
        <v>1</v>
      </c>
      <c r="O30" s="40">
        <f t="shared" si="5"/>
        <v>1</v>
      </c>
      <c r="P30" s="40">
        <f t="shared" si="5"/>
        <v>1</v>
      </c>
      <c r="Q30" s="40">
        <f t="shared" si="5"/>
        <v>1</v>
      </c>
      <c r="R30" s="40">
        <f t="shared" si="5"/>
        <v>1</v>
      </c>
      <c r="S30" s="40">
        <f t="shared" si="5"/>
        <v>1</v>
      </c>
      <c r="T30" s="40">
        <f t="shared" si="5"/>
        <v>1</v>
      </c>
      <c r="U30" s="40">
        <f t="shared" si="5"/>
        <v>1</v>
      </c>
      <c r="V30" s="40">
        <f t="shared" si="5"/>
        <v>1</v>
      </c>
      <c r="W30" s="40">
        <f t="shared" si="5"/>
        <v>1</v>
      </c>
      <c r="X30" s="40">
        <f t="shared" si="5"/>
        <v>1</v>
      </c>
      <c r="Y30" s="40">
        <f t="shared" si="5"/>
        <v>1</v>
      </c>
      <c r="Z30" s="40">
        <f t="shared" si="5"/>
        <v>1</v>
      </c>
      <c r="AA30" s="40">
        <f t="shared" si="5"/>
        <v>1</v>
      </c>
      <c r="AB30" s="40">
        <f t="shared" si="5"/>
        <v>1</v>
      </c>
      <c r="AC30" s="40">
        <f t="shared" si="5"/>
        <v>1</v>
      </c>
      <c r="AD30" s="40">
        <f t="shared" si="5"/>
        <v>1</v>
      </c>
      <c r="AE30" s="40">
        <f t="shared" si="5"/>
        <v>1</v>
      </c>
      <c r="AF30" s="40">
        <f t="shared" si="5"/>
        <v>1</v>
      </c>
      <c r="AG30" s="40">
        <f t="shared" si="5"/>
        <v>1</v>
      </c>
      <c r="AH30" s="40">
        <f t="shared" si="5"/>
        <v>1</v>
      </c>
      <c r="AI30" s="40">
        <f t="shared" si="5"/>
        <v>1</v>
      </c>
      <c r="AJ30" s="40">
        <f t="shared" si="5"/>
        <v>1</v>
      </c>
      <c r="AK30" s="40">
        <f t="shared" si="5"/>
        <v>1</v>
      </c>
      <c r="AL30" s="40">
        <f t="shared" si="5"/>
        <v>1</v>
      </c>
      <c r="AM30" s="40">
        <f t="shared" si="5"/>
        <v>1</v>
      </c>
      <c r="AN30" s="40">
        <f t="shared" si="5"/>
        <v>1</v>
      </c>
      <c r="AO30" s="40">
        <f t="shared" si="5"/>
        <v>0</v>
      </c>
      <c r="AP30" s="40">
        <f t="shared" si="5"/>
        <v>0</v>
      </c>
      <c r="AQ30" s="40">
        <f t="shared" si="5"/>
        <v>0</v>
      </c>
      <c r="AR30" s="40">
        <f t="shared" si="5"/>
        <v>0</v>
      </c>
      <c r="AS30" s="40">
        <f t="shared" si="5"/>
        <v>0</v>
      </c>
      <c r="AT30" s="40">
        <f t="shared" si="5"/>
        <v>0</v>
      </c>
      <c r="AU30" s="40">
        <f t="shared" si="5"/>
        <v>0</v>
      </c>
      <c r="AV30" s="40">
        <f t="shared" si="5"/>
        <v>0</v>
      </c>
      <c r="AW30" s="40">
        <f t="shared" si="5"/>
        <v>0</v>
      </c>
      <c r="AX30" s="40">
        <f t="shared" si="5"/>
        <v>0</v>
      </c>
    </row>
    <row r="31" spans="2:50">
      <c r="B31" s="384"/>
      <c r="C31" s="384"/>
      <c r="D31" s="384"/>
      <c r="E31" s="13"/>
      <c r="F31" s="13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</row>
    <row r="32" spans="2:50">
      <c r="B32" s="386"/>
      <c r="C32" s="386"/>
      <c r="D32" s="386"/>
      <c r="E32" s="34"/>
      <c r="F32" s="37" t="s">
        <v>436</v>
      </c>
      <c r="G32" s="37">
        <v>2029</v>
      </c>
      <c r="H32" s="37" t="s">
        <v>426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2:50">
      <c r="B33" s="386"/>
      <c r="C33" s="386"/>
      <c r="D33" s="386"/>
      <c r="E33" s="34"/>
      <c r="F33" s="37" t="s">
        <v>431</v>
      </c>
      <c r="G33" s="37">
        <v>28</v>
      </c>
      <c r="H33" s="37" t="s">
        <v>175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2:50">
      <c r="B34" s="386"/>
      <c r="C34" s="386"/>
      <c r="D34" s="386"/>
      <c r="E34" s="34"/>
      <c r="F34" s="34" t="s">
        <v>432</v>
      </c>
      <c r="G34" s="34">
        <f>G32+G33-1</f>
        <v>2056</v>
      </c>
      <c r="H34" s="34" t="s">
        <v>426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2:50">
      <c r="B35" s="386"/>
      <c r="C35" s="386"/>
      <c r="D35" s="386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2:50">
      <c r="B36" s="386"/>
      <c r="C36" s="386"/>
      <c r="D36" s="386"/>
      <c r="E36" s="34"/>
      <c r="F36" s="34" t="s">
        <v>433</v>
      </c>
      <c r="G36" s="34">
        <f>SUM(I36:AX36)</f>
        <v>1</v>
      </c>
      <c r="H36" s="13" t="s">
        <v>427</v>
      </c>
      <c r="I36" s="13">
        <f>IF(I$8=$G$32,1,0)</f>
        <v>0</v>
      </c>
      <c r="J36" s="13">
        <f t="shared" ref="J36:AX36" si="6">IF(J$8=$G$32,1,0)</f>
        <v>0</v>
      </c>
      <c r="K36" s="13">
        <f t="shared" si="6"/>
        <v>0</v>
      </c>
      <c r="L36" s="13">
        <f t="shared" si="6"/>
        <v>0</v>
      </c>
      <c r="M36" s="13">
        <f t="shared" si="6"/>
        <v>0</v>
      </c>
      <c r="N36" s="13">
        <f t="shared" si="6"/>
        <v>0</v>
      </c>
      <c r="O36" s="13">
        <f t="shared" si="6"/>
        <v>0</v>
      </c>
      <c r="P36" s="13">
        <f t="shared" si="6"/>
        <v>0</v>
      </c>
      <c r="Q36" s="13">
        <f t="shared" si="6"/>
        <v>0</v>
      </c>
      <c r="R36" s="13">
        <f t="shared" si="6"/>
        <v>0</v>
      </c>
      <c r="S36" s="13">
        <f t="shared" si="6"/>
        <v>1</v>
      </c>
      <c r="T36" s="13">
        <f t="shared" si="6"/>
        <v>0</v>
      </c>
      <c r="U36" s="13">
        <f t="shared" si="6"/>
        <v>0</v>
      </c>
      <c r="V36" s="13">
        <f t="shared" si="6"/>
        <v>0</v>
      </c>
      <c r="W36" s="13">
        <f t="shared" si="6"/>
        <v>0</v>
      </c>
      <c r="X36" s="13">
        <f t="shared" si="6"/>
        <v>0</v>
      </c>
      <c r="Y36" s="13">
        <f t="shared" si="6"/>
        <v>0</v>
      </c>
      <c r="Z36" s="13">
        <f t="shared" si="6"/>
        <v>0</v>
      </c>
      <c r="AA36" s="13">
        <f t="shared" si="6"/>
        <v>0</v>
      </c>
      <c r="AB36" s="13">
        <f t="shared" si="6"/>
        <v>0</v>
      </c>
      <c r="AC36" s="13">
        <f t="shared" si="6"/>
        <v>0</v>
      </c>
      <c r="AD36" s="13">
        <f t="shared" si="6"/>
        <v>0</v>
      </c>
      <c r="AE36" s="13">
        <f t="shared" si="6"/>
        <v>0</v>
      </c>
      <c r="AF36" s="13">
        <f t="shared" si="6"/>
        <v>0</v>
      </c>
      <c r="AG36" s="13">
        <f t="shared" si="6"/>
        <v>0</v>
      </c>
      <c r="AH36" s="13">
        <f t="shared" si="6"/>
        <v>0</v>
      </c>
      <c r="AI36" s="13">
        <f t="shared" si="6"/>
        <v>0</v>
      </c>
      <c r="AJ36" s="13">
        <f t="shared" si="6"/>
        <v>0</v>
      </c>
      <c r="AK36" s="13">
        <f t="shared" si="6"/>
        <v>0</v>
      </c>
      <c r="AL36" s="13">
        <f t="shared" si="6"/>
        <v>0</v>
      </c>
      <c r="AM36" s="13">
        <f t="shared" si="6"/>
        <v>0</v>
      </c>
      <c r="AN36" s="13">
        <f t="shared" si="6"/>
        <v>0</v>
      </c>
      <c r="AO36" s="13">
        <f t="shared" si="6"/>
        <v>0</v>
      </c>
      <c r="AP36" s="13">
        <f t="shared" si="6"/>
        <v>0</v>
      </c>
      <c r="AQ36" s="13">
        <f t="shared" si="6"/>
        <v>0</v>
      </c>
      <c r="AR36" s="13">
        <f t="shared" si="6"/>
        <v>0</v>
      </c>
      <c r="AS36" s="13">
        <f t="shared" si="6"/>
        <v>0</v>
      </c>
      <c r="AT36" s="13">
        <f t="shared" si="6"/>
        <v>0</v>
      </c>
      <c r="AU36" s="13">
        <f t="shared" si="6"/>
        <v>0</v>
      </c>
      <c r="AV36" s="13">
        <f t="shared" si="6"/>
        <v>0</v>
      </c>
      <c r="AW36" s="13">
        <f t="shared" si="6"/>
        <v>0</v>
      </c>
      <c r="AX36" s="13">
        <f t="shared" si="6"/>
        <v>0</v>
      </c>
    </row>
    <row r="37" spans="2:50">
      <c r="B37" s="386"/>
      <c r="C37" s="386"/>
      <c r="D37" s="386"/>
      <c r="E37" s="34"/>
      <c r="F37" s="34" t="s">
        <v>434</v>
      </c>
      <c r="G37" s="34">
        <f>SUM(I37:AX37)</f>
        <v>1</v>
      </c>
      <c r="H37" s="13" t="s">
        <v>427</v>
      </c>
      <c r="I37" s="13">
        <f>IF(I$8=$G$34,1,0)</f>
        <v>0</v>
      </c>
      <c r="J37" s="13">
        <f t="shared" ref="J37:AX37" si="7">IF(J$8=$G$34,1,0)</f>
        <v>0</v>
      </c>
      <c r="K37" s="13">
        <f t="shared" si="7"/>
        <v>0</v>
      </c>
      <c r="L37" s="13">
        <f t="shared" si="7"/>
        <v>0</v>
      </c>
      <c r="M37" s="13">
        <f t="shared" si="7"/>
        <v>0</v>
      </c>
      <c r="N37" s="13">
        <f t="shared" si="7"/>
        <v>0</v>
      </c>
      <c r="O37" s="13">
        <f t="shared" si="7"/>
        <v>0</v>
      </c>
      <c r="P37" s="13">
        <f t="shared" si="7"/>
        <v>0</v>
      </c>
      <c r="Q37" s="13">
        <f t="shared" si="7"/>
        <v>0</v>
      </c>
      <c r="R37" s="13">
        <f t="shared" si="7"/>
        <v>0</v>
      </c>
      <c r="S37" s="13">
        <f t="shared" si="7"/>
        <v>0</v>
      </c>
      <c r="T37" s="13">
        <f t="shared" si="7"/>
        <v>0</v>
      </c>
      <c r="U37" s="13">
        <f t="shared" si="7"/>
        <v>0</v>
      </c>
      <c r="V37" s="13">
        <f t="shared" si="7"/>
        <v>0</v>
      </c>
      <c r="W37" s="13">
        <f t="shared" si="7"/>
        <v>0</v>
      </c>
      <c r="X37" s="13">
        <f t="shared" si="7"/>
        <v>0</v>
      </c>
      <c r="Y37" s="13">
        <f t="shared" si="7"/>
        <v>0</v>
      </c>
      <c r="Z37" s="13">
        <f t="shared" si="7"/>
        <v>0</v>
      </c>
      <c r="AA37" s="13">
        <f t="shared" si="7"/>
        <v>0</v>
      </c>
      <c r="AB37" s="13">
        <f t="shared" si="7"/>
        <v>0</v>
      </c>
      <c r="AC37" s="13">
        <f t="shared" si="7"/>
        <v>0</v>
      </c>
      <c r="AD37" s="13">
        <f t="shared" si="7"/>
        <v>0</v>
      </c>
      <c r="AE37" s="13">
        <f t="shared" si="7"/>
        <v>0</v>
      </c>
      <c r="AF37" s="13">
        <f t="shared" si="7"/>
        <v>0</v>
      </c>
      <c r="AG37" s="13">
        <f t="shared" si="7"/>
        <v>0</v>
      </c>
      <c r="AH37" s="13">
        <f t="shared" si="7"/>
        <v>0</v>
      </c>
      <c r="AI37" s="13">
        <f t="shared" si="7"/>
        <v>0</v>
      </c>
      <c r="AJ37" s="13">
        <f t="shared" si="7"/>
        <v>0</v>
      </c>
      <c r="AK37" s="13">
        <f t="shared" si="7"/>
        <v>0</v>
      </c>
      <c r="AL37" s="13">
        <f t="shared" si="7"/>
        <v>0</v>
      </c>
      <c r="AM37" s="13">
        <f t="shared" si="7"/>
        <v>0</v>
      </c>
      <c r="AN37" s="13">
        <f t="shared" si="7"/>
        <v>0</v>
      </c>
      <c r="AO37" s="13">
        <f t="shared" si="7"/>
        <v>0</v>
      </c>
      <c r="AP37" s="13">
        <f t="shared" si="7"/>
        <v>0</v>
      </c>
      <c r="AQ37" s="13">
        <f t="shared" si="7"/>
        <v>0</v>
      </c>
      <c r="AR37" s="13">
        <f t="shared" si="7"/>
        <v>0</v>
      </c>
      <c r="AS37" s="13">
        <f t="shared" si="7"/>
        <v>0</v>
      </c>
      <c r="AT37" s="13">
        <f t="shared" si="7"/>
        <v>1</v>
      </c>
      <c r="AU37" s="13">
        <f t="shared" si="7"/>
        <v>0</v>
      </c>
      <c r="AV37" s="13">
        <f t="shared" si="7"/>
        <v>0</v>
      </c>
      <c r="AW37" s="13">
        <f t="shared" si="7"/>
        <v>0</v>
      </c>
      <c r="AX37" s="13">
        <f t="shared" si="7"/>
        <v>0</v>
      </c>
    </row>
    <row r="38" spans="2:50">
      <c r="B38" s="385"/>
      <c r="C38" s="385"/>
      <c r="D38" s="385"/>
      <c r="E38" s="40"/>
      <c r="F38" s="40" t="s">
        <v>7</v>
      </c>
      <c r="G38" s="40">
        <f>SUM(I38:AX38)</f>
        <v>28</v>
      </c>
      <c r="H38" s="40" t="s">
        <v>427</v>
      </c>
      <c r="I38" s="40">
        <f>IF(AND(I$8&gt;=$G$32,I$8&lt;=$G$34),1,0)</f>
        <v>0</v>
      </c>
      <c r="J38" s="40">
        <f t="shared" ref="J38:AX38" si="8">IF(AND(J$8&gt;=$G$32,J$8&lt;=$G$34),1,0)</f>
        <v>0</v>
      </c>
      <c r="K38" s="40">
        <f t="shared" si="8"/>
        <v>0</v>
      </c>
      <c r="L38" s="40">
        <f t="shared" si="8"/>
        <v>0</v>
      </c>
      <c r="M38" s="40">
        <f t="shared" si="8"/>
        <v>0</v>
      </c>
      <c r="N38" s="40">
        <f t="shared" si="8"/>
        <v>0</v>
      </c>
      <c r="O38" s="40">
        <f t="shared" si="8"/>
        <v>0</v>
      </c>
      <c r="P38" s="40">
        <f t="shared" si="8"/>
        <v>0</v>
      </c>
      <c r="Q38" s="40">
        <f t="shared" si="8"/>
        <v>0</v>
      </c>
      <c r="R38" s="40">
        <f t="shared" si="8"/>
        <v>0</v>
      </c>
      <c r="S38" s="40">
        <f t="shared" si="8"/>
        <v>1</v>
      </c>
      <c r="T38" s="40">
        <f t="shared" si="8"/>
        <v>1</v>
      </c>
      <c r="U38" s="40">
        <f t="shared" si="8"/>
        <v>1</v>
      </c>
      <c r="V38" s="40">
        <f t="shared" si="8"/>
        <v>1</v>
      </c>
      <c r="W38" s="40">
        <f t="shared" si="8"/>
        <v>1</v>
      </c>
      <c r="X38" s="40">
        <f t="shared" si="8"/>
        <v>1</v>
      </c>
      <c r="Y38" s="40">
        <f t="shared" si="8"/>
        <v>1</v>
      </c>
      <c r="Z38" s="40">
        <f t="shared" si="8"/>
        <v>1</v>
      </c>
      <c r="AA38" s="40">
        <f t="shared" si="8"/>
        <v>1</v>
      </c>
      <c r="AB38" s="40">
        <f t="shared" si="8"/>
        <v>1</v>
      </c>
      <c r="AC38" s="40">
        <f t="shared" si="8"/>
        <v>1</v>
      </c>
      <c r="AD38" s="40">
        <f t="shared" si="8"/>
        <v>1</v>
      </c>
      <c r="AE38" s="40">
        <f t="shared" si="8"/>
        <v>1</v>
      </c>
      <c r="AF38" s="40">
        <f t="shared" si="8"/>
        <v>1</v>
      </c>
      <c r="AG38" s="40">
        <f t="shared" si="8"/>
        <v>1</v>
      </c>
      <c r="AH38" s="40">
        <f t="shared" si="8"/>
        <v>1</v>
      </c>
      <c r="AI38" s="40">
        <f t="shared" si="8"/>
        <v>1</v>
      </c>
      <c r="AJ38" s="40">
        <f t="shared" si="8"/>
        <v>1</v>
      </c>
      <c r="AK38" s="40">
        <f t="shared" si="8"/>
        <v>1</v>
      </c>
      <c r="AL38" s="40">
        <f t="shared" si="8"/>
        <v>1</v>
      </c>
      <c r="AM38" s="40">
        <f t="shared" si="8"/>
        <v>1</v>
      </c>
      <c r="AN38" s="40">
        <f t="shared" si="8"/>
        <v>1</v>
      </c>
      <c r="AO38" s="40">
        <f t="shared" si="8"/>
        <v>1</v>
      </c>
      <c r="AP38" s="40">
        <f t="shared" si="8"/>
        <v>1</v>
      </c>
      <c r="AQ38" s="40">
        <f t="shared" si="8"/>
        <v>1</v>
      </c>
      <c r="AR38" s="40">
        <f t="shared" si="8"/>
        <v>1</v>
      </c>
      <c r="AS38" s="40">
        <f t="shared" si="8"/>
        <v>1</v>
      </c>
      <c r="AT38" s="40">
        <f t="shared" si="8"/>
        <v>1</v>
      </c>
      <c r="AU38" s="40">
        <f t="shared" si="8"/>
        <v>0</v>
      </c>
      <c r="AV38" s="40">
        <f t="shared" si="8"/>
        <v>0</v>
      </c>
      <c r="AW38" s="40">
        <f t="shared" si="8"/>
        <v>0</v>
      </c>
      <c r="AX38" s="40">
        <f t="shared" si="8"/>
        <v>0</v>
      </c>
    </row>
    <row r="39" spans="2:50">
      <c r="B39" s="384"/>
      <c r="C39" s="384"/>
      <c r="D39" s="384"/>
      <c r="E39" s="384"/>
      <c r="F39" s="384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2:50">
      <c r="B40" s="385"/>
      <c r="C40" s="385"/>
      <c r="D40" s="385"/>
      <c r="E40" s="40"/>
      <c r="F40" s="40" t="s">
        <v>437</v>
      </c>
      <c r="G40" s="40">
        <f>SUM(I40:AX40)</f>
        <v>22</v>
      </c>
      <c r="H40" s="40" t="s">
        <v>427</v>
      </c>
      <c r="I40" s="40">
        <f>I30*I38</f>
        <v>0</v>
      </c>
      <c r="J40" s="40">
        <f t="shared" ref="J40:AX40" si="9">J30*J38</f>
        <v>0</v>
      </c>
      <c r="K40" s="40">
        <f t="shared" si="9"/>
        <v>0</v>
      </c>
      <c r="L40" s="40">
        <f t="shared" si="9"/>
        <v>0</v>
      </c>
      <c r="M40" s="40">
        <f t="shared" si="9"/>
        <v>0</v>
      </c>
      <c r="N40" s="40">
        <f t="shared" si="9"/>
        <v>0</v>
      </c>
      <c r="O40" s="40">
        <f t="shared" si="9"/>
        <v>0</v>
      </c>
      <c r="P40" s="40">
        <f t="shared" si="9"/>
        <v>0</v>
      </c>
      <c r="Q40" s="40">
        <f t="shared" si="9"/>
        <v>0</v>
      </c>
      <c r="R40" s="40">
        <f t="shared" si="9"/>
        <v>0</v>
      </c>
      <c r="S40" s="40">
        <f t="shared" si="9"/>
        <v>1</v>
      </c>
      <c r="T40" s="40">
        <f t="shared" si="9"/>
        <v>1</v>
      </c>
      <c r="U40" s="40">
        <f t="shared" si="9"/>
        <v>1</v>
      </c>
      <c r="V40" s="40">
        <f t="shared" si="9"/>
        <v>1</v>
      </c>
      <c r="W40" s="40">
        <f t="shared" si="9"/>
        <v>1</v>
      </c>
      <c r="X40" s="40">
        <f t="shared" si="9"/>
        <v>1</v>
      </c>
      <c r="Y40" s="40">
        <f t="shared" si="9"/>
        <v>1</v>
      </c>
      <c r="Z40" s="40">
        <f t="shared" si="9"/>
        <v>1</v>
      </c>
      <c r="AA40" s="40">
        <f t="shared" si="9"/>
        <v>1</v>
      </c>
      <c r="AB40" s="40">
        <f t="shared" si="9"/>
        <v>1</v>
      </c>
      <c r="AC40" s="40">
        <f t="shared" si="9"/>
        <v>1</v>
      </c>
      <c r="AD40" s="40">
        <f t="shared" si="9"/>
        <v>1</v>
      </c>
      <c r="AE40" s="40">
        <f t="shared" si="9"/>
        <v>1</v>
      </c>
      <c r="AF40" s="40">
        <f t="shared" si="9"/>
        <v>1</v>
      </c>
      <c r="AG40" s="40">
        <f t="shared" si="9"/>
        <v>1</v>
      </c>
      <c r="AH40" s="40">
        <f t="shared" si="9"/>
        <v>1</v>
      </c>
      <c r="AI40" s="40">
        <f t="shared" si="9"/>
        <v>1</v>
      </c>
      <c r="AJ40" s="40">
        <f t="shared" si="9"/>
        <v>1</v>
      </c>
      <c r="AK40" s="40">
        <f t="shared" si="9"/>
        <v>1</v>
      </c>
      <c r="AL40" s="40">
        <f t="shared" si="9"/>
        <v>1</v>
      </c>
      <c r="AM40" s="40">
        <f t="shared" si="9"/>
        <v>1</v>
      </c>
      <c r="AN40" s="40">
        <f t="shared" si="9"/>
        <v>1</v>
      </c>
      <c r="AO40" s="40">
        <f t="shared" si="9"/>
        <v>0</v>
      </c>
      <c r="AP40" s="40">
        <f t="shared" si="9"/>
        <v>0</v>
      </c>
      <c r="AQ40" s="40">
        <f t="shared" si="9"/>
        <v>0</v>
      </c>
      <c r="AR40" s="40">
        <f t="shared" si="9"/>
        <v>0</v>
      </c>
      <c r="AS40" s="40">
        <f t="shared" si="9"/>
        <v>0</v>
      </c>
      <c r="AT40" s="40">
        <f t="shared" si="9"/>
        <v>0</v>
      </c>
      <c r="AU40" s="40">
        <f t="shared" si="9"/>
        <v>0</v>
      </c>
      <c r="AV40" s="40">
        <f t="shared" si="9"/>
        <v>0</v>
      </c>
      <c r="AW40" s="40">
        <f t="shared" si="9"/>
        <v>0</v>
      </c>
      <c r="AX40" s="40">
        <f t="shared" si="9"/>
        <v>0</v>
      </c>
    </row>
    <row r="43" spans="2:50" ht="15" thickBot="1">
      <c r="F43" s="27" t="s">
        <v>438</v>
      </c>
    </row>
    <row r="44" spans="2:50" ht="15" thickTop="1"/>
    <row r="45" spans="2:50">
      <c r="F45" s="37" t="s">
        <v>430</v>
      </c>
      <c r="G45" s="37">
        <v>2030</v>
      </c>
      <c r="H45" s="37" t="s">
        <v>426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2:50">
      <c r="F46" s="37" t="s">
        <v>431</v>
      </c>
      <c r="G46" s="37">
        <v>28</v>
      </c>
      <c r="H46" s="37" t="s">
        <v>175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</row>
    <row r="47" spans="2:50">
      <c r="F47" s="34" t="s">
        <v>432</v>
      </c>
      <c r="G47" s="34">
        <f>G45+G46-1</f>
        <v>2057</v>
      </c>
      <c r="H47" s="34" t="s">
        <v>426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2:50">
      <c r="F48" s="13"/>
      <c r="G48" s="34"/>
      <c r="H48" s="3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6:50">
      <c r="F49" s="13" t="s">
        <v>433</v>
      </c>
      <c r="G49" s="34">
        <f>SUM(I49:AX49)</f>
        <v>1</v>
      </c>
      <c r="H49" s="13" t="s">
        <v>427</v>
      </c>
      <c r="I49" s="13">
        <f>IF(I$8=$G$45,1,0)</f>
        <v>0</v>
      </c>
      <c r="J49" s="13">
        <f t="shared" ref="J49:AX49" si="10">IF(J$8=$G$24,1,0)</f>
        <v>0</v>
      </c>
      <c r="K49" s="13">
        <f t="shared" si="10"/>
        <v>0</v>
      </c>
      <c r="L49" s="13">
        <f t="shared" si="10"/>
        <v>0</v>
      </c>
      <c r="M49" s="13">
        <f t="shared" si="10"/>
        <v>1</v>
      </c>
      <c r="N49" s="13">
        <f t="shared" si="10"/>
        <v>0</v>
      </c>
      <c r="O49" s="13">
        <f t="shared" si="10"/>
        <v>0</v>
      </c>
      <c r="P49" s="13">
        <f t="shared" si="10"/>
        <v>0</v>
      </c>
      <c r="Q49" s="13">
        <f t="shared" si="10"/>
        <v>0</v>
      </c>
      <c r="R49" s="13">
        <f t="shared" si="10"/>
        <v>0</v>
      </c>
      <c r="S49" s="13">
        <f t="shared" si="10"/>
        <v>0</v>
      </c>
      <c r="T49" s="13">
        <f t="shared" si="10"/>
        <v>0</v>
      </c>
      <c r="U49" s="13">
        <f t="shared" si="10"/>
        <v>0</v>
      </c>
      <c r="V49" s="13">
        <f t="shared" si="10"/>
        <v>0</v>
      </c>
      <c r="W49" s="13">
        <f t="shared" si="10"/>
        <v>0</v>
      </c>
      <c r="X49" s="13">
        <f t="shared" si="10"/>
        <v>0</v>
      </c>
      <c r="Y49" s="13">
        <f t="shared" si="10"/>
        <v>0</v>
      </c>
      <c r="Z49" s="13">
        <f t="shared" si="10"/>
        <v>0</v>
      </c>
      <c r="AA49" s="13">
        <f t="shared" si="10"/>
        <v>0</v>
      </c>
      <c r="AB49" s="13">
        <f t="shared" si="10"/>
        <v>0</v>
      </c>
      <c r="AC49" s="13">
        <f t="shared" si="10"/>
        <v>0</v>
      </c>
      <c r="AD49" s="13">
        <f t="shared" si="10"/>
        <v>0</v>
      </c>
      <c r="AE49" s="13">
        <f t="shared" si="10"/>
        <v>0</v>
      </c>
      <c r="AF49" s="13">
        <f t="shared" si="10"/>
        <v>0</v>
      </c>
      <c r="AG49" s="13">
        <f t="shared" si="10"/>
        <v>0</v>
      </c>
      <c r="AH49" s="13">
        <f t="shared" si="10"/>
        <v>0</v>
      </c>
      <c r="AI49" s="13">
        <f t="shared" si="10"/>
        <v>0</v>
      </c>
      <c r="AJ49" s="13">
        <f t="shared" si="10"/>
        <v>0</v>
      </c>
      <c r="AK49" s="13">
        <f t="shared" si="10"/>
        <v>0</v>
      </c>
      <c r="AL49" s="13">
        <f t="shared" si="10"/>
        <v>0</v>
      </c>
      <c r="AM49" s="13">
        <f t="shared" si="10"/>
        <v>0</v>
      </c>
      <c r="AN49" s="13">
        <f t="shared" si="10"/>
        <v>0</v>
      </c>
      <c r="AO49" s="13">
        <f t="shared" si="10"/>
        <v>0</v>
      </c>
      <c r="AP49" s="13">
        <f t="shared" si="10"/>
        <v>0</v>
      </c>
      <c r="AQ49" s="13">
        <f t="shared" si="10"/>
        <v>0</v>
      </c>
      <c r="AR49" s="13">
        <f t="shared" si="10"/>
        <v>0</v>
      </c>
      <c r="AS49" s="13">
        <f t="shared" si="10"/>
        <v>0</v>
      </c>
      <c r="AT49" s="13">
        <f t="shared" si="10"/>
        <v>0</v>
      </c>
      <c r="AU49" s="13">
        <f t="shared" si="10"/>
        <v>0</v>
      </c>
      <c r="AV49" s="13">
        <f t="shared" si="10"/>
        <v>0</v>
      </c>
      <c r="AW49" s="13">
        <f t="shared" si="10"/>
        <v>0</v>
      </c>
      <c r="AX49" s="13">
        <f t="shared" si="10"/>
        <v>0</v>
      </c>
    </row>
    <row r="50" spans="6:50">
      <c r="F50" s="13" t="s">
        <v>434</v>
      </c>
      <c r="G50" s="34">
        <f>SUM(I50:AX50)</f>
        <v>1</v>
      </c>
      <c r="H50" s="13" t="s">
        <v>427</v>
      </c>
      <c r="I50" s="13">
        <f>IF(I$8=$G$47,1,0)</f>
        <v>0</v>
      </c>
      <c r="J50" s="13">
        <f t="shared" ref="J50:AX50" si="11">IF(J$8=$G$26,1,0)</f>
        <v>0</v>
      </c>
      <c r="K50" s="13">
        <f t="shared" si="11"/>
        <v>0</v>
      </c>
      <c r="L50" s="13">
        <f t="shared" si="11"/>
        <v>0</v>
      </c>
      <c r="M50" s="13">
        <f t="shared" si="11"/>
        <v>0</v>
      </c>
      <c r="N50" s="13">
        <f t="shared" si="11"/>
        <v>0</v>
      </c>
      <c r="O50" s="13">
        <f t="shared" si="11"/>
        <v>0</v>
      </c>
      <c r="P50" s="13">
        <f t="shared" si="11"/>
        <v>0</v>
      </c>
      <c r="Q50" s="13">
        <f t="shared" si="11"/>
        <v>0</v>
      </c>
      <c r="R50" s="13">
        <f t="shared" si="11"/>
        <v>0</v>
      </c>
      <c r="S50" s="13">
        <f t="shared" si="11"/>
        <v>0</v>
      </c>
      <c r="T50" s="13">
        <f t="shared" si="11"/>
        <v>0</v>
      </c>
      <c r="U50" s="13">
        <f t="shared" si="11"/>
        <v>0</v>
      </c>
      <c r="V50" s="13">
        <f t="shared" si="11"/>
        <v>0</v>
      </c>
      <c r="W50" s="13">
        <f t="shared" si="11"/>
        <v>0</v>
      </c>
      <c r="X50" s="13">
        <f t="shared" si="11"/>
        <v>0</v>
      </c>
      <c r="Y50" s="13">
        <f t="shared" si="11"/>
        <v>0</v>
      </c>
      <c r="Z50" s="13">
        <f t="shared" si="11"/>
        <v>0</v>
      </c>
      <c r="AA50" s="13">
        <f t="shared" si="11"/>
        <v>0</v>
      </c>
      <c r="AB50" s="13">
        <f t="shared" si="11"/>
        <v>0</v>
      </c>
      <c r="AC50" s="13">
        <f t="shared" si="11"/>
        <v>0</v>
      </c>
      <c r="AD50" s="13">
        <f t="shared" si="11"/>
        <v>0</v>
      </c>
      <c r="AE50" s="13">
        <f t="shared" si="11"/>
        <v>0</v>
      </c>
      <c r="AF50" s="13">
        <f t="shared" si="11"/>
        <v>0</v>
      </c>
      <c r="AG50" s="13">
        <f t="shared" si="11"/>
        <v>0</v>
      </c>
      <c r="AH50" s="13">
        <f t="shared" si="11"/>
        <v>0</v>
      </c>
      <c r="AI50" s="13">
        <f t="shared" si="11"/>
        <v>0</v>
      </c>
      <c r="AJ50" s="13">
        <f t="shared" si="11"/>
        <v>0</v>
      </c>
      <c r="AK50" s="13">
        <f t="shared" si="11"/>
        <v>0</v>
      </c>
      <c r="AL50" s="13">
        <f t="shared" si="11"/>
        <v>0</v>
      </c>
      <c r="AM50" s="13">
        <f t="shared" si="11"/>
        <v>0</v>
      </c>
      <c r="AN50" s="13">
        <f t="shared" si="11"/>
        <v>1</v>
      </c>
      <c r="AO50" s="13">
        <f t="shared" si="11"/>
        <v>0</v>
      </c>
      <c r="AP50" s="13">
        <f t="shared" si="11"/>
        <v>0</v>
      </c>
      <c r="AQ50" s="13">
        <f t="shared" si="11"/>
        <v>0</v>
      </c>
      <c r="AR50" s="13">
        <f t="shared" si="11"/>
        <v>0</v>
      </c>
      <c r="AS50" s="13">
        <f t="shared" si="11"/>
        <v>0</v>
      </c>
      <c r="AT50" s="13">
        <f t="shared" si="11"/>
        <v>0</v>
      </c>
      <c r="AU50" s="13">
        <f t="shared" si="11"/>
        <v>0</v>
      </c>
      <c r="AV50" s="13">
        <f t="shared" si="11"/>
        <v>0</v>
      </c>
      <c r="AW50" s="13">
        <f t="shared" si="11"/>
        <v>0</v>
      </c>
      <c r="AX50" s="13">
        <f t="shared" si="11"/>
        <v>0</v>
      </c>
    </row>
    <row r="51" spans="6:50">
      <c r="F51" s="40" t="s">
        <v>435</v>
      </c>
      <c r="G51" s="40">
        <f>SUM(I51:AX51)</f>
        <v>28</v>
      </c>
      <c r="H51" s="40" t="s">
        <v>427</v>
      </c>
      <c r="I51" s="40">
        <f>IF(AND(I$8&gt;=$G$45,I$8&lt;=$G$47),1,0)</f>
        <v>0</v>
      </c>
      <c r="J51" s="40">
        <f t="shared" ref="J51:AX51" si="12">IF(AND(J$8&gt;=$G$24,J$8&lt;=$G$26),1,0)</f>
        <v>0</v>
      </c>
      <c r="K51" s="40">
        <f t="shared" si="12"/>
        <v>0</v>
      </c>
      <c r="L51" s="40">
        <f t="shared" si="12"/>
        <v>0</v>
      </c>
      <c r="M51" s="40">
        <f t="shared" si="12"/>
        <v>1</v>
      </c>
      <c r="N51" s="40">
        <f t="shared" si="12"/>
        <v>1</v>
      </c>
      <c r="O51" s="40">
        <f t="shared" si="12"/>
        <v>1</v>
      </c>
      <c r="P51" s="40">
        <f t="shared" si="12"/>
        <v>1</v>
      </c>
      <c r="Q51" s="40">
        <f t="shared" si="12"/>
        <v>1</v>
      </c>
      <c r="R51" s="40">
        <f t="shared" si="12"/>
        <v>1</v>
      </c>
      <c r="S51" s="40">
        <f t="shared" si="12"/>
        <v>1</v>
      </c>
      <c r="T51" s="40">
        <f t="shared" si="12"/>
        <v>1</v>
      </c>
      <c r="U51" s="40">
        <f t="shared" si="12"/>
        <v>1</v>
      </c>
      <c r="V51" s="40">
        <f t="shared" si="12"/>
        <v>1</v>
      </c>
      <c r="W51" s="40">
        <f t="shared" si="12"/>
        <v>1</v>
      </c>
      <c r="X51" s="40">
        <f t="shared" si="12"/>
        <v>1</v>
      </c>
      <c r="Y51" s="40">
        <f t="shared" si="12"/>
        <v>1</v>
      </c>
      <c r="Z51" s="40">
        <f t="shared" si="12"/>
        <v>1</v>
      </c>
      <c r="AA51" s="40">
        <f t="shared" si="12"/>
        <v>1</v>
      </c>
      <c r="AB51" s="40">
        <f t="shared" si="12"/>
        <v>1</v>
      </c>
      <c r="AC51" s="40">
        <f t="shared" si="12"/>
        <v>1</v>
      </c>
      <c r="AD51" s="40">
        <f t="shared" si="12"/>
        <v>1</v>
      </c>
      <c r="AE51" s="40">
        <f t="shared" si="12"/>
        <v>1</v>
      </c>
      <c r="AF51" s="40">
        <f t="shared" si="12"/>
        <v>1</v>
      </c>
      <c r="AG51" s="40">
        <f t="shared" si="12"/>
        <v>1</v>
      </c>
      <c r="AH51" s="40">
        <f t="shared" si="12"/>
        <v>1</v>
      </c>
      <c r="AI51" s="40">
        <f t="shared" si="12"/>
        <v>1</v>
      </c>
      <c r="AJ51" s="40">
        <f t="shared" si="12"/>
        <v>1</v>
      </c>
      <c r="AK51" s="40">
        <f t="shared" si="12"/>
        <v>1</v>
      </c>
      <c r="AL51" s="40">
        <f t="shared" si="12"/>
        <v>1</v>
      </c>
      <c r="AM51" s="40">
        <f t="shared" si="12"/>
        <v>1</v>
      </c>
      <c r="AN51" s="40">
        <f t="shared" si="12"/>
        <v>1</v>
      </c>
      <c r="AO51" s="40">
        <f t="shared" si="12"/>
        <v>0</v>
      </c>
      <c r="AP51" s="40">
        <f t="shared" si="12"/>
        <v>0</v>
      </c>
      <c r="AQ51" s="40">
        <f t="shared" si="12"/>
        <v>0</v>
      </c>
      <c r="AR51" s="40">
        <f t="shared" si="12"/>
        <v>0</v>
      </c>
      <c r="AS51" s="40">
        <f t="shared" si="12"/>
        <v>0</v>
      </c>
      <c r="AT51" s="40">
        <f t="shared" si="12"/>
        <v>0</v>
      </c>
      <c r="AU51" s="40">
        <f t="shared" si="12"/>
        <v>0</v>
      </c>
      <c r="AV51" s="40">
        <f t="shared" si="12"/>
        <v>0</v>
      </c>
      <c r="AW51" s="40">
        <f t="shared" si="12"/>
        <v>0</v>
      </c>
      <c r="AX51" s="40">
        <f t="shared" si="12"/>
        <v>0</v>
      </c>
    </row>
  </sheetData>
  <mergeCells count="38">
    <mergeCell ref="B17:D17"/>
    <mergeCell ref="B9:D9"/>
    <mergeCell ref="B10:D10"/>
    <mergeCell ref="E10:F10"/>
    <mergeCell ref="B11:D11"/>
    <mergeCell ref="E11:F11"/>
    <mergeCell ref="B12:D12"/>
    <mergeCell ref="E12:F12"/>
    <mergeCell ref="B13:D13"/>
    <mergeCell ref="B14:D14"/>
    <mergeCell ref="B15:D15"/>
    <mergeCell ref="B16:D16"/>
    <mergeCell ref="E16:F16"/>
    <mergeCell ref="B18:D18"/>
    <mergeCell ref="B19:D19"/>
    <mergeCell ref="B20:D20"/>
    <mergeCell ref="E20:F20"/>
    <mergeCell ref="B21:D21"/>
    <mergeCell ref="E21:F21"/>
    <mergeCell ref="B32:D32"/>
    <mergeCell ref="B22:D22"/>
    <mergeCell ref="B24:D24"/>
    <mergeCell ref="B25:D25"/>
    <mergeCell ref="B26:D26"/>
    <mergeCell ref="B27:D27"/>
    <mergeCell ref="B28:D28"/>
    <mergeCell ref="B29:D29"/>
    <mergeCell ref="B30:D30"/>
    <mergeCell ref="B31:D31"/>
    <mergeCell ref="B38:D38"/>
    <mergeCell ref="B39:D39"/>
    <mergeCell ref="E39:F39"/>
    <mergeCell ref="B40:D40"/>
    <mergeCell ref="B33:D33"/>
    <mergeCell ref="B34:D34"/>
    <mergeCell ref="B35:D35"/>
    <mergeCell ref="B36:D36"/>
    <mergeCell ref="B37:D3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3D85-F30F-4BEC-9492-724084DF2635}">
  <dimension ref="A1:AI118"/>
  <sheetViews>
    <sheetView topLeftCell="A88" workbookViewId="0">
      <selection activeCell="C52" sqref="C52"/>
    </sheetView>
  </sheetViews>
  <sheetFormatPr defaultRowHeight="14.45"/>
  <cols>
    <col min="1" max="1" width="23.5703125" customWidth="1"/>
  </cols>
  <sheetData>
    <row r="1" spans="1:35">
      <c r="A1" t="s">
        <v>439</v>
      </c>
    </row>
    <row r="2" spans="1:35">
      <c r="A2" t="s">
        <v>440</v>
      </c>
    </row>
    <row r="3" spans="1:35">
      <c r="A3" t="s">
        <v>441</v>
      </c>
    </row>
    <row r="4" spans="1:35">
      <c r="A4" t="s">
        <v>442</v>
      </c>
    </row>
    <row r="5" spans="1:35">
      <c r="B5" t="s">
        <v>443</v>
      </c>
      <c r="C5" t="s">
        <v>444</v>
      </c>
      <c r="D5" t="s">
        <v>445</v>
      </c>
      <c r="E5">
        <v>2021</v>
      </c>
      <c r="F5">
        <v>2022</v>
      </c>
      <c r="G5">
        <v>2023</v>
      </c>
      <c r="H5">
        <v>2024</v>
      </c>
      <c r="I5">
        <v>2025</v>
      </c>
      <c r="J5">
        <v>2026</v>
      </c>
      <c r="K5">
        <v>2027</v>
      </c>
      <c r="L5">
        <v>2028</v>
      </c>
      <c r="M5">
        <v>2029</v>
      </c>
      <c r="N5">
        <v>2030</v>
      </c>
      <c r="O5">
        <v>2031</v>
      </c>
      <c r="P5">
        <v>2032</v>
      </c>
      <c r="Q5">
        <v>2033</v>
      </c>
      <c r="R5">
        <v>2034</v>
      </c>
      <c r="S5">
        <v>2035</v>
      </c>
      <c r="T5">
        <v>2036</v>
      </c>
      <c r="U5">
        <v>2037</v>
      </c>
      <c r="V5">
        <v>2038</v>
      </c>
      <c r="W5">
        <v>2039</v>
      </c>
      <c r="X5">
        <v>2040</v>
      </c>
      <c r="Y5">
        <v>2041</v>
      </c>
      <c r="Z5">
        <v>2042</v>
      </c>
      <c r="AA5">
        <v>2043</v>
      </c>
      <c r="AB5">
        <v>2044</v>
      </c>
      <c r="AC5">
        <v>2045</v>
      </c>
      <c r="AD5">
        <v>2046</v>
      </c>
      <c r="AE5">
        <v>2047</v>
      </c>
      <c r="AF5">
        <v>2048</v>
      </c>
      <c r="AG5">
        <v>2049</v>
      </c>
      <c r="AH5">
        <v>2050</v>
      </c>
      <c r="AI5" t="s">
        <v>446</v>
      </c>
    </row>
    <row r="6" spans="1:35">
      <c r="A6" t="s">
        <v>447</v>
      </c>
    </row>
    <row r="7" spans="1:35">
      <c r="A7" t="s">
        <v>448</v>
      </c>
      <c r="B7" t="s">
        <v>449</v>
      </c>
      <c r="C7" t="s">
        <v>450</v>
      </c>
      <c r="D7" t="s">
        <v>451</v>
      </c>
      <c r="F7">
        <v>34.065528999999998</v>
      </c>
      <c r="G7">
        <v>36.535805000000003</v>
      </c>
      <c r="H7">
        <v>36.844597</v>
      </c>
      <c r="I7">
        <v>35.587021</v>
      </c>
      <c r="J7">
        <v>34.297752000000003</v>
      </c>
      <c r="K7">
        <v>33.257232999999999</v>
      </c>
      <c r="L7">
        <v>32.661724</v>
      </c>
      <c r="M7">
        <v>32.435757000000002</v>
      </c>
      <c r="N7">
        <v>32.538837000000001</v>
      </c>
      <c r="O7">
        <v>32.875709999999998</v>
      </c>
      <c r="P7">
        <v>33.418156000000003</v>
      </c>
      <c r="Q7">
        <v>34.107647</v>
      </c>
      <c r="R7">
        <v>34.797421</v>
      </c>
      <c r="S7">
        <v>35.350174000000003</v>
      </c>
      <c r="T7">
        <v>35.764319999999998</v>
      </c>
      <c r="U7">
        <v>36.133327000000001</v>
      </c>
      <c r="V7">
        <v>36.609046999999997</v>
      </c>
      <c r="W7">
        <v>36.840305000000001</v>
      </c>
      <c r="X7">
        <v>37.216892000000001</v>
      </c>
      <c r="Y7">
        <v>37.585799999999999</v>
      </c>
      <c r="Z7">
        <v>37.848053</v>
      </c>
      <c r="AA7">
        <v>37.981521999999998</v>
      </c>
      <c r="AB7">
        <v>38.013072999999999</v>
      </c>
      <c r="AC7">
        <v>38.081684000000003</v>
      </c>
      <c r="AD7">
        <v>38.106822999999999</v>
      </c>
      <c r="AE7">
        <v>38.148510000000002</v>
      </c>
      <c r="AF7">
        <v>38.241599999999998</v>
      </c>
      <c r="AG7">
        <v>38.269008999999997</v>
      </c>
      <c r="AH7">
        <v>38.247672999999999</v>
      </c>
      <c r="AI7" s="42">
        <v>4.0000000000000001E-3</v>
      </c>
    </row>
    <row r="8" spans="1:35">
      <c r="A8" t="s">
        <v>452</v>
      </c>
      <c r="B8" t="s">
        <v>453</v>
      </c>
      <c r="C8" t="s">
        <v>454</v>
      </c>
      <c r="D8" t="s">
        <v>451</v>
      </c>
      <c r="F8">
        <v>35.156283999999999</v>
      </c>
      <c r="G8">
        <v>32.730946000000003</v>
      </c>
      <c r="H8">
        <v>31.554684000000002</v>
      </c>
      <c r="I8">
        <v>29.924191</v>
      </c>
      <c r="J8">
        <v>29.476807000000001</v>
      </c>
      <c r="K8">
        <v>29.043571</v>
      </c>
      <c r="L8">
        <v>28.790531000000001</v>
      </c>
      <c r="M8">
        <v>28.885614</v>
      </c>
      <c r="N8">
        <v>28.901153999999998</v>
      </c>
      <c r="O8">
        <v>29.084757</v>
      </c>
      <c r="P8">
        <v>29.179033</v>
      </c>
      <c r="Q8">
        <v>29.309840999999999</v>
      </c>
      <c r="R8">
        <v>29.353536999999999</v>
      </c>
      <c r="S8">
        <v>29.549016999999999</v>
      </c>
      <c r="T8">
        <v>29.561454999999999</v>
      </c>
      <c r="U8">
        <v>29.694769000000001</v>
      </c>
      <c r="V8">
        <v>29.790894999999999</v>
      </c>
      <c r="W8">
        <v>29.837893000000001</v>
      </c>
      <c r="X8">
        <v>29.888528999999998</v>
      </c>
      <c r="Y8">
        <v>30.050331</v>
      </c>
      <c r="Z8">
        <v>30.047008999999999</v>
      </c>
      <c r="AA8">
        <v>30.166602999999999</v>
      </c>
      <c r="AB8">
        <v>30.077331999999998</v>
      </c>
      <c r="AC8">
        <v>30.117594</v>
      </c>
      <c r="AD8">
        <v>30.327643999999999</v>
      </c>
      <c r="AE8">
        <v>30.363955000000001</v>
      </c>
      <c r="AF8">
        <v>30.402623999999999</v>
      </c>
      <c r="AG8">
        <v>30.475227</v>
      </c>
      <c r="AH8">
        <v>30.482605</v>
      </c>
      <c r="AI8" s="42">
        <v>-5.0000000000000001E-3</v>
      </c>
    </row>
    <row r="9" spans="1:35">
      <c r="A9" t="s">
        <v>455</v>
      </c>
      <c r="B9" t="s">
        <v>456</v>
      </c>
      <c r="C9" t="s">
        <v>457</v>
      </c>
      <c r="D9" t="s">
        <v>451</v>
      </c>
      <c r="F9">
        <v>19.015127</v>
      </c>
      <c r="G9">
        <v>18.275825999999999</v>
      </c>
      <c r="H9">
        <v>16.794718</v>
      </c>
      <c r="I9">
        <v>16.199532000000001</v>
      </c>
      <c r="J9">
        <v>15.875769999999999</v>
      </c>
      <c r="K9">
        <v>15.617877</v>
      </c>
      <c r="L9">
        <v>15.41822</v>
      </c>
      <c r="M9">
        <v>15.406582</v>
      </c>
      <c r="N9">
        <v>15.360808</v>
      </c>
      <c r="O9">
        <v>15.338343999999999</v>
      </c>
      <c r="P9">
        <v>15.353717</v>
      </c>
      <c r="Q9">
        <v>15.381371</v>
      </c>
      <c r="R9">
        <v>15.410938</v>
      </c>
      <c r="S9">
        <v>15.443483000000001</v>
      </c>
      <c r="T9">
        <v>15.47453</v>
      </c>
      <c r="U9">
        <v>15.509796</v>
      </c>
      <c r="V9">
        <v>15.561752</v>
      </c>
      <c r="W9">
        <v>15.588792</v>
      </c>
      <c r="X9">
        <v>15.629821</v>
      </c>
      <c r="Y9">
        <v>15.670137</v>
      </c>
      <c r="Z9">
        <v>15.690524</v>
      </c>
      <c r="AA9">
        <v>15.694901</v>
      </c>
      <c r="AB9">
        <v>15.67783</v>
      </c>
      <c r="AC9">
        <v>15.710699999999999</v>
      </c>
      <c r="AD9">
        <v>15.71034</v>
      </c>
      <c r="AE9">
        <v>15.707094</v>
      </c>
      <c r="AF9">
        <v>15.700915999999999</v>
      </c>
      <c r="AG9">
        <v>15.712077000000001</v>
      </c>
      <c r="AH9">
        <v>15.736751999999999</v>
      </c>
      <c r="AI9" s="42">
        <v>-7.0000000000000001E-3</v>
      </c>
    </row>
    <row r="10" spans="1:35">
      <c r="A10" t="s">
        <v>458</v>
      </c>
      <c r="B10" t="s">
        <v>459</v>
      </c>
      <c r="C10" t="s">
        <v>460</v>
      </c>
      <c r="D10" t="s">
        <v>451</v>
      </c>
      <c r="F10">
        <v>67.820694000000003</v>
      </c>
      <c r="G10">
        <v>69.882232999999999</v>
      </c>
      <c r="H10">
        <v>65.942429000000004</v>
      </c>
      <c r="I10">
        <v>65.059036000000006</v>
      </c>
      <c r="J10">
        <v>64.525452000000001</v>
      </c>
      <c r="K10">
        <v>64.433425999999997</v>
      </c>
      <c r="L10">
        <v>64.700974000000002</v>
      </c>
      <c r="M10">
        <v>65.077575999999993</v>
      </c>
      <c r="N10">
        <v>64.827774000000005</v>
      </c>
      <c r="O10">
        <v>65.328948999999994</v>
      </c>
      <c r="P10">
        <v>66.051392000000007</v>
      </c>
      <c r="Q10">
        <v>66.622001999999995</v>
      </c>
      <c r="R10">
        <v>68.925765999999996</v>
      </c>
      <c r="S10">
        <v>67.850975000000005</v>
      </c>
      <c r="T10">
        <v>69.714805999999996</v>
      </c>
      <c r="U10">
        <v>70.152518999999998</v>
      </c>
      <c r="V10">
        <v>71.124153000000007</v>
      </c>
      <c r="W10">
        <v>71.343941000000001</v>
      </c>
      <c r="X10">
        <v>71.719420999999997</v>
      </c>
      <c r="Y10">
        <v>72.109947000000005</v>
      </c>
      <c r="Z10">
        <v>72.055747999999994</v>
      </c>
      <c r="AA10">
        <v>72.191604999999996</v>
      </c>
      <c r="AB10">
        <v>71.390220999999997</v>
      </c>
      <c r="AC10">
        <v>71.245140000000006</v>
      </c>
      <c r="AD10">
        <v>71.366669000000002</v>
      </c>
      <c r="AE10">
        <v>71.048798000000005</v>
      </c>
      <c r="AF10">
        <v>71.241455000000002</v>
      </c>
      <c r="AG10">
        <v>69.984482</v>
      </c>
      <c r="AH10">
        <v>69.840796999999995</v>
      </c>
      <c r="AI10" s="42">
        <v>1E-3</v>
      </c>
    </row>
    <row r="11" spans="1:35">
      <c r="A11" t="s">
        <v>461</v>
      </c>
    </row>
    <row r="12" spans="1:35">
      <c r="A12" t="s">
        <v>448</v>
      </c>
      <c r="B12" t="s">
        <v>462</v>
      </c>
      <c r="C12" t="s">
        <v>463</v>
      </c>
      <c r="D12" t="s">
        <v>451</v>
      </c>
      <c r="F12">
        <v>28.468571000000001</v>
      </c>
      <c r="G12">
        <v>27.339684999999999</v>
      </c>
      <c r="H12">
        <v>25.423735000000001</v>
      </c>
      <c r="I12">
        <v>23.383326</v>
      </c>
      <c r="J12">
        <v>22.292781999999999</v>
      </c>
      <c r="K12">
        <v>21.693815000000001</v>
      </c>
      <c r="L12">
        <v>21.564442</v>
      </c>
      <c r="M12">
        <v>21.672647000000001</v>
      </c>
      <c r="N12">
        <v>21.974430000000002</v>
      </c>
      <c r="O12">
        <v>22.371431000000001</v>
      </c>
      <c r="P12">
        <v>22.873898000000001</v>
      </c>
      <c r="Q12">
        <v>23.433264000000001</v>
      </c>
      <c r="R12">
        <v>23.897964000000002</v>
      </c>
      <c r="S12">
        <v>24.175127</v>
      </c>
      <c r="T12">
        <v>24.343540000000001</v>
      </c>
      <c r="U12">
        <v>24.533846</v>
      </c>
      <c r="V12">
        <v>24.889168000000002</v>
      </c>
      <c r="W12">
        <v>24.908915</v>
      </c>
      <c r="X12">
        <v>25.205822000000001</v>
      </c>
      <c r="Y12">
        <v>25.449480000000001</v>
      </c>
      <c r="Z12">
        <v>25.558964</v>
      </c>
      <c r="AA12">
        <v>25.561415</v>
      </c>
      <c r="AB12">
        <v>25.509789000000001</v>
      </c>
      <c r="AC12">
        <v>25.560113999999999</v>
      </c>
      <c r="AD12">
        <v>25.555516999999998</v>
      </c>
      <c r="AE12">
        <v>25.590136000000001</v>
      </c>
      <c r="AF12">
        <v>25.683036999999999</v>
      </c>
      <c r="AG12">
        <v>25.673969</v>
      </c>
      <c r="AH12">
        <v>25.630742999999999</v>
      </c>
      <c r="AI12" s="42">
        <v>-4.0000000000000001E-3</v>
      </c>
    </row>
    <row r="13" spans="1:35">
      <c r="A13" t="s">
        <v>452</v>
      </c>
      <c r="B13" t="s">
        <v>464</v>
      </c>
      <c r="C13" t="s">
        <v>465</v>
      </c>
      <c r="D13" t="s">
        <v>451</v>
      </c>
      <c r="F13">
        <v>38.493904000000001</v>
      </c>
      <c r="G13">
        <v>36.313324000000001</v>
      </c>
      <c r="H13">
        <v>33.892657999999997</v>
      </c>
      <c r="I13">
        <v>31.016615000000002</v>
      </c>
      <c r="J13">
        <v>29.303246000000001</v>
      </c>
      <c r="K13">
        <v>27.611533999999999</v>
      </c>
      <c r="L13">
        <v>26.065761999999999</v>
      </c>
      <c r="M13">
        <v>26.154093</v>
      </c>
      <c r="N13">
        <v>26.167362000000001</v>
      </c>
      <c r="O13">
        <v>26.350553999999999</v>
      </c>
      <c r="P13">
        <v>26.437822000000001</v>
      </c>
      <c r="Q13">
        <v>26.550194000000001</v>
      </c>
      <c r="R13">
        <v>26.611376</v>
      </c>
      <c r="S13">
        <v>26.769779</v>
      </c>
      <c r="T13">
        <v>26.805724999999999</v>
      </c>
      <c r="U13">
        <v>26.928319999999999</v>
      </c>
      <c r="V13">
        <v>27.021248</v>
      </c>
      <c r="W13">
        <v>27.070488000000001</v>
      </c>
      <c r="X13">
        <v>27.126311999999999</v>
      </c>
      <c r="Y13">
        <v>27.290963999999999</v>
      </c>
      <c r="Z13">
        <v>27.295020999999998</v>
      </c>
      <c r="AA13">
        <v>27.416139999999999</v>
      </c>
      <c r="AB13">
        <v>27.329716000000001</v>
      </c>
      <c r="AC13">
        <v>27.395506000000001</v>
      </c>
      <c r="AD13">
        <v>27.611687</v>
      </c>
      <c r="AE13">
        <v>27.640377000000001</v>
      </c>
      <c r="AF13">
        <v>27.680448999999999</v>
      </c>
      <c r="AG13">
        <v>27.756457999999999</v>
      </c>
      <c r="AH13">
        <v>27.765149999999998</v>
      </c>
      <c r="AI13" s="42">
        <v>-1.2E-2</v>
      </c>
    </row>
    <row r="14" spans="1:35">
      <c r="A14" t="s">
        <v>466</v>
      </c>
      <c r="B14" t="s">
        <v>467</v>
      </c>
      <c r="C14" t="s">
        <v>468</v>
      </c>
      <c r="D14" t="s">
        <v>451</v>
      </c>
      <c r="F14">
        <v>12.460455</v>
      </c>
      <c r="G14">
        <v>7.6987810000000003</v>
      </c>
      <c r="H14">
        <v>9.2482849999999992</v>
      </c>
      <c r="I14">
        <v>9.5469279999999994</v>
      </c>
      <c r="J14">
        <v>11.008687999999999</v>
      </c>
      <c r="K14">
        <v>12.483814000000001</v>
      </c>
      <c r="L14">
        <v>13.929043</v>
      </c>
      <c r="M14">
        <v>14.02191</v>
      </c>
      <c r="N14">
        <v>14.111901</v>
      </c>
      <c r="O14">
        <v>14.226027</v>
      </c>
      <c r="P14">
        <v>14.329890000000001</v>
      </c>
      <c r="Q14">
        <v>14.424664</v>
      </c>
      <c r="R14">
        <v>14.528852000000001</v>
      </c>
      <c r="S14">
        <v>14.643457</v>
      </c>
      <c r="T14">
        <v>14.734311999999999</v>
      </c>
      <c r="U14">
        <v>14.834517999999999</v>
      </c>
      <c r="V14">
        <v>14.940911</v>
      </c>
      <c r="W14">
        <v>15.006621000000001</v>
      </c>
      <c r="X14">
        <v>15.091688</v>
      </c>
      <c r="Y14">
        <v>15.218106000000001</v>
      </c>
      <c r="Z14">
        <v>15.234455000000001</v>
      </c>
      <c r="AA14">
        <v>15.304069</v>
      </c>
      <c r="AB14">
        <v>15.351792</v>
      </c>
      <c r="AC14">
        <v>15.410126999999999</v>
      </c>
      <c r="AD14">
        <v>15.568989999999999</v>
      </c>
      <c r="AE14">
        <v>15.569898999999999</v>
      </c>
      <c r="AF14">
        <v>15.691525</v>
      </c>
      <c r="AG14">
        <v>15.782837000000001</v>
      </c>
      <c r="AH14">
        <v>15.852316999999999</v>
      </c>
      <c r="AI14" s="42">
        <v>8.9999999999999993E-3</v>
      </c>
    </row>
    <row r="15" spans="1:35">
      <c r="A15" t="s">
        <v>455</v>
      </c>
      <c r="B15" t="s">
        <v>469</v>
      </c>
      <c r="C15" t="s">
        <v>470</v>
      </c>
      <c r="D15" t="s">
        <v>451</v>
      </c>
      <c r="F15">
        <v>13.370082</v>
      </c>
      <c r="G15">
        <v>12.560025</v>
      </c>
      <c r="H15">
        <v>11.817174</v>
      </c>
      <c r="I15">
        <v>11.581187999999999</v>
      </c>
      <c r="J15">
        <v>11.590911999999999</v>
      </c>
      <c r="K15">
        <v>11.661998000000001</v>
      </c>
      <c r="L15">
        <v>11.784606999999999</v>
      </c>
      <c r="M15">
        <v>11.813955999999999</v>
      </c>
      <c r="N15">
        <v>11.80911</v>
      </c>
      <c r="O15">
        <v>11.828965</v>
      </c>
      <c r="P15">
        <v>11.885743</v>
      </c>
      <c r="Q15">
        <v>11.921078</v>
      </c>
      <c r="R15">
        <v>11.956105000000001</v>
      </c>
      <c r="S15">
        <v>11.990474000000001</v>
      </c>
      <c r="T15">
        <v>12.020116</v>
      </c>
      <c r="U15">
        <v>12.051102</v>
      </c>
      <c r="V15">
        <v>12.096615</v>
      </c>
      <c r="W15">
        <v>12.114939</v>
      </c>
      <c r="X15">
        <v>12.145336</v>
      </c>
      <c r="Y15">
        <v>12.173678000000001</v>
      </c>
      <c r="Z15">
        <v>12.181559</v>
      </c>
      <c r="AA15">
        <v>12.172770999999999</v>
      </c>
      <c r="AB15">
        <v>12.141802999999999</v>
      </c>
      <c r="AC15">
        <v>12.161898000000001</v>
      </c>
      <c r="AD15">
        <v>12.149338</v>
      </c>
      <c r="AE15">
        <v>12.134596</v>
      </c>
      <c r="AF15">
        <v>12.117705000000001</v>
      </c>
      <c r="AG15">
        <v>12.119797</v>
      </c>
      <c r="AH15">
        <v>12.137119</v>
      </c>
      <c r="AI15" s="42">
        <v>-3.0000000000000001E-3</v>
      </c>
    </row>
    <row r="16" spans="1:35">
      <c r="A16" t="s">
        <v>458</v>
      </c>
      <c r="B16" t="s">
        <v>471</v>
      </c>
      <c r="C16" t="s">
        <v>472</v>
      </c>
      <c r="D16" t="s">
        <v>451</v>
      </c>
      <c r="F16">
        <v>57.581344999999999</v>
      </c>
      <c r="G16">
        <v>62.102772000000002</v>
      </c>
      <c r="H16">
        <v>56.479717000000001</v>
      </c>
      <c r="I16">
        <v>55.429580999999999</v>
      </c>
      <c r="J16">
        <v>54.489936999999998</v>
      </c>
      <c r="K16">
        <v>54.036251</v>
      </c>
      <c r="L16">
        <v>53.914318000000002</v>
      </c>
      <c r="M16">
        <v>53.563052999999996</v>
      </c>
      <c r="N16">
        <v>53.020724999999999</v>
      </c>
      <c r="O16">
        <v>53.083961000000002</v>
      </c>
      <c r="P16">
        <v>53.119228</v>
      </c>
      <c r="Q16">
        <v>53.384182000000003</v>
      </c>
      <c r="R16">
        <v>55.619678</v>
      </c>
      <c r="S16">
        <v>53.915652999999999</v>
      </c>
      <c r="T16">
        <v>55.839798000000002</v>
      </c>
      <c r="U16">
        <v>56.025455000000001</v>
      </c>
      <c r="V16">
        <v>56.945236000000001</v>
      </c>
      <c r="W16">
        <v>57.039715000000001</v>
      </c>
      <c r="X16">
        <v>57.031897999999998</v>
      </c>
      <c r="Y16">
        <v>57.275463000000002</v>
      </c>
      <c r="Z16">
        <v>56.985824999999998</v>
      </c>
      <c r="AA16">
        <v>56.935822000000002</v>
      </c>
      <c r="AB16">
        <v>55.907085000000002</v>
      </c>
      <c r="AC16">
        <v>55.553252999999998</v>
      </c>
      <c r="AD16">
        <v>55.611710000000002</v>
      </c>
      <c r="AE16">
        <v>55.123435999999998</v>
      </c>
      <c r="AF16">
        <v>55.231354000000003</v>
      </c>
      <c r="AG16">
        <v>53.618792999999997</v>
      </c>
      <c r="AH16">
        <v>53.327137</v>
      </c>
      <c r="AI16" s="42">
        <v>-3.0000000000000001E-3</v>
      </c>
    </row>
    <row r="17" spans="1:35">
      <c r="A17" t="s">
        <v>473</v>
      </c>
    </row>
    <row r="18" spans="1:35">
      <c r="A18" t="s">
        <v>448</v>
      </c>
      <c r="B18" t="s">
        <v>474</v>
      </c>
      <c r="C18" t="s">
        <v>475</v>
      </c>
      <c r="D18" t="s">
        <v>451</v>
      </c>
      <c r="F18">
        <v>23.435022</v>
      </c>
      <c r="G18">
        <v>21.469132999999999</v>
      </c>
      <c r="H18">
        <v>19.205514999999998</v>
      </c>
      <c r="I18">
        <v>17.003976999999999</v>
      </c>
      <c r="J18">
        <v>15.932601999999999</v>
      </c>
      <c r="K18">
        <v>15.368119</v>
      </c>
      <c r="L18">
        <v>15.270111</v>
      </c>
      <c r="M18">
        <v>15.401593999999999</v>
      </c>
      <c r="N18">
        <v>15.727974</v>
      </c>
      <c r="O18">
        <v>16.148447000000001</v>
      </c>
      <c r="P18">
        <v>16.682365000000001</v>
      </c>
      <c r="Q18">
        <v>17.278717</v>
      </c>
      <c r="R18">
        <v>17.769476000000001</v>
      </c>
      <c r="S18">
        <v>18.054673999999999</v>
      </c>
      <c r="T18">
        <v>18.227862999999999</v>
      </c>
      <c r="U18">
        <v>18.434585999999999</v>
      </c>
      <c r="V18">
        <v>18.832412999999999</v>
      </c>
      <c r="W18">
        <v>18.834531999999999</v>
      </c>
      <c r="X18">
        <v>19.175160999999999</v>
      </c>
      <c r="Y18">
        <v>19.442757</v>
      </c>
      <c r="Z18">
        <v>19.555235</v>
      </c>
      <c r="AA18">
        <v>19.550401999999998</v>
      </c>
      <c r="AB18">
        <v>19.489827999999999</v>
      </c>
      <c r="AC18">
        <v>19.551672</v>
      </c>
      <c r="AD18">
        <v>19.545283999999999</v>
      </c>
      <c r="AE18">
        <v>19.586832000000001</v>
      </c>
      <c r="AF18">
        <v>19.694738000000001</v>
      </c>
      <c r="AG18">
        <v>19.679701000000001</v>
      </c>
      <c r="AH18">
        <v>19.630019999999998</v>
      </c>
      <c r="AI18" s="42">
        <v>-6.0000000000000001E-3</v>
      </c>
    </row>
    <row r="19" spans="1:35">
      <c r="A19" t="s">
        <v>452</v>
      </c>
      <c r="B19" t="s">
        <v>476</v>
      </c>
      <c r="C19" t="s">
        <v>477</v>
      </c>
      <c r="D19" t="s">
        <v>451</v>
      </c>
      <c r="F19">
        <v>37.203358000000001</v>
      </c>
      <c r="G19">
        <v>35.045029</v>
      </c>
      <c r="H19">
        <v>32.693610999999997</v>
      </c>
      <c r="I19">
        <v>29.886513000000001</v>
      </c>
      <c r="J19">
        <v>28.249786</v>
      </c>
      <c r="K19">
        <v>26.632543999999999</v>
      </c>
      <c r="L19">
        <v>25.171714999999999</v>
      </c>
      <c r="M19">
        <v>25.262353999999998</v>
      </c>
      <c r="N19">
        <v>25.276243000000001</v>
      </c>
      <c r="O19">
        <v>25.459845000000001</v>
      </c>
      <c r="P19">
        <v>25.549427000000001</v>
      </c>
      <c r="Q19">
        <v>25.668140000000001</v>
      </c>
      <c r="R19">
        <v>25.723274</v>
      </c>
      <c r="S19">
        <v>25.894307999999999</v>
      </c>
      <c r="T19">
        <v>25.922301999999998</v>
      </c>
      <c r="U19">
        <v>26.048563000000001</v>
      </c>
      <c r="V19">
        <v>26.142485000000001</v>
      </c>
      <c r="W19">
        <v>26.190964000000001</v>
      </c>
      <c r="X19">
        <v>26.245016</v>
      </c>
      <c r="Y19">
        <v>26.408749</v>
      </c>
      <c r="Z19">
        <v>26.410366</v>
      </c>
      <c r="AA19">
        <v>26.531033999999998</v>
      </c>
      <c r="AB19">
        <v>26.443542000000001</v>
      </c>
      <c r="AC19">
        <v>26.500875000000001</v>
      </c>
      <c r="AD19">
        <v>26.714877999999999</v>
      </c>
      <c r="AE19">
        <v>26.745991</v>
      </c>
      <c r="AF19">
        <v>26.785727000000001</v>
      </c>
      <c r="AG19">
        <v>26.860647</v>
      </c>
      <c r="AH19">
        <v>26.868725000000001</v>
      </c>
      <c r="AI19" s="42">
        <v>-1.2E-2</v>
      </c>
    </row>
    <row r="20" spans="1:35">
      <c r="A20" t="s">
        <v>466</v>
      </c>
      <c r="B20" t="s">
        <v>478</v>
      </c>
      <c r="C20" t="s">
        <v>479</v>
      </c>
      <c r="D20" t="s">
        <v>451</v>
      </c>
      <c r="F20">
        <v>12.32695</v>
      </c>
      <c r="G20">
        <v>7.6320290000000002</v>
      </c>
      <c r="H20">
        <v>9.1948840000000001</v>
      </c>
      <c r="I20">
        <v>9.5068769999999994</v>
      </c>
      <c r="J20">
        <v>10.981987</v>
      </c>
      <c r="K20">
        <v>12.470464</v>
      </c>
      <c r="L20">
        <v>13.929043</v>
      </c>
      <c r="M20">
        <v>14.02191</v>
      </c>
      <c r="N20">
        <v>14.111901</v>
      </c>
      <c r="O20">
        <v>14.226027</v>
      </c>
      <c r="P20">
        <v>14.329890000000001</v>
      </c>
      <c r="Q20">
        <v>14.424664</v>
      </c>
      <c r="R20">
        <v>14.528852000000001</v>
      </c>
      <c r="S20">
        <v>14.643457</v>
      </c>
      <c r="T20">
        <v>14.734311999999999</v>
      </c>
      <c r="U20">
        <v>14.834517999999999</v>
      </c>
      <c r="V20">
        <v>14.940911</v>
      </c>
      <c r="W20">
        <v>15.006621000000001</v>
      </c>
      <c r="X20">
        <v>15.091688</v>
      </c>
      <c r="Y20">
        <v>15.218106000000001</v>
      </c>
      <c r="Z20">
        <v>15.234455000000001</v>
      </c>
      <c r="AA20">
        <v>15.304069</v>
      </c>
      <c r="AB20">
        <v>15.351792</v>
      </c>
      <c r="AC20">
        <v>15.410126999999999</v>
      </c>
      <c r="AD20">
        <v>15.568989999999999</v>
      </c>
      <c r="AE20">
        <v>15.569898999999999</v>
      </c>
      <c r="AF20">
        <v>15.691525</v>
      </c>
      <c r="AG20">
        <v>15.782837000000001</v>
      </c>
      <c r="AH20">
        <v>15.852316999999999</v>
      </c>
      <c r="AI20" s="42">
        <v>8.9999999999999993E-3</v>
      </c>
    </row>
    <row r="21" spans="1:35">
      <c r="A21" t="s">
        <v>455</v>
      </c>
      <c r="B21" t="s">
        <v>480</v>
      </c>
      <c r="C21" t="s">
        <v>481</v>
      </c>
      <c r="D21" t="s">
        <v>451</v>
      </c>
      <c r="F21">
        <v>10.663194000000001</v>
      </c>
      <c r="G21">
        <v>9.9619979999999995</v>
      </c>
      <c r="H21">
        <v>8.2359460000000002</v>
      </c>
      <c r="I21">
        <v>7.3438319999999999</v>
      </c>
      <c r="J21">
        <v>6.7300009999999997</v>
      </c>
      <c r="K21">
        <v>6.1294930000000001</v>
      </c>
      <c r="L21">
        <v>5.7169860000000003</v>
      </c>
      <c r="M21">
        <v>6.0803060000000002</v>
      </c>
      <c r="N21">
        <v>5.9283580000000002</v>
      </c>
      <c r="O21">
        <v>5.818009</v>
      </c>
      <c r="P21">
        <v>6.0316470000000004</v>
      </c>
      <c r="Q21">
        <v>6.0463440000000004</v>
      </c>
      <c r="R21">
        <v>6.108441</v>
      </c>
      <c r="S21">
        <v>6.1854240000000003</v>
      </c>
      <c r="T21">
        <v>6.2331130000000003</v>
      </c>
      <c r="U21">
        <v>6.3212380000000001</v>
      </c>
      <c r="V21">
        <v>6.4660970000000004</v>
      </c>
      <c r="W21">
        <v>6.5118260000000001</v>
      </c>
      <c r="X21">
        <v>6.5528409999999999</v>
      </c>
      <c r="Y21">
        <v>6.6841419999999996</v>
      </c>
      <c r="Z21">
        <v>6.7457010000000004</v>
      </c>
      <c r="AA21">
        <v>6.7042400000000004</v>
      </c>
      <c r="AB21">
        <v>6.4113230000000003</v>
      </c>
      <c r="AC21">
        <v>6.7190390000000004</v>
      </c>
      <c r="AD21">
        <v>6.5995730000000004</v>
      </c>
      <c r="AE21">
        <v>6.5227510000000004</v>
      </c>
      <c r="AF21">
        <v>6.388903</v>
      </c>
      <c r="AG21">
        <v>6.473071</v>
      </c>
      <c r="AH21">
        <v>6.5880840000000003</v>
      </c>
      <c r="AI21" s="42">
        <v>-1.7000000000000001E-2</v>
      </c>
    </row>
    <row r="22" spans="1:35">
      <c r="A22" t="s">
        <v>482</v>
      </c>
      <c r="B22" t="s">
        <v>483</v>
      </c>
      <c r="C22" t="s">
        <v>484</v>
      </c>
      <c r="D22" t="s">
        <v>451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 t="s">
        <v>485</v>
      </c>
    </row>
    <row r="23" spans="1:35">
      <c r="A23" t="s">
        <v>486</v>
      </c>
      <c r="B23" t="s">
        <v>487</v>
      </c>
      <c r="C23" t="s">
        <v>488</v>
      </c>
      <c r="D23" t="s">
        <v>451</v>
      </c>
      <c r="F23">
        <v>4.5305900000000001</v>
      </c>
      <c r="G23">
        <v>4.4772639999999999</v>
      </c>
      <c r="H23">
        <v>4.6065500000000004</v>
      </c>
      <c r="I23">
        <v>4.708501</v>
      </c>
      <c r="J23">
        <v>4.6258699999999999</v>
      </c>
      <c r="K23">
        <v>4.7389270000000003</v>
      </c>
      <c r="L23">
        <v>4.7253379999999998</v>
      </c>
      <c r="M23">
        <v>4.7282089999999997</v>
      </c>
      <c r="N23">
        <v>4.738791</v>
      </c>
      <c r="O23">
        <v>4.7557200000000002</v>
      </c>
      <c r="P23">
        <v>4.7730249999999996</v>
      </c>
      <c r="Q23">
        <v>4.7968919999999997</v>
      </c>
      <c r="R23">
        <v>4.8289270000000002</v>
      </c>
      <c r="S23">
        <v>4.8609910000000003</v>
      </c>
      <c r="T23">
        <v>4.8950610000000001</v>
      </c>
      <c r="U23">
        <v>4.9391470000000002</v>
      </c>
      <c r="V23">
        <v>4.975149</v>
      </c>
      <c r="W23">
        <v>5.0046710000000001</v>
      </c>
      <c r="X23">
        <v>5.0230620000000004</v>
      </c>
      <c r="Y23">
        <v>4.5372209999999997</v>
      </c>
      <c r="Z23">
        <v>4.5248150000000003</v>
      </c>
      <c r="AA23">
        <v>4.5256439999999998</v>
      </c>
      <c r="AB23">
        <v>4.5256470000000002</v>
      </c>
      <c r="AC23">
        <v>4.5266000000000002</v>
      </c>
      <c r="AD23">
        <v>4.5262739999999999</v>
      </c>
      <c r="AE23">
        <v>4.5254570000000003</v>
      </c>
      <c r="AF23">
        <v>4.5247669999999998</v>
      </c>
      <c r="AG23">
        <v>4.5244540000000004</v>
      </c>
      <c r="AH23">
        <v>4.523593</v>
      </c>
      <c r="AI23" s="42">
        <v>0</v>
      </c>
    </row>
    <row r="24" spans="1:35">
      <c r="A24" t="s">
        <v>489</v>
      </c>
      <c r="B24" t="s">
        <v>490</v>
      </c>
      <c r="C24" t="s">
        <v>491</v>
      </c>
      <c r="D24" t="s">
        <v>451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 t="s">
        <v>485</v>
      </c>
    </row>
    <row r="25" spans="1:35">
      <c r="A25" t="s">
        <v>458</v>
      </c>
      <c r="B25" t="s">
        <v>492</v>
      </c>
      <c r="C25" t="s">
        <v>493</v>
      </c>
      <c r="D25" t="s">
        <v>451</v>
      </c>
      <c r="F25">
        <v>45.931590999999997</v>
      </c>
      <c r="G25">
        <v>49.932429999999997</v>
      </c>
      <c r="H25">
        <v>43.933334000000002</v>
      </c>
      <c r="I25">
        <v>41.788871999999998</v>
      </c>
      <c r="J25">
        <v>40.127388000000003</v>
      </c>
      <c r="K25">
        <v>39.323321999999997</v>
      </c>
      <c r="L25">
        <v>38.848174999999998</v>
      </c>
      <c r="M25">
        <v>38.389977000000002</v>
      </c>
      <c r="N25">
        <v>37.483566000000003</v>
      </c>
      <c r="O25">
        <v>37.324756999999998</v>
      </c>
      <c r="P25">
        <v>37.320628999999997</v>
      </c>
      <c r="Q25">
        <v>37.418788999999997</v>
      </c>
      <c r="R25">
        <v>38.335048999999998</v>
      </c>
      <c r="S25">
        <v>37.200386000000002</v>
      </c>
      <c r="T25">
        <v>37.952652</v>
      </c>
      <c r="U25">
        <v>37.962893999999999</v>
      </c>
      <c r="V25">
        <v>38.536304000000001</v>
      </c>
      <c r="W25">
        <v>38.414107999999999</v>
      </c>
      <c r="X25">
        <v>38.325133999999998</v>
      </c>
      <c r="Y25">
        <v>38.384433999999999</v>
      </c>
      <c r="Z25">
        <v>38.073081999999999</v>
      </c>
      <c r="AA25">
        <v>37.905701000000001</v>
      </c>
      <c r="AB25">
        <v>37.1614</v>
      </c>
      <c r="AC25">
        <v>36.873534999999997</v>
      </c>
      <c r="AD25">
        <v>36.747886999999999</v>
      </c>
      <c r="AE25">
        <v>36.331940000000003</v>
      </c>
      <c r="AF25">
        <v>36.250351000000002</v>
      </c>
      <c r="AG25">
        <v>34.988483000000002</v>
      </c>
      <c r="AH25">
        <v>34.699677000000001</v>
      </c>
      <c r="AI25" s="42">
        <v>-0.01</v>
      </c>
    </row>
    <row r="26" spans="1:35">
      <c r="A26" t="s">
        <v>494</v>
      </c>
    </row>
    <row r="27" spans="1:35">
      <c r="A27" t="s">
        <v>448</v>
      </c>
      <c r="B27" t="s">
        <v>495</v>
      </c>
      <c r="C27" t="s">
        <v>496</v>
      </c>
      <c r="D27" t="s">
        <v>451</v>
      </c>
      <c r="F27">
        <v>25.014406000000001</v>
      </c>
      <c r="G27">
        <v>23.506436999999998</v>
      </c>
      <c r="H27">
        <v>21.889357</v>
      </c>
      <c r="I27">
        <v>20.271560999999998</v>
      </c>
      <c r="J27">
        <v>19.473033999999998</v>
      </c>
      <c r="K27">
        <v>19.045855</v>
      </c>
      <c r="L27">
        <v>18.978645</v>
      </c>
      <c r="M27">
        <v>19.086238999999999</v>
      </c>
      <c r="N27">
        <v>19.343226999999999</v>
      </c>
      <c r="O27">
        <v>19.668521999999999</v>
      </c>
      <c r="P27">
        <v>20.076512999999998</v>
      </c>
      <c r="Q27">
        <v>20.525496</v>
      </c>
      <c r="R27">
        <v>20.888165999999998</v>
      </c>
      <c r="S27">
        <v>21.094849</v>
      </c>
      <c r="T27">
        <v>21.219695999999999</v>
      </c>
      <c r="U27">
        <v>21.371037000000001</v>
      </c>
      <c r="V27">
        <v>21.662762000000001</v>
      </c>
      <c r="W27">
        <v>21.658985000000001</v>
      </c>
      <c r="X27">
        <v>21.908761999999999</v>
      </c>
      <c r="Y27">
        <v>22.100033</v>
      </c>
      <c r="Z27">
        <v>22.178066000000001</v>
      </c>
      <c r="AA27">
        <v>22.172761999999999</v>
      </c>
      <c r="AB27">
        <v>22.128658000000001</v>
      </c>
      <c r="AC27">
        <v>22.174437000000001</v>
      </c>
      <c r="AD27">
        <v>22.1693</v>
      </c>
      <c r="AE27">
        <v>22.199697</v>
      </c>
      <c r="AF27">
        <v>22.277716000000002</v>
      </c>
      <c r="AG27">
        <v>22.265594</v>
      </c>
      <c r="AH27">
        <v>22.22974</v>
      </c>
      <c r="AI27" s="42">
        <v>-4.0000000000000001E-3</v>
      </c>
    </row>
    <row r="28" spans="1:35">
      <c r="A28" t="s">
        <v>497</v>
      </c>
      <c r="B28" t="s">
        <v>498</v>
      </c>
      <c r="C28" t="s">
        <v>499</v>
      </c>
      <c r="D28" t="s">
        <v>451</v>
      </c>
      <c r="F28">
        <v>46.926963999999998</v>
      </c>
      <c r="G28">
        <v>41.431015000000002</v>
      </c>
      <c r="H28">
        <v>33.679107999999999</v>
      </c>
      <c r="I28">
        <v>31.327594999999999</v>
      </c>
      <c r="J28">
        <v>30.908825</v>
      </c>
      <c r="K28">
        <v>30.69698</v>
      </c>
      <c r="L28">
        <v>30.435981999999999</v>
      </c>
      <c r="M28">
        <v>30.351976000000001</v>
      </c>
      <c r="N28">
        <v>30.459394</v>
      </c>
      <c r="O28">
        <v>30.438355999999999</v>
      </c>
      <c r="P28">
        <v>30.632601000000001</v>
      </c>
      <c r="Q28">
        <v>30.716639000000001</v>
      </c>
      <c r="R28">
        <v>30.871372000000001</v>
      </c>
      <c r="S28">
        <v>30.938953000000001</v>
      </c>
      <c r="T28">
        <v>31.341132999999999</v>
      </c>
      <c r="U28">
        <v>31.406471</v>
      </c>
      <c r="V28">
        <v>31.514624000000001</v>
      </c>
      <c r="W28">
        <v>31.667387000000002</v>
      </c>
      <c r="X28">
        <v>31.731487000000001</v>
      </c>
      <c r="Y28">
        <v>31.752300000000002</v>
      </c>
      <c r="Z28">
        <v>31.852367000000001</v>
      </c>
      <c r="AA28">
        <v>31.737504999999999</v>
      </c>
      <c r="AB28">
        <v>31.953249</v>
      </c>
      <c r="AC28">
        <v>31.953823</v>
      </c>
      <c r="AD28">
        <v>32.420982000000002</v>
      </c>
      <c r="AE28">
        <v>32.444496000000001</v>
      </c>
      <c r="AF28">
        <v>32.743614000000001</v>
      </c>
      <c r="AG28">
        <v>32.816662000000001</v>
      </c>
      <c r="AH28">
        <v>33.436832000000003</v>
      </c>
      <c r="AI28" s="42">
        <v>-1.2E-2</v>
      </c>
    </row>
    <row r="29" spans="1:35">
      <c r="A29" t="s">
        <v>500</v>
      </c>
      <c r="B29" t="s">
        <v>501</v>
      </c>
      <c r="C29" t="s">
        <v>502</v>
      </c>
      <c r="D29" t="s">
        <v>451</v>
      </c>
      <c r="F29">
        <v>35.534545999999999</v>
      </c>
      <c r="G29">
        <v>30.772873000000001</v>
      </c>
      <c r="H29">
        <v>27.723887999999999</v>
      </c>
      <c r="I29">
        <v>25.788174000000001</v>
      </c>
      <c r="J29">
        <v>25.443455</v>
      </c>
      <c r="K29">
        <v>25.269068000000001</v>
      </c>
      <c r="L29">
        <v>25.296617999999999</v>
      </c>
      <c r="M29">
        <v>25.349423999999999</v>
      </c>
      <c r="N29">
        <v>25.439139999999998</v>
      </c>
      <c r="O29">
        <v>25.421568000000001</v>
      </c>
      <c r="P29">
        <v>25.583798999999999</v>
      </c>
      <c r="Q29">
        <v>25.653981999999999</v>
      </c>
      <c r="R29">
        <v>25.783215999999999</v>
      </c>
      <c r="S29">
        <v>25.839661</v>
      </c>
      <c r="T29">
        <v>26.175552</v>
      </c>
      <c r="U29">
        <v>26.230122000000001</v>
      </c>
      <c r="V29">
        <v>26.320447999999999</v>
      </c>
      <c r="W29">
        <v>26.448032000000001</v>
      </c>
      <c r="X29">
        <v>26.501570000000001</v>
      </c>
      <c r="Y29">
        <v>26.518953</v>
      </c>
      <c r="Z29">
        <v>26.602526000000001</v>
      </c>
      <c r="AA29">
        <v>26.506595999999998</v>
      </c>
      <c r="AB29">
        <v>26.686781</v>
      </c>
      <c r="AC29">
        <v>26.687259999999998</v>
      </c>
      <c r="AD29">
        <v>27.077421000000001</v>
      </c>
      <c r="AE29">
        <v>27.097059000000002</v>
      </c>
      <c r="AF29">
        <v>27.346878</v>
      </c>
      <c r="AG29">
        <v>27.407888</v>
      </c>
      <c r="AH29">
        <v>27.656960000000002</v>
      </c>
      <c r="AI29" s="42">
        <v>-8.9999999999999993E-3</v>
      </c>
    </row>
    <row r="30" spans="1:35">
      <c r="A30" t="s">
        <v>503</v>
      </c>
      <c r="B30" t="s">
        <v>504</v>
      </c>
      <c r="C30" t="s">
        <v>505</v>
      </c>
      <c r="D30" t="s">
        <v>451</v>
      </c>
      <c r="F30">
        <v>26.789978000000001</v>
      </c>
      <c r="G30">
        <v>22.428818</v>
      </c>
      <c r="H30">
        <v>21.460245</v>
      </c>
      <c r="I30">
        <v>19.981511999999999</v>
      </c>
      <c r="J30">
        <v>19.796465000000001</v>
      </c>
      <c r="K30">
        <v>19.559277999999999</v>
      </c>
      <c r="L30">
        <v>19.502555999999998</v>
      </c>
      <c r="M30">
        <v>19.613838000000001</v>
      </c>
      <c r="N30">
        <v>19.625681</v>
      </c>
      <c r="O30">
        <v>19.856382</v>
      </c>
      <c r="P30">
        <v>19.967554</v>
      </c>
      <c r="Q30">
        <v>20.061584</v>
      </c>
      <c r="R30">
        <v>20.207808</v>
      </c>
      <c r="S30">
        <v>20.361691</v>
      </c>
      <c r="T30">
        <v>20.459906</v>
      </c>
      <c r="U30">
        <v>20.586126</v>
      </c>
      <c r="V30">
        <v>20.702508999999999</v>
      </c>
      <c r="W30">
        <v>20.789449999999999</v>
      </c>
      <c r="X30">
        <v>20.887798</v>
      </c>
      <c r="Y30">
        <v>21.087229000000001</v>
      </c>
      <c r="Z30">
        <v>21.135559000000001</v>
      </c>
      <c r="AA30">
        <v>21.286594000000001</v>
      </c>
      <c r="AB30">
        <v>21.218681</v>
      </c>
      <c r="AC30">
        <v>21.364730999999999</v>
      </c>
      <c r="AD30">
        <v>21.618369999999999</v>
      </c>
      <c r="AE30">
        <v>21.660709000000001</v>
      </c>
      <c r="AF30">
        <v>21.722977</v>
      </c>
      <c r="AG30">
        <v>21.819973000000001</v>
      </c>
      <c r="AH30">
        <v>21.851337000000001</v>
      </c>
      <c r="AI30" s="42">
        <v>-7.0000000000000001E-3</v>
      </c>
    </row>
    <row r="31" spans="1:35">
      <c r="A31" t="s">
        <v>506</v>
      </c>
      <c r="B31" t="s">
        <v>507</v>
      </c>
      <c r="C31" t="s">
        <v>508</v>
      </c>
      <c r="D31" t="s">
        <v>451</v>
      </c>
      <c r="F31">
        <v>37.603870000000001</v>
      </c>
      <c r="G31">
        <v>33.175961000000001</v>
      </c>
      <c r="H31">
        <v>31.440445</v>
      </c>
      <c r="I31">
        <v>29.246134000000001</v>
      </c>
      <c r="J31">
        <v>28.253439</v>
      </c>
      <c r="K31">
        <v>27.255057999999998</v>
      </c>
      <c r="L31">
        <v>26.443348</v>
      </c>
      <c r="M31">
        <v>26.527607</v>
      </c>
      <c r="N31">
        <v>26.552788</v>
      </c>
      <c r="O31">
        <v>26.719256999999999</v>
      </c>
      <c r="P31">
        <v>26.823581999999998</v>
      </c>
      <c r="Q31">
        <v>26.942841000000001</v>
      </c>
      <c r="R31">
        <v>26.985357</v>
      </c>
      <c r="S31">
        <v>27.192399999999999</v>
      </c>
      <c r="T31">
        <v>27.198633000000001</v>
      </c>
      <c r="U31">
        <v>27.335149999999999</v>
      </c>
      <c r="V31">
        <v>27.438946000000001</v>
      </c>
      <c r="W31">
        <v>27.479987999999999</v>
      </c>
      <c r="X31">
        <v>27.52487</v>
      </c>
      <c r="Y31">
        <v>27.695862000000002</v>
      </c>
      <c r="Z31">
        <v>27.705029</v>
      </c>
      <c r="AA31">
        <v>27.822063</v>
      </c>
      <c r="AB31">
        <v>27.722270999999999</v>
      </c>
      <c r="AC31">
        <v>27.755796</v>
      </c>
      <c r="AD31">
        <v>27.968416000000001</v>
      </c>
      <c r="AE31">
        <v>28.002274</v>
      </c>
      <c r="AF31">
        <v>28.048639000000001</v>
      </c>
      <c r="AG31">
        <v>28.112234000000001</v>
      </c>
      <c r="AH31">
        <v>28.122862000000001</v>
      </c>
      <c r="AI31" s="42">
        <v>-0.01</v>
      </c>
    </row>
    <row r="32" spans="1:35">
      <c r="A32" t="s">
        <v>466</v>
      </c>
      <c r="B32" t="s">
        <v>509</v>
      </c>
      <c r="C32" t="s">
        <v>510</v>
      </c>
      <c r="D32" t="s">
        <v>451</v>
      </c>
      <c r="F32">
        <v>10.278522000000001</v>
      </c>
      <c r="G32">
        <v>12.881493000000001</v>
      </c>
      <c r="H32">
        <v>14.311702</v>
      </c>
      <c r="I32">
        <v>13.311608</v>
      </c>
      <c r="J32">
        <v>13.37303</v>
      </c>
      <c r="K32">
        <v>13.454556</v>
      </c>
      <c r="L32">
        <v>13.514573</v>
      </c>
      <c r="M32">
        <v>13.613581999999999</v>
      </c>
      <c r="N32">
        <v>13.714392999999999</v>
      </c>
      <c r="O32">
        <v>13.844709999999999</v>
      </c>
      <c r="P32">
        <v>13.961005999999999</v>
      </c>
      <c r="Q32">
        <v>14.071747999999999</v>
      </c>
      <c r="R32">
        <v>14.186239</v>
      </c>
      <c r="S32">
        <v>14.309241999999999</v>
      </c>
      <c r="T32">
        <v>14.404500000000001</v>
      </c>
      <c r="U32">
        <v>14.510541</v>
      </c>
      <c r="V32">
        <v>14.625057</v>
      </c>
      <c r="W32">
        <v>14.694319999999999</v>
      </c>
      <c r="X32">
        <v>14.788550000000001</v>
      </c>
      <c r="Y32">
        <v>14.912687</v>
      </c>
      <c r="Z32">
        <v>14.929245</v>
      </c>
      <c r="AA32">
        <v>14.994185</v>
      </c>
      <c r="AB32">
        <v>15.041369</v>
      </c>
      <c r="AC32">
        <v>15.097467999999999</v>
      </c>
      <c r="AD32">
        <v>15.253529</v>
      </c>
      <c r="AE32">
        <v>15.253920000000001</v>
      </c>
      <c r="AF32">
        <v>15.37116</v>
      </c>
      <c r="AG32">
        <v>15.45801</v>
      </c>
      <c r="AH32">
        <v>15.525159</v>
      </c>
      <c r="AI32" s="42">
        <v>1.4999999999999999E-2</v>
      </c>
    </row>
    <row r="33" spans="1:35">
      <c r="A33" t="s">
        <v>455</v>
      </c>
      <c r="B33" t="s">
        <v>511</v>
      </c>
      <c r="C33" t="s">
        <v>512</v>
      </c>
      <c r="D33" t="s">
        <v>451</v>
      </c>
      <c r="F33">
        <v>21.007607</v>
      </c>
      <c r="G33">
        <v>20.159089999999999</v>
      </c>
      <c r="H33">
        <v>18.439045</v>
      </c>
      <c r="I33">
        <v>17.548622000000002</v>
      </c>
      <c r="J33">
        <v>16.932129</v>
      </c>
      <c r="K33">
        <v>16.353241000000001</v>
      </c>
      <c r="L33">
        <v>15.924137</v>
      </c>
      <c r="M33">
        <v>16.073596999999999</v>
      </c>
      <c r="N33">
        <v>15.828166</v>
      </c>
      <c r="O33">
        <v>15.61816</v>
      </c>
      <c r="P33">
        <v>15.630549</v>
      </c>
      <c r="Q33">
        <v>15.478099</v>
      </c>
      <c r="R33">
        <v>15.347898000000001</v>
      </c>
      <c r="S33">
        <v>15.221071</v>
      </c>
      <c r="T33">
        <v>15.065677000000001</v>
      </c>
      <c r="U33">
        <v>14.943752</v>
      </c>
      <c r="V33">
        <v>14.873576</v>
      </c>
      <c r="W33">
        <v>14.721766000000001</v>
      </c>
      <c r="X33">
        <v>14.575456000000001</v>
      </c>
      <c r="Y33">
        <v>14.515000000000001</v>
      </c>
      <c r="Z33">
        <v>14.402927</v>
      </c>
      <c r="AA33">
        <v>14.209338000000001</v>
      </c>
      <c r="AB33">
        <v>13.801373999999999</v>
      </c>
      <c r="AC33">
        <v>13.935195</v>
      </c>
      <c r="AD33">
        <v>13.696346999999999</v>
      </c>
      <c r="AE33">
        <v>13.484089000000001</v>
      </c>
      <c r="AF33">
        <v>13.233896</v>
      </c>
      <c r="AG33">
        <v>13.200483</v>
      </c>
      <c r="AH33">
        <v>13.209904999999999</v>
      </c>
      <c r="AI33" s="42">
        <v>-1.6E-2</v>
      </c>
    </row>
    <row r="34" spans="1:35">
      <c r="A34" t="s">
        <v>458</v>
      </c>
      <c r="B34" t="s">
        <v>513</v>
      </c>
      <c r="C34" t="s">
        <v>514</v>
      </c>
      <c r="D34" t="s">
        <v>451</v>
      </c>
      <c r="F34">
        <v>56.810580999999999</v>
      </c>
      <c r="G34">
        <v>63.741917000000001</v>
      </c>
      <c r="H34">
        <v>57.923115000000003</v>
      </c>
      <c r="I34">
        <v>56.998958999999999</v>
      </c>
      <c r="J34">
        <v>56.248936</v>
      </c>
      <c r="K34">
        <v>56.139468999999998</v>
      </c>
      <c r="L34">
        <v>56.047153000000002</v>
      </c>
      <c r="M34">
        <v>55.843421999999997</v>
      </c>
      <c r="N34">
        <v>55.238235000000003</v>
      </c>
      <c r="O34">
        <v>55.162467999999997</v>
      </c>
      <c r="P34">
        <v>55.490653999999999</v>
      </c>
      <c r="Q34">
        <v>55.525860000000002</v>
      </c>
      <c r="R34">
        <v>55.932479999999998</v>
      </c>
      <c r="S34">
        <v>55.360976999999998</v>
      </c>
      <c r="T34">
        <v>55.625095000000002</v>
      </c>
      <c r="U34">
        <v>55.680649000000003</v>
      </c>
      <c r="V34">
        <v>56.149357000000002</v>
      </c>
      <c r="W34">
        <v>55.904544999999999</v>
      </c>
      <c r="X34">
        <v>56.404921999999999</v>
      </c>
      <c r="Y34">
        <v>56.400967000000001</v>
      </c>
      <c r="Z34">
        <v>56.022281999999997</v>
      </c>
      <c r="AA34">
        <v>55.713115999999999</v>
      </c>
      <c r="AB34">
        <v>54.977001000000001</v>
      </c>
      <c r="AC34">
        <v>54.606762000000003</v>
      </c>
      <c r="AD34">
        <v>54.284840000000003</v>
      </c>
      <c r="AE34">
        <v>53.628112999999999</v>
      </c>
      <c r="AF34">
        <v>53.270935000000001</v>
      </c>
      <c r="AG34">
        <v>52.241157999999999</v>
      </c>
      <c r="AH34">
        <v>51.677177</v>
      </c>
      <c r="AI34" s="42">
        <v>-3.0000000000000001E-3</v>
      </c>
    </row>
    <row r="35" spans="1:35">
      <c r="A35" t="s">
        <v>515</v>
      </c>
    </row>
    <row r="36" spans="1:35">
      <c r="A36" t="s">
        <v>452</v>
      </c>
      <c r="B36" t="s">
        <v>516</v>
      </c>
      <c r="C36" t="s">
        <v>517</v>
      </c>
      <c r="D36" t="s">
        <v>451</v>
      </c>
      <c r="F36">
        <v>33.932487000000002</v>
      </c>
      <c r="G36">
        <v>31.462648000000002</v>
      </c>
      <c r="H36">
        <v>29.186896999999998</v>
      </c>
      <c r="I36">
        <v>26.457609000000001</v>
      </c>
      <c r="J36">
        <v>24.843821999999999</v>
      </c>
      <c r="K36">
        <v>23.265018000000001</v>
      </c>
      <c r="L36">
        <v>21.767945999999998</v>
      </c>
      <c r="M36">
        <v>21.842123000000001</v>
      </c>
      <c r="N36">
        <v>21.851599</v>
      </c>
      <c r="O36">
        <v>22.032278000000002</v>
      </c>
      <c r="P36">
        <v>22.105367999999999</v>
      </c>
      <c r="Q36">
        <v>22.17886</v>
      </c>
      <c r="R36">
        <v>22.277096</v>
      </c>
      <c r="S36">
        <v>22.358093</v>
      </c>
      <c r="T36">
        <v>22.442800999999999</v>
      </c>
      <c r="U36">
        <v>22.542905999999999</v>
      </c>
      <c r="V36">
        <v>22.629746999999998</v>
      </c>
      <c r="W36">
        <v>22.683662000000002</v>
      </c>
      <c r="X36">
        <v>22.750353</v>
      </c>
      <c r="Y36">
        <v>22.920614</v>
      </c>
      <c r="Z36">
        <v>22.939627000000002</v>
      </c>
      <c r="AA36">
        <v>23.063513</v>
      </c>
      <c r="AB36">
        <v>22.983633000000001</v>
      </c>
      <c r="AC36">
        <v>23.101258999999999</v>
      </c>
      <c r="AD36">
        <v>23.330797</v>
      </c>
      <c r="AE36">
        <v>23.344636999999999</v>
      </c>
      <c r="AF36">
        <v>23.386751</v>
      </c>
      <c r="AG36">
        <v>23.469469</v>
      </c>
      <c r="AH36">
        <v>23.481918</v>
      </c>
      <c r="AI36" s="42">
        <v>-1.2999999999999999E-2</v>
      </c>
    </row>
    <row r="37" spans="1:35">
      <c r="A37" t="s">
        <v>466</v>
      </c>
      <c r="B37" t="s">
        <v>518</v>
      </c>
      <c r="C37" t="s">
        <v>519</v>
      </c>
      <c r="D37" t="s">
        <v>451</v>
      </c>
      <c r="F37">
        <v>19.402708000000001</v>
      </c>
      <c r="G37">
        <v>16.243092999999998</v>
      </c>
      <c r="H37">
        <v>16.083735000000001</v>
      </c>
      <c r="I37">
        <v>14.673515</v>
      </c>
      <c r="J37">
        <v>14.426413999999999</v>
      </c>
      <c r="K37">
        <v>14.192677</v>
      </c>
      <c r="L37">
        <v>13.929043</v>
      </c>
      <c r="M37">
        <v>14.02191</v>
      </c>
      <c r="N37">
        <v>14.111901</v>
      </c>
      <c r="O37">
        <v>14.226027</v>
      </c>
      <c r="P37">
        <v>14.329890000000001</v>
      </c>
      <c r="Q37">
        <v>14.424664</v>
      </c>
      <c r="R37">
        <v>14.528852000000001</v>
      </c>
      <c r="S37">
        <v>14.643457</v>
      </c>
      <c r="T37">
        <v>14.734311999999999</v>
      </c>
      <c r="U37">
        <v>14.834517999999999</v>
      </c>
      <c r="V37">
        <v>14.940911</v>
      </c>
      <c r="W37">
        <v>15.006621000000001</v>
      </c>
      <c r="X37">
        <v>15.091688</v>
      </c>
      <c r="Y37">
        <v>15.218106000000001</v>
      </c>
      <c r="Z37">
        <v>15.234455000000001</v>
      </c>
      <c r="AA37">
        <v>15.304069</v>
      </c>
      <c r="AB37">
        <v>15.351792</v>
      </c>
      <c r="AC37">
        <v>15.410126999999999</v>
      </c>
      <c r="AD37">
        <v>15.568989999999999</v>
      </c>
      <c r="AE37">
        <v>15.569898999999999</v>
      </c>
      <c r="AF37">
        <v>15.691525</v>
      </c>
      <c r="AG37">
        <v>15.782837000000001</v>
      </c>
      <c r="AH37">
        <v>15.852316999999999</v>
      </c>
      <c r="AI37" s="42">
        <v>-7.0000000000000001E-3</v>
      </c>
    </row>
    <row r="38" spans="1:35">
      <c r="A38" t="s">
        <v>455</v>
      </c>
      <c r="B38" t="s">
        <v>520</v>
      </c>
      <c r="C38" t="s">
        <v>521</v>
      </c>
      <c r="D38" t="s">
        <v>451</v>
      </c>
      <c r="F38">
        <v>8.3086490000000008</v>
      </c>
      <c r="G38">
        <v>6.6847120000000002</v>
      </c>
      <c r="H38">
        <v>5.1941269999999999</v>
      </c>
      <c r="I38">
        <v>4.2135939999999996</v>
      </c>
      <c r="J38">
        <v>3.6256689999999998</v>
      </c>
      <c r="K38">
        <v>3.13443</v>
      </c>
      <c r="L38">
        <v>2.876058</v>
      </c>
      <c r="M38">
        <v>3.03356</v>
      </c>
      <c r="N38">
        <v>2.9148360000000002</v>
      </c>
      <c r="O38">
        <v>2.8286950000000002</v>
      </c>
      <c r="P38">
        <v>3.0163519999999999</v>
      </c>
      <c r="Q38">
        <v>2.9971930000000002</v>
      </c>
      <c r="R38">
        <v>3.0663140000000002</v>
      </c>
      <c r="S38">
        <v>3.1592259999999999</v>
      </c>
      <c r="T38">
        <v>3.231528</v>
      </c>
      <c r="U38">
        <v>3.2939919999999998</v>
      </c>
      <c r="V38">
        <v>3.4559299999999999</v>
      </c>
      <c r="W38">
        <v>3.515431</v>
      </c>
      <c r="X38">
        <v>3.5900629999999998</v>
      </c>
      <c r="Y38">
        <v>3.7655379999999998</v>
      </c>
      <c r="Z38">
        <v>3.788926</v>
      </c>
      <c r="AA38">
        <v>3.7337500000000001</v>
      </c>
      <c r="AB38">
        <v>3.5921509999999999</v>
      </c>
      <c r="AC38">
        <v>3.651824</v>
      </c>
      <c r="AD38">
        <v>3.564594</v>
      </c>
      <c r="AE38">
        <v>3.5151189999999999</v>
      </c>
      <c r="AF38">
        <v>3.4444219999999999</v>
      </c>
      <c r="AG38">
        <v>3.4530599999999998</v>
      </c>
      <c r="AH38">
        <v>3.5075889999999998</v>
      </c>
      <c r="AI38" s="42">
        <v>-0.03</v>
      </c>
    </row>
    <row r="39" spans="1:35">
      <c r="A39" t="s">
        <v>522</v>
      </c>
      <c r="B39" t="s">
        <v>523</v>
      </c>
      <c r="C39" t="s">
        <v>524</v>
      </c>
      <c r="D39" t="s">
        <v>451</v>
      </c>
      <c r="F39">
        <v>0</v>
      </c>
      <c r="G39">
        <v>0</v>
      </c>
      <c r="H39">
        <v>3.4481989999999998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 t="s">
        <v>485</v>
      </c>
    </row>
    <row r="40" spans="1:35">
      <c r="A40" t="s">
        <v>525</v>
      </c>
      <c r="B40" t="s">
        <v>526</v>
      </c>
      <c r="C40" t="s">
        <v>527</v>
      </c>
      <c r="D40" t="s">
        <v>451</v>
      </c>
      <c r="F40">
        <v>0.71087199999999995</v>
      </c>
      <c r="G40">
        <v>0.71079999999999999</v>
      </c>
      <c r="H40">
        <v>0.71073900000000001</v>
      </c>
      <c r="I40">
        <v>0.710677</v>
      </c>
      <c r="J40">
        <v>0.71060599999999996</v>
      </c>
      <c r="K40">
        <v>0.71054399999999995</v>
      </c>
      <c r="L40">
        <v>0.71048199999999995</v>
      </c>
      <c r="M40">
        <v>0.71041100000000001</v>
      </c>
      <c r="N40">
        <v>0.71034900000000001</v>
      </c>
      <c r="O40">
        <v>0.71027700000000005</v>
      </c>
      <c r="P40">
        <v>0.71021599999999996</v>
      </c>
      <c r="Q40">
        <v>0.71015399999999995</v>
      </c>
      <c r="R40">
        <v>0.71008300000000002</v>
      </c>
      <c r="S40">
        <v>0.71002100000000001</v>
      </c>
      <c r="T40">
        <v>0.70994900000000005</v>
      </c>
      <c r="U40">
        <v>0.70988799999999996</v>
      </c>
      <c r="V40">
        <v>0.70982599999999996</v>
      </c>
      <c r="W40">
        <v>0.70975500000000002</v>
      </c>
      <c r="X40">
        <v>0.70969300000000002</v>
      </c>
      <c r="Y40">
        <v>0.70963100000000001</v>
      </c>
      <c r="Z40">
        <v>0.70955999999999997</v>
      </c>
      <c r="AA40">
        <v>0.70949799999999996</v>
      </c>
      <c r="AB40">
        <v>0.709426</v>
      </c>
      <c r="AC40">
        <v>0.70936500000000002</v>
      </c>
      <c r="AD40">
        <v>0.70930300000000002</v>
      </c>
      <c r="AE40">
        <v>0.70923199999999997</v>
      </c>
      <c r="AF40">
        <v>0.70916999999999997</v>
      </c>
      <c r="AG40">
        <v>0.70910799999999996</v>
      </c>
      <c r="AH40">
        <v>0.70903700000000003</v>
      </c>
      <c r="AI40" s="42">
        <v>0</v>
      </c>
    </row>
    <row r="41" spans="1:35">
      <c r="A41" t="s">
        <v>528</v>
      </c>
    </row>
    <row r="42" spans="1:35">
      <c r="A42" t="s">
        <v>448</v>
      </c>
      <c r="B42" t="s">
        <v>529</v>
      </c>
      <c r="C42" t="s">
        <v>530</v>
      </c>
      <c r="D42" t="s">
        <v>451</v>
      </c>
      <c r="F42">
        <v>31.982057999999999</v>
      </c>
      <c r="G42">
        <v>33.124034999999999</v>
      </c>
      <c r="H42">
        <v>32.652264000000002</v>
      </c>
      <c r="I42">
        <v>31.069303999999999</v>
      </c>
      <c r="J42">
        <v>29.826902</v>
      </c>
      <c r="K42">
        <v>28.929438000000001</v>
      </c>
      <c r="L42">
        <v>28.489533999999999</v>
      </c>
      <c r="M42">
        <v>28.366372999999999</v>
      </c>
      <c r="N42">
        <v>28.519708999999999</v>
      </c>
      <c r="O42">
        <v>28.851837</v>
      </c>
      <c r="P42">
        <v>29.348942000000001</v>
      </c>
      <c r="Q42">
        <v>29.960045000000001</v>
      </c>
      <c r="R42">
        <v>30.53314</v>
      </c>
      <c r="S42">
        <v>30.949791000000001</v>
      </c>
      <c r="T42">
        <v>31.241045</v>
      </c>
      <c r="U42">
        <v>31.514854</v>
      </c>
      <c r="V42">
        <v>31.918911000000001</v>
      </c>
      <c r="W42">
        <v>32.042416000000003</v>
      </c>
      <c r="X42">
        <v>32.365046999999997</v>
      </c>
      <c r="Y42">
        <v>32.661746999999998</v>
      </c>
      <c r="Z42">
        <v>32.840308999999998</v>
      </c>
      <c r="AA42">
        <v>32.899535999999998</v>
      </c>
      <c r="AB42">
        <v>32.877353999999997</v>
      </c>
      <c r="AC42">
        <v>32.919486999999997</v>
      </c>
      <c r="AD42">
        <v>32.913604999999997</v>
      </c>
      <c r="AE42">
        <v>32.933731000000002</v>
      </c>
      <c r="AF42">
        <v>33.008082999999999</v>
      </c>
      <c r="AG42">
        <v>33.001117999999998</v>
      </c>
      <c r="AH42">
        <v>32.952022999999997</v>
      </c>
      <c r="AI42" s="42">
        <v>1E-3</v>
      </c>
    </row>
    <row r="43" spans="1:35">
      <c r="A43" t="s">
        <v>497</v>
      </c>
      <c r="B43" t="s">
        <v>531</v>
      </c>
      <c r="C43" t="s">
        <v>532</v>
      </c>
      <c r="D43" t="s">
        <v>451</v>
      </c>
      <c r="F43">
        <v>46.926963999999998</v>
      </c>
      <c r="G43">
        <v>41.431015000000002</v>
      </c>
      <c r="H43">
        <v>33.679107999999999</v>
      </c>
      <c r="I43">
        <v>31.327594999999999</v>
      </c>
      <c r="J43">
        <v>30.908825</v>
      </c>
      <c r="K43">
        <v>30.69698</v>
      </c>
      <c r="L43">
        <v>30.435981999999999</v>
      </c>
      <c r="M43">
        <v>30.351976000000001</v>
      </c>
      <c r="N43">
        <v>30.459394</v>
      </c>
      <c r="O43">
        <v>30.438355999999999</v>
      </c>
      <c r="P43">
        <v>30.632601000000001</v>
      </c>
      <c r="Q43">
        <v>30.716639000000001</v>
      </c>
      <c r="R43">
        <v>30.871372000000001</v>
      </c>
      <c r="S43">
        <v>30.938953000000001</v>
      </c>
      <c r="T43">
        <v>31.341132999999999</v>
      </c>
      <c r="U43">
        <v>31.406471</v>
      </c>
      <c r="V43">
        <v>31.514624000000001</v>
      </c>
      <c r="W43">
        <v>31.667387000000002</v>
      </c>
      <c r="X43">
        <v>31.731487000000001</v>
      </c>
      <c r="Y43">
        <v>31.752300000000002</v>
      </c>
      <c r="Z43">
        <v>31.852367000000001</v>
      </c>
      <c r="AA43">
        <v>31.737504999999999</v>
      </c>
      <c r="AB43">
        <v>31.953249</v>
      </c>
      <c r="AC43">
        <v>31.953823</v>
      </c>
      <c r="AD43">
        <v>32.420982000000002</v>
      </c>
      <c r="AE43">
        <v>32.444496000000001</v>
      </c>
      <c r="AF43">
        <v>32.743614000000001</v>
      </c>
      <c r="AG43">
        <v>32.816662000000001</v>
      </c>
      <c r="AH43">
        <v>33.436832000000003</v>
      </c>
      <c r="AI43" s="42">
        <v>-1.2E-2</v>
      </c>
    </row>
    <row r="44" spans="1:35">
      <c r="A44" t="s">
        <v>500</v>
      </c>
      <c r="B44" t="s">
        <v>533</v>
      </c>
      <c r="C44" t="s">
        <v>534</v>
      </c>
      <c r="D44" t="s">
        <v>451</v>
      </c>
      <c r="F44">
        <v>35.533957999999998</v>
      </c>
      <c r="G44">
        <v>30.730181000000002</v>
      </c>
      <c r="H44">
        <v>27.726927</v>
      </c>
      <c r="I44">
        <v>25.810728000000001</v>
      </c>
      <c r="J44">
        <v>25.467804000000001</v>
      </c>
      <c r="K44">
        <v>25.284143</v>
      </c>
      <c r="L44">
        <v>25.296617999999999</v>
      </c>
      <c r="M44">
        <v>25.349422000000001</v>
      </c>
      <c r="N44">
        <v>25.439142</v>
      </c>
      <c r="O44">
        <v>25.421568000000001</v>
      </c>
      <c r="P44">
        <v>25.583798999999999</v>
      </c>
      <c r="Q44">
        <v>25.653981999999999</v>
      </c>
      <c r="R44">
        <v>25.783215999999999</v>
      </c>
      <c r="S44">
        <v>25.839661</v>
      </c>
      <c r="T44">
        <v>26.175552</v>
      </c>
      <c r="U44">
        <v>26.230125000000001</v>
      </c>
      <c r="V44">
        <v>26.320447999999999</v>
      </c>
      <c r="W44">
        <v>26.448034</v>
      </c>
      <c r="X44">
        <v>26.501567999999999</v>
      </c>
      <c r="Y44">
        <v>26.518954999999998</v>
      </c>
      <c r="Z44">
        <v>26.602526000000001</v>
      </c>
      <c r="AA44">
        <v>26.506595999999998</v>
      </c>
      <c r="AB44">
        <v>26.686781</v>
      </c>
      <c r="AC44">
        <v>26.687259999999998</v>
      </c>
      <c r="AD44">
        <v>27.077421000000001</v>
      </c>
      <c r="AE44">
        <v>27.097061</v>
      </c>
      <c r="AF44">
        <v>27.346878</v>
      </c>
      <c r="AG44">
        <v>27.407888</v>
      </c>
      <c r="AH44">
        <v>27.656960000000002</v>
      </c>
      <c r="AI44" s="42">
        <v>-8.9999999999999993E-3</v>
      </c>
    </row>
    <row r="45" spans="1:35">
      <c r="A45" t="s">
        <v>503</v>
      </c>
      <c r="B45" t="s">
        <v>535</v>
      </c>
      <c r="C45" t="s">
        <v>536</v>
      </c>
      <c r="D45" t="s">
        <v>451</v>
      </c>
      <c r="F45">
        <v>26.789978000000001</v>
      </c>
      <c r="G45">
        <v>22.428818</v>
      </c>
      <c r="H45">
        <v>21.460245</v>
      </c>
      <c r="I45">
        <v>19.981511999999999</v>
      </c>
      <c r="J45">
        <v>19.796465000000001</v>
      </c>
      <c r="K45">
        <v>19.559277999999999</v>
      </c>
      <c r="L45">
        <v>19.502555999999998</v>
      </c>
      <c r="M45">
        <v>19.613838000000001</v>
      </c>
      <c r="N45">
        <v>19.625681</v>
      </c>
      <c r="O45">
        <v>19.856382</v>
      </c>
      <c r="P45">
        <v>19.967554</v>
      </c>
      <c r="Q45">
        <v>20.061584</v>
      </c>
      <c r="R45">
        <v>20.207808</v>
      </c>
      <c r="S45">
        <v>20.361691</v>
      </c>
      <c r="T45">
        <v>20.459906</v>
      </c>
      <c r="U45">
        <v>20.586126</v>
      </c>
      <c r="V45">
        <v>20.702508999999999</v>
      </c>
      <c r="W45">
        <v>20.789449999999999</v>
      </c>
      <c r="X45">
        <v>20.887798</v>
      </c>
      <c r="Y45">
        <v>21.087229000000001</v>
      </c>
      <c r="Z45">
        <v>21.135559000000001</v>
      </c>
      <c r="AA45">
        <v>21.286594000000001</v>
      </c>
      <c r="AB45">
        <v>21.218681</v>
      </c>
      <c r="AC45">
        <v>21.364730999999999</v>
      </c>
      <c r="AD45">
        <v>21.618369999999999</v>
      </c>
      <c r="AE45">
        <v>21.660709000000001</v>
      </c>
      <c r="AF45">
        <v>21.722977</v>
      </c>
      <c r="AG45">
        <v>21.819973000000001</v>
      </c>
      <c r="AH45">
        <v>21.851337000000001</v>
      </c>
      <c r="AI45" s="42">
        <v>-7.0000000000000001E-3</v>
      </c>
    </row>
    <row r="46" spans="1:35">
      <c r="A46" t="s">
        <v>452</v>
      </c>
      <c r="B46" t="s">
        <v>537</v>
      </c>
      <c r="C46" t="s">
        <v>538</v>
      </c>
      <c r="D46" t="s">
        <v>451</v>
      </c>
      <c r="F46">
        <v>36.524802999999999</v>
      </c>
      <c r="G46">
        <v>33.296554999999998</v>
      </c>
      <c r="H46">
        <v>31.714478</v>
      </c>
      <c r="I46">
        <v>29.689905</v>
      </c>
      <c r="J46">
        <v>28.850360999999999</v>
      </c>
      <c r="K46">
        <v>28.028534000000001</v>
      </c>
      <c r="L46">
        <v>27.380179999999999</v>
      </c>
      <c r="M46">
        <v>27.469010999999998</v>
      </c>
      <c r="N46">
        <v>27.479551000000001</v>
      </c>
      <c r="O46">
        <v>27.660259</v>
      </c>
      <c r="P46">
        <v>27.748059999999999</v>
      </c>
      <c r="Q46">
        <v>27.872872999999998</v>
      </c>
      <c r="R46">
        <v>27.912094</v>
      </c>
      <c r="S46">
        <v>28.098513000000001</v>
      </c>
      <c r="T46">
        <v>28.107655000000001</v>
      </c>
      <c r="U46">
        <v>28.234877000000001</v>
      </c>
      <c r="V46">
        <v>28.324733999999999</v>
      </c>
      <c r="W46">
        <v>28.366343000000001</v>
      </c>
      <c r="X46">
        <v>28.411303</v>
      </c>
      <c r="Y46">
        <v>28.567169</v>
      </c>
      <c r="Z46">
        <v>28.558702</v>
      </c>
      <c r="AA46">
        <v>28.672318000000001</v>
      </c>
      <c r="AB46">
        <v>28.577314000000001</v>
      </c>
      <c r="AC46">
        <v>28.613474</v>
      </c>
      <c r="AD46">
        <v>28.817824999999999</v>
      </c>
      <c r="AE46">
        <v>28.847321000000001</v>
      </c>
      <c r="AF46">
        <v>28.880503000000001</v>
      </c>
      <c r="AG46">
        <v>28.947368999999998</v>
      </c>
      <c r="AH46">
        <v>28.947123999999999</v>
      </c>
      <c r="AI46" s="42">
        <v>-8.0000000000000002E-3</v>
      </c>
    </row>
    <row r="47" spans="1:35">
      <c r="A47" t="s">
        <v>466</v>
      </c>
      <c r="B47" t="s">
        <v>539</v>
      </c>
      <c r="C47" t="s">
        <v>540</v>
      </c>
      <c r="D47" t="s">
        <v>451</v>
      </c>
      <c r="F47">
        <v>12.230528</v>
      </c>
      <c r="G47">
        <v>8.2323199999999996</v>
      </c>
      <c r="H47">
        <v>9.7422400000000007</v>
      </c>
      <c r="I47">
        <v>9.9385309999999993</v>
      </c>
      <c r="J47">
        <v>11.273020000000001</v>
      </c>
      <c r="K47">
        <v>12.604634000000001</v>
      </c>
      <c r="L47">
        <v>13.886400999999999</v>
      </c>
      <c r="M47">
        <v>13.979877</v>
      </c>
      <c r="N47">
        <v>14.071624999999999</v>
      </c>
      <c r="O47">
        <v>14.187559</v>
      </c>
      <c r="P47">
        <v>14.292992</v>
      </c>
      <c r="Q47">
        <v>14.389754</v>
      </c>
      <c r="R47">
        <v>14.49553</v>
      </c>
      <c r="S47">
        <v>14.611431</v>
      </c>
      <c r="T47">
        <v>14.703405</v>
      </c>
      <c r="U47">
        <v>14.804582999999999</v>
      </c>
      <c r="V47">
        <v>14.912245</v>
      </c>
      <c r="W47">
        <v>14.979236</v>
      </c>
      <c r="X47">
        <v>15.065617</v>
      </c>
      <c r="Y47">
        <v>15.192627</v>
      </c>
      <c r="Z47">
        <v>15.208859</v>
      </c>
      <c r="AA47">
        <v>15.278629</v>
      </c>
      <c r="AB47">
        <v>15.326969999999999</v>
      </c>
      <c r="AC47">
        <v>15.384884</v>
      </c>
      <c r="AD47">
        <v>15.543806</v>
      </c>
      <c r="AE47">
        <v>15.544879999999999</v>
      </c>
      <c r="AF47">
        <v>15.666432</v>
      </c>
      <c r="AG47">
        <v>15.757626</v>
      </c>
      <c r="AH47">
        <v>15.826589999999999</v>
      </c>
      <c r="AI47" s="42">
        <v>8.9999999999999993E-3</v>
      </c>
    </row>
    <row r="48" spans="1:35">
      <c r="A48" t="s">
        <v>455</v>
      </c>
      <c r="B48" t="s">
        <v>541</v>
      </c>
      <c r="C48" t="s">
        <v>542</v>
      </c>
      <c r="D48" t="s">
        <v>451</v>
      </c>
      <c r="F48">
        <v>12.422352</v>
      </c>
      <c r="G48">
        <v>11.645284</v>
      </c>
      <c r="H48">
        <v>10.390109000000001</v>
      </c>
      <c r="I48">
        <v>10.087323</v>
      </c>
      <c r="J48">
        <v>9.9570349999999994</v>
      </c>
      <c r="K48">
        <v>9.7727970000000006</v>
      </c>
      <c r="L48">
        <v>9.6843240000000002</v>
      </c>
      <c r="M48">
        <v>9.8155269999999994</v>
      </c>
      <c r="N48">
        <v>9.9642060000000008</v>
      </c>
      <c r="O48">
        <v>9.897017</v>
      </c>
      <c r="P48">
        <v>9.9854880000000001</v>
      </c>
      <c r="Q48">
        <v>10.079525</v>
      </c>
      <c r="R48">
        <v>10.124224999999999</v>
      </c>
      <c r="S48">
        <v>10.18441</v>
      </c>
      <c r="T48">
        <v>10.156663</v>
      </c>
      <c r="U48">
        <v>10.249674000000001</v>
      </c>
      <c r="V48">
        <v>10.269441</v>
      </c>
      <c r="W48">
        <v>10.239817</v>
      </c>
      <c r="X48">
        <v>10.321892999999999</v>
      </c>
      <c r="Y48">
        <v>10.287464</v>
      </c>
      <c r="Z48">
        <v>10.265370000000001</v>
      </c>
      <c r="AA48">
        <v>10.259434000000001</v>
      </c>
      <c r="AB48">
        <v>10.407225</v>
      </c>
      <c r="AC48">
        <v>10.555816</v>
      </c>
      <c r="AD48">
        <v>10.542144</v>
      </c>
      <c r="AE48">
        <v>10.523823</v>
      </c>
      <c r="AF48">
        <v>10.486224</v>
      </c>
      <c r="AG48">
        <v>10.510426000000001</v>
      </c>
      <c r="AH48">
        <v>10.515295999999999</v>
      </c>
      <c r="AI48" s="42">
        <v>-6.0000000000000001E-3</v>
      </c>
    </row>
    <row r="49" spans="1:35">
      <c r="A49" t="s">
        <v>482</v>
      </c>
      <c r="B49" t="s">
        <v>543</v>
      </c>
      <c r="C49" t="s">
        <v>544</v>
      </c>
      <c r="D49" t="s">
        <v>451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 t="s">
        <v>485</v>
      </c>
    </row>
    <row r="50" spans="1:35">
      <c r="A50" t="s">
        <v>545</v>
      </c>
      <c r="B50" t="s">
        <v>546</v>
      </c>
      <c r="C50" t="s">
        <v>547</v>
      </c>
      <c r="D50" t="s">
        <v>451</v>
      </c>
      <c r="F50">
        <v>0.14932100000000001</v>
      </c>
      <c r="G50">
        <v>0.13029399999999999</v>
      </c>
      <c r="H50">
        <v>3.4863469999999999</v>
      </c>
      <c r="I50">
        <v>4.7079089999999999</v>
      </c>
      <c r="J50">
        <v>4.6253089999999997</v>
      </c>
      <c r="K50">
        <v>4.7383050000000004</v>
      </c>
      <c r="L50">
        <v>4.7247029999999999</v>
      </c>
      <c r="M50">
        <v>4.7275510000000001</v>
      </c>
      <c r="N50">
        <v>4.7381070000000003</v>
      </c>
      <c r="O50">
        <v>4.755007</v>
      </c>
      <c r="P50">
        <v>4.7722819999999997</v>
      </c>
      <c r="Q50">
        <v>4.7961159999999996</v>
      </c>
      <c r="R50">
        <v>4.8281150000000004</v>
      </c>
      <c r="S50">
        <v>4.860144</v>
      </c>
      <c r="T50">
        <v>4.8941720000000002</v>
      </c>
      <c r="U50">
        <v>4.9382109999999999</v>
      </c>
      <c r="V50">
        <v>4.97417</v>
      </c>
      <c r="W50">
        <v>5.003647</v>
      </c>
      <c r="X50">
        <v>5.0220019999999996</v>
      </c>
      <c r="Y50">
        <v>4.5364060000000004</v>
      </c>
      <c r="Z50">
        <v>4.5239849999999997</v>
      </c>
      <c r="AA50">
        <v>4.5247900000000003</v>
      </c>
      <c r="AB50">
        <v>4.5247669999999998</v>
      </c>
      <c r="AC50">
        <v>4.5256949999999998</v>
      </c>
      <c r="AD50">
        <v>4.5253410000000001</v>
      </c>
      <c r="AE50">
        <v>4.5244960000000001</v>
      </c>
      <c r="AF50">
        <v>4.279617</v>
      </c>
      <c r="AG50">
        <v>3.92293</v>
      </c>
      <c r="AH50">
        <v>3.6800799999999998</v>
      </c>
      <c r="AI50" s="42">
        <v>0.121</v>
      </c>
    </row>
    <row r="51" spans="1:35">
      <c r="A51" t="s">
        <v>489</v>
      </c>
      <c r="B51" t="s">
        <v>548</v>
      </c>
      <c r="C51" t="s">
        <v>549</v>
      </c>
      <c r="D51" t="s">
        <v>451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 t="s">
        <v>485</v>
      </c>
    </row>
    <row r="52" spans="1:35">
      <c r="A52" t="s">
        <v>458</v>
      </c>
      <c r="B52" t="s">
        <v>550</v>
      </c>
      <c r="C52" t="s">
        <v>551</v>
      </c>
      <c r="D52" t="s">
        <v>451</v>
      </c>
      <c r="F52">
        <v>60.315361000000003</v>
      </c>
      <c r="G52">
        <v>63.619328000000003</v>
      </c>
      <c r="H52">
        <v>58.802253999999998</v>
      </c>
      <c r="I52">
        <v>57.705303000000001</v>
      </c>
      <c r="J52">
        <v>56.841437999999997</v>
      </c>
      <c r="K52">
        <v>56.507835</v>
      </c>
      <c r="L52">
        <v>56.506081000000002</v>
      </c>
      <c r="M52">
        <v>56.458542000000001</v>
      </c>
      <c r="N52">
        <v>55.993481000000003</v>
      </c>
      <c r="O52">
        <v>56.212727000000001</v>
      </c>
      <c r="P52">
        <v>56.545326000000003</v>
      </c>
      <c r="Q52">
        <v>56.925510000000003</v>
      </c>
      <c r="R52">
        <v>58.918663000000002</v>
      </c>
      <c r="S52">
        <v>57.643943999999998</v>
      </c>
      <c r="T52">
        <v>59.299114000000003</v>
      </c>
      <c r="U52">
        <v>59.575885999999997</v>
      </c>
      <c r="V52">
        <v>60.454208000000001</v>
      </c>
      <c r="W52">
        <v>60.569122</v>
      </c>
      <c r="X52">
        <v>60.781368000000001</v>
      </c>
      <c r="Y52">
        <v>61.062054000000003</v>
      </c>
      <c r="Z52">
        <v>60.884777</v>
      </c>
      <c r="AA52">
        <v>60.900596999999998</v>
      </c>
      <c r="AB52">
        <v>60.069777999999999</v>
      </c>
      <c r="AC52">
        <v>59.855434000000002</v>
      </c>
      <c r="AD52">
        <v>59.919079000000004</v>
      </c>
      <c r="AE52">
        <v>59.53434</v>
      </c>
      <c r="AF52">
        <v>59.652133999999997</v>
      </c>
      <c r="AG52">
        <v>58.344932999999997</v>
      </c>
      <c r="AH52">
        <v>58.124389999999998</v>
      </c>
      <c r="AI52" s="42">
        <v>-1E-3</v>
      </c>
    </row>
    <row r="53" spans="1:35">
      <c r="A53" t="s">
        <v>552</v>
      </c>
    </row>
    <row r="54" spans="1:35">
      <c r="A54" t="s">
        <v>553</v>
      </c>
    </row>
    <row r="55" spans="1:35">
      <c r="A55" t="s">
        <v>447</v>
      </c>
      <c r="B55" t="s">
        <v>554</v>
      </c>
      <c r="C55" t="s">
        <v>555</v>
      </c>
      <c r="D55" t="s">
        <v>556</v>
      </c>
      <c r="F55">
        <v>23.399477000000001</v>
      </c>
      <c r="G55">
        <v>23.072872</v>
      </c>
      <c r="H55">
        <v>21.114422000000001</v>
      </c>
      <c r="I55">
        <v>20.512633999999998</v>
      </c>
      <c r="J55">
        <v>20.206306000000001</v>
      </c>
      <c r="K55">
        <v>19.9907</v>
      </c>
      <c r="L55">
        <v>19.873192</v>
      </c>
      <c r="M55">
        <v>19.870674000000001</v>
      </c>
      <c r="N55">
        <v>19.764831999999998</v>
      </c>
      <c r="O55">
        <v>19.822603000000001</v>
      </c>
      <c r="P55">
        <v>19.919215999999999</v>
      </c>
      <c r="Q55">
        <v>20.086106999999998</v>
      </c>
      <c r="R55">
        <v>20.507819999999999</v>
      </c>
      <c r="S55">
        <v>20.433765000000001</v>
      </c>
      <c r="T55">
        <v>20.827712999999999</v>
      </c>
      <c r="U55">
        <v>21.018318000000001</v>
      </c>
      <c r="V55">
        <v>21.297798</v>
      </c>
      <c r="W55">
        <v>21.445650000000001</v>
      </c>
      <c r="X55">
        <v>21.638092</v>
      </c>
      <c r="Y55">
        <v>21.845279999999999</v>
      </c>
      <c r="Z55">
        <v>21.963215000000002</v>
      </c>
      <c r="AA55">
        <v>22.122097</v>
      </c>
      <c r="AB55">
        <v>22.097542000000001</v>
      </c>
      <c r="AC55">
        <v>22.233844999999999</v>
      </c>
      <c r="AD55">
        <v>22.419398999999999</v>
      </c>
      <c r="AE55">
        <v>22.512177999999999</v>
      </c>
      <c r="AF55">
        <v>22.696933999999999</v>
      </c>
      <c r="AG55">
        <v>22.626857999999999</v>
      </c>
      <c r="AH55">
        <v>22.775130999999998</v>
      </c>
      <c r="AI55" s="42">
        <v>-1E-3</v>
      </c>
    </row>
    <row r="56" spans="1:35">
      <c r="A56" t="s">
        <v>461</v>
      </c>
      <c r="B56" t="s">
        <v>557</v>
      </c>
      <c r="C56" t="s">
        <v>558</v>
      </c>
      <c r="D56" t="s">
        <v>556</v>
      </c>
      <c r="F56">
        <v>14.943353</v>
      </c>
      <c r="G56">
        <v>15.362403</v>
      </c>
      <c r="H56">
        <v>13.623834</v>
      </c>
      <c r="I56">
        <v>12.975428000000001</v>
      </c>
      <c r="J56">
        <v>12.626461000000001</v>
      </c>
      <c r="K56">
        <v>12.352899000000001</v>
      </c>
      <c r="L56">
        <v>12.287648000000001</v>
      </c>
      <c r="M56">
        <v>12.224081</v>
      </c>
      <c r="N56">
        <v>12.146069000000001</v>
      </c>
      <c r="O56">
        <v>12.169916000000001</v>
      </c>
      <c r="P56">
        <v>12.204027</v>
      </c>
      <c r="Q56">
        <v>12.254837</v>
      </c>
      <c r="R56">
        <v>12.497263</v>
      </c>
      <c r="S56">
        <v>12.275817</v>
      </c>
      <c r="T56">
        <v>12.4636</v>
      </c>
      <c r="U56">
        <v>12.465306999999999</v>
      </c>
      <c r="V56">
        <v>12.553038000000001</v>
      </c>
      <c r="W56">
        <v>12.531145</v>
      </c>
      <c r="X56">
        <v>12.514595</v>
      </c>
      <c r="Y56">
        <v>12.530938000000001</v>
      </c>
      <c r="Z56">
        <v>12.492283</v>
      </c>
      <c r="AA56">
        <v>12.476972</v>
      </c>
      <c r="AB56">
        <v>12.347809</v>
      </c>
      <c r="AC56">
        <v>12.318884000000001</v>
      </c>
      <c r="AD56">
        <v>12.316381</v>
      </c>
      <c r="AE56">
        <v>12.267341999999999</v>
      </c>
      <c r="AF56">
        <v>12.282753</v>
      </c>
      <c r="AG56">
        <v>12.090999</v>
      </c>
      <c r="AH56">
        <v>12.096268</v>
      </c>
      <c r="AI56" s="42">
        <v>-8.0000000000000002E-3</v>
      </c>
    </row>
    <row r="57" spans="1:35">
      <c r="A57" t="s">
        <v>473</v>
      </c>
      <c r="B57" t="s">
        <v>559</v>
      </c>
      <c r="C57" t="s">
        <v>560</v>
      </c>
      <c r="D57" t="s">
        <v>556</v>
      </c>
      <c r="F57">
        <v>5.2647830000000004</v>
      </c>
      <c r="G57">
        <v>5.1291840000000004</v>
      </c>
      <c r="H57">
        <v>4.4725320000000002</v>
      </c>
      <c r="I57">
        <v>4.2747919999999997</v>
      </c>
      <c r="J57">
        <v>4.1359890000000004</v>
      </c>
      <c r="K57">
        <v>4.0408580000000001</v>
      </c>
      <c r="L57">
        <v>3.9774210000000001</v>
      </c>
      <c r="M57">
        <v>4.0110020000000004</v>
      </c>
      <c r="N57">
        <v>3.9521359999999999</v>
      </c>
      <c r="O57">
        <v>3.9395760000000002</v>
      </c>
      <c r="P57">
        <v>3.974774</v>
      </c>
      <c r="Q57">
        <v>3.9963250000000001</v>
      </c>
      <c r="R57">
        <v>4.0732419999999996</v>
      </c>
      <c r="S57">
        <v>4.0455059999999996</v>
      </c>
      <c r="T57">
        <v>4.116206</v>
      </c>
      <c r="U57">
        <v>4.1559280000000003</v>
      </c>
      <c r="V57">
        <v>4.2333270000000001</v>
      </c>
      <c r="W57">
        <v>4.2559769999999997</v>
      </c>
      <c r="X57">
        <v>4.2844129999999998</v>
      </c>
      <c r="Y57">
        <v>4.3375459999999997</v>
      </c>
      <c r="Z57">
        <v>4.358517</v>
      </c>
      <c r="AA57">
        <v>4.3658289999999997</v>
      </c>
      <c r="AB57">
        <v>4.3147609999999998</v>
      </c>
      <c r="AC57">
        <v>4.362997</v>
      </c>
      <c r="AD57">
        <v>4.3806760000000002</v>
      </c>
      <c r="AE57">
        <v>4.377167</v>
      </c>
      <c r="AF57">
        <v>4.3803450000000002</v>
      </c>
      <c r="AG57">
        <v>4.3411819999999999</v>
      </c>
      <c r="AH57">
        <v>4.3774009999999999</v>
      </c>
      <c r="AI57" s="42">
        <v>-7.0000000000000001E-3</v>
      </c>
    </row>
    <row r="58" spans="1:35">
      <c r="A58" t="s">
        <v>494</v>
      </c>
      <c r="B58" t="s">
        <v>561</v>
      </c>
      <c r="C58" t="s">
        <v>562</v>
      </c>
      <c r="D58" t="s">
        <v>556</v>
      </c>
      <c r="F58">
        <v>31.473344999999998</v>
      </c>
      <c r="G58">
        <v>27.832743000000001</v>
      </c>
      <c r="H58">
        <v>25.447378</v>
      </c>
      <c r="I58">
        <v>23.309190999999998</v>
      </c>
      <c r="J58">
        <v>22.619976000000001</v>
      </c>
      <c r="K58">
        <v>22.098938</v>
      </c>
      <c r="L58">
        <v>21.733585000000001</v>
      </c>
      <c r="M58">
        <v>21.499617000000001</v>
      </c>
      <c r="N58">
        <v>21.23386</v>
      </c>
      <c r="O58">
        <v>20.951983999999999</v>
      </c>
      <c r="P58">
        <v>20.798309</v>
      </c>
      <c r="Q58">
        <v>20.631924000000001</v>
      </c>
      <c r="R58">
        <v>20.539873</v>
      </c>
      <c r="S58">
        <v>20.412265999999999</v>
      </c>
      <c r="T58">
        <v>20.413055</v>
      </c>
      <c r="U58">
        <v>20.311001000000001</v>
      </c>
      <c r="V58">
        <v>20.272295</v>
      </c>
      <c r="W58">
        <v>20.218958000000001</v>
      </c>
      <c r="X58">
        <v>20.200975</v>
      </c>
      <c r="Y58">
        <v>20.179023999999998</v>
      </c>
      <c r="Z58">
        <v>20.149764999999999</v>
      </c>
      <c r="AA58">
        <v>20.077038000000002</v>
      </c>
      <c r="AB58">
        <v>20.079685000000001</v>
      </c>
      <c r="AC58">
        <v>20.062912000000001</v>
      </c>
      <c r="AD58">
        <v>20.277964000000001</v>
      </c>
      <c r="AE58">
        <v>20.299876999999999</v>
      </c>
      <c r="AF58">
        <v>20.448256000000001</v>
      </c>
      <c r="AG58">
        <v>20.498501000000001</v>
      </c>
      <c r="AH58">
        <v>20.678761999999999</v>
      </c>
      <c r="AI58" s="42">
        <v>-1.4999999999999999E-2</v>
      </c>
    </row>
    <row r="59" spans="1:35">
      <c r="A59" t="s">
        <v>563</v>
      </c>
      <c r="B59" t="s">
        <v>564</v>
      </c>
      <c r="C59" t="s">
        <v>565</v>
      </c>
      <c r="D59" t="s">
        <v>556</v>
      </c>
      <c r="F59">
        <v>75.080956</v>
      </c>
      <c r="G59">
        <v>71.397201999999993</v>
      </c>
      <c r="H59">
        <v>64.658164999999997</v>
      </c>
      <c r="I59">
        <v>61.072043999999998</v>
      </c>
      <c r="J59">
        <v>59.588734000000002</v>
      </c>
      <c r="K59">
        <v>58.483395000000002</v>
      </c>
      <c r="L59">
        <v>57.871845</v>
      </c>
      <c r="M59">
        <v>57.605376999999997</v>
      </c>
      <c r="N59">
        <v>57.096896999999998</v>
      </c>
      <c r="O59">
        <v>56.884079</v>
      </c>
      <c r="P59">
        <v>56.896327999999997</v>
      </c>
      <c r="Q59">
        <v>56.969192999999997</v>
      </c>
      <c r="R59">
        <v>57.618195</v>
      </c>
      <c r="S59">
        <v>57.167355000000001</v>
      </c>
      <c r="T59">
        <v>57.820576000000003</v>
      </c>
      <c r="U59">
        <v>57.950558000000001</v>
      </c>
      <c r="V59">
        <v>58.356461000000003</v>
      </c>
      <c r="W59">
        <v>58.451729</v>
      </c>
      <c r="X59">
        <v>58.638077000000003</v>
      </c>
      <c r="Y59">
        <v>58.892788000000003</v>
      </c>
      <c r="Z59">
        <v>58.963779000000002</v>
      </c>
      <c r="AA59">
        <v>59.041935000000002</v>
      </c>
      <c r="AB59">
        <v>58.839798000000002</v>
      </c>
      <c r="AC59">
        <v>58.978637999999997</v>
      </c>
      <c r="AD59">
        <v>59.394416999999997</v>
      </c>
      <c r="AE59">
        <v>59.456561999999998</v>
      </c>
      <c r="AF59">
        <v>59.808289000000002</v>
      </c>
      <c r="AG59">
        <v>59.557541000000001</v>
      </c>
      <c r="AH59">
        <v>59.927567000000003</v>
      </c>
      <c r="AI59" s="42">
        <v>-8.0000000000000002E-3</v>
      </c>
    </row>
    <row r="60" spans="1:35">
      <c r="A60" t="s">
        <v>566</v>
      </c>
      <c r="B60" t="s">
        <v>567</v>
      </c>
      <c r="C60" t="s">
        <v>568</v>
      </c>
      <c r="D60" t="s">
        <v>556</v>
      </c>
      <c r="F60">
        <v>1.4669E-2</v>
      </c>
      <c r="G60">
        <v>1.3372999999999999E-2</v>
      </c>
      <c r="H60">
        <v>1.1949E-2</v>
      </c>
      <c r="I60">
        <v>1.0992999999999999E-2</v>
      </c>
      <c r="J60">
        <v>1.0463E-2</v>
      </c>
      <c r="K60">
        <v>9.9740000000000002E-3</v>
      </c>
      <c r="L60">
        <v>9.7689999999999999E-3</v>
      </c>
      <c r="M60">
        <v>9.3849999999999992E-3</v>
      </c>
      <c r="N60">
        <v>8.8710000000000004E-3</v>
      </c>
      <c r="O60">
        <v>8.345E-3</v>
      </c>
      <c r="P60">
        <v>7.8949999999999992E-3</v>
      </c>
      <c r="Q60">
        <v>7.4729999999999996E-3</v>
      </c>
      <c r="R60">
        <v>7.1159999999999999E-3</v>
      </c>
      <c r="S60">
        <v>6.7869999999999996E-3</v>
      </c>
      <c r="T60">
        <v>6.5449999999999996E-3</v>
      </c>
      <c r="U60">
        <v>6.3099999999999996E-3</v>
      </c>
      <c r="V60">
        <v>6.13E-3</v>
      </c>
      <c r="W60">
        <v>5.9959999999999996E-3</v>
      </c>
      <c r="X60">
        <v>5.8950000000000001E-3</v>
      </c>
      <c r="Y60">
        <v>5.8100000000000001E-3</v>
      </c>
      <c r="Z60">
        <v>5.757E-3</v>
      </c>
      <c r="AA60">
        <v>5.6930000000000001E-3</v>
      </c>
      <c r="AB60">
        <v>5.6889999999999996E-3</v>
      </c>
      <c r="AC60">
        <v>5.6600000000000001E-3</v>
      </c>
      <c r="AD60">
        <v>5.7060000000000001E-3</v>
      </c>
      <c r="AE60">
        <v>5.7109999999999999E-3</v>
      </c>
      <c r="AF60">
        <v>5.7540000000000004E-3</v>
      </c>
      <c r="AG60">
        <v>5.7809999999999997E-3</v>
      </c>
      <c r="AH60">
        <v>5.666E-3</v>
      </c>
      <c r="AI60" s="42">
        <v>-3.3000000000000002E-2</v>
      </c>
    </row>
    <row r="61" spans="1:35">
      <c r="A61" t="s">
        <v>569</v>
      </c>
      <c r="B61" t="s">
        <v>570</v>
      </c>
      <c r="C61" t="s">
        <v>571</v>
      </c>
      <c r="D61" t="s">
        <v>556</v>
      </c>
      <c r="F61">
        <v>75.095626999999993</v>
      </c>
      <c r="G61">
        <v>71.410576000000006</v>
      </c>
      <c r="H61">
        <v>64.670113000000001</v>
      </c>
      <c r="I61">
        <v>61.083038000000002</v>
      </c>
      <c r="J61">
        <v>59.599196999999997</v>
      </c>
      <c r="K61">
        <v>58.493369999999999</v>
      </c>
      <c r="L61">
        <v>57.881614999999996</v>
      </c>
      <c r="M61">
        <v>57.614761000000001</v>
      </c>
      <c r="N61">
        <v>57.105766000000003</v>
      </c>
      <c r="O61">
        <v>56.892426</v>
      </c>
      <c r="P61">
        <v>56.904223999999999</v>
      </c>
      <c r="Q61">
        <v>56.976664999999997</v>
      </c>
      <c r="R61">
        <v>57.625312999999998</v>
      </c>
      <c r="S61">
        <v>57.174140999999999</v>
      </c>
      <c r="T61">
        <v>57.827122000000003</v>
      </c>
      <c r="U61">
        <v>57.956867000000003</v>
      </c>
      <c r="V61">
        <v>58.362591000000002</v>
      </c>
      <c r="W61">
        <v>58.457726000000001</v>
      </c>
      <c r="X61">
        <v>58.643970000000003</v>
      </c>
      <c r="Y61">
        <v>58.898598</v>
      </c>
      <c r="Z61">
        <v>58.969535999999998</v>
      </c>
      <c r="AA61">
        <v>59.047626000000001</v>
      </c>
      <c r="AB61">
        <v>58.845486000000001</v>
      </c>
      <c r="AC61">
        <v>58.984299</v>
      </c>
      <c r="AD61">
        <v>59.400123999999998</v>
      </c>
      <c r="AE61">
        <v>59.462273000000003</v>
      </c>
      <c r="AF61">
        <v>59.814041000000003</v>
      </c>
      <c r="AG61">
        <v>59.563324000000001</v>
      </c>
      <c r="AH61">
        <v>59.933230999999999</v>
      </c>
      <c r="AI61" s="42">
        <v>-8.0000000000000002E-3</v>
      </c>
    </row>
    <row r="62" spans="1:35">
      <c r="A62" t="s">
        <v>572</v>
      </c>
    </row>
    <row r="63" spans="1:35">
      <c r="A63" t="s">
        <v>447</v>
      </c>
    </row>
    <row r="64" spans="1:35">
      <c r="A64" t="s">
        <v>448</v>
      </c>
      <c r="B64" t="s">
        <v>573</v>
      </c>
      <c r="C64" t="s">
        <v>574</v>
      </c>
      <c r="D64" t="s">
        <v>575</v>
      </c>
      <c r="F64">
        <v>34.065528999999998</v>
      </c>
      <c r="G64">
        <v>38.046135</v>
      </c>
      <c r="H64">
        <v>39.304188000000003</v>
      </c>
      <c r="I64">
        <v>38.788181000000002</v>
      </c>
      <c r="J64">
        <v>38.179988999999999</v>
      </c>
      <c r="K64">
        <v>37.821438000000001</v>
      </c>
      <c r="L64">
        <v>37.946689999999997</v>
      </c>
      <c r="M64">
        <v>38.510624</v>
      </c>
      <c r="N64">
        <v>39.495373000000001</v>
      </c>
      <c r="O64">
        <v>40.817284000000001</v>
      </c>
      <c r="P64">
        <v>42.441772</v>
      </c>
      <c r="Q64">
        <v>44.343288000000001</v>
      </c>
      <c r="R64">
        <v>46.323855999999999</v>
      </c>
      <c r="S64">
        <v>48.161673999999998</v>
      </c>
      <c r="T64">
        <v>49.848166999999997</v>
      </c>
      <c r="U64">
        <v>51.489753999999998</v>
      </c>
      <c r="V64">
        <v>53.321095</v>
      </c>
      <c r="W64">
        <v>54.836334000000001</v>
      </c>
      <c r="X64">
        <v>56.632271000000003</v>
      </c>
      <c r="Y64">
        <v>58.476013000000002</v>
      </c>
      <c r="Z64">
        <v>60.214030999999999</v>
      </c>
      <c r="AA64">
        <v>61.811515999999997</v>
      </c>
      <c r="AB64">
        <v>63.291355000000003</v>
      </c>
      <c r="AC64">
        <v>64.883018000000007</v>
      </c>
      <c r="AD64">
        <v>66.457618999999994</v>
      </c>
      <c r="AE64">
        <v>68.110946999999996</v>
      </c>
      <c r="AF64">
        <v>69.913878999999994</v>
      </c>
      <c r="AG64">
        <v>71.643234000000007</v>
      </c>
      <c r="AH64">
        <v>73.331778999999997</v>
      </c>
      <c r="AI64" s="42">
        <v>2.8000000000000001E-2</v>
      </c>
    </row>
    <row r="65" spans="1:35">
      <c r="A65" t="s">
        <v>452</v>
      </c>
      <c r="B65" t="s">
        <v>576</v>
      </c>
      <c r="C65" t="s">
        <v>577</v>
      </c>
      <c r="D65" t="s">
        <v>575</v>
      </c>
      <c r="F65">
        <v>35.156283999999999</v>
      </c>
      <c r="G65">
        <v>34.083987999999998</v>
      </c>
      <c r="H65">
        <v>33.661144</v>
      </c>
      <c r="I65">
        <v>32.615963000000001</v>
      </c>
      <c r="J65">
        <v>32.813350999999997</v>
      </c>
      <c r="K65">
        <v>33.029494999999997</v>
      </c>
      <c r="L65">
        <v>33.449103999999998</v>
      </c>
      <c r="M65">
        <v>34.295577999999999</v>
      </c>
      <c r="N65">
        <v>35.079982999999999</v>
      </c>
      <c r="O65">
        <v>36.110573000000002</v>
      </c>
      <c r="P65">
        <v>37.057994999999998</v>
      </c>
      <c r="Q65">
        <v>38.105671000000001</v>
      </c>
      <c r="R65">
        <v>39.076720999999999</v>
      </c>
      <c r="S65">
        <v>40.258082999999999</v>
      </c>
      <c r="T65">
        <v>41.202637000000003</v>
      </c>
      <c r="U65">
        <v>42.31485</v>
      </c>
      <c r="V65">
        <v>43.390453000000001</v>
      </c>
      <c r="W65">
        <v>44.413330000000002</v>
      </c>
      <c r="X65">
        <v>45.480834999999999</v>
      </c>
      <c r="Y65">
        <v>46.752322999999997</v>
      </c>
      <c r="Z65">
        <v>47.803024000000001</v>
      </c>
      <c r="AA65">
        <v>49.093440999999999</v>
      </c>
      <c r="AB65">
        <v>50.078429999999997</v>
      </c>
      <c r="AC65">
        <v>51.313918999999999</v>
      </c>
      <c r="AD65">
        <v>52.890869000000002</v>
      </c>
      <c r="AE65">
        <v>54.212283999999997</v>
      </c>
      <c r="AF65">
        <v>55.582538999999997</v>
      </c>
      <c r="AG65">
        <v>57.052531999999999</v>
      </c>
      <c r="AH65">
        <v>58.443908999999998</v>
      </c>
      <c r="AI65" s="42">
        <v>1.7999999999999999E-2</v>
      </c>
    </row>
    <row r="66" spans="1:35">
      <c r="A66" t="s">
        <v>455</v>
      </c>
      <c r="B66" t="s">
        <v>578</v>
      </c>
      <c r="C66" t="s">
        <v>579</v>
      </c>
      <c r="D66" t="s">
        <v>575</v>
      </c>
      <c r="F66">
        <v>19.015127</v>
      </c>
      <c r="G66">
        <v>19.031319</v>
      </c>
      <c r="H66">
        <v>17.915863000000002</v>
      </c>
      <c r="I66">
        <v>17.656728999999999</v>
      </c>
      <c r="J66">
        <v>17.672782999999999</v>
      </c>
      <c r="K66">
        <v>17.761265000000002</v>
      </c>
      <c r="L66">
        <v>17.913029000000002</v>
      </c>
      <c r="M66">
        <v>18.292068</v>
      </c>
      <c r="N66">
        <v>18.644821</v>
      </c>
      <c r="O66">
        <v>19.043527999999998</v>
      </c>
      <c r="P66">
        <v>19.499549999999999</v>
      </c>
      <c r="Q66">
        <v>19.997292000000002</v>
      </c>
      <c r="R66">
        <v>20.515718</v>
      </c>
      <c r="S66">
        <v>21.040464</v>
      </c>
      <c r="T66">
        <v>21.568338000000001</v>
      </c>
      <c r="U66">
        <v>22.101357</v>
      </c>
      <c r="V66">
        <v>22.665699</v>
      </c>
      <c r="W66">
        <v>23.203721999999999</v>
      </c>
      <c r="X66">
        <v>23.783615000000001</v>
      </c>
      <c r="Y66">
        <v>24.37961</v>
      </c>
      <c r="Z66">
        <v>24.962702</v>
      </c>
      <c r="AA66">
        <v>25.542044000000001</v>
      </c>
      <c r="AB66">
        <v>26.103415999999999</v>
      </c>
      <c r="AC66">
        <v>26.767662000000001</v>
      </c>
      <c r="AD66">
        <v>27.398551999999999</v>
      </c>
      <c r="AE66">
        <v>28.043693999999999</v>
      </c>
      <c r="AF66">
        <v>28.704654999999999</v>
      </c>
      <c r="AG66">
        <v>29.414504999999998</v>
      </c>
      <c r="AH66">
        <v>30.171873000000001</v>
      </c>
      <c r="AI66" s="42">
        <v>1.7000000000000001E-2</v>
      </c>
    </row>
    <row r="67" spans="1:35">
      <c r="A67" t="s">
        <v>458</v>
      </c>
      <c r="B67" t="s">
        <v>580</v>
      </c>
      <c r="C67" t="s">
        <v>581</v>
      </c>
      <c r="D67" t="s">
        <v>575</v>
      </c>
      <c r="F67">
        <v>67.820694000000003</v>
      </c>
      <c r="G67">
        <v>72.771049000000005</v>
      </c>
      <c r="H67">
        <v>70.344475000000003</v>
      </c>
      <c r="I67">
        <v>70.911293000000001</v>
      </c>
      <c r="J67">
        <v>71.829230999999993</v>
      </c>
      <c r="K67">
        <v>73.276236999999995</v>
      </c>
      <c r="L67">
        <v>75.170180999999999</v>
      </c>
      <c r="M67">
        <v>77.265906999999999</v>
      </c>
      <c r="N67">
        <v>78.687415999999999</v>
      </c>
      <c r="O67">
        <v>81.110039</v>
      </c>
      <c r="P67">
        <v>83.886680999999996</v>
      </c>
      <c r="Q67">
        <v>86.615143000000003</v>
      </c>
      <c r="R67">
        <v>91.757011000000006</v>
      </c>
      <c r="S67">
        <v>92.441322</v>
      </c>
      <c r="T67">
        <v>97.168221000000003</v>
      </c>
      <c r="U67">
        <v>99.966881000000001</v>
      </c>
      <c r="V67">
        <v>103.592361</v>
      </c>
      <c r="W67">
        <v>106.194565</v>
      </c>
      <c r="X67">
        <v>109.13415500000001</v>
      </c>
      <c r="Y67">
        <v>112.188705</v>
      </c>
      <c r="Z67">
        <v>114.636459</v>
      </c>
      <c r="AA67">
        <v>117.485359</v>
      </c>
      <c r="AB67">
        <v>118.86393700000001</v>
      </c>
      <c r="AC67">
        <v>121.38642900000001</v>
      </c>
      <c r="AD67">
        <v>124.46219600000001</v>
      </c>
      <c r="AE67">
        <v>126.85163900000001</v>
      </c>
      <c r="AF67">
        <v>130.24472</v>
      </c>
      <c r="AG67">
        <v>131.01760899999999</v>
      </c>
      <c r="AH67">
        <v>133.904877</v>
      </c>
      <c r="AI67" s="42">
        <v>2.5000000000000001E-2</v>
      </c>
    </row>
    <row r="68" spans="1:35">
      <c r="A68" t="s">
        <v>461</v>
      </c>
    </row>
    <row r="69" spans="1:35">
      <c r="A69" t="s">
        <v>448</v>
      </c>
      <c r="B69" t="s">
        <v>582</v>
      </c>
      <c r="C69" t="s">
        <v>583</v>
      </c>
      <c r="D69" t="s">
        <v>575</v>
      </c>
      <c r="F69">
        <v>28.468571000000001</v>
      </c>
      <c r="G69">
        <v>28.469861999999999</v>
      </c>
      <c r="H69">
        <v>27.120916000000001</v>
      </c>
      <c r="I69">
        <v>25.486726999999998</v>
      </c>
      <c r="J69">
        <v>24.816148999999999</v>
      </c>
      <c r="K69">
        <v>24.671061999999999</v>
      </c>
      <c r="L69">
        <v>25.053766</v>
      </c>
      <c r="M69">
        <v>25.731701000000001</v>
      </c>
      <c r="N69">
        <v>26.67238</v>
      </c>
      <c r="O69">
        <v>27.775552999999999</v>
      </c>
      <c r="P69">
        <v>29.050341</v>
      </c>
      <c r="Q69">
        <v>30.465544000000001</v>
      </c>
      <c r="R69">
        <v>31.814019999999999</v>
      </c>
      <c r="S69">
        <v>32.936604000000003</v>
      </c>
      <c r="T69">
        <v>33.929927999999997</v>
      </c>
      <c r="U69">
        <v>34.960566999999998</v>
      </c>
      <c r="V69">
        <v>36.251086999999998</v>
      </c>
      <c r="W69">
        <v>37.076611</v>
      </c>
      <c r="X69">
        <v>38.355243999999999</v>
      </c>
      <c r="Y69">
        <v>39.594318000000001</v>
      </c>
      <c r="Z69">
        <v>40.662810999999998</v>
      </c>
      <c r="AA69">
        <v>41.598906999999997</v>
      </c>
      <c r="AB69">
        <v>42.473517999999999</v>
      </c>
      <c r="AC69">
        <v>43.548949999999998</v>
      </c>
      <c r="AD69">
        <v>44.568362999999998</v>
      </c>
      <c r="AE69">
        <v>45.689033999999999</v>
      </c>
      <c r="AF69">
        <v>46.954121000000001</v>
      </c>
      <c r="AG69">
        <v>48.064117000000003</v>
      </c>
      <c r="AH69">
        <v>49.141499000000003</v>
      </c>
      <c r="AI69" s="42">
        <v>0.02</v>
      </c>
    </row>
    <row r="70" spans="1:35">
      <c r="A70" t="s">
        <v>452</v>
      </c>
      <c r="B70" t="s">
        <v>584</v>
      </c>
      <c r="C70" t="s">
        <v>585</v>
      </c>
      <c r="D70" t="s">
        <v>575</v>
      </c>
      <c r="F70">
        <v>38.493904000000001</v>
      </c>
      <c r="G70">
        <v>37.814456999999997</v>
      </c>
      <c r="H70">
        <v>36.155189999999997</v>
      </c>
      <c r="I70">
        <v>33.806655999999997</v>
      </c>
      <c r="J70">
        <v>32.620144000000003</v>
      </c>
      <c r="K70">
        <v>31.400926999999999</v>
      </c>
      <c r="L70">
        <v>30.283439999999999</v>
      </c>
      <c r="M70">
        <v>31.052471000000001</v>
      </c>
      <c r="N70">
        <v>31.761728000000002</v>
      </c>
      <c r="O70">
        <v>32.715885</v>
      </c>
      <c r="P70">
        <v>33.576602999999999</v>
      </c>
      <c r="Q70">
        <v>34.517856999999999</v>
      </c>
      <c r="R70">
        <v>35.426234999999998</v>
      </c>
      <c r="S70">
        <v>36.471600000000002</v>
      </c>
      <c r="T70">
        <v>37.361713000000002</v>
      </c>
      <c r="U70">
        <v>38.372677000000003</v>
      </c>
      <c r="V70">
        <v>39.356461000000003</v>
      </c>
      <c r="W70">
        <v>40.294083000000001</v>
      </c>
      <c r="X70">
        <v>41.277622000000001</v>
      </c>
      <c r="Y70">
        <v>42.459296999999999</v>
      </c>
      <c r="Z70">
        <v>43.424773999999999</v>
      </c>
      <c r="AA70">
        <v>44.617310000000003</v>
      </c>
      <c r="AB70">
        <v>45.503677000000003</v>
      </c>
      <c r="AC70">
        <v>46.676063999999997</v>
      </c>
      <c r="AD70">
        <v>48.154288999999999</v>
      </c>
      <c r="AE70">
        <v>49.349564000000001</v>
      </c>
      <c r="AF70">
        <v>50.605815999999997</v>
      </c>
      <c r="AG70">
        <v>51.962733999999998</v>
      </c>
      <c r="AH70">
        <v>53.233772000000002</v>
      </c>
      <c r="AI70" s="42">
        <v>1.2E-2</v>
      </c>
    </row>
    <row r="71" spans="1:35">
      <c r="A71" t="s">
        <v>466</v>
      </c>
      <c r="B71" t="s">
        <v>586</v>
      </c>
      <c r="C71" t="s">
        <v>587</v>
      </c>
      <c r="D71" t="s">
        <v>575</v>
      </c>
      <c r="F71">
        <v>12.460455</v>
      </c>
      <c r="G71">
        <v>8.0170349999999999</v>
      </c>
      <c r="H71">
        <v>9.8656629999999996</v>
      </c>
      <c r="I71">
        <v>10.405704</v>
      </c>
      <c r="J71">
        <v>12.254785999999999</v>
      </c>
      <c r="K71">
        <v>14.197086000000001</v>
      </c>
      <c r="L71">
        <v>16.18289</v>
      </c>
      <c r="M71">
        <v>16.648064000000002</v>
      </c>
      <c r="N71">
        <v>17.128907999999999</v>
      </c>
      <c r="O71">
        <v>17.662517999999999</v>
      </c>
      <c r="P71">
        <v>18.199268</v>
      </c>
      <c r="Q71">
        <v>18.753477</v>
      </c>
      <c r="R71">
        <v>19.341448</v>
      </c>
      <c r="S71">
        <v>19.950495</v>
      </c>
      <c r="T71">
        <v>20.536625000000001</v>
      </c>
      <c r="U71">
        <v>21.139091000000001</v>
      </c>
      <c r="V71">
        <v>21.761444000000001</v>
      </c>
      <c r="W71">
        <v>22.337167999999998</v>
      </c>
      <c r="X71">
        <v>22.964749999999999</v>
      </c>
      <c r="Y71">
        <v>23.67634</v>
      </c>
      <c r="Z71">
        <v>24.237123</v>
      </c>
      <c r="AA71">
        <v>24.905998</v>
      </c>
      <c r="AB71">
        <v>25.560568</v>
      </c>
      <c r="AC71">
        <v>26.255548000000001</v>
      </c>
      <c r="AD71">
        <v>27.15204</v>
      </c>
      <c r="AE71">
        <v>27.798742000000001</v>
      </c>
      <c r="AF71">
        <v>28.687483</v>
      </c>
      <c r="AG71">
        <v>29.546976000000001</v>
      </c>
      <c r="AH71">
        <v>30.393446000000001</v>
      </c>
      <c r="AI71" s="42">
        <v>3.2000000000000001E-2</v>
      </c>
    </row>
    <row r="72" spans="1:35">
      <c r="A72" t="s">
        <v>455</v>
      </c>
      <c r="B72" t="s">
        <v>588</v>
      </c>
      <c r="C72" t="s">
        <v>589</v>
      </c>
      <c r="D72" t="s">
        <v>575</v>
      </c>
      <c r="F72">
        <v>13.370082</v>
      </c>
      <c r="G72">
        <v>13.079236</v>
      </c>
      <c r="H72">
        <v>12.606039000000001</v>
      </c>
      <c r="I72">
        <v>12.622952</v>
      </c>
      <c r="J72">
        <v>12.902912000000001</v>
      </c>
      <c r="K72">
        <v>13.262484000000001</v>
      </c>
      <c r="L72">
        <v>13.691464</v>
      </c>
      <c r="M72">
        <v>14.026584</v>
      </c>
      <c r="N72">
        <v>14.3338</v>
      </c>
      <c r="O72">
        <v>14.686412000000001</v>
      </c>
      <c r="P72">
        <v>15.095148</v>
      </c>
      <c r="Q72">
        <v>15.498570000000001</v>
      </c>
      <c r="R72">
        <v>15.916492999999999</v>
      </c>
      <c r="S72">
        <v>16.336024999999999</v>
      </c>
      <c r="T72">
        <v>16.753589999999999</v>
      </c>
      <c r="U72">
        <v>17.172740999999998</v>
      </c>
      <c r="V72">
        <v>17.618725000000001</v>
      </c>
      <c r="W72">
        <v>18.032934000000001</v>
      </c>
      <c r="X72">
        <v>18.481338999999998</v>
      </c>
      <c r="Y72">
        <v>18.939817000000001</v>
      </c>
      <c r="Z72">
        <v>19.380144000000001</v>
      </c>
      <c r="AA72">
        <v>19.810092999999998</v>
      </c>
      <c r="AB72">
        <v>20.215969000000001</v>
      </c>
      <c r="AC72">
        <v>20.721264000000001</v>
      </c>
      <c r="AD72">
        <v>21.188229</v>
      </c>
      <c r="AE72">
        <v>21.665298</v>
      </c>
      <c r="AF72">
        <v>22.153773999999999</v>
      </c>
      <c r="AG72">
        <v>22.689415</v>
      </c>
      <c r="AH72">
        <v>23.270346</v>
      </c>
      <c r="AI72" s="42">
        <v>0.02</v>
      </c>
    </row>
    <row r="73" spans="1:35">
      <c r="A73" t="s">
        <v>458</v>
      </c>
      <c r="B73" t="s">
        <v>590</v>
      </c>
      <c r="C73" t="s">
        <v>591</v>
      </c>
      <c r="D73" t="s">
        <v>575</v>
      </c>
      <c r="F73">
        <v>57.581344999999999</v>
      </c>
      <c r="G73">
        <v>64.669998000000007</v>
      </c>
      <c r="H73">
        <v>60.250069000000003</v>
      </c>
      <c r="I73">
        <v>60.415641999999998</v>
      </c>
      <c r="J73">
        <v>60.657772000000001</v>
      </c>
      <c r="K73">
        <v>61.452156000000002</v>
      </c>
      <c r="L73">
        <v>62.638148999999999</v>
      </c>
      <c r="M73">
        <v>63.594833000000001</v>
      </c>
      <c r="N73">
        <v>64.356116999999998</v>
      </c>
      <c r="O73">
        <v>65.907111999999998</v>
      </c>
      <c r="P73">
        <v>67.462563000000003</v>
      </c>
      <c r="Q73">
        <v>69.404678000000004</v>
      </c>
      <c r="R73">
        <v>74.043364999999994</v>
      </c>
      <c r="S73">
        <v>73.455596999999997</v>
      </c>
      <c r="T73">
        <v>77.829291999999995</v>
      </c>
      <c r="U73">
        <v>79.835907000000006</v>
      </c>
      <c r="V73">
        <v>82.940764999999999</v>
      </c>
      <c r="W73">
        <v>84.902901</v>
      </c>
      <c r="X73">
        <v>86.784408999999997</v>
      </c>
      <c r="Y73">
        <v>89.109200000000001</v>
      </c>
      <c r="Z73">
        <v>90.661102</v>
      </c>
      <c r="AA73">
        <v>92.657944000000001</v>
      </c>
      <c r="AB73">
        <v>93.084686000000005</v>
      </c>
      <c r="AC73">
        <v>94.650818000000001</v>
      </c>
      <c r="AD73">
        <v>96.985825000000006</v>
      </c>
      <c r="AE73">
        <v>98.418250999999998</v>
      </c>
      <c r="AF73">
        <v>100.9748</v>
      </c>
      <c r="AG73">
        <v>100.379486</v>
      </c>
      <c r="AH73">
        <v>102.243439</v>
      </c>
      <c r="AI73" s="42">
        <v>2.1000000000000001E-2</v>
      </c>
    </row>
    <row r="74" spans="1:35">
      <c r="A74" t="s">
        <v>473</v>
      </c>
    </row>
    <row r="75" spans="1:35">
      <c r="A75" t="s">
        <v>448</v>
      </c>
      <c r="B75" t="s">
        <v>592</v>
      </c>
      <c r="C75" t="s">
        <v>593</v>
      </c>
      <c r="D75" t="s">
        <v>575</v>
      </c>
      <c r="F75">
        <v>23.435022</v>
      </c>
      <c r="G75">
        <v>22.356632000000001</v>
      </c>
      <c r="H75">
        <v>20.487594999999999</v>
      </c>
      <c r="I75">
        <v>18.533536999999999</v>
      </c>
      <c r="J75">
        <v>17.736048</v>
      </c>
      <c r="K75">
        <v>17.477232000000001</v>
      </c>
      <c r="L75">
        <v>17.740955</v>
      </c>
      <c r="M75">
        <v>18.286145999999999</v>
      </c>
      <c r="N75">
        <v>19.090485000000001</v>
      </c>
      <c r="O75">
        <v>20.049322</v>
      </c>
      <c r="P75">
        <v>21.186962000000001</v>
      </c>
      <c r="Q75">
        <v>22.464027000000002</v>
      </c>
      <c r="R75">
        <v>23.655508000000001</v>
      </c>
      <c r="S75">
        <v>24.597995999999998</v>
      </c>
      <c r="T75">
        <v>25.405923999999999</v>
      </c>
      <c r="U75">
        <v>26.269162999999999</v>
      </c>
      <c r="V75">
        <v>27.429417000000001</v>
      </c>
      <c r="W75">
        <v>28.034966000000001</v>
      </c>
      <c r="X75">
        <v>29.178497</v>
      </c>
      <c r="Y75">
        <v>30.249054000000001</v>
      </c>
      <c r="Z75">
        <v>31.111229000000002</v>
      </c>
      <c r="AA75">
        <v>31.816524999999999</v>
      </c>
      <c r="AB75">
        <v>32.450352000000002</v>
      </c>
      <c r="AC75">
        <v>33.311852000000002</v>
      </c>
      <c r="AD75">
        <v>34.086624</v>
      </c>
      <c r="AE75">
        <v>34.970641999999998</v>
      </c>
      <c r="AF75">
        <v>36.006222000000001</v>
      </c>
      <c r="AG75">
        <v>36.842274000000003</v>
      </c>
      <c r="AH75">
        <v>37.636386999999999</v>
      </c>
      <c r="AI75" s="42">
        <v>1.7000000000000001E-2</v>
      </c>
    </row>
    <row r="76" spans="1:35">
      <c r="A76" t="s">
        <v>452</v>
      </c>
      <c r="B76" t="s">
        <v>594</v>
      </c>
      <c r="C76" t="s">
        <v>595</v>
      </c>
      <c r="D76" t="s">
        <v>575</v>
      </c>
      <c r="F76">
        <v>37.203358000000001</v>
      </c>
      <c r="G76">
        <v>36.493732000000001</v>
      </c>
      <c r="H76">
        <v>34.876099000000004</v>
      </c>
      <c r="I76">
        <v>32.574894</v>
      </c>
      <c r="J76">
        <v>31.447441000000001</v>
      </c>
      <c r="K76">
        <v>30.287579999999998</v>
      </c>
      <c r="L76">
        <v>29.244727999999999</v>
      </c>
      <c r="M76">
        <v>29.993721000000001</v>
      </c>
      <c r="N76">
        <v>30.680094</v>
      </c>
      <c r="O76">
        <v>31.610014</v>
      </c>
      <c r="P76">
        <v>32.448318</v>
      </c>
      <c r="Q76">
        <v>33.371101000000003</v>
      </c>
      <c r="R76">
        <v>34.243954000000002</v>
      </c>
      <c r="S76">
        <v>35.278843000000002</v>
      </c>
      <c r="T76">
        <v>36.130401999999997</v>
      </c>
      <c r="U76">
        <v>37.119030000000002</v>
      </c>
      <c r="V76">
        <v>38.076542000000003</v>
      </c>
      <c r="W76">
        <v>38.984921</v>
      </c>
      <c r="X76">
        <v>39.936565000000002</v>
      </c>
      <c r="Y76">
        <v>41.086745999999998</v>
      </c>
      <c r="Z76">
        <v>42.017341999999999</v>
      </c>
      <c r="AA76">
        <v>43.176876</v>
      </c>
      <c r="AB76">
        <v>44.028210000000001</v>
      </c>
      <c r="AC76">
        <v>45.151806000000001</v>
      </c>
      <c r="AD76">
        <v>46.590266999999997</v>
      </c>
      <c r="AE76">
        <v>47.752712000000002</v>
      </c>
      <c r="AF76">
        <v>48.970073999999997</v>
      </c>
      <c r="AG76">
        <v>50.285690000000002</v>
      </c>
      <c r="AH76">
        <v>51.515064000000002</v>
      </c>
      <c r="AI76" s="42">
        <v>1.2E-2</v>
      </c>
    </row>
    <row r="77" spans="1:35">
      <c r="A77" t="s">
        <v>466</v>
      </c>
      <c r="B77" t="s">
        <v>596</v>
      </c>
      <c r="C77" t="s">
        <v>597</v>
      </c>
      <c r="D77" t="s">
        <v>575</v>
      </c>
      <c r="F77">
        <v>12.32695</v>
      </c>
      <c r="G77">
        <v>7.9475239999999996</v>
      </c>
      <c r="H77">
        <v>9.8086970000000004</v>
      </c>
      <c r="I77">
        <v>10.36205</v>
      </c>
      <c r="J77">
        <v>12.225061999999999</v>
      </c>
      <c r="K77">
        <v>14.181903999999999</v>
      </c>
      <c r="L77">
        <v>16.18289</v>
      </c>
      <c r="M77">
        <v>16.648064000000002</v>
      </c>
      <c r="N77">
        <v>17.128907999999999</v>
      </c>
      <c r="O77">
        <v>17.662517999999999</v>
      </c>
      <c r="P77">
        <v>18.199268</v>
      </c>
      <c r="Q77">
        <v>18.753477</v>
      </c>
      <c r="R77">
        <v>19.341448</v>
      </c>
      <c r="S77">
        <v>19.950495</v>
      </c>
      <c r="T77">
        <v>20.536625000000001</v>
      </c>
      <c r="U77">
        <v>21.139091000000001</v>
      </c>
      <c r="V77">
        <v>21.761444000000001</v>
      </c>
      <c r="W77">
        <v>22.337167999999998</v>
      </c>
      <c r="X77">
        <v>22.964749999999999</v>
      </c>
      <c r="Y77">
        <v>23.67634</v>
      </c>
      <c r="Z77">
        <v>24.237123</v>
      </c>
      <c r="AA77">
        <v>24.905998</v>
      </c>
      <c r="AB77">
        <v>25.560568</v>
      </c>
      <c r="AC77">
        <v>26.255548000000001</v>
      </c>
      <c r="AD77">
        <v>27.15204</v>
      </c>
      <c r="AE77">
        <v>27.798742000000001</v>
      </c>
      <c r="AF77">
        <v>28.687483</v>
      </c>
      <c r="AG77">
        <v>29.546976000000001</v>
      </c>
      <c r="AH77">
        <v>30.393446000000001</v>
      </c>
      <c r="AI77" s="42">
        <v>3.3000000000000002E-2</v>
      </c>
    </row>
    <row r="78" spans="1:35">
      <c r="A78" t="s">
        <v>455</v>
      </c>
      <c r="B78" t="s">
        <v>598</v>
      </c>
      <c r="C78" t="s">
        <v>599</v>
      </c>
      <c r="D78" t="s">
        <v>575</v>
      </c>
      <c r="F78">
        <v>10.663194000000001</v>
      </c>
      <c r="G78">
        <v>10.373811</v>
      </c>
      <c r="H78">
        <v>8.7857439999999993</v>
      </c>
      <c r="I78">
        <v>8.0044330000000006</v>
      </c>
      <c r="J78">
        <v>7.4917850000000001</v>
      </c>
      <c r="K78">
        <v>6.970701</v>
      </c>
      <c r="L78">
        <v>6.6420469999999998</v>
      </c>
      <c r="M78">
        <v>7.2190820000000002</v>
      </c>
      <c r="N78">
        <v>7.195792</v>
      </c>
      <c r="O78">
        <v>7.2234280000000002</v>
      </c>
      <c r="P78">
        <v>7.6603209999999997</v>
      </c>
      <c r="Q78">
        <v>7.8608409999999997</v>
      </c>
      <c r="R78">
        <v>8.1318249999999992</v>
      </c>
      <c r="S78">
        <v>8.4271270000000005</v>
      </c>
      <c r="T78">
        <v>8.6876879999999996</v>
      </c>
      <c r="U78">
        <v>9.0077219999999993</v>
      </c>
      <c r="V78">
        <v>9.4178739999999994</v>
      </c>
      <c r="W78">
        <v>9.6927710000000005</v>
      </c>
      <c r="X78">
        <v>9.9713399999999996</v>
      </c>
      <c r="Y78">
        <v>10.399193</v>
      </c>
      <c r="Z78">
        <v>10.732015000000001</v>
      </c>
      <c r="AA78">
        <v>10.910549</v>
      </c>
      <c r="AB78">
        <v>10.674783</v>
      </c>
      <c r="AC78">
        <v>11.447801</v>
      </c>
      <c r="AD78">
        <v>11.509536000000001</v>
      </c>
      <c r="AE78">
        <v>11.645823</v>
      </c>
      <c r="AF78">
        <v>11.680289</v>
      </c>
      <c r="AG78">
        <v>12.118205</v>
      </c>
      <c r="AH78">
        <v>12.631249</v>
      </c>
      <c r="AI78" s="42">
        <v>6.0000000000000001E-3</v>
      </c>
    </row>
    <row r="79" spans="1:35">
      <c r="A79" t="s">
        <v>482</v>
      </c>
      <c r="B79" t="s">
        <v>600</v>
      </c>
      <c r="C79" t="s">
        <v>601</v>
      </c>
      <c r="D79" t="s">
        <v>575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 t="s">
        <v>485</v>
      </c>
    </row>
    <row r="80" spans="1:35">
      <c r="A80" t="s">
        <v>486</v>
      </c>
      <c r="B80" t="s">
        <v>602</v>
      </c>
      <c r="C80" t="s">
        <v>603</v>
      </c>
      <c r="D80" t="s">
        <v>575</v>
      </c>
      <c r="F80">
        <v>4.5305900000000001</v>
      </c>
      <c r="G80">
        <v>4.6623469999999996</v>
      </c>
      <c r="H80">
        <v>4.9140639999999998</v>
      </c>
      <c r="I80">
        <v>5.1320459999999999</v>
      </c>
      <c r="J80">
        <v>5.1494819999999999</v>
      </c>
      <c r="K80">
        <v>5.3892939999999996</v>
      </c>
      <c r="L80">
        <v>5.4899420000000001</v>
      </c>
      <c r="M80">
        <v>5.6137509999999997</v>
      </c>
      <c r="N80">
        <v>5.7519039999999997</v>
      </c>
      <c r="O80">
        <v>5.9045290000000001</v>
      </c>
      <c r="P80">
        <v>6.0618439999999998</v>
      </c>
      <c r="Q80">
        <v>6.2364309999999996</v>
      </c>
      <c r="R80">
        <v>6.4284800000000004</v>
      </c>
      <c r="S80">
        <v>6.6226969999999996</v>
      </c>
      <c r="T80">
        <v>6.8227159999999998</v>
      </c>
      <c r="U80">
        <v>7.0382509999999998</v>
      </c>
      <c r="V80">
        <v>7.2463069999999998</v>
      </c>
      <c r="W80">
        <v>7.449389</v>
      </c>
      <c r="X80">
        <v>7.6435029999999999</v>
      </c>
      <c r="Y80">
        <v>7.0590109999999999</v>
      </c>
      <c r="Z80">
        <v>7.1987139999999998</v>
      </c>
      <c r="AA80">
        <v>7.3650799999999998</v>
      </c>
      <c r="AB80">
        <v>7.5351530000000002</v>
      </c>
      <c r="AC80">
        <v>7.7123549999999996</v>
      </c>
      <c r="AD80">
        <v>7.8937419999999996</v>
      </c>
      <c r="AE80">
        <v>8.0798229999999993</v>
      </c>
      <c r="AF80">
        <v>8.2722470000000001</v>
      </c>
      <c r="AG80">
        <v>8.4702090000000005</v>
      </c>
      <c r="AH80">
        <v>8.6730269999999994</v>
      </c>
      <c r="AI80" s="42">
        <v>2.3E-2</v>
      </c>
    </row>
    <row r="81" spans="1:35">
      <c r="A81" t="s">
        <v>489</v>
      </c>
      <c r="B81" t="s">
        <v>604</v>
      </c>
      <c r="C81" t="s">
        <v>605</v>
      </c>
      <c r="D81" t="s">
        <v>575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 t="s">
        <v>485</v>
      </c>
    </row>
    <row r="82" spans="1:35">
      <c r="A82" t="s">
        <v>458</v>
      </c>
      <c r="B82" t="s">
        <v>606</v>
      </c>
      <c r="C82" t="s">
        <v>607</v>
      </c>
      <c r="D82" t="s">
        <v>575</v>
      </c>
      <c r="F82">
        <v>45.931590999999997</v>
      </c>
      <c r="G82">
        <v>51.996555000000001</v>
      </c>
      <c r="H82">
        <v>46.866142000000004</v>
      </c>
      <c r="I82">
        <v>45.547908999999997</v>
      </c>
      <c r="J82">
        <v>44.669494999999998</v>
      </c>
      <c r="K82">
        <v>44.720032000000003</v>
      </c>
      <c r="L82">
        <v>45.134166999999998</v>
      </c>
      <c r="M82">
        <v>45.580005999999997</v>
      </c>
      <c r="N82">
        <v>45.497242</v>
      </c>
      <c r="O82">
        <v>46.341056999999999</v>
      </c>
      <c r="P82">
        <v>47.397998999999999</v>
      </c>
      <c r="Q82">
        <v>48.648097999999997</v>
      </c>
      <c r="R82">
        <v>51.033306000000003</v>
      </c>
      <c r="S82">
        <v>50.682437999999998</v>
      </c>
      <c r="T82">
        <v>52.898254000000001</v>
      </c>
      <c r="U82">
        <v>54.096874</v>
      </c>
      <c r="V82">
        <v>56.128146999999998</v>
      </c>
      <c r="W82">
        <v>57.178916999999998</v>
      </c>
      <c r="X82">
        <v>58.318668000000002</v>
      </c>
      <c r="Y82">
        <v>59.718525</v>
      </c>
      <c r="Z82">
        <v>60.572032999999998</v>
      </c>
      <c r="AA82">
        <v>61.688125999999997</v>
      </c>
      <c r="AB82">
        <v>61.873325000000001</v>
      </c>
      <c r="AC82">
        <v>62.824589000000003</v>
      </c>
      <c r="AD82">
        <v>64.087654000000001</v>
      </c>
      <c r="AE82">
        <v>64.867615000000001</v>
      </c>
      <c r="AF82">
        <v>66.273444999999995</v>
      </c>
      <c r="AG82">
        <v>65.501778000000002</v>
      </c>
      <c r="AH82">
        <v>66.529251000000002</v>
      </c>
      <c r="AI82" s="42">
        <v>1.2999999999999999E-2</v>
      </c>
    </row>
    <row r="83" spans="1:35">
      <c r="A83" t="s">
        <v>494</v>
      </c>
    </row>
    <row r="84" spans="1:35">
      <c r="A84" t="s">
        <v>448</v>
      </c>
      <c r="B84" t="s">
        <v>608</v>
      </c>
      <c r="C84" t="s">
        <v>609</v>
      </c>
      <c r="D84" t="s">
        <v>575</v>
      </c>
      <c r="F84">
        <v>25.014406000000001</v>
      </c>
      <c r="G84">
        <v>24.478155000000001</v>
      </c>
      <c r="H84">
        <v>23.350598999999999</v>
      </c>
      <c r="I84">
        <v>22.095048999999999</v>
      </c>
      <c r="J84">
        <v>21.677229000000001</v>
      </c>
      <c r="K84">
        <v>21.659697000000001</v>
      </c>
      <c r="L84">
        <v>22.049564</v>
      </c>
      <c r="M84">
        <v>22.660886999999999</v>
      </c>
      <c r="N84">
        <v>23.478649000000001</v>
      </c>
      <c r="O84">
        <v>24.419720000000002</v>
      </c>
      <c r="P84">
        <v>25.497601</v>
      </c>
      <c r="Q84">
        <v>26.68516</v>
      </c>
      <c r="R84">
        <v>27.807245000000002</v>
      </c>
      <c r="S84">
        <v>28.739981</v>
      </c>
      <c r="T84">
        <v>29.57593</v>
      </c>
      <c r="U84">
        <v>30.453585</v>
      </c>
      <c r="V84">
        <v>31.551825000000001</v>
      </c>
      <c r="W84">
        <v>32.239128000000001</v>
      </c>
      <c r="X84">
        <v>33.338169000000001</v>
      </c>
      <c r="Y84">
        <v>34.383243999999998</v>
      </c>
      <c r="Z84">
        <v>35.283999999999999</v>
      </c>
      <c r="AA84">
        <v>36.084183000000003</v>
      </c>
      <c r="AB84">
        <v>36.843975</v>
      </c>
      <c r="AC84">
        <v>37.780482999999997</v>
      </c>
      <c r="AD84">
        <v>38.662860999999999</v>
      </c>
      <c r="AE84">
        <v>39.635688999999999</v>
      </c>
      <c r="AF84">
        <v>40.728458000000003</v>
      </c>
      <c r="AG84">
        <v>41.683315</v>
      </c>
      <c r="AH84">
        <v>42.620800000000003</v>
      </c>
      <c r="AI84" s="42">
        <v>1.9E-2</v>
      </c>
    </row>
    <row r="85" spans="1:35">
      <c r="A85" t="s">
        <v>497</v>
      </c>
      <c r="B85" t="s">
        <v>610</v>
      </c>
      <c r="C85" t="s">
        <v>611</v>
      </c>
      <c r="D85" t="s">
        <v>575</v>
      </c>
      <c r="F85">
        <v>46.926963999999998</v>
      </c>
      <c r="G85">
        <v>43.143703000000002</v>
      </c>
      <c r="H85">
        <v>35.927387000000003</v>
      </c>
      <c r="I85">
        <v>34.145606999999998</v>
      </c>
      <c r="J85">
        <v>34.407463</v>
      </c>
      <c r="K85">
        <v>34.909816999999997</v>
      </c>
      <c r="L85">
        <v>35.360802</v>
      </c>
      <c r="M85">
        <v>36.036574999999999</v>
      </c>
      <c r="N85">
        <v>36.971359</v>
      </c>
      <c r="O85">
        <v>37.791153000000001</v>
      </c>
      <c r="P85">
        <v>38.904057000000002</v>
      </c>
      <c r="Q85">
        <v>39.934643000000001</v>
      </c>
      <c r="R85">
        <v>41.097327999999997</v>
      </c>
      <c r="S85">
        <v>42.151755999999999</v>
      </c>
      <c r="T85">
        <v>43.683143999999999</v>
      </c>
      <c r="U85">
        <v>44.754013</v>
      </c>
      <c r="V85">
        <v>45.901066</v>
      </c>
      <c r="W85">
        <v>47.136508999999997</v>
      </c>
      <c r="X85">
        <v>48.285232999999998</v>
      </c>
      <c r="Y85">
        <v>49.400249000000002</v>
      </c>
      <c r="Z85">
        <v>50.675246999999999</v>
      </c>
      <c r="AA85">
        <v>51.649940000000001</v>
      </c>
      <c r="AB85">
        <v>53.201813000000001</v>
      </c>
      <c r="AC85">
        <v>54.442458999999999</v>
      </c>
      <c r="AD85">
        <v>56.541611000000003</v>
      </c>
      <c r="AE85">
        <v>57.926913999999996</v>
      </c>
      <c r="AF85">
        <v>59.862377000000002</v>
      </c>
      <c r="AG85">
        <v>61.435917000000003</v>
      </c>
      <c r="AH85">
        <v>64.108017000000004</v>
      </c>
      <c r="AI85" s="42">
        <v>1.0999999999999999E-2</v>
      </c>
    </row>
    <row r="86" spans="1:35">
      <c r="A86" t="s">
        <v>500</v>
      </c>
      <c r="B86" t="s">
        <v>612</v>
      </c>
      <c r="C86" t="s">
        <v>613</v>
      </c>
      <c r="D86" t="s">
        <v>575</v>
      </c>
      <c r="F86">
        <v>35.534545999999999</v>
      </c>
      <c r="G86">
        <v>32.044970999999997</v>
      </c>
      <c r="H86">
        <v>29.574618999999998</v>
      </c>
      <c r="I86">
        <v>28.107899</v>
      </c>
      <c r="J86">
        <v>28.323454000000002</v>
      </c>
      <c r="K86">
        <v>28.736979999999999</v>
      </c>
      <c r="L86">
        <v>29.389842999999999</v>
      </c>
      <c r="M86">
        <v>30.097097000000002</v>
      </c>
      <c r="N86">
        <v>30.877818999999999</v>
      </c>
      <c r="O86">
        <v>31.562491999999999</v>
      </c>
      <c r="P86">
        <v>32.491973999999999</v>
      </c>
      <c r="Q86">
        <v>33.352694999999997</v>
      </c>
      <c r="R86">
        <v>34.323753000000004</v>
      </c>
      <c r="S86">
        <v>35.204391000000001</v>
      </c>
      <c r="T86">
        <v>36.483378999999999</v>
      </c>
      <c r="U86">
        <v>37.377749999999999</v>
      </c>
      <c r="V86">
        <v>38.335746999999998</v>
      </c>
      <c r="W86">
        <v>39.367564999999999</v>
      </c>
      <c r="X86">
        <v>40.326962000000002</v>
      </c>
      <c r="Y86">
        <v>41.258204999999997</v>
      </c>
      <c r="Z86">
        <v>42.323054999999997</v>
      </c>
      <c r="AA86">
        <v>43.137104000000001</v>
      </c>
      <c r="AB86">
        <v>44.433200999999997</v>
      </c>
      <c r="AC86">
        <v>45.469363999999999</v>
      </c>
      <c r="AD86">
        <v>47.222538</v>
      </c>
      <c r="AE86">
        <v>48.379517</v>
      </c>
      <c r="AF86">
        <v>49.995978999999998</v>
      </c>
      <c r="AG86">
        <v>51.310177000000003</v>
      </c>
      <c r="AH86">
        <v>53.026336999999998</v>
      </c>
      <c r="AI86" s="42">
        <v>1.4E-2</v>
      </c>
    </row>
    <row r="87" spans="1:35">
      <c r="A87" t="s">
        <v>503</v>
      </c>
      <c r="B87" t="s">
        <v>614</v>
      </c>
      <c r="C87" t="s">
        <v>615</v>
      </c>
      <c r="D87" t="s">
        <v>575</v>
      </c>
      <c r="F87">
        <v>26.789978000000001</v>
      </c>
      <c r="G87">
        <v>23.355989000000001</v>
      </c>
      <c r="H87">
        <v>22.892841000000001</v>
      </c>
      <c r="I87">
        <v>21.778911999999998</v>
      </c>
      <c r="J87">
        <v>22.037271</v>
      </c>
      <c r="K87">
        <v>22.243583999999998</v>
      </c>
      <c r="L87">
        <v>22.658246999999999</v>
      </c>
      <c r="M87">
        <v>23.287298</v>
      </c>
      <c r="N87">
        <v>23.821487000000001</v>
      </c>
      <c r="O87">
        <v>24.65296</v>
      </c>
      <c r="P87">
        <v>25.359221000000002</v>
      </c>
      <c r="Q87">
        <v>26.082027</v>
      </c>
      <c r="R87">
        <v>26.901522</v>
      </c>
      <c r="S87">
        <v>27.741114</v>
      </c>
      <c r="T87">
        <v>28.516933000000002</v>
      </c>
      <c r="U87">
        <v>29.335094000000002</v>
      </c>
      <c r="V87">
        <v>30.153214999999999</v>
      </c>
      <c r="W87">
        <v>30.944835999999999</v>
      </c>
      <c r="X87">
        <v>31.784586000000001</v>
      </c>
      <c r="Y87">
        <v>32.807521999999999</v>
      </c>
      <c r="Z87">
        <v>33.625435000000003</v>
      </c>
      <c r="AA87">
        <v>34.642024999999997</v>
      </c>
      <c r="AB87">
        <v>35.328873000000002</v>
      </c>
      <c r="AC87">
        <v>36.400917</v>
      </c>
      <c r="AD87">
        <v>37.702049000000002</v>
      </c>
      <c r="AE87">
        <v>38.673369999999998</v>
      </c>
      <c r="AF87">
        <v>39.714275000000001</v>
      </c>
      <c r="AG87">
        <v>40.849068000000003</v>
      </c>
      <c r="AH87">
        <v>41.895290000000003</v>
      </c>
      <c r="AI87" s="42">
        <v>1.6E-2</v>
      </c>
    </row>
    <row r="88" spans="1:35">
      <c r="A88" t="s">
        <v>506</v>
      </c>
      <c r="B88" t="s">
        <v>616</v>
      </c>
      <c r="C88" t="s">
        <v>617</v>
      </c>
      <c r="D88" t="s">
        <v>575</v>
      </c>
      <c r="F88">
        <v>37.603870000000001</v>
      </c>
      <c r="G88">
        <v>34.547401000000001</v>
      </c>
      <c r="H88">
        <v>33.539276000000001</v>
      </c>
      <c r="I88">
        <v>31.876912999999998</v>
      </c>
      <c r="J88">
        <v>31.451505999999998</v>
      </c>
      <c r="K88">
        <v>30.995526999999999</v>
      </c>
      <c r="L88">
        <v>30.722124000000001</v>
      </c>
      <c r="M88">
        <v>31.495940999999998</v>
      </c>
      <c r="N88">
        <v>32.229557</v>
      </c>
      <c r="O88">
        <v>33.173656000000001</v>
      </c>
      <c r="P88">
        <v>34.066524999999999</v>
      </c>
      <c r="Q88">
        <v>35.028336000000003</v>
      </c>
      <c r="R88">
        <v>35.924095000000001</v>
      </c>
      <c r="S88">
        <v>37.04739</v>
      </c>
      <c r="T88">
        <v>37.909348000000001</v>
      </c>
      <c r="U88">
        <v>38.952407999999998</v>
      </c>
      <c r="V88">
        <v>39.964835999999998</v>
      </c>
      <c r="W88">
        <v>40.903618000000002</v>
      </c>
      <c r="X88">
        <v>41.884098000000002</v>
      </c>
      <c r="Y88">
        <v>43.089241000000001</v>
      </c>
      <c r="Z88">
        <v>44.077072000000001</v>
      </c>
      <c r="AA88">
        <v>45.277907999999996</v>
      </c>
      <c r="AB88">
        <v>46.15728</v>
      </c>
      <c r="AC88">
        <v>47.289921</v>
      </c>
      <c r="AD88">
        <v>48.776417000000002</v>
      </c>
      <c r="AE88">
        <v>49.995700999999997</v>
      </c>
      <c r="AF88">
        <v>51.278950000000002</v>
      </c>
      <c r="AG88">
        <v>52.628779999999999</v>
      </c>
      <c r="AH88">
        <v>53.919609000000001</v>
      </c>
      <c r="AI88" s="42">
        <v>1.2999999999999999E-2</v>
      </c>
    </row>
    <row r="89" spans="1:35">
      <c r="A89" t="s">
        <v>466</v>
      </c>
      <c r="B89" t="s">
        <v>618</v>
      </c>
      <c r="C89" t="s">
        <v>619</v>
      </c>
      <c r="D89" t="s">
        <v>575</v>
      </c>
      <c r="F89">
        <v>10.278522000000001</v>
      </c>
      <c r="G89">
        <v>13.413992</v>
      </c>
      <c r="H89">
        <v>15.267091000000001</v>
      </c>
      <c r="I89">
        <v>14.509027</v>
      </c>
      <c r="J89">
        <v>14.886752</v>
      </c>
      <c r="K89">
        <v>15.301052</v>
      </c>
      <c r="L89">
        <v>15.701355</v>
      </c>
      <c r="M89">
        <v>16.163260000000001</v>
      </c>
      <c r="N89">
        <v>16.646415999999999</v>
      </c>
      <c r="O89">
        <v>17.189087000000001</v>
      </c>
      <c r="P89">
        <v>17.730778000000001</v>
      </c>
      <c r="Q89">
        <v>18.294653</v>
      </c>
      <c r="R89">
        <v>18.885345000000001</v>
      </c>
      <c r="S89">
        <v>19.495152999999998</v>
      </c>
      <c r="T89">
        <v>20.076934999999999</v>
      </c>
      <c r="U89">
        <v>20.677424999999999</v>
      </c>
      <c r="V89">
        <v>21.301403000000001</v>
      </c>
      <c r="W89">
        <v>21.872311</v>
      </c>
      <c r="X89">
        <v>22.503471000000001</v>
      </c>
      <c r="Y89">
        <v>23.201167999999999</v>
      </c>
      <c r="Z89">
        <v>23.751550999999999</v>
      </c>
      <c r="AA89">
        <v>24.401691</v>
      </c>
      <c r="AB89">
        <v>25.043716</v>
      </c>
      <c r="AC89">
        <v>25.722847000000002</v>
      </c>
      <c r="AD89">
        <v>26.601880999999999</v>
      </c>
      <c r="AE89">
        <v>27.234589</v>
      </c>
      <c r="AF89">
        <v>28.101787999999999</v>
      </c>
      <c r="AG89">
        <v>28.938867999999999</v>
      </c>
      <c r="AH89">
        <v>29.766190999999999</v>
      </c>
      <c r="AI89" s="42">
        <v>3.9E-2</v>
      </c>
    </row>
    <row r="90" spans="1:35">
      <c r="A90" t="s">
        <v>455</v>
      </c>
      <c r="B90" t="s">
        <v>620</v>
      </c>
      <c r="C90" t="s">
        <v>621</v>
      </c>
      <c r="D90" t="s">
        <v>575</v>
      </c>
      <c r="F90">
        <v>21.007607</v>
      </c>
      <c r="G90">
        <v>20.992433999999999</v>
      </c>
      <c r="H90">
        <v>19.66996</v>
      </c>
      <c r="I90">
        <v>19.127174</v>
      </c>
      <c r="J90">
        <v>18.848713</v>
      </c>
      <c r="K90">
        <v>18.597550999999999</v>
      </c>
      <c r="L90">
        <v>18.500809</v>
      </c>
      <c r="M90">
        <v>19.084009000000002</v>
      </c>
      <c r="N90">
        <v>19.212097</v>
      </c>
      <c r="O90">
        <v>19.390937999999998</v>
      </c>
      <c r="P90">
        <v>19.851133000000001</v>
      </c>
      <c r="Q90">
        <v>20.123047</v>
      </c>
      <c r="R90">
        <v>20.431799000000002</v>
      </c>
      <c r="S90">
        <v>20.737445999999998</v>
      </c>
      <c r="T90">
        <v>20.998480000000001</v>
      </c>
      <c r="U90">
        <v>21.294747999999998</v>
      </c>
      <c r="V90">
        <v>21.66337</v>
      </c>
      <c r="W90">
        <v>21.913163999999998</v>
      </c>
      <c r="X90">
        <v>22.179209</v>
      </c>
      <c r="Y90">
        <v>22.582445</v>
      </c>
      <c r="Z90">
        <v>22.914211000000002</v>
      </c>
      <c r="AA90">
        <v>23.124421999999999</v>
      </c>
      <c r="AB90">
        <v>22.979139</v>
      </c>
      <c r="AC90">
        <v>23.74258</v>
      </c>
      <c r="AD90">
        <v>23.886185000000001</v>
      </c>
      <c r="AE90">
        <v>24.074705000000002</v>
      </c>
      <c r="AF90">
        <v>24.194410000000001</v>
      </c>
      <c r="AG90">
        <v>24.712562999999999</v>
      </c>
      <c r="AH90">
        <v>25.327183000000002</v>
      </c>
      <c r="AI90" s="42">
        <v>7.0000000000000001E-3</v>
      </c>
    </row>
    <row r="91" spans="1:35">
      <c r="A91" t="s">
        <v>458</v>
      </c>
      <c r="B91" t="s">
        <v>622</v>
      </c>
      <c r="C91" t="s">
        <v>623</v>
      </c>
      <c r="D91" t="s">
        <v>575</v>
      </c>
      <c r="F91">
        <v>56.810580999999999</v>
      </c>
      <c r="G91">
        <v>66.376900000000006</v>
      </c>
      <c r="H91">
        <v>61.789817999999997</v>
      </c>
      <c r="I91">
        <v>62.126190000000001</v>
      </c>
      <c r="J91">
        <v>62.615875000000003</v>
      </c>
      <c r="K91">
        <v>63.844017000000001</v>
      </c>
      <c r="L91">
        <v>65.116095999999999</v>
      </c>
      <c r="M91">
        <v>66.302291999999994</v>
      </c>
      <c r="N91">
        <v>67.047713999999999</v>
      </c>
      <c r="O91">
        <v>68.487708999999995</v>
      </c>
      <c r="P91">
        <v>70.474318999999994</v>
      </c>
      <c r="Q91">
        <v>72.189071999999996</v>
      </c>
      <c r="R91">
        <v>74.459778</v>
      </c>
      <c r="S91">
        <v>75.424735999999996</v>
      </c>
      <c r="T91">
        <v>77.530036999999993</v>
      </c>
      <c r="U91">
        <v>79.344559000000004</v>
      </c>
      <c r="V91">
        <v>81.781563000000006</v>
      </c>
      <c r="W91">
        <v>83.213218999999995</v>
      </c>
      <c r="X91">
        <v>85.830353000000002</v>
      </c>
      <c r="Y91">
        <v>87.748656999999994</v>
      </c>
      <c r="Z91">
        <v>89.128158999999997</v>
      </c>
      <c r="AA91">
        <v>90.668098000000001</v>
      </c>
      <c r="AB91">
        <v>91.536109999999994</v>
      </c>
      <c r="AC91">
        <v>93.038207999999997</v>
      </c>
      <c r="AD91">
        <v>94.671783000000005</v>
      </c>
      <c r="AE91">
        <v>95.748474000000002</v>
      </c>
      <c r="AF91">
        <v>97.390738999999996</v>
      </c>
      <c r="AG91">
        <v>97.800430000000006</v>
      </c>
      <c r="AH91">
        <v>99.079993999999999</v>
      </c>
      <c r="AI91" s="42">
        <v>0.02</v>
      </c>
    </row>
    <row r="92" spans="1:35">
      <c r="A92" t="s">
        <v>515</v>
      </c>
    </row>
    <row r="93" spans="1:35">
      <c r="A93" t="s">
        <v>452</v>
      </c>
      <c r="B93" t="s">
        <v>624</v>
      </c>
      <c r="C93" t="s">
        <v>625</v>
      </c>
      <c r="D93" t="s">
        <v>575</v>
      </c>
      <c r="F93">
        <v>33.932487000000002</v>
      </c>
      <c r="G93">
        <v>32.763263999999999</v>
      </c>
      <c r="H93">
        <v>31.135292</v>
      </c>
      <c r="I93">
        <v>28.837551000000001</v>
      </c>
      <c r="J93">
        <v>27.655951000000002</v>
      </c>
      <c r="K93">
        <v>26.457896999999999</v>
      </c>
      <c r="L93">
        <v>25.290199000000001</v>
      </c>
      <c r="M93">
        <v>25.932917</v>
      </c>
      <c r="N93">
        <v>26.523291</v>
      </c>
      <c r="O93">
        <v>27.354472999999999</v>
      </c>
      <c r="P93">
        <v>28.074290999999999</v>
      </c>
      <c r="Q93">
        <v>28.834693999999999</v>
      </c>
      <c r="R93">
        <v>29.65625</v>
      </c>
      <c r="S93">
        <v>30.461046</v>
      </c>
      <c r="T93">
        <v>31.280684999999998</v>
      </c>
      <c r="U93">
        <v>32.123493000000003</v>
      </c>
      <c r="V93">
        <v>32.960236000000002</v>
      </c>
      <c r="W93">
        <v>33.764347000000001</v>
      </c>
      <c r="X93">
        <v>34.618800999999998</v>
      </c>
      <c r="Y93">
        <v>35.659903999999997</v>
      </c>
      <c r="Z93">
        <v>36.495598000000001</v>
      </c>
      <c r="AA93">
        <v>37.533797999999997</v>
      </c>
      <c r="AB93">
        <v>38.267498000000003</v>
      </c>
      <c r="AC93">
        <v>39.359589</v>
      </c>
      <c r="AD93">
        <v>40.688491999999997</v>
      </c>
      <c r="AE93">
        <v>41.679881999999999</v>
      </c>
      <c r="AF93">
        <v>42.756016000000002</v>
      </c>
      <c r="AG93">
        <v>43.937083999999999</v>
      </c>
      <c r="AH93">
        <v>45.021583999999997</v>
      </c>
      <c r="AI93" s="42">
        <v>0.01</v>
      </c>
    </row>
    <row r="94" spans="1:35">
      <c r="A94" t="s">
        <v>466</v>
      </c>
      <c r="B94" t="s">
        <v>626</v>
      </c>
      <c r="C94" t="s">
        <v>627</v>
      </c>
      <c r="D94" t="s">
        <v>575</v>
      </c>
      <c r="F94">
        <v>19.402708000000001</v>
      </c>
      <c r="G94">
        <v>16.914556999999999</v>
      </c>
      <c r="H94">
        <v>17.157416999999999</v>
      </c>
      <c r="I94">
        <v>15.993442999999999</v>
      </c>
      <c r="J94">
        <v>16.059372</v>
      </c>
      <c r="K94">
        <v>16.140471999999999</v>
      </c>
      <c r="L94">
        <v>16.18289</v>
      </c>
      <c r="M94">
        <v>16.648064000000002</v>
      </c>
      <c r="N94">
        <v>17.128907999999999</v>
      </c>
      <c r="O94">
        <v>17.662517999999999</v>
      </c>
      <c r="P94">
        <v>18.199268</v>
      </c>
      <c r="Q94">
        <v>18.753477</v>
      </c>
      <c r="R94">
        <v>19.341448</v>
      </c>
      <c r="S94">
        <v>19.950495</v>
      </c>
      <c r="T94">
        <v>20.536625000000001</v>
      </c>
      <c r="U94">
        <v>21.139091000000001</v>
      </c>
      <c r="V94">
        <v>21.761444000000001</v>
      </c>
      <c r="W94">
        <v>22.337167999999998</v>
      </c>
      <c r="X94">
        <v>22.964749999999999</v>
      </c>
      <c r="Y94">
        <v>23.67634</v>
      </c>
      <c r="Z94">
        <v>24.237123</v>
      </c>
      <c r="AA94">
        <v>24.905998</v>
      </c>
      <c r="AB94">
        <v>25.560568</v>
      </c>
      <c r="AC94">
        <v>26.255548000000001</v>
      </c>
      <c r="AD94">
        <v>27.15204</v>
      </c>
      <c r="AE94">
        <v>27.798742000000001</v>
      </c>
      <c r="AF94">
        <v>28.687483</v>
      </c>
      <c r="AG94">
        <v>29.546976000000001</v>
      </c>
      <c r="AH94">
        <v>30.393446000000001</v>
      </c>
      <c r="AI94" s="42">
        <v>1.6E-2</v>
      </c>
    </row>
    <row r="95" spans="1:35">
      <c r="A95" t="s">
        <v>455</v>
      </c>
      <c r="B95" t="s">
        <v>628</v>
      </c>
      <c r="C95" t="s">
        <v>629</v>
      </c>
      <c r="D95" t="s">
        <v>575</v>
      </c>
      <c r="F95">
        <v>8.3086490000000008</v>
      </c>
      <c r="G95">
        <v>6.9610469999999998</v>
      </c>
      <c r="H95">
        <v>5.5408650000000002</v>
      </c>
      <c r="I95">
        <v>4.5926200000000001</v>
      </c>
      <c r="J95">
        <v>4.0360670000000001</v>
      </c>
      <c r="K95">
        <v>3.564597</v>
      </c>
      <c r="L95">
        <v>3.3414299999999999</v>
      </c>
      <c r="M95">
        <v>3.6017130000000002</v>
      </c>
      <c r="N95">
        <v>3.5380039999999999</v>
      </c>
      <c r="O95">
        <v>3.5120049999999998</v>
      </c>
      <c r="P95">
        <v>3.8308309999999999</v>
      </c>
      <c r="Q95">
        <v>3.8966449999999999</v>
      </c>
      <c r="R95">
        <v>4.0820109999999996</v>
      </c>
      <c r="S95">
        <v>4.3041830000000001</v>
      </c>
      <c r="T95">
        <v>4.5040909999999998</v>
      </c>
      <c r="U95">
        <v>4.6939169999999999</v>
      </c>
      <c r="V95">
        <v>5.0335640000000001</v>
      </c>
      <c r="W95">
        <v>5.2326759999999997</v>
      </c>
      <c r="X95">
        <v>5.4629339999999997</v>
      </c>
      <c r="Y95">
        <v>5.8584259999999997</v>
      </c>
      <c r="Z95">
        <v>6.0279579999999999</v>
      </c>
      <c r="AA95">
        <v>6.0763429999999996</v>
      </c>
      <c r="AB95">
        <v>5.980893</v>
      </c>
      <c r="AC95">
        <v>6.2219249999999997</v>
      </c>
      <c r="AD95">
        <v>6.2165879999999998</v>
      </c>
      <c r="AE95">
        <v>6.2759489999999998</v>
      </c>
      <c r="AF95">
        <v>6.2971450000000004</v>
      </c>
      <c r="AG95">
        <v>6.4644579999999996</v>
      </c>
      <c r="AH95">
        <v>6.7250569999999996</v>
      </c>
      <c r="AI95" s="42">
        <v>-8.0000000000000002E-3</v>
      </c>
    </row>
    <row r="96" spans="1:35">
      <c r="A96" t="s">
        <v>522</v>
      </c>
      <c r="B96" t="s">
        <v>630</v>
      </c>
      <c r="C96" t="s">
        <v>631</v>
      </c>
      <c r="D96" t="s">
        <v>575</v>
      </c>
      <c r="F96">
        <v>0</v>
      </c>
      <c r="G96">
        <v>0</v>
      </c>
      <c r="H96">
        <v>3.6783869999999999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 t="s">
        <v>485</v>
      </c>
    </row>
    <row r="97" spans="1:35">
      <c r="A97" t="s">
        <v>525</v>
      </c>
      <c r="B97" t="s">
        <v>632</v>
      </c>
      <c r="C97" t="s">
        <v>633</v>
      </c>
      <c r="D97" t="s">
        <v>575</v>
      </c>
      <c r="F97">
        <v>0.71087199999999995</v>
      </c>
      <c r="G97">
        <v>0.74018399999999995</v>
      </c>
      <c r="H97">
        <v>0.758185</v>
      </c>
      <c r="I97">
        <v>0.77460499999999999</v>
      </c>
      <c r="J97">
        <v>0.79103999999999997</v>
      </c>
      <c r="K97">
        <v>0.80805899999999997</v>
      </c>
      <c r="L97">
        <v>0.82544499999999998</v>
      </c>
      <c r="M97">
        <v>0.84346299999999996</v>
      </c>
      <c r="N97">
        <v>0.86221599999999998</v>
      </c>
      <c r="O97">
        <v>0.88185400000000003</v>
      </c>
      <c r="P97">
        <v>0.90198900000000004</v>
      </c>
      <c r="Q97">
        <v>0.92327000000000004</v>
      </c>
      <c r="R97">
        <v>0.94529300000000005</v>
      </c>
      <c r="S97">
        <v>0.96734500000000001</v>
      </c>
      <c r="T97">
        <v>0.98952399999999996</v>
      </c>
      <c r="U97">
        <v>1.011585</v>
      </c>
      <c r="V97">
        <v>1.0338620000000001</v>
      </c>
      <c r="W97">
        <v>1.0564610000000001</v>
      </c>
      <c r="X97">
        <v>1.0799270000000001</v>
      </c>
      <c r="Y97">
        <v>1.1040449999999999</v>
      </c>
      <c r="Z97">
        <v>1.128868</v>
      </c>
      <c r="AA97">
        <v>1.154644</v>
      </c>
      <c r="AB97">
        <v>1.181187</v>
      </c>
      <c r="AC97">
        <v>1.2086060000000001</v>
      </c>
      <c r="AD97">
        <v>1.237012</v>
      </c>
      <c r="AE97">
        <v>1.266273</v>
      </c>
      <c r="AF97">
        <v>1.2965150000000001</v>
      </c>
      <c r="AG97">
        <v>1.3275189999999999</v>
      </c>
      <c r="AH97">
        <v>1.3594269999999999</v>
      </c>
      <c r="AI97" s="42">
        <v>2.3E-2</v>
      </c>
    </row>
    <row r="98" spans="1:35">
      <c r="A98" t="s">
        <v>528</v>
      </c>
    </row>
    <row r="99" spans="1:35">
      <c r="A99" t="s">
        <v>448</v>
      </c>
      <c r="B99" t="s">
        <v>634</v>
      </c>
      <c r="C99" t="s">
        <v>635</v>
      </c>
      <c r="D99" t="s">
        <v>575</v>
      </c>
      <c r="F99">
        <v>31.982057999999999</v>
      </c>
      <c r="G99">
        <v>34.493327999999998</v>
      </c>
      <c r="H99">
        <v>34.831992999999997</v>
      </c>
      <c r="I99">
        <v>33.864082000000003</v>
      </c>
      <c r="J99">
        <v>33.203074999999998</v>
      </c>
      <c r="K99">
        <v>32.899695999999999</v>
      </c>
      <c r="L99">
        <v>33.099403000000002</v>
      </c>
      <c r="M99">
        <v>33.679088999999998</v>
      </c>
      <c r="N99">
        <v>34.616985</v>
      </c>
      <c r="O99">
        <v>35.821387999999999</v>
      </c>
      <c r="P99">
        <v>37.273784999999997</v>
      </c>
      <c r="Q99">
        <v>38.950996000000004</v>
      </c>
      <c r="R99">
        <v>40.647060000000003</v>
      </c>
      <c r="S99">
        <v>42.166519000000001</v>
      </c>
      <c r="T99">
        <v>43.543644</v>
      </c>
      <c r="U99">
        <v>44.908459000000001</v>
      </c>
      <c r="V99">
        <v>46.489910000000002</v>
      </c>
      <c r="W99">
        <v>47.694735999999999</v>
      </c>
      <c r="X99">
        <v>49.249310000000001</v>
      </c>
      <c r="Y99">
        <v>50.815162999999998</v>
      </c>
      <c r="Z99">
        <v>52.247002000000002</v>
      </c>
      <c r="AA99">
        <v>53.541041999999997</v>
      </c>
      <c r="AB99">
        <v>54.740437</v>
      </c>
      <c r="AC99">
        <v>56.087741999999999</v>
      </c>
      <c r="AD99">
        <v>57.400737999999997</v>
      </c>
      <c r="AE99">
        <v>58.800404</v>
      </c>
      <c r="AF99">
        <v>60.345878999999996</v>
      </c>
      <c r="AG99">
        <v>61.781238999999999</v>
      </c>
      <c r="AH99">
        <v>63.178497</v>
      </c>
      <c r="AI99" s="42">
        <v>2.5000000000000001E-2</v>
      </c>
    </row>
    <row r="100" spans="1:35">
      <c r="A100" t="s">
        <v>497</v>
      </c>
      <c r="B100" t="s">
        <v>636</v>
      </c>
      <c r="C100" t="s">
        <v>637</v>
      </c>
      <c r="D100" t="s">
        <v>575</v>
      </c>
      <c r="F100">
        <v>46.926963999999998</v>
      </c>
      <c r="G100">
        <v>43.143703000000002</v>
      </c>
      <c r="H100">
        <v>35.927387000000003</v>
      </c>
      <c r="I100">
        <v>34.145606999999998</v>
      </c>
      <c r="J100">
        <v>34.407463</v>
      </c>
      <c r="K100">
        <v>34.909816999999997</v>
      </c>
      <c r="L100">
        <v>35.360802</v>
      </c>
      <c r="M100">
        <v>36.036574999999999</v>
      </c>
      <c r="N100">
        <v>36.971359</v>
      </c>
      <c r="O100">
        <v>37.791153000000001</v>
      </c>
      <c r="P100">
        <v>38.904057000000002</v>
      </c>
      <c r="Q100">
        <v>39.934643000000001</v>
      </c>
      <c r="R100">
        <v>41.097327999999997</v>
      </c>
      <c r="S100">
        <v>42.151755999999999</v>
      </c>
      <c r="T100">
        <v>43.683143999999999</v>
      </c>
      <c r="U100">
        <v>44.754013</v>
      </c>
      <c r="V100">
        <v>45.901066</v>
      </c>
      <c r="W100">
        <v>47.136508999999997</v>
      </c>
      <c r="X100">
        <v>48.285232999999998</v>
      </c>
      <c r="Y100">
        <v>49.400249000000002</v>
      </c>
      <c r="Z100">
        <v>50.675246999999999</v>
      </c>
      <c r="AA100">
        <v>51.649940000000001</v>
      </c>
      <c r="AB100">
        <v>53.201813000000001</v>
      </c>
      <c r="AC100">
        <v>54.442458999999999</v>
      </c>
      <c r="AD100">
        <v>56.541611000000003</v>
      </c>
      <c r="AE100">
        <v>57.926913999999996</v>
      </c>
      <c r="AF100">
        <v>59.862377000000002</v>
      </c>
      <c r="AG100">
        <v>61.435917000000003</v>
      </c>
      <c r="AH100">
        <v>64.108017000000004</v>
      </c>
      <c r="AI100" s="42">
        <v>1.0999999999999999E-2</v>
      </c>
    </row>
    <row r="101" spans="1:35">
      <c r="A101" t="s">
        <v>500</v>
      </c>
      <c r="B101" t="s">
        <v>638</v>
      </c>
      <c r="C101" t="s">
        <v>639</v>
      </c>
      <c r="D101" t="s">
        <v>575</v>
      </c>
      <c r="F101">
        <v>35.533957999999998</v>
      </c>
      <c r="G101">
        <v>32.000515</v>
      </c>
      <c r="H101">
        <v>29.577862</v>
      </c>
      <c r="I101">
        <v>28.132483000000001</v>
      </c>
      <c r="J101">
        <v>28.350560999999999</v>
      </c>
      <c r="K101">
        <v>28.754124000000001</v>
      </c>
      <c r="L101">
        <v>29.389842999999999</v>
      </c>
      <c r="M101">
        <v>30.097094999999999</v>
      </c>
      <c r="N101">
        <v>30.877821000000001</v>
      </c>
      <c r="O101">
        <v>31.562491999999999</v>
      </c>
      <c r="P101">
        <v>32.491973999999999</v>
      </c>
      <c r="Q101">
        <v>33.352694999999997</v>
      </c>
      <c r="R101">
        <v>34.323753000000004</v>
      </c>
      <c r="S101">
        <v>35.204391000000001</v>
      </c>
      <c r="T101">
        <v>36.483378999999999</v>
      </c>
      <c r="U101">
        <v>37.377754000000003</v>
      </c>
      <c r="V101">
        <v>38.335746999999998</v>
      </c>
      <c r="W101">
        <v>39.367569000000003</v>
      </c>
      <c r="X101">
        <v>40.326957999999998</v>
      </c>
      <c r="Y101">
        <v>41.258204999999997</v>
      </c>
      <c r="Z101">
        <v>42.323054999999997</v>
      </c>
      <c r="AA101">
        <v>43.137104000000001</v>
      </c>
      <c r="AB101">
        <v>44.433200999999997</v>
      </c>
      <c r="AC101">
        <v>45.469363999999999</v>
      </c>
      <c r="AD101">
        <v>47.222538</v>
      </c>
      <c r="AE101">
        <v>48.379519999999999</v>
      </c>
      <c r="AF101">
        <v>49.995978999999998</v>
      </c>
      <c r="AG101">
        <v>51.310177000000003</v>
      </c>
      <c r="AH101">
        <v>53.026336999999998</v>
      </c>
      <c r="AI101" s="42">
        <v>1.4E-2</v>
      </c>
    </row>
    <row r="102" spans="1:35">
      <c r="A102" t="s">
        <v>503</v>
      </c>
      <c r="B102" t="s">
        <v>640</v>
      </c>
      <c r="C102" t="s">
        <v>641</v>
      </c>
      <c r="D102" t="s">
        <v>575</v>
      </c>
      <c r="F102">
        <v>26.789978000000001</v>
      </c>
      <c r="G102">
        <v>23.355989000000001</v>
      </c>
      <c r="H102">
        <v>22.892841000000001</v>
      </c>
      <c r="I102">
        <v>21.778911999999998</v>
      </c>
      <c r="J102">
        <v>22.037271</v>
      </c>
      <c r="K102">
        <v>22.243583999999998</v>
      </c>
      <c r="L102">
        <v>22.658246999999999</v>
      </c>
      <c r="M102">
        <v>23.287298</v>
      </c>
      <c r="N102">
        <v>23.821487000000001</v>
      </c>
      <c r="O102">
        <v>24.65296</v>
      </c>
      <c r="P102">
        <v>25.359221000000002</v>
      </c>
      <c r="Q102">
        <v>26.082027</v>
      </c>
      <c r="R102">
        <v>26.901522</v>
      </c>
      <c r="S102">
        <v>27.741114</v>
      </c>
      <c r="T102">
        <v>28.516933000000002</v>
      </c>
      <c r="U102">
        <v>29.335094000000002</v>
      </c>
      <c r="V102">
        <v>30.153214999999999</v>
      </c>
      <c r="W102">
        <v>30.944835999999999</v>
      </c>
      <c r="X102">
        <v>31.784586000000001</v>
      </c>
      <c r="Y102">
        <v>32.807521999999999</v>
      </c>
      <c r="Z102">
        <v>33.625435000000003</v>
      </c>
      <c r="AA102">
        <v>34.642024999999997</v>
      </c>
      <c r="AB102">
        <v>35.328873000000002</v>
      </c>
      <c r="AC102">
        <v>36.400917</v>
      </c>
      <c r="AD102">
        <v>37.702049000000002</v>
      </c>
      <c r="AE102">
        <v>38.673369999999998</v>
      </c>
      <c r="AF102">
        <v>39.714275000000001</v>
      </c>
      <c r="AG102">
        <v>40.849068000000003</v>
      </c>
      <c r="AH102">
        <v>41.895290000000003</v>
      </c>
      <c r="AI102" s="42">
        <v>1.6E-2</v>
      </c>
    </row>
    <row r="103" spans="1:35">
      <c r="A103" t="s">
        <v>452</v>
      </c>
      <c r="B103" t="s">
        <v>642</v>
      </c>
      <c r="C103" t="s">
        <v>643</v>
      </c>
      <c r="D103" t="s">
        <v>575</v>
      </c>
      <c r="F103">
        <v>36.524802999999999</v>
      </c>
      <c r="G103">
        <v>34.672977000000003</v>
      </c>
      <c r="H103">
        <v>33.831603999999999</v>
      </c>
      <c r="I103">
        <v>32.360602999999998</v>
      </c>
      <c r="J103">
        <v>32.115997</v>
      </c>
      <c r="K103">
        <v>31.875153999999998</v>
      </c>
      <c r="L103">
        <v>31.810545000000001</v>
      </c>
      <c r="M103">
        <v>32.613663000000003</v>
      </c>
      <c r="N103">
        <v>33.354453999999997</v>
      </c>
      <c r="O103">
        <v>34.341968999999999</v>
      </c>
      <c r="P103">
        <v>35.240631</v>
      </c>
      <c r="Q103">
        <v>36.237473000000001</v>
      </c>
      <c r="R103">
        <v>37.157809999999998</v>
      </c>
      <c r="S103">
        <v>38.281891000000002</v>
      </c>
      <c r="T103">
        <v>39.176338000000001</v>
      </c>
      <c r="U103">
        <v>40.234512000000002</v>
      </c>
      <c r="V103">
        <v>41.254986000000002</v>
      </c>
      <c r="W103">
        <v>42.222946</v>
      </c>
      <c r="X103">
        <v>43.232967000000002</v>
      </c>
      <c r="Y103">
        <v>44.44482</v>
      </c>
      <c r="Z103">
        <v>45.435218999999996</v>
      </c>
      <c r="AA103">
        <v>46.661625000000001</v>
      </c>
      <c r="AB103">
        <v>47.580916999999999</v>
      </c>
      <c r="AC103">
        <v>48.751221000000001</v>
      </c>
      <c r="AD103">
        <v>50.257770999999998</v>
      </c>
      <c r="AE103">
        <v>51.504463000000001</v>
      </c>
      <c r="AF103">
        <v>52.799773999999999</v>
      </c>
      <c r="AG103">
        <v>54.192233999999999</v>
      </c>
      <c r="AH103">
        <v>55.499954000000002</v>
      </c>
      <c r="AI103" s="42">
        <v>1.4999999999999999E-2</v>
      </c>
    </row>
    <row r="104" spans="1:35">
      <c r="A104" t="s">
        <v>466</v>
      </c>
      <c r="B104" t="s">
        <v>644</v>
      </c>
      <c r="C104" t="s">
        <v>645</v>
      </c>
      <c r="D104" t="s">
        <v>575</v>
      </c>
      <c r="F104">
        <v>12.230528</v>
      </c>
      <c r="G104">
        <v>8.5726309999999994</v>
      </c>
      <c r="H104">
        <v>10.392590999999999</v>
      </c>
      <c r="I104">
        <v>10.832532</v>
      </c>
      <c r="J104">
        <v>12.549037999999999</v>
      </c>
      <c r="K104">
        <v>14.334486999999999</v>
      </c>
      <c r="L104">
        <v>16.133348000000002</v>
      </c>
      <c r="M104">
        <v>16.598155999999999</v>
      </c>
      <c r="N104">
        <v>17.080020999999999</v>
      </c>
      <c r="O104">
        <v>17.614756</v>
      </c>
      <c r="P104">
        <v>18.152405000000002</v>
      </c>
      <c r="Q104">
        <v>18.708092000000001</v>
      </c>
      <c r="R104">
        <v>19.297089</v>
      </c>
      <c r="S104">
        <v>19.906862</v>
      </c>
      <c r="T104">
        <v>20.493547</v>
      </c>
      <c r="U104">
        <v>21.096432</v>
      </c>
      <c r="V104">
        <v>21.719691999999998</v>
      </c>
      <c r="W104">
        <v>22.296406000000001</v>
      </c>
      <c r="X104">
        <v>22.925076000000001</v>
      </c>
      <c r="Y104">
        <v>23.636697999999999</v>
      </c>
      <c r="Z104">
        <v>24.196404000000001</v>
      </c>
      <c r="AA104">
        <v>24.864597</v>
      </c>
      <c r="AB104">
        <v>25.519238999999999</v>
      </c>
      <c r="AC104">
        <v>26.212541999999999</v>
      </c>
      <c r="AD104">
        <v>27.10812</v>
      </c>
      <c r="AE104">
        <v>27.754073999999999</v>
      </c>
      <c r="AF104">
        <v>28.641611000000001</v>
      </c>
      <c r="AG104">
        <v>29.499777000000002</v>
      </c>
      <c r="AH104">
        <v>30.34412</v>
      </c>
      <c r="AI104" s="42">
        <v>3.3000000000000002E-2</v>
      </c>
    </row>
    <row r="105" spans="1:35">
      <c r="A105" t="s">
        <v>455</v>
      </c>
      <c r="B105" t="s">
        <v>646</v>
      </c>
      <c r="C105" t="s">
        <v>647</v>
      </c>
      <c r="D105" t="s">
        <v>575</v>
      </c>
      <c r="F105">
        <v>12.422352</v>
      </c>
      <c r="G105">
        <v>12.12668</v>
      </c>
      <c r="H105">
        <v>11.083709000000001</v>
      </c>
      <c r="I105">
        <v>10.994709</v>
      </c>
      <c r="J105">
        <v>11.084094</v>
      </c>
      <c r="K105">
        <v>11.11401</v>
      </c>
      <c r="L105">
        <v>11.251336999999999</v>
      </c>
      <c r="M105">
        <v>11.653869</v>
      </c>
      <c r="N105">
        <v>12.094471</v>
      </c>
      <c r="O105">
        <v>12.287775999999999</v>
      </c>
      <c r="P105">
        <v>12.681785</v>
      </c>
      <c r="Q105">
        <v>13.104372</v>
      </c>
      <c r="R105">
        <v>13.477814</v>
      </c>
      <c r="S105">
        <v>13.875413999999999</v>
      </c>
      <c r="T105">
        <v>14.156316</v>
      </c>
      <c r="U105">
        <v>14.605718</v>
      </c>
      <c r="V105">
        <v>14.957445999999999</v>
      </c>
      <c r="W105">
        <v>15.241839000000001</v>
      </c>
      <c r="X105">
        <v>15.706638</v>
      </c>
      <c r="Y105">
        <v>16.005243</v>
      </c>
      <c r="Z105">
        <v>16.331600000000002</v>
      </c>
      <c r="AA105">
        <v>16.696307999999998</v>
      </c>
      <c r="AB105">
        <v>17.327915000000001</v>
      </c>
      <c r="AC105">
        <v>17.984846000000001</v>
      </c>
      <c r="AD105">
        <v>18.385308999999999</v>
      </c>
      <c r="AE105">
        <v>18.789397999999998</v>
      </c>
      <c r="AF105">
        <v>19.171074000000001</v>
      </c>
      <c r="AG105">
        <v>19.676517</v>
      </c>
      <c r="AH105">
        <v>20.160844999999998</v>
      </c>
      <c r="AI105" s="42">
        <v>1.7000000000000001E-2</v>
      </c>
    </row>
    <row r="106" spans="1:35">
      <c r="A106" t="s">
        <v>482</v>
      </c>
      <c r="B106" t="s">
        <v>648</v>
      </c>
      <c r="C106" t="s">
        <v>649</v>
      </c>
      <c r="D106" t="s">
        <v>575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 t="s">
        <v>485</v>
      </c>
    </row>
    <row r="107" spans="1:35">
      <c r="A107" t="s">
        <v>545</v>
      </c>
      <c r="B107" t="s">
        <v>650</v>
      </c>
      <c r="C107" t="s">
        <v>651</v>
      </c>
      <c r="D107" t="s">
        <v>575</v>
      </c>
      <c r="F107">
        <v>0.14932100000000001</v>
      </c>
      <c r="G107">
        <v>0.13568</v>
      </c>
      <c r="H107">
        <v>3.7190810000000001</v>
      </c>
      <c r="I107">
        <v>5.1314000000000002</v>
      </c>
      <c r="J107">
        <v>5.1488569999999996</v>
      </c>
      <c r="K107">
        <v>5.3885870000000002</v>
      </c>
      <c r="L107">
        <v>5.489204</v>
      </c>
      <c r="M107">
        <v>5.6129699999999998</v>
      </c>
      <c r="N107">
        <v>5.7510750000000002</v>
      </c>
      <c r="O107">
        <v>5.9036439999999999</v>
      </c>
      <c r="P107">
        <v>6.0609000000000002</v>
      </c>
      <c r="Q107">
        <v>6.2354219999999998</v>
      </c>
      <c r="R107">
        <v>6.4273980000000002</v>
      </c>
      <c r="S107">
        <v>6.6215419999999998</v>
      </c>
      <c r="T107">
        <v>6.8214779999999999</v>
      </c>
      <c r="U107">
        <v>7.0369190000000001</v>
      </c>
      <c r="V107">
        <v>7.2448810000000003</v>
      </c>
      <c r="W107">
        <v>7.4478669999999996</v>
      </c>
      <c r="X107">
        <v>7.6418900000000001</v>
      </c>
      <c r="Y107">
        <v>7.0577430000000003</v>
      </c>
      <c r="Z107">
        <v>7.1973940000000001</v>
      </c>
      <c r="AA107">
        <v>7.3636900000000001</v>
      </c>
      <c r="AB107">
        <v>7.5336879999999997</v>
      </c>
      <c r="AC107">
        <v>7.7108140000000001</v>
      </c>
      <c r="AD107">
        <v>7.8921130000000002</v>
      </c>
      <c r="AE107">
        <v>8.078106</v>
      </c>
      <c r="AF107">
        <v>7.8240600000000002</v>
      </c>
      <c r="AG107">
        <v>7.3440989999999999</v>
      </c>
      <c r="AH107">
        <v>7.055771</v>
      </c>
      <c r="AI107" s="42">
        <v>0.14799999999999999</v>
      </c>
    </row>
    <row r="108" spans="1:35">
      <c r="A108" t="s">
        <v>489</v>
      </c>
      <c r="B108" t="s">
        <v>652</v>
      </c>
      <c r="C108" t="s">
        <v>653</v>
      </c>
      <c r="D108" t="s">
        <v>575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 t="s">
        <v>485</v>
      </c>
    </row>
    <row r="109" spans="1:35">
      <c r="A109" t="s">
        <v>458</v>
      </c>
      <c r="B109" t="s">
        <v>654</v>
      </c>
      <c r="C109" t="s">
        <v>655</v>
      </c>
      <c r="D109" t="s">
        <v>575</v>
      </c>
      <c r="F109">
        <v>60.315361000000003</v>
      </c>
      <c r="G109">
        <v>66.249245000000002</v>
      </c>
      <c r="H109">
        <v>62.727649999999997</v>
      </c>
      <c r="I109">
        <v>62.896071999999997</v>
      </c>
      <c r="J109">
        <v>63.275447999999997</v>
      </c>
      <c r="K109">
        <v>64.262939000000003</v>
      </c>
      <c r="L109">
        <v>65.649283999999994</v>
      </c>
      <c r="M109">
        <v>67.032616000000004</v>
      </c>
      <c r="N109">
        <v>67.964423999999994</v>
      </c>
      <c r="O109">
        <v>69.791672000000005</v>
      </c>
      <c r="P109">
        <v>71.813773999999995</v>
      </c>
      <c r="Q109">
        <v>74.008751000000004</v>
      </c>
      <c r="R109">
        <v>78.435119999999998</v>
      </c>
      <c r="S109">
        <v>78.535088000000002</v>
      </c>
      <c r="T109">
        <v>82.650870999999995</v>
      </c>
      <c r="U109">
        <v>84.895247999999995</v>
      </c>
      <c r="V109">
        <v>88.051581999999996</v>
      </c>
      <c r="W109">
        <v>90.156379999999999</v>
      </c>
      <c r="X109">
        <v>92.489906000000005</v>
      </c>
      <c r="Y109">
        <v>95.000381000000004</v>
      </c>
      <c r="Z109">
        <v>96.864104999999995</v>
      </c>
      <c r="AA109">
        <v>99.110259999999997</v>
      </c>
      <c r="AB109">
        <v>100.01552599999999</v>
      </c>
      <c r="AC109">
        <v>101.98081999999999</v>
      </c>
      <c r="AD109">
        <v>104.497795</v>
      </c>
      <c r="AE109">
        <v>106.293556</v>
      </c>
      <c r="AF109">
        <v>109.056938</v>
      </c>
      <c r="AG109">
        <v>109.22727999999999</v>
      </c>
      <c r="AH109">
        <v>111.441154</v>
      </c>
      <c r="AI109" s="42">
        <v>2.1999999999999999E-2</v>
      </c>
    </row>
    <row r="110" spans="1:35">
      <c r="A110" t="s">
        <v>552</v>
      </c>
    </row>
    <row r="111" spans="1:35">
      <c r="A111" t="s">
        <v>656</v>
      </c>
    </row>
    <row r="112" spans="1:35">
      <c r="A112" t="s">
        <v>447</v>
      </c>
      <c r="B112" t="s">
        <v>657</v>
      </c>
      <c r="C112" t="s">
        <v>658</v>
      </c>
      <c r="D112" t="s">
        <v>659</v>
      </c>
      <c r="F112">
        <v>23.399477000000001</v>
      </c>
      <c r="G112">
        <v>24.026667</v>
      </c>
      <c r="H112">
        <v>22.523933</v>
      </c>
      <c r="I112">
        <v>22.357809</v>
      </c>
      <c r="J112">
        <v>22.493504000000001</v>
      </c>
      <c r="K112">
        <v>22.734213</v>
      </c>
      <c r="L112">
        <v>23.088857999999998</v>
      </c>
      <c r="M112">
        <v>23.592237000000001</v>
      </c>
      <c r="N112">
        <v>23.990386999999998</v>
      </c>
      <c r="O112">
        <v>24.611022999999999</v>
      </c>
      <c r="P112">
        <v>25.297832</v>
      </c>
      <c r="Q112">
        <v>26.113913</v>
      </c>
      <c r="R112">
        <v>27.300913000000001</v>
      </c>
      <c r="S112">
        <v>27.839307999999999</v>
      </c>
      <c r="T112">
        <v>29.029581</v>
      </c>
      <c r="U112">
        <v>29.950966000000001</v>
      </c>
      <c r="V112">
        <v>31.020251999999999</v>
      </c>
      <c r="W112">
        <v>31.921581</v>
      </c>
      <c r="X112">
        <v>32.926296000000001</v>
      </c>
      <c r="Y112">
        <v>33.986899999999999</v>
      </c>
      <c r="Z112">
        <v>34.942183999999997</v>
      </c>
      <c r="AA112">
        <v>36.001728</v>
      </c>
      <c r="AB112">
        <v>36.792167999999997</v>
      </c>
      <c r="AC112">
        <v>37.881698999999998</v>
      </c>
      <c r="AD112">
        <v>39.099029999999999</v>
      </c>
      <c r="AE112">
        <v>40.193600000000004</v>
      </c>
      <c r="AF112">
        <v>41.494880999999999</v>
      </c>
      <c r="AG112">
        <v>42.359634</v>
      </c>
      <c r="AH112">
        <v>43.666469999999997</v>
      </c>
      <c r="AI112" s="42">
        <v>2.3E-2</v>
      </c>
    </row>
    <row r="113" spans="1:35">
      <c r="A113" t="s">
        <v>461</v>
      </c>
      <c r="B113" t="s">
        <v>660</v>
      </c>
      <c r="C113" t="s">
        <v>661</v>
      </c>
      <c r="D113" t="s">
        <v>659</v>
      </c>
      <c r="F113">
        <v>14.943353</v>
      </c>
      <c r="G113">
        <v>15.997458</v>
      </c>
      <c r="H113">
        <v>14.533303999999999</v>
      </c>
      <c r="I113">
        <v>14.142607</v>
      </c>
      <c r="J113">
        <v>14.055676999999999</v>
      </c>
      <c r="K113">
        <v>14.048203000000001</v>
      </c>
      <c r="L113">
        <v>14.275902</v>
      </c>
      <c r="M113">
        <v>14.51352</v>
      </c>
      <c r="N113">
        <v>14.742796999999999</v>
      </c>
      <c r="O113">
        <v>15.109724</v>
      </c>
      <c r="P113">
        <v>15.499376</v>
      </c>
      <c r="Q113">
        <v>15.93249</v>
      </c>
      <c r="R113">
        <v>16.636906</v>
      </c>
      <c r="S113">
        <v>16.724781</v>
      </c>
      <c r="T113">
        <v>17.371715999999999</v>
      </c>
      <c r="U113">
        <v>17.762981</v>
      </c>
      <c r="V113">
        <v>18.283504000000001</v>
      </c>
      <c r="W113">
        <v>18.652452</v>
      </c>
      <c r="X113">
        <v>19.043234000000002</v>
      </c>
      <c r="Y113">
        <v>19.495642</v>
      </c>
      <c r="Z113">
        <v>19.874486999999998</v>
      </c>
      <c r="AA113">
        <v>20.305150999999999</v>
      </c>
      <c r="AB113">
        <v>20.558968</v>
      </c>
      <c r="AC113">
        <v>20.988734999999998</v>
      </c>
      <c r="AD113">
        <v>21.479548000000001</v>
      </c>
      <c r="AE113">
        <v>21.902305999999999</v>
      </c>
      <c r="AF113">
        <v>22.455514999999998</v>
      </c>
      <c r="AG113">
        <v>22.635501999999999</v>
      </c>
      <c r="AH113">
        <v>23.192019999999999</v>
      </c>
      <c r="AI113" s="42">
        <v>1.6E-2</v>
      </c>
    </row>
    <row r="114" spans="1:35">
      <c r="A114" t="s">
        <v>473</v>
      </c>
      <c r="B114" t="s">
        <v>662</v>
      </c>
      <c r="C114" t="s">
        <v>663</v>
      </c>
      <c r="D114" t="s">
        <v>659</v>
      </c>
      <c r="F114">
        <v>5.2647830000000004</v>
      </c>
      <c r="G114">
        <v>5.3412160000000002</v>
      </c>
      <c r="H114">
        <v>4.7710999999999997</v>
      </c>
      <c r="I114">
        <v>4.6593220000000004</v>
      </c>
      <c r="J114">
        <v>4.6041499999999997</v>
      </c>
      <c r="K114">
        <v>4.5954230000000003</v>
      </c>
      <c r="L114">
        <v>4.6210040000000001</v>
      </c>
      <c r="M114">
        <v>4.762219</v>
      </c>
      <c r="N114">
        <v>4.7970699999999997</v>
      </c>
      <c r="O114">
        <v>4.8912329999999997</v>
      </c>
      <c r="P114">
        <v>5.0480479999999996</v>
      </c>
      <c r="Q114">
        <v>5.195614</v>
      </c>
      <c r="R114">
        <v>5.422479</v>
      </c>
      <c r="S114">
        <v>5.5116649999999998</v>
      </c>
      <c r="T114">
        <v>5.737152</v>
      </c>
      <c r="U114">
        <v>5.9221700000000004</v>
      </c>
      <c r="V114">
        <v>6.1658429999999997</v>
      </c>
      <c r="W114">
        <v>6.3349679999999999</v>
      </c>
      <c r="X114">
        <v>6.519514</v>
      </c>
      <c r="Y114">
        <v>6.7483570000000004</v>
      </c>
      <c r="Z114">
        <v>6.9341439999999999</v>
      </c>
      <c r="AA114">
        <v>7.1049939999999996</v>
      </c>
      <c r="AB114">
        <v>7.1840310000000001</v>
      </c>
      <c r="AC114">
        <v>7.433611</v>
      </c>
      <c r="AD114">
        <v>7.6398210000000004</v>
      </c>
      <c r="AE114">
        <v>7.8150630000000003</v>
      </c>
      <c r="AF114">
        <v>8.0082140000000006</v>
      </c>
      <c r="AG114">
        <v>8.1271059999999995</v>
      </c>
      <c r="AH114">
        <v>8.3927359999999993</v>
      </c>
      <c r="AI114" s="42">
        <v>1.7000000000000001E-2</v>
      </c>
    </row>
    <row r="115" spans="1:35">
      <c r="A115" t="s">
        <v>494</v>
      </c>
      <c r="B115" t="s">
        <v>664</v>
      </c>
      <c r="C115" t="s">
        <v>665</v>
      </c>
      <c r="D115" t="s">
        <v>659</v>
      </c>
      <c r="F115">
        <v>31.473344999999998</v>
      </c>
      <c r="G115">
        <v>28.983301000000001</v>
      </c>
      <c r="H115">
        <v>27.146139000000002</v>
      </c>
      <c r="I115">
        <v>25.405923999999999</v>
      </c>
      <c r="J115">
        <v>25.180382000000002</v>
      </c>
      <c r="K115">
        <v>25.131784</v>
      </c>
      <c r="L115">
        <v>25.250277000000001</v>
      </c>
      <c r="M115">
        <v>25.526264000000001</v>
      </c>
      <c r="N115">
        <v>25.773482999999999</v>
      </c>
      <c r="O115">
        <v>26.01322</v>
      </c>
      <c r="P115">
        <v>26.414299</v>
      </c>
      <c r="Q115">
        <v>26.823523999999999</v>
      </c>
      <c r="R115">
        <v>27.343582000000001</v>
      </c>
      <c r="S115">
        <v>27.810019</v>
      </c>
      <c r="T115">
        <v>28.451635</v>
      </c>
      <c r="U115">
        <v>28.943041000000001</v>
      </c>
      <c r="V115">
        <v>29.526608</v>
      </c>
      <c r="W115">
        <v>30.095666999999999</v>
      </c>
      <c r="X115">
        <v>30.739462</v>
      </c>
      <c r="Y115">
        <v>31.394539000000002</v>
      </c>
      <c r="Z115">
        <v>32.057091</v>
      </c>
      <c r="AA115">
        <v>32.673580000000001</v>
      </c>
      <c r="AB115">
        <v>33.432456999999999</v>
      </c>
      <c r="AC115">
        <v>34.182898999999999</v>
      </c>
      <c r="AD115">
        <v>35.364403000000003</v>
      </c>
      <c r="AE115">
        <v>36.243721000000001</v>
      </c>
      <c r="AF115">
        <v>37.383811999999999</v>
      </c>
      <c r="AG115">
        <v>38.375145000000003</v>
      </c>
      <c r="AH115">
        <v>39.647129</v>
      </c>
      <c r="AI115" s="42">
        <v>8.0000000000000002E-3</v>
      </c>
    </row>
    <row r="116" spans="1:35">
      <c r="A116" t="s">
        <v>563</v>
      </c>
      <c r="B116" t="s">
        <v>666</v>
      </c>
      <c r="C116" t="s">
        <v>667</v>
      </c>
      <c r="D116" t="s">
        <v>659</v>
      </c>
      <c r="F116">
        <v>75.080956</v>
      </c>
      <c r="G116">
        <v>74.348647999999997</v>
      </c>
      <c r="H116">
        <v>68.974472000000006</v>
      </c>
      <c r="I116">
        <v>66.565658999999997</v>
      </c>
      <c r="J116">
        <v>66.333709999999996</v>
      </c>
      <c r="K116">
        <v>66.509620999999996</v>
      </c>
      <c r="L116">
        <v>67.236037999999994</v>
      </c>
      <c r="M116">
        <v>68.394240999999994</v>
      </c>
      <c r="N116">
        <v>69.303741000000002</v>
      </c>
      <c r="O116">
        <v>70.625197999999997</v>
      </c>
      <c r="P116">
        <v>72.259551999999999</v>
      </c>
      <c r="Q116">
        <v>74.065544000000003</v>
      </c>
      <c r="R116">
        <v>76.703873000000002</v>
      </c>
      <c r="S116">
        <v>77.885773</v>
      </c>
      <c r="T116">
        <v>80.590087999999994</v>
      </c>
      <c r="U116">
        <v>82.579162999999994</v>
      </c>
      <c r="V116">
        <v>84.996216000000004</v>
      </c>
      <c r="W116">
        <v>87.004669000000007</v>
      </c>
      <c r="X116">
        <v>89.228499999999997</v>
      </c>
      <c r="Y116">
        <v>91.625434999999996</v>
      </c>
      <c r="Z116">
        <v>93.807907</v>
      </c>
      <c r="AA116">
        <v>96.085448999999997</v>
      </c>
      <c r="AB116">
        <v>97.967620999999994</v>
      </c>
      <c r="AC116">
        <v>100.48693799999999</v>
      </c>
      <c r="AD116">
        <v>103.582802</v>
      </c>
      <c r="AE116">
        <v>106.154686</v>
      </c>
      <c r="AF116">
        <v>109.342422</v>
      </c>
      <c r="AG116">
        <v>111.49739099999999</v>
      </c>
      <c r="AH116">
        <v>114.89836099999999</v>
      </c>
      <c r="AI116" s="42">
        <v>1.4999999999999999E-2</v>
      </c>
    </row>
    <row r="117" spans="1:35">
      <c r="A117" t="s">
        <v>566</v>
      </c>
      <c r="B117" t="s">
        <v>668</v>
      </c>
      <c r="C117" t="s">
        <v>669</v>
      </c>
      <c r="D117" t="s">
        <v>659</v>
      </c>
      <c r="F117">
        <v>1.4669E-2</v>
      </c>
      <c r="G117">
        <v>1.3925999999999999E-2</v>
      </c>
      <c r="H117">
        <v>1.2747E-2</v>
      </c>
      <c r="I117">
        <v>1.1981E-2</v>
      </c>
      <c r="J117">
        <v>1.1648E-2</v>
      </c>
      <c r="K117">
        <v>1.1343000000000001E-2</v>
      </c>
      <c r="L117">
        <v>1.1350000000000001E-2</v>
      </c>
      <c r="M117">
        <v>1.1143E-2</v>
      </c>
      <c r="N117">
        <v>1.0767000000000001E-2</v>
      </c>
      <c r="O117">
        <v>1.0361E-2</v>
      </c>
      <c r="P117">
        <v>1.0026999999999999E-2</v>
      </c>
      <c r="Q117">
        <v>9.7149999999999997E-3</v>
      </c>
      <c r="R117">
        <v>9.4739999999999998E-3</v>
      </c>
      <c r="S117">
        <v>9.247E-3</v>
      </c>
      <c r="T117">
        <v>9.1229999999999992E-3</v>
      </c>
      <c r="U117">
        <v>8.9910000000000007E-3</v>
      </c>
      <c r="V117">
        <v>8.9289999999999994E-3</v>
      </c>
      <c r="W117">
        <v>8.9250000000000006E-3</v>
      </c>
      <c r="X117">
        <v>8.9700000000000005E-3</v>
      </c>
      <c r="Y117">
        <v>9.0390000000000002E-3</v>
      </c>
      <c r="Z117">
        <v>9.1590000000000005E-3</v>
      </c>
      <c r="AA117">
        <v>9.2659999999999999E-3</v>
      </c>
      <c r="AB117">
        <v>9.4719999999999995E-3</v>
      </c>
      <c r="AC117">
        <v>9.6430000000000005E-3</v>
      </c>
      <c r="AD117">
        <v>9.9520000000000008E-3</v>
      </c>
      <c r="AE117">
        <v>1.0196E-2</v>
      </c>
      <c r="AF117">
        <v>1.052E-2</v>
      </c>
      <c r="AG117">
        <v>1.0822999999999999E-2</v>
      </c>
      <c r="AH117">
        <v>1.0864E-2</v>
      </c>
      <c r="AI117" s="42">
        <v>-1.0999999999999999E-2</v>
      </c>
    </row>
    <row r="118" spans="1:35">
      <c r="A118" t="s">
        <v>569</v>
      </c>
      <c r="B118" t="s">
        <v>670</v>
      </c>
      <c r="C118" t="s">
        <v>671</v>
      </c>
      <c r="D118" t="s">
        <v>659</v>
      </c>
      <c r="F118">
        <v>75.095626999999993</v>
      </c>
      <c r="G118">
        <v>74.362564000000006</v>
      </c>
      <c r="H118">
        <v>68.987221000000005</v>
      </c>
      <c r="I118">
        <v>66.577644000000006</v>
      </c>
      <c r="J118">
        <v>66.345359999999999</v>
      </c>
      <c r="K118">
        <v>66.520972999999998</v>
      </c>
      <c r="L118">
        <v>67.247390999999993</v>
      </c>
      <c r="M118">
        <v>68.405388000000002</v>
      </c>
      <c r="N118">
        <v>69.314507000000006</v>
      </c>
      <c r="O118">
        <v>70.635559000000001</v>
      </c>
      <c r="P118">
        <v>72.269585000000006</v>
      </c>
      <c r="Q118">
        <v>74.075255999999996</v>
      </c>
      <c r="R118">
        <v>76.713347999999996</v>
      </c>
      <c r="S118">
        <v>77.895020000000002</v>
      </c>
      <c r="T118">
        <v>80.599213000000006</v>
      </c>
      <c r="U118">
        <v>82.588149999999999</v>
      </c>
      <c r="V118">
        <v>85.005142000000006</v>
      </c>
      <c r="W118">
        <v>87.013596000000007</v>
      </c>
      <c r="X118">
        <v>89.237472999999994</v>
      </c>
      <c r="Y118">
        <v>91.634476000000006</v>
      </c>
      <c r="Z118">
        <v>93.817070000000001</v>
      </c>
      <c r="AA118">
        <v>96.094711000000004</v>
      </c>
      <c r="AB118">
        <v>97.977089000000007</v>
      </c>
      <c r="AC118">
        <v>100.49659</v>
      </c>
      <c r="AD118">
        <v>103.59275100000001</v>
      </c>
      <c r="AE118">
        <v>106.164886</v>
      </c>
      <c r="AF118">
        <v>109.352943</v>
      </c>
      <c r="AG118">
        <v>111.508217</v>
      </c>
      <c r="AH118">
        <v>114.90922500000001</v>
      </c>
      <c r="AI118" s="42">
        <v>1.4999999999999999E-2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CF94A8EA80544942D1C99EBA164AB" ma:contentTypeVersion="10" ma:contentTypeDescription="Create a new document." ma:contentTypeScope="" ma:versionID="b7588bbfbf5866defdba625b3fdb744d">
  <xsd:schema xmlns:xsd="http://www.w3.org/2001/XMLSchema" xmlns:xs="http://www.w3.org/2001/XMLSchema" xmlns:p="http://schemas.microsoft.com/office/2006/metadata/properties" xmlns:ns2="06a325d6-4ebe-4b83-a8c4-6befdcfe28a6" xmlns:ns3="8f3d6172-a08b-46a5-849b-da9018fa2459" targetNamespace="http://schemas.microsoft.com/office/2006/metadata/properties" ma:root="true" ma:fieldsID="1732180265bbf36ef656a087659e0861" ns2:_="" ns3:_="">
    <xsd:import namespace="06a325d6-4ebe-4b83-a8c4-6befdcfe28a6"/>
    <xsd:import namespace="8f3d6172-a08b-46a5-849b-da9018fa24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325d6-4ebe-4b83-a8c4-6befdcfe2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afd165-6beb-44bd-9039-5187b9f5b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d6172-a08b-46a5-849b-da9018fa245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50e92b2-e5f5-4ac2-a990-05a8ed616ddc}" ma:internalName="TaxCatchAll" ma:showField="CatchAllData" ma:web="8f3d6172-a08b-46a5-849b-da9018fa24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a325d6-4ebe-4b83-a8c4-6befdcfe28a6">
      <Terms xmlns="http://schemas.microsoft.com/office/infopath/2007/PartnerControls"/>
    </lcf76f155ced4ddcb4097134ff3c332f>
    <TaxCatchAll xmlns="8f3d6172-a08b-46a5-849b-da9018fa2459" xsi:nil="true"/>
  </documentManagement>
</p:properties>
</file>

<file path=customXml/itemProps1.xml><?xml version="1.0" encoding="utf-8"?>
<ds:datastoreItem xmlns:ds="http://schemas.openxmlformats.org/officeDocument/2006/customXml" ds:itemID="{9C708EA4-5F11-4ACF-885C-A800D45AE8F1}"/>
</file>

<file path=customXml/itemProps2.xml><?xml version="1.0" encoding="utf-8"?>
<ds:datastoreItem xmlns:ds="http://schemas.openxmlformats.org/officeDocument/2006/customXml" ds:itemID="{D9A2C4A0-0D30-4744-A9FA-C7F7803CDE7E}"/>
</file>

<file path=customXml/itemProps3.xml><?xml version="1.0" encoding="utf-8"?>
<ds:datastoreItem xmlns:ds="http://schemas.openxmlformats.org/officeDocument/2006/customXml" ds:itemID="{D89CCD78-6AEE-48F3-9287-FFE98006B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Bor, Omer</dc:creator>
  <cp:keywords/>
  <dc:description/>
  <cp:lastModifiedBy>Donovan, Tristan</cp:lastModifiedBy>
  <cp:revision/>
  <dcterms:created xsi:type="dcterms:W3CDTF">2023-04-05T15:36:10Z</dcterms:created>
  <dcterms:modified xsi:type="dcterms:W3CDTF">2023-04-26T12:42:07Z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0x010100695CF94A8EA80544942D1C99EBA164AB</vt:lpwstr>
  </property>
</Properties>
</file>