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R:\Region0\RIO\Public\Grants\FY 2026 BUILD (3)\Wells\3. Final Submission\Final Application submission\"/>
    </mc:Choice>
  </mc:AlternateContent>
  <xr:revisionPtr revIDLastSave="0" documentId="8_{B5C8191D-96F1-462F-A401-6C0496FEE48A}" xr6:coauthVersionLast="47" xr6:coauthVersionMax="47" xr10:uidLastSave="{00000000-0000-0000-0000-000000000000}"/>
  <bookViews>
    <workbookView xWindow="28680" yWindow="-120" windowWidth="29040" windowHeight="15720" tabRatio="842" firstSheet="9" activeTab="9" xr2:uid="{F359A226-429B-4B39-ADCF-FA4E6BC947FC}"/>
  </bookViews>
  <sheets>
    <sheet name="Overview" sheetId="1" r:id="rId1"/>
    <sheet name="Project Information" sheetId="28" r:id="rId2"/>
    <sheet name="Parameter Values" sheetId="12" r:id="rId3"/>
    <sheet name="Inputs" sheetId="36" r:id="rId4"/>
    <sheet name="Outputs" sheetId="37" r:id="rId5"/>
    <sheet name="User Volumes" sheetId="34" r:id="rId6"/>
    <sheet name="Capital Costs" sheetId="2" r:id="rId7"/>
    <sheet name="Operations and Maintenance" sheetId="3" r:id="rId8"/>
    <sheet name="Safety" sheetId="31" r:id="rId9"/>
    <sheet name="Travel Time Savings" sheetId="32" r:id="rId10"/>
    <sheet name="Amenity Benefits" sheetId="21" r:id="rId11"/>
    <sheet name="Health Benefits" sheetId="22" r:id="rId12"/>
    <sheet name="Residual Value" sheetId="23" r:id="rId13"/>
    <sheet name="Summary" sheetId="11" r:id="rId14"/>
    <sheet name="Final Results" sheetId="30" r:id="rId15"/>
    <sheet name="Other Highway Use Externalities" sheetId="35" r:id="rId16"/>
    <sheet name="Emissions Reduction" sheetId="20" r:id="rId17"/>
    <sheet name="Other Benefit 1" sheetId="24" r:id="rId18"/>
    <sheet name="Other Benefit 2" sheetId="25" r:id="rId19"/>
    <sheet name="Other Benefit 3" sheetId="26" r:id="rId20"/>
    <sheet name="Other Benefit 4" sheetId="27" r:id="rId21"/>
    <sheet name="Vehicle Operating Cost Savings" sheetId="33" r:id="rId22"/>
  </sheets>
  <externalReferences>
    <externalReference r:id="rId2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 i="32" l="1"/>
  <c r="Q45" i="31"/>
  <c r="Q46" i="31"/>
  <c r="Q47" i="31"/>
  <c r="Q48" i="31"/>
  <c r="Q49" i="31"/>
  <c r="Q44" i="31"/>
  <c r="B11" i="34"/>
  <c r="L14" i="3"/>
  <c r="L13" i="3"/>
  <c r="J28" i="32"/>
  <c r="Y14" i="36"/>
  <c r="Y15" i="36"/>
  <c r="Y16" i="36"/>
  <c r="X26" i="31"/>
  <c r="X44" i="31"/>
  <c r="X43" i="31"/>
  <c r="W46" i="31"/>
  <c r="O49" i="31" l="1"/>
  <c r="R48" i="31"/>
  <c r="J48" i="31"/>
  <c r="J47" i="31"/>
  <c r="O47" i="31" s="1"/>
  <c r="J46" i="31"/>
  <c r="O46" i="31" s="1"/>
  <c r="J45" i="31"/>
  <c r="O45" i="31" s="1"/>
  <c r="J44" i="31"/>
  <c r="O44" i="31" s="1"/>
  <c r="R44" i="31" s="1"/>
  <c r="R47" i="31" l="1"/>
  <c r="R45" i="31"/>
  <c r="R46" i="31"/>
  <c r="R49" i="31"/>
  <c r="S49" i="31" s="1"/>
  <c r="E9" i="37" l="1"/>
  <c r="D9" i="37"/>
  <c r="E8" i="37"/>
  <c r="D8" i="37"/>
  <c r="Y5" i="36" l="1"/>
  <c r="B35" i="22"/>
  <c r="B36" i="22"/>
  <c r="B37" i="22"/>
  <c r="B38" i="22"/>
  <c r="B39" i="22"/>
  <c r="B40" i="22"/>
  <c r="B41" i="22"/>
  <c r="B42" i="22"/>
  <c r="B43" i="22"/>
  <c r="B44" i="22"/>
  <c r="G37" i="21" l="1"/>
  <c r="I21" i="3"/>
  <c r="I14" i="3"/>
  <c r="B16" i="3"/>
  <c r="B15" i="3"/>
  <c r="M21" i="3"/>
  <c r="C19" i="3" s="1"/>
  <c r="M13" i="3"/>
  <c r="M14" i="3"/>
  <c r="B27" i="3" s="1"/>
  <c r="M12" i="3"/>
  <c r="X5" i="36"/>
  <c r="I10" i="34" l="1"/>
  <c r="F10" i="34"/>
  <c r="X46" i="31" l="1"/>
  <c r="J28" i="31"/>
  <c r="O28" i="31" s="1"/>
  <c r="J27" i="31"/>
  <c r="O27" i="31" s="1"/>
  <c r="J29" i="31"/>
  <c r="O29" i="31" s="1"/>
  <c r="J30" i="31"/>
  <c r="O30" i="31" s="1"/>
  <c r="J31" i="31"/>
  <c r="O32" i="31" s="1"/>
  <c r="Q27" i="31"/>
  <c r="Q28" i="31"/>
  <c r="Q29" i="31"/>
  <c r="Q30" i="31"/>
  <c r="Q31" i="31"/>
  <c r="R31" i="31" s="1"/>
  <c r="Q32" i="31"/>
  <c r="G28" i="21"/>
  <c r="G23" i="21"/>
  <c r="R27" i="31" l="1"/>
  <c r="R30" i="31"/>
  <c r="R29" i="31"/>
  <c r="R32" i="31"/>
  <c r="P30" i="31"/>
  <c r="R28" i="31"/>
  <c r="J31" i="32" l="1"/>
  <c r="J27" i="32"/>
  <c r="B10" i="34"/>
  <c r="B12" i="34" s="1"/>
  <c r="B13" i="34" s="1"/>
  <c r="B14" i="34" s="1"/>
  <c r="B15" i="34" s="1"/>
  <c r="B16" i="34" s="1"/>
  <c r="B17" i="34" s="1"/>
  <c r="B18" i="34" s="1"/>
  <c r="B19" i="34" s="1"/>
  <c r="B20" i="34" s="1"/>
  <c r="B21" i="34" s="1"/>
  <c r="B22" i="34" s="1"/>
  <c r="B23" i="34" s="1"/>
  <c r="B24" i="34" s="1"/>
  <c r="B25" i="34" s="1"/>
  <c r="B26" i="34" s="1"/>
  <c r="B27" i="34" s="1"/>
  <c r="B28" i="34" s="1"/>
  <c r="B29" i="34" s="1"/>
  <c r="I11" i="34"/>
  <c r="I12" i="34" s="1"/>
  <c r="I13" i="34" s="1"/>
  <c r="I14" i="34" s="1"/>
  <c r="I15" i="34" s="1"/>
  <c r="I16" i="34" s="1"/>
  <c r="I17" i="34" s="1"/>
  <c r="I18" i="34" s="1"/>
  <c r="I19" i="34" s="1"/>
  <c r="I20" i="34" s="1"/>
  <c r="I21" i="34" s="1"/>
  <c r="I22" i="34" s="1"/>
  <c r="I23" i="34" s="1"/>
  <c r="I24" i="34" s="1"/>
  <c r="I25" i="34" s="1"/>
  <c r="I26" i="34" s="1"/>
  <c r="I27" i="34" s="1"/>
  <c r="I28" i="34" s="1"/>
  <c r="I29" i="34" s="1"/>
  <c r="F11" i="34"/>
  <c r="G10" i="34"/>
  <c r="G18" i="21"/>
  <c r="G17" i="21"/>
  <c r="G29" i="21"/>
  <c r="F28" i="21"/>
  <c r="G24" i="21"/>
  <c r="F23" i="21"/>
  <c r="V30" i="36"/>
  <c r="T30" i="36"/>
  <c r="R30" i="36"/>
  <c r="P30" i="36"/>
  <c r="N30" i="36"/>
  <c r="L30" i="36"/>
  <c r="J30" i="36"/>
  <c r="H30" i="36"/>
  <c r="F30" i="36"/>
  <c r="D30" i="36"/>
  <c r="V29" i="36"/>
  <c r="T29" i="36"/>
  <c r="R29" i="36"/>
  <c r="P29" i="36"/>
  <c r="N29" i="36"/>
  <c r="L29" i="36"/>
  <c r="J29" i="36"/>
  <c r="H29" i="36"/>
  <c r="F29" i="36"/>
  <c r="D29" i="36"/>
  <c r="V28" i="36"/>
  <c r="T28" i="36"/>
  <c r="R28" i="36"/>
  <c r="P28" i="36"/>
  <c r="N28" i="36"/>
  <c r="L28" i="36"/>
  <c r="J28" i="36"/>
  <c r="H28" i="36"/>
  <c r="F28" i="36"/>
  <c r="D28" i="36"/>
  <c r="D31" i="36"/>
  <c r="F31" i="36"/>
  <c r="H31" i="36"/>
  <c r="J31" i="36"/>
  <c r="L31" i="36"/>
  <c r="N31" i="36"/>
  <c r="P31" i="36"/>
  <c r="R31" i="36"/>
  <c r="T31" i="36"/>
  <c r="V31" i="36"/>
  <c r="D32" i="36"/>
  <c r="F32" i="36"/>
  <c r="H32" i="36"/>
  <c r="J32" i="36"/>
  <c r="L32" i="36"/>
  <c r="N32" i="36"/>
  <c r="P32" i="36"/>
  <c r="R32" i="36"/>
  <c r="T32" i="36"/>
  <c r="V32" i="36"/>
  <c r="D33" i="36"/>
  <c r="F33" i="36"/>
  <c r="H33" i="36"/>
  <c r="J33" i="36"/>
  <c r="L33" i="36"/>
  <c r="N33" i="36"/>
  <c r="P33" i="36"/>
  <c r="R33" i="36"/>
  <c r="T33" i="36"/>
  <c r="V33" i="36"/>
  <c r="J10" i="34"/>
  <c r="C10" i="34"/>
  <c r="C11" i="34" s="1"/>
  <c r="C12" i="34" s="1"/>
  <c r="C13" i="34" s="1"/>
  <c r="C14" i="34" s="1"/>
  <c r="C15" i="34" s="1"/>
  <c r="C16" i="34" s="1"/>
  <c r="C17" i="34" s="1"/>
  <c r="C18" i="34" s="1"/>
  <c r="C19" i="34" s="1"/>
  <c r="C20" i="34" s="1"/>
  <c r="C21" i="34" s="1"/>
  <c r="C22" i="34" s="1"/>
  <c r="C23" i="34" s="1"/>
  <c r="C24" i="34" s="1"/>
  <c r="C25" i="34" s="1"/>
  <c r="C26" i="34" s="1"/>
  <c r="C27" i="34" s="1"/>
  <c r="C28" i="34" s="1"/>
  <c r="C29" i="34" s="1"/>
  <c r="I14" i="25"/>
  <c r="K8" i="25"/>
  <c r="F12" i="34" l="1"/>
  <c r="J32" i="32"/>
  <c r="C32" i="32" s="1"/>
  <c r="J11" i="34"/>
  <c r="K10" i="34"/>
  <c r="I24" i="25"/>
  <c r="H10" i="34"/>
  <c r="G11" i="34"/>
  <c r="H11" i="34" s="1"/>
  <c r="G39" i="21"/>
  <c r="G41" i="21" s="1"/>
  <c r="G42" i="21" s="1"/>
  <c r="G19" i="21"/>
  <c r="G31" i="21" s="1"/>
  <c r="Y34" i="36"/>
  <c r="I26" i="24"/>
  <c r="I27" i="24" s="1"/>
  <c r="I28" i="24" s="1"/>
  <c r="I29" i="24" s="1"/>
  <c r="I30" i="24" s="1"/>
  <c r="I31" i="24" s="1"/>
  <c r="I32" i="24" s="1"/>
  <c r="I33" i="24" s="1"/>
  <c r="I34" i="24" s="1"/>
  <c r="I35" i="24" s="1"/>
  <c r="I36" i="24" s="1"/>
  <c r="I37" i="24" s="1"/>
  <c r="I38" i="24" s="1"/>
  <c r="I39" i="24" s="1"/>
  <c r="I40" i="24" s="1"/>
  <c r="I41" i="24" s="1"/>
  <c r="I42" i="24" s="1"/>
  <c r="I43" i="24" s="1"/>
  <c r="I44" i="24" s="1"/>
  <c r="I45" i="24" s="1"/>
  <c r="I46" i="24" s="1"/>
  <c r="I16" i="25"/>
  <c r="F13" i="34" l="1"/>
  <c r="B15" i="22"/>
  <c r="C24" i="32"/>
  <c r="C21" i="32"/>
  <c r="C34" i="32"/>
  <c r="C47" i="32"/>
  <c r="C38" i="32"/>
  <c r="C48" i="32"/>
  <c r="C36" i="32"/>
  <c r="C23" i="32"/>
  <c r="C43" i="32"/>
  <c r="C44" i="32"/>
  <c r="C41" i="32"/>
  <c r="C27" i="32"/>
  <c r="G32" i="21"/>
  <c r="C39" i="32"/>
  <c r="C40" i="32"/>
  <c r="C28" i="32"/>
  <c r="C20" i="32"/>
  <c r="J12" i="34"/>
  <c r="J26" i="25" s="1"/>
  <c r="K11" i="34"/>
  <c r="B16" i="22" s="1"/>
  <c r="G12" i="34"/>
  <c r="I25" i="25"/>
  <c r="I26" i="25" s="1"/>
  <c r="C35" i="32"/>
  <c r="C46" i="32"/>
  <c r="J24" i="25"/>
  <c r="J25" i="25"/>
  <c r="C26" i="32"/>
  <c r="C31" i="32"/>
  <c r="C22" i="32"/>
  <c r="C42" i="32"/>
  <c r="C49" i="32"/>
  <c r="C45" i="32"/>
  <c r="C30" i="32"/>
  <c r="C37" i="32"/>
  <c r="C33" i="32"/>
  <c r="C29" i="32"/>
  <c r="C25" i="32"/>
  <c r="B27" i="32"/>
  <c r="B39" i="32"/>
  <c r="B28" i="32"/>
  <c r="B40" i="32"/>
  <c r="B29" i="32"/>
  <c r="B41" i="32"/>
  <c r="B31" i="32"/>
  <c r="B43" i="32"/>
  <c r="B32" i="32"/>
  <c r="B33" i="32"/>
  <c r="B44" i="32"/>
  <c r="B21" i="32"/>
  <c r="B45" i="32"/>
  <c r="B22" i="32"/>
  <c r="B34" i="32"/>
  <c r="B46" i="32"/>
  <c r="B23" i="32"/>
  <c r="B35" i="32"/>
  <c r="B47" i="32"/>
  <c r="B38" i="32"/>
  <c r="B42" i="32"/>
  <c r="B24" i="32"/>
  <c r="B36" i="32"/>
  <c r="B48" i="32"/>
  <c r="B25" i="32"/>
  <c r="B37" i="32"/>
  <c r="B49" i="32"/>
  <c r="B26" i="32"/>
  <c r="B20" i="32"/>
  <c r="B30" i="32"/>
  <c r="B12" i="21" l="1"/>
  <c r="B11" i="21"/>
  <c r="F14" i="34"/>
  <c r="J13" i="34"/>
  <c r="K12" i="34"/>
  <c r="G13" i="34"/>
  <c r="H12" i="34"/>
  <c r="B13" i="21" s="1"/>
  <c r="I27" i="25"/>
  <c r="F15" i="34" l="1"/>
  <c r="B17" i="22"/>
  <c r="J14" i="34"/>
  <c r="K13" i="34"/>
  <c r="J27" i="25"/>
  <c r="G14" i="34"/>
  <c r="H13" i="34"/>
  <c r="B14" i="21" s="1"/>
  <c r="I28" i="25"/>
  <c r="F16" i="34" l="1"/>
  <c r="B18" i="22"/>
  <c r="J15" i="34"/>
  <c r="K14" i="34"/>
  <c r="J28" i="25"/>
  <c r="G15" i="34"/>
  <c r="H14" i="34"/>
  <c r="B15" i="21" s="1"/>
  <c r="I29" i="25"/>
  <c r="F17" i="34" l="1"/>
  <c r="B19" i="22"/>
  <c r="J16" i="34"/>
  <c r="K15" i="34"/>
  <c r="J29" i="25"/>
  <c r="G16" i="34"/>
  <c r="H15" i="34"/>
  <c r="B16" i="21" s="1"/>
  <c r="I30" i="25"/>
  <c r="F18" i="34" l="1"/>
  <c r="B20" i="22"/>
  <c r="J17" i="34"/>
  <c r="K16" i="34"/>
  <c r="J30" i="25"/>
  <c r="G17" i="34"/>
  <c r="H16" i="34"/>
  <c r="I31" i="25"/>
  <c r="B21" i="22" l="1"/>
  <c r="B17" i="21"/>
  <c r="F19" i="34"/>
  <c r="J18" i="34"/>
  <c r="K17" i="34"/>
  <c r="J31" i="25"/>
  <c r="G18" i="34"/>
  <c r="H17" i="34"/>
  <c r="B18" i="21" s="1"/>
  <c r="I32" i="25"/>
  <c r="F20" i="34" l="1"/>
  <c r="B22" i="22"/>
  <c r="J19" i="34"/>
  <c r="K18" i="34"/>
  <c r="J32" i="25"/>
  <c r="G19" i="34"/>
  <c r="H18" i="34"/>
  <c r="B19" i="21" s="1"/>
  <c r="I33" i="25"/>
  <c r="F21" i="34" l="1"/>
  <c r="B23" i="22"/>
  <c r="J20" i="34"/>
  <c r="K19" i="34"/>
  <c r="J33" i="25"/>
  <c r="G20" i="34"/>
  <c r="H19" i="34"/>
  <c r="B20" i="21" s="1"/>
  <c r="I34" i="25"/>
  <c r="F22" i="34" l="1"/>
  <c r="B24" i="22"/>
  <c r="J21" i="34"/>
  <c r="K20" i="34"/>
  <c r="J34" i="25"/>
  <c r="G21" i="34"/>
  <c r="H20" i="34"/>
  <c r="B21" i="21" s="1"/>
  <c r="I35" i="25"/>
  <c r="F23" i="34" l="1"/>
  <c r="B25" i="22"/>
  <c r="J22" i="34"/>
  <c r="K21" i="34"/>
  <c r="J35" i="25"/>
  <c r="G22" i="34"/>
  <c r="H21" i="34"/>
  <c r="B22" i="21" s="1"/>
  <c r="I36" i="25"/>
  <c r="F24" i="34" l="1"/>
  <c r="B26" i="22"/>
  <c r="J23" i="34"/>
  <c r="K22" i="34"/>
  <c r="J36" i="25"/>
  <c r="G23" i="34"/>
  <c r="H22" i="34"/>
  <c r="B23" i="21" s="1"/>
  <c r="I37" i="25"/>
  <c r="F25" i="34" l="1"/>
  <c r="B27" i="22"/>
  <c r="J24" i="34"/>
  <c r="K23" i="34"/>
  <c r="J37" i="25"/>
  <c r="G24" i="34"/>
  <c r="H23" i="34"/>
  <c r="B24" i="21" s="1"/>
  <c r="I38" i="25"/>
  <c r="F26" i="34" l="1"/>
  <c r="B28" i="22"/>
  <c r="J25" i="34"/>
  <c r="K24" i="34"/>
  <c r="J38" i="25"/>
  <c r="G25" i="34"/>
  <c r="H24" i="34"/>
  <c r="B25" i="21" s="1"/>
  <c r="I39" i="25"/>
  <c r="F27" i="34" l="1"/>
  <c r="B29" i="22"/>
  <c r="J26" i="34"/>
  <c r="K25" i="34"/>
  <c r="J39" i="25"/>
  <c r="G26" i="34"/>
  <c r="H25" i="34"/>
  <c r="B26" i="21" s="1"/>
  <c r="I40" i="25"/>
  <c r="F28" i="34" l="1"/>
  <c r="B30" i="22"/>
  <c r="J27" i="34"/>
  <c r="K26" i="34"/>
  <c r="J40" i="25"/>
  <c r="G27" i="34"/>
  <c r="H26" i="34"/>
  <c r="I41" i="25"/>
  <c r="B31" i="22" l="1"/>
  <c r="B27" i="21"/>
  <c r="F29" i="34"/>
  <c r="J28" i="34"/>
  <c r="K27" i="34"/>
  <c r="J41" i="25"/>
  <c r="G28" i="34"/>
  <c r="H27" i="34"/>
  <c r="B28" i="21" s="1"/>
  <c r="I42" i="25"/>
  <c r="B32" i="22" l="1"/>
  <c r="J29" i="34"/>
  <c r="K28" i="34"/>
  <c r="J42" i="25"/>
  <c r="G29" i="34"/>
  <c r="H28" i="34"/>
  <c r="B29" i="21" s="1"/>
  <c r="I43" i="25"/>
  <c r="B33" i="22" l="1"/>
  <c r="K29" i="34"/>
  <c r="J43" i="25"/>
  <c r="H29" i="34"/>
  <c r="B30" i="21" s="1"/>
  <c r="B34" i="22" l="1"/>
  <c r="J44" i="25"/>
  <c r="J33" i="24"/>
  <c r="J44" i="24"/>
  <c r="J45" i="24"/>
  <c r="J18" i="24"/>
  <c r="J27" i="24" s="1"/>
  <c r="P9" i="24"/>
  <c r="O24" i="24" s="1"/>
  <c r="J43" i="24" s="1"/>
  <c r="L10" i="24"/>
  <c r="L9" i="24"/>
  <c r="M65" i="32"/>
  <c r="D16" i="23"/>
  <c r="D15" i="23"/>
  <c r="D14" i="23"/>
  <c r="D13" i="23"/>
  <c r="D12" i="23"/>
  <c r="E36" i="11"/>
  <c r="H36" i="11"/>
  <c r="N36" i="11"/>
  <c r="O36" i="11"/>
  <c r="B31" i="21" l="1"/>
  <c r="J45" i="25"/>
  <c r="J38" i="24"/>
  <c r="J32" i="24"/>
  <c r="J37" i="24"/>
  <c r="J19" i="24"/>
  <c r="J36" i="24"/>
  <c r="J26" i="24"/>
  <c r="J35" i="24"/>
  <c r="J46" i="24"/>
  <c r="J34" i="24"/>
  <c r="J30" i="24"/>
  <c r="J42" i="24"/>
  <c r="J41" i="24"/>
  <c r="J29" i="24"/>
  <c r="J40" i="24"/>
  <c r="J28" i="24"/>
  <c r="J31" i="24"/>
  <c r="J39" i="24"/>
  <c r="I46" i="25"/>
  <c r="A10" i="1"/>
  <c r="B32" i="21" l="1"/>
  <c r="J46" i="25"/>
  <c r="I47" i="25"/>
  <c r="A11" i="22"/>
  <c r="A10" i="22"/>
  <c r="B18" i="20"/>
  <c r="B15" i="20"/>
  <c r="B12" i="20"/>
  <c r="B27" i="20"/>
  <c r="B28" i="20"/>
  <c r="B29" i="20"/>
  <c r="B26" i="20"/>
  <c r="B22" i="20"/>
  <c r="B23" i="20"/>
  <c r="B24" i="20"/>
  <c r="B21" i="20"/>
  <c r="B18" i="33"/>
  <c r="B19" i="33"/>
  <c r="B20" i="33"/>
  <c r="B13" i="33"/>
  <c r="B14" i="33"/>
  <c r="B15" i="33"/>
  <c r="B22" i="33"/>
  <c r="B17" i="33"/>
  <c r="B12" i="33"/>
  <c r="B16" i="31"/>
  <c r="P31" i="31" s="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6" i="11"/>
  <c r="A9" i="35"/>
  <c r="B9" i="35"/>
  <c r="C9" i="35"/>
  <c r="D9" i="35"/>
  <c r="A10" i="35"/>
  <c r="B10" i="35"/>
  <c r="C10" i="35"/>
  <c r="D10" i="35"/>
  <c r="A11" i="35"/>
  <c r="B11" i="35"/>
  <c r="C11" i="35"/>
  <c r="D11" i="35"/>
  <c r="A12" i="35"/>
  <c r="B12" i="35"/>
  <c r="C12" i="35"/>
  <c r="D12" i="35"/>
  <c r="A13" i="35"/>
  <c r="B13" i="35"/>
  <c r="C13" i="35"/>
  <c r="D13" i="35"/>
  <c r="A14" i="35"/>
  <c r="B14" i="35"/>
  <c r="C14" i="35"/>
  <c r="D14" i="35"/>
  <c r="A15" i="35"/>
  <c r="B15" i="35"/>
  <c r="C15" i="35"/>
  <c r="D15" i="35"/>
  <c r="A16" i="35"/>
  <c r="B16" i="35"/>
  <c r="C16" i="35"/>
  <c r="D16" i="35"/>
  <c r="B8" i="35"/>
  <c r="C8" i="35"/>
  <c r="D8" i="35"/>
  <c r="A8" i="35"/>
  <c r="B33" i="21" l="1"/>
  <c r="J47" i="25"/>
  <c r="I48" i="25"/>
  <c r="B9" i="22"/>
  <c r="C9" i="22"/>
  <c r="G27" i="22" s="1"/>
  <c r="C8" i="22"/>
  <c r="G21" i="22" s="1"/>
  <c r="B8" i="22"/>
  <c r="B9" i="33"/>
  <c r="B8" i="33"/>
  <c r="J19" i="11" l="1"/>
  <c r="J21" i="11"/>
  <c r="J25" i="11"/>
  <c r="J26" i="11"/>
  <c r="J15" i="11"/>
  <c r="J17" i="11"/>
  <c r="J29" i="11"/>
  <c r="J9" i="11"/>
  <c r="J22" i="11"/>
  <c r="J24" i="11"/>
  <c r="J6" i="11"/>
  <c r="J27" i="11"/>
  <c r="J28" i="11"/>
  <c r="J18" i="11"/>
  <c r="J11" i="11"/>
  <c r="J13" i="11"/>
  <c r="B34" i="21"/>
  <c r="I29" i="11" s="1"/>
  <c r="J48" i="25"/>
  <c r="J30" i="11"/>
  <c r="I49" i="25"/>
  <c r="B7" i="31"/>
  <c r="B8" i="32"/>
  <c r="B9" i="32"/>
  <c r="B10" i="32"/>
  <c r="B11" i="32"/>
  <c r="B13" i="32"/>
  <c r="B14" i="32"/>
  <c r="B15" i="32"/>
  <c r="B16" i="32"/>
  <c r="B8" i="31"/>
  <c r="B9" i="31"/>
  <c r="B10" i="31"/>
  <c r="B11" i="31"/>
  <c r="B12" i="31"/>
  <c r="B13" i="31"/>
  <c r="B17" i="31"/>
  <c r="B18" i="31"/>
  <c r="B11" i="28"/>
  <c r="D55" i="33"/>
  <c r="E35" i="11" s="1"/>
  <c r="D54" i="33"/>
  <c r="E34" i="11" s="1"/>
  <c r="D53" i="33"/>
  <c r="E33" i="11" s="1"/>
  <c r="D52" i="33"/>
  <c r="E32" i="11" s="1"/>
  <c r="D51" i="33"/>
  <c r="E31" i="11" s="1"/>
  <c r="D50" i="33"/>
  <c r="E30" i="11" s="1"/>
  <c r="D49" i="33"/>
  <c r="E29" i="11" s="1"/>
  <c r="D48" i="33"/>
  <c r="E28" i="11" s="1"/>
  <c r="D47" i="33"/>
  <c r="E27" i="11" s="1"/>
  <c r="D46" i="33"/>
  <c r="E26" i="11" s="1"/>
  <c r="D45" i="33"/>
  <c r="E25" i="11" s="1"/>
  <c r="D44" i="33"/>
  <c r="E24" i="11" s="1"/>
  <c r="D43" i="33"/>
  <c r="E23" i="11" s="1"/>
  <c r="D42" i="33"/>
  <c r="E22" i="11" s="1"/>
  <c r="D41" i="33"/>
  <c r="E21" i="11" s="1"/>
  <c r="D40" i="33"/>
  <c r="E20" i="11" s="1"/>
  <c r="D39" i="33"/>
  <c r="E19" i="11" s="1"/>
  <c r="D38" i="33"/>
  <c r="E18" i="11" s="1"/>
  <c r="D37" i="33"/>
  <c r="E17" i="11" s="1"/>
  <c r="D36" i="33"/>
  <c r="E16" i="11" s="1"/>
  <c r="D35" i="33"/>
  <c r="E15" i="11" s="1"/>
  <c r="D34" i="33"/>
  <c r="E14" i="11" s="1"/>
  <c r="D33" i="33"/>
  <c r="E13" i="11" s="1"/>
  <c r="D32" i="33"/>
  <c r="E12" i="11" s="1"/>
  <c r="D31" i="33"/>
  <c r="E11" i="11" s="1"/>
  <c r="D30" i="33"/>
  <c r="E10" i="11" s="1"/>
  <c r="D29" i="33"/>
  <c r="E9" i="11" s="1"/>
  <c r="D28" i="33"/>
  <c r="E8" i="11" s="1"/>
  <c r="D27" i="33"/>
  <c r="E7" i="11" s="1"/>
  <c r="D26" i="33"/>
  <c r="E6" i="11" s="1"/>
  <c r="D49" i="32"/>
  <c r="D35" i="11" s="1"/>
  <c r="D48" i="32"/>
  <c r="D34" i="11" s="1"/>
  <c r="D47" i="32"/>
  <c r="D33" i="11" s="1"/>
  <c r="D46" i="32"/>
  <c r="D32" i="11" s="1"/>
  <c r="D45" i="32"/>
  <c r="D31" i="11" s="1"/>
  <c r="D44" i="32"/>
  <c r="D30" i="11" s="1"/>
  <c r="D43" i="32"/>
  <c r="D29" i="11" s="1"/>
  <c r="D42" i="32"/>
  <c r="D28" i="11" s="1"/>
  <c r="D41" i="32"/>
  <c r="D27" i="11" s="1"/>
  <c r="D40" i="32"/>
  <c r="D26" i="11" s="1"/>
  <c r="D39" i="32"/>
  <c r="D25" i="11" s="1"/>
  <c r="D38" i="32"/>
  <c r="D24" i="11" s="1"/>
  <c r="D37" i="32"/>
  <c r="D23" i="11" s="1"/>
  <c r="D36" i="32"/>
  <c r="D22" i="11" s="1"/>
  <c r="D35" i="32"/>
  <c r="D21" i="11" s="1"/>
  <c r="D34" i="32"/>
  <c r="D20" i="11" s="1"/>
  <c r="D33" i="32"/>
  <c r="D19" i="11" s="1"/>
  <c r="D32" i="32"/>
  <c r="D18" i="11" s="1"/>
  <c r="D31" i="32"/>
  <c r="D17" i="11" s="1"/>
  <c r="D30" i="32"/>
  <c r="D16" i="11" s="1"/>
  <c r="D29" i="32"/>
  <c r="D15" i="11" s="1"/>
  <c r="D28" i="32"/>
  <c r="D14" i="11" s="1"/>
  <c r="D27" i="32"/>
  <c r="D13" i="11" s="1"/>
  <c r="D26" i="32"/>
  <c r="D12" i="11" s="1"/>
  <c r="D25" i="32"/>
  <c r="D11" i="11" s="1"/>
  <c r="D24" i="32"/>
  <c r="D10" i="11" s="1"/>
  <c r="D23" i="32"/>
  <c r="D9" i="11" s="1"/>
  <c r="D22" i="32"/>
  <c r="D8" i="11" s="1"/>
  <c r="D21" i="32"/>
  <c r="D7" i="11" s="1"/>
  <c r="D20" i="32"/>
  <c r="D6" i="11" s="1"/>
  <c r="A9" i="2"/>
  <c r="B9" i="28"/>
  <c r="D8" i="3"/>
  <c r="B6" i="11" s="1"/>
  <c r="D9" i="3"/>
  <c r="B7" i="11" s="1"/>
  <c r="D10" i="3"/>
  <c r="B8" i="11" s="1"/>
  <c r="D11" i="3"/>
  <c r="B9" i="11" s="1"/>
  <c r="D12" i="3"/>
  <c r="B10" i="11" s="1"/>
  <c r="D13" i="3"/>
  <c r="B11" i="11" s="1"/>
  <c r="D14" i="3"/>
  <c r="B12" i="11" s="1"/>
  <c r="D15" i="3"/>
  <c r="B13" i="11" s="1"/>
  <c r="D16" i="3"/>
  <c r="B14" i="11" s="1"/>
  <c r="D17" i="3"/>
  <c r="B15" i="11" s="1"/>
  <c r="D18" i="3"/>
  <c r="B16" i="11" s="1"/>
  <c r="D19" i="3"/>
  <c r="B17" i="11" s="1"/>
  <c r="D20" i="3"/>
  <c r="B18" i="11" s="1"/>
  <c r="D21" i="3"/>
  <c r="B19" i="11" s="1"/>
  <c r="D22" i="3"/>
  <c r="B20" i="11" s="1"/>
  <c r="D23" i="3"/>
  <c r="B21" i="11" s="1"/>
  <c r="D24" i="3"/>
  <c r="B22" i="11" s="1"/>
  <c r="D25" i="3"/>
  <c r="B23" i="11" s="1"/>
  <c r="D26" i="3"/>
  <c r="B24" i="11" s="1"/>
  <c r="D27" i="3"/>
  <c r="B25" i="11" s="1"/>
  <c r="D28" i="3"/>
  <c r="B26" i="11" s="1"/>
  <c r="D29" i="3"/>
  <c r="B27" i="11" s="1"/>
  <c r="D30" i="3"/>
  <c r="B28" i="11" s="1"/>
  <c r="D31" i="3"/>
  <c r="B29" i="11" s="1"/>
  <c r="D32" i="3"/>
  <c r="B30" i="11" s="1"/>
  <c r="D33" i="3"/>
  <c r="B31" i="11" s="1"/>
  <c r="D34" i="3"/>
  <c r="B32" i="11" s="1"/>
  <c r="D35" i="3"/>
  <c r="B33" i="11" s="1"/>
  <c r="D36" i="3"/>
  <c r="B34" i="11" s="1"/>
  <c r="D37" i="3"/>
  <c r="B35" i="11" s="1"/>
  <c r="I22" i="11"/>
  <c r="L22" i="11"/>
  <c r="M22" i="11"/>
  <c r="N22" i="11"/>
  <c r="O22" i="11"/>
  <c r="I23" i="11"/>
  <c r="J23" i="11"/>
  <c r="L23" i="11"/>
  <c r="M23" i="11"/>
  <c r="N23" i="11"/>
  <c r="O23" i="11"/>
  <c r="I24" i="11"/>
  <c r="L24" i="11"/>
  <c r="M24" i="11"/>
  <c r="N24" i="11"/>
  <c r="O24" i="11"/>
  <c r="I25" i="11"/>
  <c r="L25" i="11"/>
  <c r="M25" i="11"/>
  <c r="N25" i="11"/>
  <c r="O25" i="11"/>
  <c r="I26" i="11"/>
  <c r="L26" i="11"/>
  <c r="M26" i="11"/>
  <c r="N26" i="11"/>
  <c r="O26" i="11"/>
  <c r="I27" i="11"/>
  <c r="L27" i="11"/>
  <c r="M27" i="11"/>
  <c r="N27" i="11"/>
  <c r="O27" i="11"/>
  <c r="I28" i="11"/>
  <c r="L28" i="11"/>
  <c r="M28" i="11"/>
  <c r="N28" i="11"/>
  <c r="O28" i="11"/>
  <c r="L29" i="11"/>
  <c r="M29" i="11"/>
  <c r="N29" i="11"/>
  <c r="O29" i="11"/>
  <c r="L30" i="11"/>
  <c r="M30" i="11"/>
  <c r="N30" i="11"/>
  <c r="O30" i="11"/>
  <c r="L31" i="11"/>
  <c r="M31" i="11"/>
  <c r="N31" i="11"/>
  <c r="O31" i="11"/>
  <c r="L32" i="11"/>
  <c r="M32" i="11"/>
  <c r="N32" i="11"/>
  <c r="O32" i="11"/>
  <c r="L33" i="11"/>
  <c r="M33" i="11"/>
  <c r="N33" i="11"/>
  <c r="O33" i="11"/>
  <c r="L34" i="11"/>
  <c r="M34" i="11"/>
  <c r="N34" i="11"/>
  <c r="O34" i="11"/>
  <c r="L35" i="11"/>
  <c r="M35" i="11"/>
  <c r="N35" i="11"/>
  <c r="O35" i="11"/>
  <c r="I7" i="11"/>
  <c r="J7" i="11"/>
  <c r="L7" i="11"/>
  <c r="M7" i="11"/>
  <c r="N7" i="11"/>
  <c r="O7" i="11"/>
  <c r="I8" i="11"/>
  <c r="J8" i="11"/>
  <c r="L8" i="11"/>
  <c r="M8" i="11"/>
  <c r="N8" i="11"/>
  <c r="O8" i="11"/>
  <c r="I9" i="11"/>
  <c r="L9" i="11"/>
  <c r="M9" i="11"/>
  <c r="N9" i="11"/>
  <c r="O9" i="11"/>
  <c r="I10" i="11"/>
  <c r="J10" i="11"/>
  <c r="L10" i="11"/>
  <c r="M10" i="11"/>
  <c r="N10" i="11"/>
  <c r="O10" i="11"/>
  <c r="I11" i="11"/>
  <c r="L11" i="11"/>
  <c r="M11" i="11"/>
  <c r="N11" i="11"/>
  <c r="O11" i="11"/>
  <c r="I12" i="11"/>
  <c r="J12" i="11"/>
  <c r="L12" i="11"/>
  <c r="M12" i="11"/>
  <c r="N12" i="11"/>
  <c r="O12" i="11"/>
  <c r="I13" i="11"/>
  <c r="L13" i="11"/>
  <c r="M13" i="11"/>
  <c r="N13" i="11"/>
  <c r="O13" i="11"/>
  <c r="I14" i="11"/>
  <c r="J14" i="11"/>
  <c r="L14" i="11"/>
  <c r="M14" i="11"/>
  <c r="N14" i="11"/>
  <c r="O14" i="11"/>
  <c r="I15" i="11"/>
  <c r="L15" i="11"/>
  <c r="M15" i="11"/>
  <c r="N15" i="11"/>
  <c r="O15" i="11"/>
  <c r="I16" i="11"/>
  <c r="J16" i="11"/>
  <c r="L16" i="11"/>
  <c r="M16" i="11"/>
  <c r="N16" i="11"/>
  <c r="O16" i="11"/>
  <c r="I17" i="11"/>
  <c r="L17" i="11"/>
  <c r="M17" i="11"/>
  <c r="N17" i="11"/>
  <c r="O17" i="11"/>
  <c r="I18" i="11"/>
  <c r="L18" i="11"/>
  <c r="M18" i="11"/>
  <c r="N18" i="11"/>
  <c r="O18" i="11"/>
  <c r="I19" i="11"/>
  <c r="L19" i="11"/>
  <c r="M19" i="11"/>
  <c r="N19" i="11"/>
  <c r="O19" i="11"/>
  <c r="I20" i="11"/>
  <c r="J20" i="11"/>
  <c r="L20" i="11"/>
  <c r="M20" i="11"/>
  <c r="N20" i="11"/>
  <c r="O20" i="11"/>
  <c r="I21" i="11"/>
  <c r="L21" i="11"/>
  <c r="M21" i="11"/>
  <c r="N21" i="11"/>
  <c r="O21" i="11"/>
  <c r="O5" i="11"/>
  <c r="O6" i="11"/>
  <c r="N5" i="11"/>
  <c r="N6" i="11"/>
  <c r="M5" i="11"/>
  <c r="M6" i="11"/>
  <c r="L5" i="11"/>
  <c r="L6" i="11"/>
  <c r="I6" i="11"/>
  <c r="S31" i="31" l="1"/>
  <c r="P48" i="31"/>
  <c r="P49" i="31"/>
  <c r="S48" i="31"/>
  <c r="S30" i="31"/>
  <c r="P47" i="31"/>
  <c r="S47" i="31"/>
  <c r="P46" i="31"/>
  <c r="S46" i="31"/>
  <c r="P45" i="31"/>
  <c r="S45" i="31"/>
  <c r="P44" i="31"/>
  <c r="S44" i="31"/>
  <c r="B35" i="21"/>
  <c r="I30" i="11" s="1"/>
  <c r="B37" i="11"/>
  <c r="E5" i="37" s="1"/>
  <c r="S27" i="31"/>
  <c r="P27" i="31"/>
  <c r="P28" i="31"/>
  <c r="S28" i="31"/>
  <c r="P29" i="31"/>
  <c r="S29" i="31"/>
  <c r="P32" i="31"/>
  <c r="S32" i="31"/>
  <c r="B36" i="21"/>
  <c r="J49" i="25"/>
  <c r="I50" i="25"/>
  <c r="J62" i="32"/>
  <c r="J67" i="32"/>
  <c r="C9" i="2"/>
  <c r="B41" i="11" s="1"/>
  <c r="A10" i="2"/>
  <c r="M36" i="11"/>
  <c r="L36" i="11"/>
  <c r="D36" i="11"/>
  <c r="D7" i="37" s="1"/>
  <c r="B36" i="11"/>
  <c r="D5" i="37" s="1"/>
  <c r="A8" i="3"/>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6" i="11"/>
  <c r="A12" i="27"/>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8" i="26"/>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8" i="25"/>
  <c r="A9" i="25" s="1"/>
  <c r="A10" i="25" s="1"/>
  <c r="A11" i="25" s="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8" i="24"/>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A33" i="24" s="1"/>
  <c r="A34" i="24" s="1"/>
  <c r="A35" i="24" s="1"/>
  <c r="A36" i="24" s="1"/>
  <c r="A37" i="24" s="1"/>
  <c r="A23" i="23"/>
  <c r="A24" i="23" s="1"/>
  <c r="B24" i="23" s="1"/>
  <c r="A15" i="22"/>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20" i="35"/>
  <c r="A33" i="20"/>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26" i="33"/>
  <c r="A27" i="33" s="1"/>
  <c r="A28" i="33" s="1"/>
  <c r="A29" i="33" s="1"/>
  <c r="A30" i="33" s="1"/>
  <c r="A31" i="33" s="1"/>
  <c r="A32" i="33" s="1"/>
  <c r="A33" i="33" s="1"/>
  <c r="A34" i="33" s="1"/>
  <c r="A35" i="33" s="1"/>
  <c r="A36" i="33" s="1"/>
  <c r="A37" i="33" s="1"/>
  <c r="A38" i="33" s="1"/>
  <c r="A39" i="33" s="1"/>
  <c r="A40" i="33" s="1"/>
  <c r="A41" i="33" s="1"/>
  <c r="A42" i="33" s="1"/>
  <c r="A43" i="33" s="1"/>
  <c r="A44" i="33" s="1"/>
  <c r="A45" i="33" s="1"/>
  <c r="A46" i="33" s="1"/>
  <c r="A47" i="33" s="1"/>
  <c r="A48" i="33" s="1"/>
  <c r="A49" i="33" s="1"/>
  <c r="A50" i="33" s="1"/>
  <c r="A51" i="33" s="1"/>
  <c r="A52" i="33" s="1"/>
  <c r="A53" i="33" s="1"/>
  <c r="A54" i="33" s="1"/>
  <c r="A55" i="33" s="1"/>
  <c r="A20" i="32"/>
  <c r="A21" i="32" s="1"/>
  <c r="A22" i="32" s="1"/>
  <c r="A23" i="32" s="1"/>
  <c r="A24" i="32" s="1"/>
  <c r="A25" i="32" s="1"/>
  <c r="A26" i="32" s="1"/>
  <c r="A27" i="32" s="1"/>
  <c r="A28" i="32" s="1"/>
  <c r="A29" i="32" s="1"/>
  <c r="A30" i="32" s="1"/>
  <c r="A31" i="32" s="1"/>
  <c r="A32" i="32" s="1"/>
  <c r="A33" i="32" s="1"/>
  <c r="A34" i="32" s="1"/>
  <c r="A35" i="32" s="1"/>
  <c r="A36" i="32" s="1"/>
  <c r="A37" i="32" s="1"/>
  <c r="A38" i="32" s="1"/>
  <c r="A39" i="32" s="1"/>
  <c r="A40" i="32" s="1"/>
  <c r="A41" i="32" s="1"/>
  <c r="A42" i="32" s="1"/>
  <c r="A43" i="32" s="1"/>
  <c r="A44" i="32" s="1"/>
  <c r="A45" i="32" s="1"/>
  <c r="A46" i="32" s="1"/>
  <c r="A47" i="32" s="1"/>
  <c r="A48" i="32" s="1"/>
  <c r="A49" i="32" s="1"/>
  <c r="A22" i="3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48" i="31" s="1"/>
  <c r="A49" i="31" s="1"/>
  <c r="A50" i="31" s="1"/>
  <c r="A51" i="31" s="1"/>
  <c r="A11" i="21"/>
  <c r="A12" i="21" s="1"/>
  <c r="A13" i="21" s="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7" i="1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21" i="35"/>
  <c r="A22" i="35" s="1"/>
  <c r="A23" i="35" s="1"/>
  <c r="A24" i="35" s="1"/>
  <c r="A25" i="35" s="1"/>
  <c r="A26" i="35" s="1"/>
  <c r="A27" i="35" s="1"/>
  <c r="A28" i="35" s="1"/>
  <c r="A29" i="35" s="1"/>
  <c r="A30" i="35" s="1"/>
  <c r="A31" i="35" s="1"/>
  <c r="A32" i="35" s="1"/>
  <c r="A33" i="35" s="1"/>
  <c r="A34" i="35" s="1"/>
  <c r="A35" i="35" s="1"/>
  <c r="A36" i="35" s="1"/>
  <c r="A37" i="35" s="1"/>
  <c r="A38" i="35" s="1"/>
  <c r="A39" i="35" s="1"/>
  <c r="A40" i="35" s="1"/>
  <c r="A41" i="35" s="1"/>
  <c r="A42" i="35" s="1"/>
  <c r="A43" i="35" s="1"/>
  <c r="A44" i="35" s="1"/>
  <c r="A45" i="35" s="1"/>
  <c r="A46" i="35" s="1"/>
  <c r="A47" i="35" s="1"/>
  <c r="A48" i="35" s="1"/>
  <c r="A49" i="35" s="1"/>
  <c r="A41" i="11"/>
  <c r="A10" i="34"/>
  <c r="A11" i="34" s="1"/>
  <c r="A12" i="34" s="1"/>
  <c r="A13" i="34" s="1"/>
  <c r="A14" i="34" s="1"/>
  <c r="A15" i="34" s="1"/>
  <c r="A16" i="34" s="1"/>
  <c r="A17" i="34" s="1"/>
  <c r="A18" i="34" s="1"/>
  <c r="A19" i="34" s="1"/>
  <c r="A20" i="34" s="1"/>
  <c r="A21" i="34" s="1"/>
  <c r="A22" i="34" s="1"/>
  <c r="A23" i="34" s="1"/>
  <c r="A24" i="34" s="1"/>
  <c r="A25" i="34" s="1"/>
  <c r="A26" i="34" s="1"/>
  <c r="A27" i="34" s="1"/>
  <c r="A28" i="34" s="1"/>
  <c r="A29" i="34" s="1"/>
  <c r="A30" i="34" s="1"/>
  <c r="A31" i="34" s="1"/>
  <c r="A32" i="34" s="1"/>
  <c r="A33" i="34" s="1"/>
  <c r="A34" i="34" s="1"/>
  <c r="A35" i="34" s="1"/>
  <c r="A36" i="34" s="1"/>
  <c r="A37" i="34" s="1"/>
  <c r="A38" i="34" s="1"/>
  <c r="A39" i="34" s="1"/>
  <c r="P34" i="31" l="1"/>
  <c r="S34" i="31"/>
  <c r="J31" i="11"/>
  <c r="J50" i="25"/>
  <c r="I31" i="11"/>
  <c r="I51" i="25"/>
  <c r="C10" i="2"/>
  <c r="B42" i="11" s="1"/>
  <c r="A11" i="2"/>
  <c r="B23" i="23"/>
  <c r="N37" i="11"/>
  <c r="H37" i="11"/>
  <c r="D37" i="11"/>
  <c r="E7" i="37" s="1"/>
  <c r="O37" i="11"/>
  <c r="M37" i="11"/>
  <c r="L37" i="11"/>
  <c r="E37" i="11"/>
  <c r="C41" i="11"/>
  <c r="A42" i="11"/>
  <c r="A43" i="11" s="1"/>
  <c r="A44" i="11" s="1"/>
  <c r="A45" i="11" s="1"/>
  <c r="A46" i="11" s="1"/>
  <c r="A47" i="11" s="1"/>
  <c r="A48" i="11" s="1"/>
  <c r="A49" i="11" s="1"/>
  <c r="A50" i="11" s="1"/>
  <c r="A51" i="11" s="1"/>
  <c r="A52" i="11" s="1"/>
  <c r="A53" i="11" s="1"/>
  <c r="A25" i="23"/>
  <c r="B25" i="23" s="1"/>
  <c r="Q33" i="20"/>
  <c r="O33" i="20"/>
  <c r="P33" i="20"/>
  <c r="O35" i="20"/>
  <c r="B37" i="21" l="1"/>
  <c r="I32" i="11" s="1"/>
  <c r="D42" i="31"/>
  <c r="C26" i="11" s="1"/>
  <c r="D49" i="31"/>
  <c r="C33" i="11" s="1"/>
  <c r="D46" i="31"/>
  <c r="C30" i="11" s="1"/>
  <c r="D47" i="31"/>
  <c r="C31" i="11" s="1"/>
  <c r="D50" i="31"/>
  <c r="C34" i="11" s="1"/>
  <c r="J51" i="25"/>
  <c r="J32" i="11"/>
  <c r="I52" i="25"/>
  <c r="C11" i="2"/>
  <c r="A12" i="2"/>
  <c r="C42" i="11"/>
  <c r="A26" i="23"/>
  <c r="B26" i="23" s="1"/>
  <c r="K7" i="11"/>
  <c r="K6" i="11"/>
  <c r="S33" i="20"/>
  <c r="F6" i="11" s="1"/>
  <c r="Q34" i="20"/>
  <c r="Q35" i="20"/>
  <c r="O34" i="20"/>
  <c r="P34" i="20"/>
  <c r="P35" i="20"/>
  <c r="Q36" i="20"/>
  <c r="A54" i="11"/>
  <c r="B43" i="11" l="1"/>
  <c r="C43" i="11" s="1"/>
  <c r="D44" i="31"/>
  <c r="C28" i="11" s="1"/>
  <c r="D51" i="31"/>
  <c r="C35" i="11" s="1"/>
  <c r="D48" i="31"/>
  <c r="C32" i="11" s="1"/>
  <c r="D45" i="31"/>
  <c r="C29" i="11" s="1"/>
  <c r="B38" i="21"/>
  <c r="I33" i="11" s="1"/>
  <c r="D43" i="31"/>
  <c r="C27" i="11" s="1"/>
  <c r="J33" i="11"/>
  <c r="J52" i="25"/>
  <c r="I53" i="25"/>
  <c r="A13" i="2"/>
  <c r="C12" i="2"/>
  <c r="A27" i="23"/>
  <c r="B27" i="23" s="1"/>
  <c r="S35" i="20"/>
  <c r="F8" i="11" s="1"/>
  <c r="S34" i="20"/>
  <c r="F7" i="11" s="1"/>
  <c r="P36" i="20"/>
  <c r="O37" i="20"/>
  <c r="O36" i="20"/>
  <c r="A55" i="11"/>
  <c r="C44" i="11" l="1"/>
  <c r="B44" i="11"/>
  <c r="B39" i="21"/>
  <c r="I34" i="11" s="1"/>
  <c r="J34" i="11"/>
  <c r="J53" i="25"/>
  <c r="C13" i="2"/>
  <c r="A14" i="2"/>
  <c r="A28" i="23"/>
  <c r="B28" i="23" s="1"/>
  <c r="K8" i="11"/>
  <c r="K9" i="11"/>
  <c r="S36" i="20"/>
  <c r="F9" i="11" s="1"/>
  <c r="O38" i="20"/>
  <c r="Q37" i="20"/>
  <c r="P37" i="20"/>
  <c r="B45" i="11" l="1"/>
  <c r="C45" i="11" s="1"/>
  <c r="B40" i="21"/>
  <c r="I35" i="11" s="1"/>
  <c r="J35" i="11"/>
  <c r="A15" i="2"/>
  <c r="C15" i="2" s="1"/>
  <c r="B47" i="11" s="1"/>
  <c r="C47" i="11" s="1"/>
  <c r="C14" i="2"/>
  <c r="A29" i="23"/>
  <c r="B29" i="23" s="1"/>
  <c r="K10" i="11"/>
  <c r="S37" i="20"/>
  <c r="F10" i="11" s="1"/>
  <c r="P39" i="20"/>
  <c r="P38" i="20"/>
  <c r="Q38" i="20"/>
  <c r="A16" i="2"/>
  <c r="B46" i="11" l="1"/>
  <c r="C46" i="11" s="1"/>
  <c r="I36" i="11"/>
  <c r="D10" i="37" s="1"/>
  <c r="I37" i="11"/>
  <c r="E10" i="37" s="1"/>
  <c r="J37" i="11"/>
  <c r="E11" i="37" s="1"/>
  <c r="J36" i="11"/>
  <c r="D11" i="37" s="1"/>
  <c r="A30" i="23"/>
  <c r="B30" i="23" s="1"/>
  <c r="O39" i="20"/>
  <c r="S38" i="20"/>
  <c r="F11" i="11" s="1"/>
  <c r="Q39" i="20"/>
  <c r="Q40" i="20"/>
  <c r="A17" i="2"/>
  <c r="C16" i="2"/>
  <c r="B48" i="11" s="1"/>
  <c r="C48" i="11" s="1"/>
  <c r="A31" i="23" l="1"/>
  <c r="B31" i="23" s="1"/>
  <c r="K11" i="11"/>
  <c r="K12" i="11"/>
  <c r="P40" i="20"/>
  <c r="O40" i="20"/>
  <c r="S39" i="20"/>
  <c r="F12" i="11" s="1"/>
  <c r="O41" i="20"/>
  <c r="P41" i="20"/>
  <c r="Q41" i="20"/>
  <c r="A18" i="2"/>
  <c r="C17" i="2"/>
  <c r="B49" i="11" s="1"/>
  <c r="C49" i="11" s="1"/>
  <c r="A32" i="23" l="1"/>
  <c r="B32" i="23" s="1"/>
  <c r="K13" i="11"/>
  <c r="S40" i="20"/>
  <c r="F13" i="11" s="1"/>
  <c r="S41" i="20"/>
  <c r="F14" i="11" s="1"/>
  <c r="O42" i="20"/>
  <c r="P42" i="20"/>
  <c r="Q42" i="20"/>
  <c r="A19" i="2"/>
  <c r="C18" i="2"/>
  <c r="B50" i="11" s="1"/>
  <c r="C50" i="11" s="1"/>
  <c r="A33" i="23" l="1"/>
  <c r="B33" i="23" s="1"/>
  <c r="K14" i="11"/>
  <c r="S42" i="20"/>
  <c r="F15" i="11" s="1"/>
  <c r="O43" i="20"/>
  <c r="P43" i="20"/>
  <c r="Q43" i="20"/>
  <c r="A20" i="2"/>
  <c r="C19" i="2"/>
  <c r="B51" i="11" s="1"/>
  <c r="C51" i="11" s="1"/>
  <c r="A34" i="23" l="1"/>
  <c r="B34" i="23" s="1"/>
  <c r="K15" i="11"/>
  <c r="S43" i="20"/>
  <c r="F16" i="11" s="1"/>
  <c r="O44" i="20"/>
  <c r="P44" i="20"/>
  <c r="Q44" i="20"/>
  <c r="A21" i="2"/>
  <c r="C20" i="2"/>
  <c r="B52" i="11" s="1"/>
  <c r="C52" i="11" s="1"/>
  <c r="A35" i="23" l="1"/>
  <c r="B35" i="23" s="1"/>
  <c r="K16" i="11"/>
  <c r="S44" i="20"/>
  <c r="F17" i="11" s="1"/>
  <c r="O45" i="20"/>
  <c r="P45" i="20"/>
  <c r="Q45" i="20"/>
  <c r="A22" i="2"/>
  <c r="C21" i="2"/>
  <c r="B53" i="11" s="1"/>
  <c r="C53" i="11" s="1"/>
  <c r="A36" i="23" l="1"/>
  <c r="B36" i="23" s="1"/>
  <c r="K17" i="11"/>
  <c r="S45" i="20"/>
  <c r="F18" i="11" s="1"/>
  <c r="O46" i="20"/>
  <c r="P46" i="20"/>
  <c r="Q46" i="20"/>
  <c r="A23" i="2"/>
  <c r="C23" i="2" s="1"/>
  <c r="C22" i="2"/>
  <c r="B54" i="11" s="1"/>
  <c r="C54" i="11" s="1"/>
  <c r="B55" i="11" l="1"/>
  <c r="C55" i="11" s="1"/>
  <c r="B11" i="23"/>
  <c r="D11" i="23" s="1"/>
  <c r="D17" i="23" s="1"/>
  <c r="A37" i="23"/>
  <c r="B37" i="23" s="1"/>
  <c r="K18" i="11"/>
  <c r="S46" i="20"/>
  <c r="F19" i="11" s="1"/>
  <c r="O47" i="20"/>
  <c r="P47" i="20"/>
  <c r="Q47" i="20"/>
  <c r="C56" i="11" l="1"/>
  <c r="E4" i="37" s="1"/>
  <c r="B56" i="11"/>
  <c r="C4" i="37" s="1"/>
  <c r="C13" i="37" s="1"/>
  <c r="A38" i="23"/>
  <c r="B38" i="23" s="1"/>
  <c r="K19" i="11"/>
  <c r="S47" i="20"/>
  <c r="F20" i="11" s="1"/>
  <c r="O48" i="20"/>
  <c r="P48" i="20"/>
  <c r="Q48" i="20"/>
  <c r="A39" i="23" l="1"/>
  <c r="B39" i="23" s="1"/>
  <c r="K20" i="11"/>
  <c r="S48" i="20"/>
  <c r="F21" i="11" s="1"/>
  <c r="O49" i="20"/>
  <c r="P49" i="20"/>
  <c r="Q49" i="20"/>
  <c r="A40" i="23" l="1"/>
  <c r="B40" i="23" s="1"/>
  <c r="K21" i="11"/>
  <c r="S49" i="20"/>
  <c r="F22" i="11" s="1"/>
  <c r="O50" i="20"/>
  <c r="P50" i="20"/>
  <c r="Q50" i="20"/>
  <c r="B6" i="30"/>
  <c r="A41" i="23" l="1"/>
  <c r="B41" i="23" s="1"/>
  <c r="K22" i="11"/>
  <c r="S50" i="20"/>
  <c r="F23" i="11" s="1"/>
  <c r="P51" i="20"/>
  <c r="O51" i="20"/>
  <c r="Q51" i="20"/>
  <c r="A42" i="23" l="1"/>
  <c r="B42" i="23" s="1"/>
  <c r="K23" i="11"/>
  <c r="S51" i="20"/>
  <c r="F24" i="11" s="1"/>
  <c r="O52" i="20"/>
  <c r="P52" i="20"/>
  <c r="Q52" i="20"/>
  <c r="A43" i="23" l="1"/>
  <c r="B43" i="23" s="1"/>
  <c r="K24" i="11"/>
  <c r="S52" i="20"/>
  <c r="F25" i="11" s="1"/>
  <c r="P53" i="20"/>
  <c r="Q53" i="20"/>
  <c r="O53" i="20"/>
  <c r="A44" i="23" l="1"/>
  <c r="B44" i="23" s="1"/>
  <c r="K25" i="11"/>
  <c r="S53" i="20"/>
  <c r="F26" i="11" s="1"/>
  <c r="O54" i="20"/>
  <c r="P54" i="20"/>
  <c r="Q54" i="20"/>
  <c r="A45" i="23" l="1"/>
  <c r="B45" i="23" s="1"/>
  <c r="K26" i="11"/>
  <c r="P26" i="11" s="1"/>
  <c r="Q26" i="11" s="1"/>
  <c r="S54" i="20"/>
  <c r="F27" i="11" s="1"/>
  <c r="O55" i="20"/>
  <c r="P55" i="20"/>
  <c r="Q55" i="20"/>
  <c r="A46" i="23" l="1"/>
  <c r="B46" i="23" s="1"/>
  <c r="K27" i="11"/>
  <c r="P27" i="11" s="1"/>
  <c r="Q27" i="11" s="1"/>
  <c r="S55" i="20"/>
  <c r="F28" i="11" s="1"/>
  <c r="O56" i="20"/>
  <c r="P56" i="20"/>
  <c r="Q56" i="20"/>
  <c r="A47" i="23" l="1"/>
  <c r="B47" i="23" s="1"/>
  <c r="K28" i="11"/>
  <c r="P28" i="11" s="1"/>
  <c r="Q28" i="11" s="1"/>
  <c r="S56" i="20"/>
  <c r="F29" i="11" s="1"/>
  <c r="O57" i="20"/>
  <c r="P57" i="20"/>
  <c r="Q57" i="20"/>
  <c r="A48" i="23" l="1"/>
  <c r="B48" i="23" s="1"/>
  <c r="K29" i="11"/>
  <c r="P29" i="11" s="1"/>
  <c r="Q29" i="11" s="1"/>
  <c r="S57" i="20"/>
  <c r="F30" i="11" s="1"/>
  <c r="O58" i="20"/>
  <c r="P58" i="20"/>
  <c r="Q58" i="20"/>
  <c r="A49" i="23" l="1"/>
  <c r="B49" i="23" s="1"/>
  <c r="K30" i="11"/>
  <c r="P30" i="11" s="1"/>
  <c r="Q30" i="11" s="1"/>
  <c r="S58" i="20"/>
  <c r="F31" i="11" s="1"/>
  <c r="O59" i="20"/>
  <c r="P59" i="20"/>
  <c r="Q59" i="20"/>
  <c r="A50" i="23" l="1"/>
  <c r="B50" i="23" s="1"/>
  <c r="K31" i="11"/>
  <c r="P31" i="11" s="1"/>
  <c r="Q31" i="11" s="1"/>
  <c r="S59" i="20"/>
  <c r="F32" i="11" s="1"/>
  <c r="O60" i="20"/>
  <c r="P60" i="20"/>
  <c r="Q60" i="20"/>
  <c r="A51" i="23" l="1"/>
  <c r="B51" i="23" s="1"/>
  <c r="K32" i="11"/>
  <c r="P32" i="11" s="1"/>
  <c r="Q32" i="11" s="1"/>
  <c r="S60" i="20"/>
  <c r="F33" i="11" s="1"/>
  <c r="O61" i="20"/>
  <c r="P61" i="20"/>
  <c r="Q61" i="20"/>
  <c r="A52" i="23" l="1"/>
  <c r="B52" i="23" s="1"/>
  <c r="K33" i="11"/>
  <c r="P33" i="11" s="1"/>
  <c r="Q33" i="11" s="1"/>
  <c r="S61" i="20"/>
  <c r="F34" i="11" s="1"/>
  <c r="O62" i="20"/>
  <c r="P62" i="20"/>
  <c r="Q62" i="20"/>
  <c r="K34" i="11" l="1"/>
  <c r="P34" i="11" s="1"/>
  <c r="Q34" i="11" s="1"/>
  <c r="S62" i="20"/>
  <c r="F35" i="11" s="1"/>
  <c r="F37" i="11" s="1"/>
  <c r="F36" i="11" l="1"/>
  <c r="K35" i="11"/>
  <c r="K37" i="11" s="1"/>
  <c r="E12" i="37" s="1"/>
  <c r="K36" i="11" l="1"/>
  <c r="D12" i="37" s="1"/>
  <c r="P35" i="11"/>
  <c r="Q35" i="11" l="1"/>
  <c r="P51" i="31"/>
  <c r="B28" i="31" s="1"/>
  <c r="B30" i="31" l="1"/>
  <c r="B25" i="31"/>
  <c r="B33" i="31"/>
  <c r="B35" i="31"/>
  <c r="B40" i="31"/>
  <c r="B38" i="31"/>
  <c r="B31" i="31"/>
  <c r="B41" i="31"/>
  <c r="B26" i="31"/>
  <c r="B24" i="31"/>
  <c r="B36" i="31"/>
  <c r="B39" i="31"/>
  <c r="B37" i="31"/>
  <c r="B34" i="31"/>
  <c r="B29" i="31"/>
  <c r="B32" i="31"/>
  <c r="B27" i="31"/>
  <c r="B22" i="31"/>
  <c r="B23" i="31"/>
  <c r="S51" i="31" l="1"/>
  <c r="C26" i="31" l="1"/>
  <c r="D26" i="31" s="1"/>
  <c r="C10" i="11" s="1"/>
  <c r="P10" i="11" s="1"/>
  <c r="Q10" i="11" s="1"/>
  <c r="C38" i="31"/>
  <c r="D38" i="31" s="1"/>
  <c r="C22" i="11" s="1"/>
  <c r="P22" i="11" s="1"/>
  <c r="Q22" i="11" s="1"/>
  <c r="C40" i="31"/>
  <c r="D40" i="31" s="1"/>
  <c r="C24" i="11" s="1"/>
  <c r="P24" i="11" s="1"/>
  <c r="Q24" i="11" s="1"/>
  <c r="C35" i="31"/>
  <c r="D35" i="31" s="1"/>
  <c r="C19" i="11" s="1"/>
  <c r="P19" i="11" s="1"/>
  <c r="Q19" i="11" s="1"/>
  <c r="C25" i="31"/>
  <c r="D25" i="31" s="1"/>
  <c r="C9" i="11" s="1"/>
  <c r="P9" i="11" s="1"/>
  <c r="Q9" i="11" s="1"/>
  <c r="C33" i="31"/>
  <c r="D33" i="31" s="1"/>
  <c r="C17" i="11" s="1"/>
  <c r="P17" i="11" s="1"/>
  <c r="Q17" i="11" s="1"/>
  <c r="C41" i="31"/>
  <c r="D41" i="31" s="1"/>
  <c r="C25" i="11" s="1"/>
  <c r="P25" i="11" s="1"/>
  <c r="Q25" i="11" s="1"/>
  <c r="C29" i="31"/>
  <c r="D29" i="31" s="1"/>
  <c r="C13" i="11" s="1"/>
  <c r="P13" i="11" s="1"/>
  <c r="Q13" i="11" s="1"/>
  <c r="C28" i="31"/>
  <c r="D28" i="31" s="1"/>
  <c r="C12" i="11" s="1"/>
  <c r="P12" i="11" s="1"/>
  <c r="Q12" i="11" s="1"/>
  <c r="C24" i="31"/>
  <c r="D24" i="31" s="1"/>
  <c r="C8" i="11" s="1"/>
  <c r="P8" i="11" s="1"/>
  <c r="Q8" i="11" s="1"/>
  <c r="C23" i="31"/>
  <c r="D23" i="31" s="1"/>
  <c r="C7" i="11" s="1"/>
  <c r="P7" i="11" s="1"/>
  <c r="Q7" i="11" s="1"/>
  <c r="C22" i="31"/>
  <c r="D22" i="31" s="1"/>
  <c r="C6" i="11" s="1"/>
  <c r="C32" i="31"/>
  <c r="D32" i="31" s="1"/>
  <c r="C16" i="11" s="1"/>
  <c r="P16" i="11" s="1"/>
  <c r="Q16" i="11" s="1"/>
  <c r="C37" i="31"/>
  <c r="D37" i="31" s="1"/>
  <c r="C21" i="11" s="1"/>
  <c r="P21" i="11" s="1"/>
  <c r="Q21" i="11" s="1"/>
  <c r="C30" i="31"/>
  <c r="D30" i="31" s="1"/>
  <c r="C14" i="11" s="1"/>
  <c r="P14" i="11" s="1"/>
  <c r="Q14" i="11" s="1"/>
  <c r="C39" i="31"/>
  <c r="D39" i="31" s="1"/>
  <c r="C23" i="11" s="1"/>
  <c r="P23" i="11" s="1"/>
  <c r="Q23" i="11" s="1"/>
  <c r="C31" i="31"/>
  <c r="D31" i="31" s="1"/>
  <c r="C15" i="11" s="1"/>
  <c r="P15" i="11" s="1"/>
  <c r="Q15" i="11" s="1"/>
  <c r="C27" i="31"/>
  <c r="D27" i="31" s="1"/>
  <c r="C11" i="11" s="1"/>
  <c r="P11" i="11" s="1"/>
  <c r="Q11" i="11" s="1"/>
  <c r="C34" i="31"/>
  <c r="D34" i="31" s="1"/>
  <c r="C18" i="11" s="1"/>
  <c r="P18" i="11" s="1"/>
  <c r="Q18" i="11" s="1"/>
  <c r="C36" i="31"/>
  <c r="D36" i="31" s="1"/>
  <c r="C20" i="11" s="1"/>
  <c r="P20" i="11" s="1"/>
  <c r="Q20" i="11" s="1"/>
  <c r="P6" i="11" l="1"/>
  <c r="C37" i="11"/>
  <c r="E6" i="37" s="1"/>
  <c r="E13" i="37" s="1"/>
  <c r="C36" i="11"/>
  <c r="D6" i="37" s="1"/>
  <c r="D13" i="37" s="1"/>
  <c r="P36" i="11" l="1"/>
  <c r="P37" i="11"/>
  <c r="Q6" i="11"/>
  <c r="Q37" i="11" s="1"/>
  <c r="B5" i="30" s="1"/>
  <c r="B7" i="30" l="1"/>
  <c r="C15" i="37" s="1"/>
  <c r="B8" i="30"/>
  <c r="C16" i="37" l="1"/>
</calcChain>
</file>

<file path=xl/sharedStrings.xml><?xml version="1.0" encoding="utf-8"?>
<sst xmlns="http://schemas.openxmlformats.org/spreadsheetml/2006/main" count="1016" uniqueCount="539">
  <si>
    <t>USDOT Benefit-Cost Analysis Spreadsheet Template</t>
  </si>
  <si>
    <t>---------------------------------------------------------------------------------------------------------------------------------------------------------------------------------------------------------------</t>
  </si>
  <si>
    <t>What is the USDOT Benefit-Cost Analysis Spreadsheet Template?</t>
  </si>
  <si>
    <t xml:space="preserve">The USDOT Benefit-Cost Analysis Spreadsheet Template is being offered as a resource to applicants to help them get started on their BCA. Applicants are NOT required to use this template, it is simply offered as a convenience. </t>
  </si>
  <si>
    <t>-------------------------------------------------------------------------------------------------------------------------------------------------------------------------------------------------------------</t>
  </si>
  <si>
    <t>What You Need</t>
  </si>
  <si>
    <t>•	  Understanding of the project and the problem it is intended to solve.</t>
  </si>
  <si>
    <t>•	  The estimated costs of the project.</t>
  </si>
  <si>
    <t>•	  Information needed to estimate the benefits of the project (e.g., number users, baseline conditions, measures of effectiveness, expected service life).</t>
  </si>
  <si>
    <t>Notes</t>
  </si>
  <si>
    <r>
      <t xml:space="preserve">• </t>
    </r>
    <r>
      <rPr>
        <b/>
        <sz val="11"/>
        <rFont val="Calibri"/>
        <family val="2"/>
        <scheme val="minor"/>
      </rPr>
      <t>Input, Optional, and No-Input cells.</t>
    </r>
  </si>
  <si>
    <r>
      <t xml:space="preserve">      o Green, </t>
    </r>
    <r>
      <rPr>
        <b/>
        <sz val="11"/>
        <rFont val="Calibri"/>
        <family val="2"/>
        <scheme val="minor"/>
      </rPr>
      <t>bold</t>
    </r>
    <r>
      <rPr>
        <sz val="11"/>
        <rFont val="Calibri"/>
        <family val="2"/>
        <scheme val="minor"/>
      </rPr>
      <t xml:space="preserve">, and </t>
    </r>
    <r>
      <rPr>
        <u/>
        <sz val="11"/>
        <rFont val="Calibri"/>
        <family val="2"/>
        <scheme val="minor"/>
      </rPr>
      <t>underlined</t>
    </r>
    <r>
      <rPr>
        <sz val="11"/>
        <rFont val="Calibri"/>
        <family val="2"/>
        <scheme val="minor"/>
      </rPr>
      <t xml:space="preserve"> cells represent user input cells. These cells are available for input from the user.</t>
    </r>
  </si>
  <si>
    <r>
      <t xml:space="preserve">      o Blue and </t>
    </r>
    <r>
      <rPr>
        <i/>
        <sz val="11"/>
        <rFont val="Calibri"/>
        <family val="2"/>
        <scheme val="minor"/>
      </rPr>
      <t xml:space="preserve">italic </t>
    </r>
    <r>
      <rPr>
        <sz val="11"/>
        <rFont val="Calibri"/>
        <family val="2"/>
        <scheme val="minor"/>
      </rPr>
      <t>cells represent cells where the user may want to edit the formula depending on their project details</t>
    </r>
  </si>
  <si>
    <t xml:space="preserve">      o Gray and plain text cells represent a cell that does not require user input, and should not be edited.</t>
  </si>
  <si>
    <r>
      <t xml:space="preserve">•  	</t>
    </r>
    <r>
      <rPr>
        <b/>
        <sz val="11"/>
        <rFont val="Calibri"/>
        <family val="2"/>
        <scheme val="minor"/>
      </rPr>
      <t xml:space="preserve">Build vs No Build. </t>
    </r>
    <r>
      <rPr>
        <sz val="11"/>
        <rFont val="Calibri"/>
        <family val="2"/>
        <scheme val="minor"/>
      </rPr>
      <t>If you only have data for the difference between the Build and No Build scenarios, enter this data into the "Build" column and leave the "No Build" values at $0. This will still appropriately estimate the benefit</t>
    </r>
  </si>
  <si>
    <r>
      <t xml:space="preserve">•  	</t>
    </r>
    <r>
      <rPr>
        <b/>
        <sz val="11"/>
        <rFont val="Calibri"/>
        <family val="2"/>
        <scheme val="minor"/>
      </rPr>
      <t xml:space="preserve">Deleting a Tab. </t>
    </r>
    <r>
      <rPr>
        <sz val="11"/>
        <rFont val="Calibri"/>
        <family val="2"/>
        <scheme val="minor"/>
      </rPr>
      <t>Do not delete tabs. If a tab is not needed, simply skip it.</t>
    </r>
  </si>
  <si>
    <r>
      <rPr>
        <b/>
        <sz val="11"/>
        <rFont val="Calibri"/>
        <family val="2"/>
        <scheme val="minor"/>
      </rPr>
      <t>•  Parameter Values.</t>
    </r>
    <r>
      <rPr>
        <sz val="11"/>
        <rFont val="Calibri"/>
        <family val="2"/>
        <scheme val="minor"/>
      </rPr>
      <t xml:space="preserve"> This template provides a copy of the Appendix A tables from the USDOT BCA guidance document in a spreadsheet format, located on the "Parameter Values" sheet. </t>
    </r>
  </si>
  <si>
    <t>Model Base Year</t>
  </si>
  <si>
    <t>Model Date</t>
  </si>
  <si>
    <t>Project Information</t>
  </si>
  <si>
    <t>Applicants should fill out this sheet first, before moving on to the remainder of the template sheets.</t>
  </si>
  <si>
    <t>-</t>
  </si>
  <si>
    <t>Table 1. Project Information</t>
  </si>
  <si>
    <t>Variable</t>
  </si>
  <si>
    <t>Value</t>
  </si>
  <si>
    <t>First Year of Project Development/Construction</t>
  </si>
  <si>
    <t>&lt;-For project development costs prior to the model base year, enter into the "Capital Cost" tab in the cell for previously incurred costs</t>
  </si>
  <si>
    <t>Length of Construction/Project Development Period (in Years)</t>
  </si>
  <si>
    <t>&lt;-Enter a whole number value between 1 and 15, only include project development years after the model base year</t>
  </si>
  <si>
    <t>Opening Year</t>
  </si>
  <si>
    <t>Operational Period Length</t>
  </si>
  <si>
    <t>&lt;-See USDOT BCA Guidance for discussion of how to determine the appropriate operational period length</t>
  </si>
  <si>
    <t>Final Analysis Year</t>
  </si>
  <si>
    <t>Parameter Values</t>
  </si>
  <si>
    <t>This sheet provides a copy of parameter and monetization values from Appendix A of the USDOT BCA Guidance, and is provided for convenience.</t>
  </si>
  <si>
    <t>Source: USDOT BCA Guidance (Appendix A)</t>
  </si>
  <si>
    <t>Table A-1a: Value of Reduced Fatalities, Injuries, and Crashes</t>
  </si>
  <si>
    <t>KABCO Level</t>
  </si>
  <si>
    <t>Monetized Value (2024 $)</t>
  </si>
  <si>
    <t>O - No Injury</t>
  </si>
  <si>
    <t>C - Possible Injury</t>
  </si>
  <si>
    <t>B - Non-incapacitating</t>
  </si>
  <si>
    <t>A - Incapacitating</t>
  </si>
  <si>
    <t>K - Killed</t>
  </si>
  <si>
    <t>U - Injured (Severity Unknown)</t>
  </si>
  <si>
    <t>Table A-1b: Value of Reduced Fatal, Injury, and PDO Crashes</t>
  </si>
  <si>
    <t>Crash Type</t>
  </si>
  <si>
    <t>PDO Crash</t>
  </si>
  <si>
    <t>Injury Crash</t>
  </si>
  <si>
    <t>Fatal Crash</t>
  </si>
  <si>
    <t>Table A-2: Value of Travel Time Savings</t>
  </si>
  <si>
    <t>Recommended Hourly Values of Travel Time Savings</t>
  </si>
  <si>
    <t>(2024 $ per person-hour)</t>
  </si>
  <si>
    <t>Category</t>
  </si>
  <si>
    <t>Hourly Value</t>
  </si>
  <si>
    <t>General Travel Time</t>
  </si>
  <si>
    <r>
      <t>Personal</t>
    </r>
    <r>
      <rPr>
        <vertAlign val="superscript"/>
        <sz val="11"/>
        <color rgb="FF1F497D"/>
        <rFont val="Times New Roman"/>
        <family val="1"/>
      </rPr>
      <t>1</t>
    </r>
  </si>
  <si>
    <r>
      <t>Business</t>
    </r>
    <r>
      <rPr>
        <vertAlign val="superscript"/>
        <sz val="11"/>
        <color rgb="FF1F497D"/>
        <rFont val="Times New Roman"/>
        <family val="1"/>
      </rPr>
      <t>2</t>
    </r>
  </si>
  <si>
    <r>
      <t>All Purpose</t>
    </r>
    <r>
      <rPr>
        <vertAlign val="superscript"/>
        <sz val="11"/>
        <color rgb="FF1F497D"/>
        <rFont val="Times New Roman"/>
        <family val="1"/>
      </rPr>
      <t>3</t>
    </r>
  </si>
  <si>
    <r>
      <t>Walking, Cycling, Waiting, Standing, and Transfer Time</t>
    </r>
    <r>
      <rPr>
        <vertAlign val="superscript"/>
        <sz val="11"/>
        <color rgb="FF1F497D"/>
        <rFont val="Times New Roman"/>
        <family val="1"/>
      </rPr>
      <t>4</t>
    </r>
  </si>
  <si>
    <r>
      <t>Commercial Vehicle Operators</t>
    </r>
    <r>
      <rPr>
        <vertAlign val="superscript"/>
        <sz val="11"/>
        <color rgb="FF1F497D"/>
        <rFont val="Times New Roman"/>
        <family val="1"/>
      </rPr>
      <t>5</t>
    </r>
  </si>
  <si>
    <t>Truck Drivers</t>
  </si>
  <si>
    <t>Bus Drivers</t>
  </si>
  <si>
    <t>Transit Rail Operators</t>
  </si>
  <si>
    <t>Locomotive Engineers</t>
  </si>
  <si>
    <t>1)  Values for personal travel based on local travel values as described in USDOT’s Value of Travel Time guidance. Where applicants also have specific information on the mix of local versus long-distance travel (i.e., trips over 50 miles in length) on a facility, then the local travel values of time may be blended with the long-distance personal travel value of $28.20 per hour.</t>
  </si>
  <si>
    <t>2)  Weighted average based on a typical distribution of local travel by surface modes (88.2% personal, 11.8% business). Applicants should apply their own distribution of business versus personal travel where such information is available.</t>
  </si>
  <si>
    <t>3)  Note that business travel does not include commuting travel, which should be valued at the personal travel rate. Travel on high-speed rail service that would be competitive with air travel should be valued at $53.50 per hour for personal travel and $86.00 for business travel.</t>
  </si>
  <si>
    <t>4)  Should be applied only when actions affect those elements of travel time.</t>
  </si>
  <si>
    <t>5)  Includes only the value of time for the operator, not passengers or freight.</t>
  </si>
  <si>
    <t>Table A-3: Average Vehicle Occupancy Rates for Highway Passenger Vehicles</t>
  </si>
  <si>
    <t>Vehicle Type</t>
  </si>
  <si>
    <t>Average Occupancy</t>
  </si>
  <si>
    <r>
      <t>Passenger Vehicles (Weekday Peak)</t>
    </r>
    <r>
      <rPr>
        <vertAlign val="superscript"/>
        <sz val="11"/>
        <color rgb="FF1F497D"/>
        <rFont val="Times New Roman"/>
        <family val="1"/>
      </rPr>
      <t>1</t>
    </r>
  </si>
  <si>
    <t>Passenger Vehicles (Weekday Off-Peak)</t>
  </si>
  <si>
    <t>Passenger Vehicles (Weekend)</t>
  </si>
  <si>
    <t>Passenger Vehicles (All Travel)</t>
  </si>
  <si>
    <t>1) Weekday peak period values calculated for trips starting between 6:00 AM-8:59 AM and 4:00 PM-6:59 PM.</t>
  </si>
  <si>
    <t>Table A-4: Vehicle Operating Costs</t>
  </si>
  <si>
    <t>Recommended Value per Mile (2024 $)</t>
  </si>
  <si>
    <r>
      <t>Light Duty Vehicles</t>
    </r>
    <r>
      <rPr>
        <vertAlign val="superscript"/>
        <sz val="11"/>
        <color theme="1"/>
        <rFont val="Times New Roman"/>
        <family val="1"/>
      </rPr>
      <t>1</t>
    </r>
  </si>
  <si>
    <r>
      <t>Commercial Trucks</t>
    </r>
    <r>
      <rPr>
        <vertAlign val="superscript"/>
        <sz val="11"/>
        <color theme="1"/>
        <rFont val="Times New Roman"/>
        <family val="1"/>
      </rPr>
      <t>2</t>
    </r>
  </si>
  <si>
    <t>1)  Based on an average light duty vehicle and includes operating costs such as gasoline, maintenance, tires, and depreciation (assuming an average of 15,000 miles driven per year). The value omits other ownership costs that are mostly fixed or transfers (insurance, license, registration, taxes, and financing charges).</t>
  </si>
  <si>
    <t>2)  Value includes fuel costs, truck/trailer lease or purchase payments, repair and maintenance, truck insurance premiums, permits and licenses, and tires. The value omits tolls (which are transfers), and driver wages and benefits (which are already included in the value of travel time savings).</t>
  </si>
  <si>
    <t>Table A-5: Train Operating and Social Costs</t>
  </si>
  <si>
    <t>Recommended Value per Hour (2024 $)</t>
  </si>
  <si>
    <t>Train and Movement Type</t>
  </si>
  <si>
    <r>
      <t>Operating Costs</t>
    </r>
    <r>
      <rPr>
        <vertAlign val="superscript"/>
        <sz val="11"/>
        <color theme="0"/>
        <rFont val="Times New Roman"/>
        <family val="1"/>
      </rPr>
      <t>1</t>
    </r>
  </si>
  <si>
    <r>
      <t>Emission Costs</t>
    </r>
    <r>
      <rPr>
        <vertAlign val="superscript"/>
        <sz val="11"/>
        <color theme="0"/>
        <rFont val="Times New Roman"/>
        <family val="1"/>
      </rPr>
      <t>2</t>
    </r>
  </si>
  <si>
    <t>Idling</t>
  </si>
  <si>
    <t>Freight Train</t>
  </si>
  <si>
    <t>Commuter Train</t>
  </si>
  <si>
    <t>Amtrak Long-Distance</t>
  </si>
  <si>
    <t>Amtrak State-Supported</t>
  </si>
  <si>
    <t>Hauling</t>
  </si>
  <si>
    <t>All Movements</t>
  </si>
  <si>
    <t>Freight Railcar</t>
  </si>
  <si>
    <t>*</t>
  </si>
  <si>
    <t>1)  Includes fuel cost, depreciation, and labor cost.</t>
  </si>
  <si>
    <t>2)  Emissions are based on the current diesel-electric locomotive fleet average, and thus the emission values above should not be applied in cases where new locomotives are being acquired or in cases of electrified rail. The monetization applies the 2035-year emission value to approximate increasing emission damage costs over time.</t>
  </si>
  <si>
    <t>Table A-6: Damage Costs for Emissions per Metric Ton*</t>
  </si>
  <si>
    <t>Emission Type</t>
  </si>
  <si>
    <r>
      <t>NO</t>
    </r>
    <r>
      <rPr>
        <vertAlign val="subscript"/>
        <sz val="11"/>
        <color theme="0"/>
        <rFont val="Times New Roman"/>
        <family val="1"/>
      </rPr>
      <t>X</t>
    </r>
  </si>
  <si>
    <r>
      <t>SO</t>
    </r>
    <r>
      <rPr>
        <vertAlign val="subscript"/>
        <sz val="11"/>
        <color theme="0"/>
        <rFont val="Times New Roman"/>
        <family val="1"/>
      </rPr>
      <t>X</t>
    </r>
  </si>
  <si>
    <r>
      <t>PM</t>
    </r>
    <r>
      <rPr>
        <vertAlign val="subscript"/>
        <sz val="11"/>
        <color theme="0"/>
        <rFont val="Times New Roman"/>
        <family val="1"/>
      </rPr>
      <t>2.5</t>
    </r>
    <r>
      <rPr>
        <sz val="11"/>
        <color theme="0"/>
        <rFont val="Times New Roman"/>
        <family val="1"/>
      </rPr>
      <t>**</t>
    </r>
  </si>
  <si>
    <t>*Applicants should carefully note whether their emissions data is reported in short tons or metric tons. A metric ton is equal to 1.1023 short tons.</t>
  </si>
  <si>
    <r>
      <t>**Applicants should be careful to not apply the PM</t>
    </r>
    <r>
      <rPr>
        <vertAlign val="subscript"/>
        <sz val="11"/>
        <color rgb="FF1F497D"/>
        <rFont val="Times New Roman"/>
        <family val="1"/>
      </rPr>
      <t>2.5</t>
    </r>
    <r>
      <rPr>
        <sz val="11"/>
        <color rgb="FF1F497D"/>
        <rFont val="Times New Roman"/>
        <family val="1"/>
      </rPr>
      <t xml:space="preserve"> value to estimates of total emissions of PM</t>
    </r>
    <r>
      <rPr>
        <vertAlign val="subscript"/>
        <sz val="11"/>
        <color rgb="FF1F497D"/>
        <rFont val="Times New Roman"/>
        <family val="1"/>
      </rPr>
      <t>10</t>
    </r>
    <r>
      <rPr>
        <sz val="11"/>
        <color rgb="FF1F497D"/>
        <rFont val="Times New Roman"/>
        <family val="1"/>
      </rPr>
      <t>.</t>
    </r>
  </si>
  <si>
    <t>Table A-7: Inflation Adjustment Values</t>
  </si>
  <si>
    <t>Base Year of Nominal Dollar</t>
  </si>
  <si>
    <t>Multiplier to Adjust to Real 2024 $</t>
  </si>
  <si>
    <t>Table A-8: Pedestrian Facility Improvements Revealed Preference Values</t>
  </si>
  <si>
    <t>Improvement Type</t>
  </si>
  <si>
    <r>
      <t>Recommended Value per Person-Mile Walked (2024 $)</t>
    </r>
    <r>
      <rPr>
        <vertAlign val="superscript"/>
        <sz val="11"/>
        <color theme="0"/>
        <rFont val="Times New Roman"/>
        <family val="1"/>
      </rPr>
      <t>1</t>
    </r>
  </si>
  <si>
    <r>
      <t>Expand Sidewalk (per foot of added width)</t>
    </r>
    <r>
      <rPr>
        <vertAlign val="superscript"/>
        <sz val="11"/>
        <color rgb="FF1F497D"/>
        <rFont val="Times New Roman"/>
        <family val="1"/>
      </rPr>
      <t>2</t>
    </r>
  </si>
  <si>
    <t>Reducing Upslope by 1%</t>
  </si>
  <si>
    <t>Reducing Traffic Speed by 1 mph (for speeds ≤45 mph)</t>
  </si>
  <si>
    <t>Reducing Traffic Volume by 1 Vehicle per Hour (for ADT &lt;55,000)</t>
  </si>
  <si>
    <r>
      <t>Recommended Value per Use (2024 $)</t>
    </r>
    <r>
      <rPr>
        <vertAlign val="superscript"/>
        <sz val="11"/>
        <color theme="0"/>
        <rFont val="Times New Roman"/>
        <family val="1"/>
      </rPr>
      <t>1</t>
    </r>
  </si>
  <si>
    <t>Install Marked-Crosswalk on Roadway with Volumes ≥10,000 Vehicle per Day</t>
  </si>
  <si>
    <t>Install Signal for Pedestrian Crossing on Roadway with Volumes ≥13,000 Vehicles per Day</t>
  </si>
  <si>
    <t>1)   These values assume an average walking trip speed of 3.2 miles per hour. For the mile-based benefits, the estimated value per user should be capped at 0.86 miles, the average length of a walking trip in the 2017 National Household Travel Survey, unless the applicant has specific documentation suggesting longer trips or that a trip shorter than 0.86 miles is not feasible on the facility in question. In other words, applicants should not assume all pedestrians travel the full distance of a proposed facility if the facility is longer than 0.86 miles without a clear justification for doing so.</t>
  </si>
  <si>
    <t>2)   Value for sidewalk width expansion applicable for sidewalks up to approximately 31 feet, benefits for expansions beyond this width should be described qualitatively.</t>
  </si>
  <si>
    <t>Table A-9: Cycling Facility Improvement Revealed Preference Values</t>
  </si>
  <si>
    <t>Facility Type</t>
  </si>
  <si>
    <r>
      <t>Recommended Value per Cycling Mile (2024 $)</t>
    </r>
    <r>
      <rPr>
        <vertAlign val="superscript"/>
        <sz val="11"/>
        <color theme="0"/>
        <rFont val="Times New Roman"/>
        <family val="1"/>
      </rPr>
      <t>1</t>
    </r>
  </si>
  <si>
    <t>Cycling Path with At-Grade Crossings</t>
  </si>
  <si>
    <r>
      <t>Cycling Path with no At-Grade Crossings</t>
    </r>
    <r>
      <rPr>
        <vertAlign val="superscript"/>
        <sz val="11"/>
        <color rgb="FF1F497D"/>
        <rFont val="Times New Roman"/>
        <family val="1"/>
      </rPr>
      <t>2</t>
    </r>
  </si>
  <si>
    <t>Dedicated Cycling Lane</t>
  </si>
  <si>
    <t>Cycling Boulevard/“Sharrow”</t>
  </si>
  <si>
    <t>Separated Cycle Track</t>
  </si>
  <si>
    <t>1) Values should only be applied over sections for which a comparable parallel facility is not available, and only applies to miles cycled on the project facility. These values assume an average cycling trip speed of 9.8 miles per hour or, in the case of off-street paths with no at-grade crossings, a free-flow cycling speed of 12.1 miles per hour. The estimated value per cyclist should be capped at 2.38 miles, the average length of a cycling trip in the 2017 National Household Travel Survey, unless the applicant has specific documentation suggesting longer trips or that a trip shorter than 2.38 miles is not feasible on the facility in question. In other words, applicants should not assume all cyclists travel the full distance of a proposed facility if the facility is longer than 2.38 miles without a clear justification for doing so.</t>
  </si>
  <si>
    <t>2) The value for a cycling path with no at-grade intersections is higher due to an assumption of higher average speed of 12.1 miles per hour, resulting in less time on the facility, which lowers journey quality benefits but increases travel time savings.</t>
  </si>
  <si>
    <t>Table A-10: Transit Facility Amenity Revealed and Stated Preference Values</t>
  </si>
  <si>
    <t>Attribute Type</t>
  </si>
  <si>
    <t>Recommended Value per User Trip (2024 $)</t>
  </si>
  <si>
    <t>Bus Stop</t>
  </si>
  <si>
    <t>Light Rail /Streetcar Stop</t>
  </si>
  <si>
    <t>Rail Station</t>
  </si>
  <si>
    <t>Clocks</t>
  </si>
  <si>
    <t>Electronic Real-Time Information Displays</t>
  </si>
  <si>
    <t>Information /Emergency Button</t>
  </si>
  <si>
    <t>PA System</t>
  </si>
  <si>
    <r>
      <t>Platform/Stop Seating Availability</t>
    </r>
    <r>
      <rPr>
        <vertAlign val="superscript"/>
        <sz val="11"/>
        <color rgb="FF1F497D"/>
        <rFont val="Times New Roman"/>
        <family val="1"/>
      </rPr>
      <t>1</t>
    </r>
  </si>
  <si>
    <r>
      <t>Platform/Stop Weather Protection</t>
    </r>
    <r>
      <rPr>
        <vertAlign val="superscript"/>
        <sz val="11"/>
        <color rgb="FF1F497D"/>
        <rFont val="Times New Roman"/>
        <family val="1"/>
      </rPr>
      <t>1</t>
    </r>
  </si>
  <si>
    <t>Restroom Availability</t>
  </si>
  <si>
    <t>Retail/Food Outlet Availability</t>
  </si>
  <si>
    <t>Staff Availability</t>
  </si>
  <si>
    <t>Step-Free Access to Station/Stop</t>
  </si>
  <si>
    <t>Step-Free Access to Vehicle</t>
  </si>
  <si>
    <t>Surveillance Cameras</t>
  </si>
  <si>
    <r>
      <t>Temperature Controlled Environment</t>
    </r>
    <r>
      <rPr>
        <vertAlign val="superscript"/>
        <sz val="11"/>
        <color rgb="FF1F497D"/>
        <rFont val="Times New Roman"/>
        <family val="1"/>
      </rPr>
      <t>1</t>
    </r>
  </si>
  <si>
    <t>Ticket Machines</t>
  </si>
  <si>
    <t>Timetables</t>
  </si>
  <si>
    <t>Bike Facilities</t>
  </si>
  <si>
    <t>Car Access Facilities</t>
  </si>
  <si>
    <t>Elevator</t>
  </si>
  <si>
    <t>Escalators</t>
  </si>
  <si>
    <t>On-Site Ticket Office</t>
  </si>
  <si>
    <t>Taxi Pickup/Dropoff</t>
  </si>
  <si>
    <r>
      <t>Waiting Room</t>
    </r>
    <r>
      <rPr>
        <vertAlign val="superscript"/>
        <sz val="11"/>
        <color rgb="FF1F497D"/>
        <rFont val="Times New Roman"/>
        <family val="1"/>
      </rPr>
      <t>1</t>
    </r>
  </si>
  <si>
    <t>1)  Note that seating availability and weather protection refer to seats, canopies, or wind shelters on the platforms themselves, whereas temperature-controlled environment refers to an indoor facility with heating and air conditioning availability. A waiting room refers to a designated indoor environment with seating availability, separate from platform seating, which may or may not be temperature controlled.</t>
  </si>
  <si>
    <t>Table A-11: Transit Vehicle Amenity Values</t>
  </si>
  <si>
    <t>Bus</t>
  </si>
  <si>
    <t>Light Rail /Streetcar</t>
  </si>
  <si>
    <t>Rail</t>
  </si>
  <si>
    <t>Handrails</t>
  </si>
  <si>
    <t>Luggage Storage</t>
  </si>
  <si>
    <t>Temperature Control</t>
  </si>
  <si>
    <t>Wheelchair Space</t>
  </si>
  <si>
    <t>Food Service Availability</t>
  </si>
  <si>
    <t>Table A-12: Transit Mode Ride and Boarding Quality Revealed Preference Values</t>
  </si>
  <si>
    <t>Transit Mode</t>
  </si>
  <si>
    <r>
      <t>Boarding Quality Benefit (Per Boarding) (2024 $)</t>
    </r>
    <r>
      <rPr>
        <vertAlign val="superscript"/>
        <sz val="11"/>
        <color theme="0"/>
        <rFont val="Calibri"/>
        <family val="2"/>
        <scheme val="minor"/>
      </rPr>
      <t>1</t>
    </r>
  </si>
  <si>
    <r>
      <t>Vehicle Ride Quality Benefit (Per Passenger Hour) (2024 $)</t>
    </r>
    <r>
      <rPr>
        <vertAlign val="superscript"/>
        <sz val="11"/>
        <color theme="0"/>
        <rFont val="Calibri"/>
        <family val="2"/>
        <scheme val="minor"/>
      </rPr>
      <t>1</t>
    </r>
  </si>
  <si>
    <r>
      <t>Low-Intensive BRT</t>
    </r>
    <r>
      <rPr>
        <vertAlign val="superscript"/>
        <sz val="11"/>
        <color theme="1"/>
        <rFont val="Calibri"/>
        <family val="2"/>
        <scheme val="minor"/>
      </rPr>
      <t>2</t>
    </r>
  </si>
  <si>
    <r>
      <t>Medium-Intensive BRT</t>
    </r>
    <r>
      <rPr>
        <vertAlign val="superscript"/>
        <sz val="11"/>
        <color theme="1"/>
        <rFont val="Calibri"/>
        <family val="2"/>
        <scheme val="minor"/>
      </rPr>
      <t>2</t>
    </r>
  </si>
  <si>
    <r>
      <t>High-Intensive BRT</t>
    </r>
    <r>
      <rPr>
        <vertAlign val="superscript"/>
        <sz val="11"/>
        <color theme="1"/>
        <rFont val="Calibri"/>
        <family val="2"/>
        <scheme val="minor"/>
      </rPr>
      <t>2,3</t>
    </r>
  </si>
  <si>
    <t>Streetcar or On-Street Light Rail Transit</t>
  </si>
  <si>
    <t>Off-Street Light Rail Transit</t>
  </si>
  <si>
    <t>Heavy Rail</t>
  </si>
  <si>
    <t>Commuter Rail</t>
  </si>
  <si>
    <r>
      <t>Ferry</t>
    </r>
    <r>
      <rPr>
        <vertAlign val="superscript"/>
        <sz val="11"/>
        <color theme="1"/>
        <rFont val="Calibri"/>
        <family val="2"/>
        <scheme val="minor"/>
      </rPr>
      <t>3</t>
    </r>
  </si>
  <si>
    <t>1) Values applicable when base case is transit use of standard on-street bus, the reference case used to create these values. When comparing other types of modal shift, the differences between the relevant modal values above should be used.</t>
  </si>
  <si>
    <t>2) Low-intensive BRT would include special service branding, low floor vehicles, at least 50 percent of route in dedicated lanes and potentially shared turns and the remainder in mixed-traffic, some signal priority, level boarding, off-board fare collection, and visually distinct stations. Medium-intensive BRT would include features of Low-intensive BRT but have 100 percent of the route in dedicated lanes, traffic signal priority throughout the corridor, and median-running service or right-turn prohibitions. High-intensive BRT would have a completely sealed right-of-way with no traffic interference and traffic signal preemption, akin to a “rubber-tired railroad.”</t>
  </si>
  <si>
    <t>3) The Capital Investment Grant program has to date not completed a before-and-after study of ridership on a ferry project or a high-intensive BRT as described above, and thus does not have a calibrated estimate for the fixedguideway setting for those modes. Thus, these values represent the current best estimates, considering average station and ride quality relative to other transit modes.</t>
  </si>
  <si>
    <t>Table A-13: Mortality Reduction Benefits of Induced Active Transportation Values</t>
  </si>
  <si>
    <t>Mode</t>
  </si>
  <si>
    <r>
      <t>Applicable Age Range</t>
    </r>
    <r>
      <rPr>
        <vertAlign val="superscript"/>
        <sz val="11"/>
        <color theme="0"/>
        <rFont val="Calibri"/>
        <family val="2"/>
        <scheme val="minor"/>
      </rPr>
      <t>3</t>
    </r>
  </si>
  <si>
    <r>
      <t>Recommended Value per Induced Trip (2024 $)</t>
    </r>
    <r>
      <rPr>
        <vertAlign val="superscript"/>
        <sz val="11"/>
        <color theme="0"/>
        <rFont val="Calibri"/>
        <family val="2"/>
        <scheme val="minor"/>
      </rPr>
      <t>4</t>
    </r>
  </si>
  <si>
    <r>
      <t>Walking</t>
    </r>
    <r>
      <rPr>
        <vertAlign val="superscript"/>
        <sz val="11"/>
        <color theme="1"/>
        <rFont val="Calibri"/>
        <family val="2"/>
        <scheme val="minor"/>
      </rPr>
      <t>1</t>
    </r>
  </si>
  <si>
    <t>Ages 20-74</t>
  </si>
  <si>
    <r>
      <t>Cycling</t>
    </r>
    <r>
      <rPr>
        <vertAlign val="superscript"/>
        <sz val="11"/>
        <color theme="1"/>
        <rFont val="Calibri"/>
        <family val="2"/>
        <scheme val="minor"/>
      </rPr>
      <t>2</t>
    </r>
  </si>
  <si>
    <t>Ages 20-64</t>
  </si>
  <si>
    <t xml:space="preserve">1)   Based on an assumed average walking speed of 3.2 miles per hour, an assumed average age of the relevant age range (20-74 years) of 45, a corresponding baseline mortality risk of 267.1 per 100,000, an annual risk reduction of 8.6 percent per daily mile walked, and an average walking trip distance of 0.86 miles. </t>
  </si>
  <si>
    <t>2)   Based on an assumed average cycling speed of 9.8 miles per hour, an assumed average age of the relevant age range (20-64 years) of 42, a corresponding baseline mortality risk of 217.9 per 100,000, an annual risk reduction of 4.3 percent per daily mile cycled, and an average cycling trip distance of 2.38 miles.</t>
  </si>
  <si>
    <t>3)   Absent more localized data on the proportion of the expected users falling into the age ranges above, applicants may apply a general assumption of 68% and 59% of overall induced trips falling into the walking and cycling age ranges, respectively, assuming a distribution matching the national average.</t>
  </si>
  <si>
    <t xml:space="preserve">4)   Applicants should ensure these monetization values are only applied to trips induced from non-active transportation modes within the relevant age ranges for each mode. Absent more localized data on the proportion of induced trips coming from non-active transportation modes, applicants may apply a general assumption of 89% of induced trips falling into that category, assuming a distribution matching the national average travel pattern. </t>
  </si>
  <si>
    <t>Table A-14: External Highway Use Costs</t>
  </si>
  <si>
    <t>Vehicle Type and Location</t>
  </si>
  <si>
    <r>
      <t>Recommended Value of Cost per Vehicle Mile Traveled (2024 $)</t>
    </r>
    <r>
      <rPr>
        <vertAlign val="superscript"/>
        <sz val="11"/>
        <color theme="0"/>
        <rFont val="Times New Roman"/>
        <family val="1"/>
      </rPr>
      <t>1</t>
    </r>
  </si>
  <si>
    <t>Congestion</t>
  </si>
  <si>
    <t>Noise</t>
  </si>
  <si>
    <t>Safety Cost</t>
  </si>
  <si>
    <r>
      <t>Emission Cost</t>
    </r>
    <r>
      <rPr>
        <vertAlign val="superscript"/>
        <sz val="11"/>
        <color theme="0"/>
        <rFont val="Times New Roman"/>
        <family val="1"/>
      </rPr>
      <t>2</t>
    </r>
  </si>
  <si>
    <t>Light-Duty Vehicles - Urban</t>
  </si>
  <si>
    <t>Light-Duty Vehicles - Rural</t>
  </si>
  <si>
    <t>Light-Duty Vehicles – All Locations</t>
  </si>
  <si>
    <t>Buses and Trucks - Urban</t>
  </si>
  <si>
    <t>Buses and Trucks - Rural</t>
  </si>
  <si>
    <t>Buses and Trucks – All Locations</t>
  </si>
  <si>
    <t>All Vehicles - Urban</t>
  </si>
  <si>
    <t>All Vehicles - Rural</t>
  </si>
  <si>
    <t>All Vehicles – All Locations</t>
  </si>
  <si>
    <t>1)   Congestion costs updated from the 1997 Highway Cost Allocation Study to reflect increased traffic volumes, changes in vehicle occupancy, and increases in the value of time per person-hour since that time. Both congestion and noise costs are also adjusted from 1994 dollars to 2024 dollars using the GDP deflator.</t>
  </si>
  <si>
    <t>2)   Emission rates are based on estimates from EPA’s MOVES Model. The monetization applies the 2035-year emission value to approximate increasing emission damage costs over time.</t>
  </si>
  <si>
    <t>Growth Rates</t>
  </si>
  <si>
    <t>No Build</t>
  </si>
  <si>
    <t>Build</t>
  </si>
  <si>
    <t>Commentary:</t>
  </si>
  <si>
    <t xml:space="preserve">Population of Wells - 2022 </t>
  </si>
  <si>
    <t>Projected Population - 2042</t>
  </si>
  <si>
    <t>&lt;--Estimated population growth based on Maine State Economist Population Projections Dashboard, published Apr 2025</t>
  </si>
  <si>
    <t>20 year population growth rate from 2022 to 2042 (20 years)</t>
  </si>
  <si>
    <t>&lt;-- 6.0157% Compound Annual Growth Rate</t>
  </si>
  <si>
    <t>One-time change at project completion: vehicle volume (%)</t>
  </si>
  <si>
    <t>N/A</t>
  </si>
  <si>
    <t>&lt;--Assumes project completion does not change vehicle volumes in the corridor</t>
  </si>
  <si>
    <t>One-time change at project completion: pedestrian volume (%)</t>
  </si>
  <si>
    <t>&lt;--Assumes one time growth in pedestrian foot traffic due to project opening</t>
  </si>
  <si>
    <t>One-time change at project completion: cyclist volume (%)</t>
  </si>
  <si>
    <t>&lt;--Assumes one time growth in cyclist traffic due to project opening</t>
  </si>
  <si>
    <t>20 year growth rate: vehicle volume (%)</t>
  </si>
  <si>
    <t>&lt;--Traffic growth over 20 years estimated using simple linear growth of 0.5% a year, based on Maine Statewide Travel Demand Model (2024)</t>
  </si>
  <si>
    <t>20 year growth rate: pedestrian volume (%)</t>
  </si>
  <si>
    <t xml:space="preserve">&lt;-- Pedestrian Trips are local are are assumed to increase wityh the same rate as population growth </t>
  </si>
  <si>
    <t>20 year growth rate: cyclist volume (%)</t>
  </si>
  <si>
    <t xml:space="preserve">&lt;-- Cycling Trips are local are are assumed to increase wityh the same rate as population growth </t>
  </si>
  <si>
    <t>User Volumes</t>
  </si>
  <si>
    <t>Daily vehicle volume - all days (trip count)</t>
  </si>
  <si>
    <t>&lt;--Historic AADT on Corridor</t>
  </si>
  <si>
    <t>Daily pedestrian volume - all days (trip count)</t>
  </si>
  <si>
    <t xml:space="preserve">&lt;--Historic Average Annual Daily Trips Estimated from Streetlight, Jan - Dec 2021 in Downtown Wells. </t>
  </si>
  <si>
    <t>Daily cyclist volume - all day (trip count)</t>
  </si>
  <si>
    <t>&lt;--Historic Average Daily Trips May-October 2021, estimated from Streetlight and August 2023 Traffic Count</t>
  </si>
  <si>
    <t>Assumed  "Nice Days" for Bike and Walk - May to October</t>
  </si>
  <si>
    <t>&lt;-- Estimated Annualization Factor for Walking and Cycling Trips</t>
  </si>
  <si>
    <t>Average Trip Length by Traffic Type</t>
  </si>
  <si>
    <t>Average trip length: vehicle (mi)</t>
  </si>
  <si>
    <t>&lt;--Total road length within project area</t>
  </si>
  <si>
    <t>Average trip length: pedestrian (mi)</t>
  </si>
  <si>
    <t>&lt;--Maximum walking trip distance per BCA guidance (average walking trip within project area assumed to meet or exceed maximum value of 0.86)</t>
  </si>
  <si>
    <t>Average trip length: cyclist (mi)</t>
  </si>
  <si>
    <t>&lt;--Maximum cycling trip distance per BCA guidance (average cycling trip within project area assumed to meet or exceed maximum value of 2.38)</t>
  </si>
  <si>
    <t>UMPI to Maple St</t>
  </si>
  <si>
    <t>Maple St to Chapman Rd</t>
  </si>
  <si>
    <t>Chapman Rd to Allen St</t>
  </si>
  <si>
    <t>Main St to 5 Fingers</t>
  </si>
  <si>
    <t>Dyer St</t>
  </si>
  <si>
    <t>Ryan &amp; Roberts St</t>
  </si>
  <si>
    <t>Riverside Dr S</t>
  </si>
  <si>
    <t>Riverside Drive N</t>
  </si>
  <si>
    <t>Main St N</t>
  </si>
  <si>
    <t>Multi-Use Path &amp; Ped Bridge</t>
  </si>
  <si>
    <t>Construction</t>
  </si>
  <si>
    <t>Construction to begin (year)</t>
  </si>
  <si>
    <t>&lt;--Project construction start of Jul. 2026, rounded to nearest whole year to fit within BCA template</t>
  </si>
  <si>
    <t>Construction to be completed (year)</t>
  </si>
  <si>
    <t>&lt;--Project to be completed 6 years post-construction start</t>
  </si>
  <si>
    <t>Capital Costs</t>
  </si>
  <si>
    <t>2026 expenditure ($USD)</t>
  </si>
  <si>
    <t>&lt;-- % of Proposed project budget</t>
  </si>
  <si>
    <t>2027 expenditure ($USD)</t>
  </si>
  <si>
    <t>2028 expenditure ($USD)</t>
  </si>
  <si>
    <t>2029 expenditure ($USD)</t>
  </si>
  <si>
    <t>2030 expenditure ($USD)</t>
  </si>
  <si>
    <t>2031 expenditure ($USD)</t>
  </si>
  <si>
    <t>Total expenditure ($USD)</t>
  </si>
  <si>
    <t>&lt;--Proposed project budget</t>
  </si>
  <si>
    <t>7.0% NPV Summary</t>
  </si>
  <si>
    <t>Costs</t>
  </si>
  <si>
    <t>Benefits</t>
  </si>
  <si>
    <t>Discounted</t>
  </si>
  <si>
    <t>Capital Cost</t>
  </si>
  <si>
    <t>Operations and Maintenance</t>
  </si>
  <si>
    <t>Safety</t>
  </si>
  <si>
    <t>Travel Time Savings</t>
  </si>
  <si>
    <t>Vehicle Operating Cost Savings</t>
  </si>
  <si>
    <t>Emission Reductions</t>
  </si>
  <si>
    <t>Amenity Benefits</t>
  </si>
  <si>
    <t>Health Benefits</t>
  </si>
  <si>
    <t>Residual Value</t>
  </si>
  <si>
    <t>Total</t>
  </si>
  <si>
    <t>Net Present Value</t>
  </si>
  <si>
    <t>Benefit-Cost Ratio</t>
  </si>
  <si>
    <t>This is an optional sheet to aid in displaying user volumes, note that it does not automatically link to any other sheet and is provided for convenience and organizational purposes.</t>
  </si>
  <si>
    <t>Users can use whichever units are of interest to their application (for example: number of users, average annual daily traffic, person miles traveled, vehicle miles traveled).</t>
  </si>
  <si>
    <t xml:space="preserve">Users are free to use only the necessary columns for their application and/or to add additional columns as necessary. </t>
  </si>
  <si>
    <t>If you do not wish to use this sheet, simply leave the values blank and move on to the next sheet.</t>
  </si>
  <si>
    <t>Table 1. Volumes by Mode</t>
  </si>
  <si>
    <t>Annual Trips</t>
  </si>
  <si>
    <t>Build - No Build</t>
  </si>
  <si>
    <t>Vehicles</t>
  </si>
  <si>
    <t>Trucks</t>
  </si>
  <si>
    <t>Pedestrians</t>
  </si>
  <si>
    <t>Cyclists</t>
  </si>
  <si>
    <t>Trains</t>
  </si>
  <si>
    <t>[Other Modes]</t>
  </si>
  <si>
    <t>Workspace - Applicants may create new sheets for more space</t>
  </si>
  <si>
    <t>Year</t>
  </si>
  <si>
    <t xml:space="preserve">Induced </t>
  </si>
  <si>
    <t xml:space="preserve">In this "Capital Costs" sheet,  values should be entered as year-of-expenditure dollars. The template will automatically apply discounting to all costs and benefits for you. </t>
  </si>
  <si>
    <t>Annual Inflation Rate Used to Convert Constant Dollars to Year-of-Expenditure Dollars</t>
  </si>
  <si>
    <t>Previously Incurred Costs (in 2024$)</t>
  </si>
  <si>
    <t>Table 1. Capital Costs</t>
  </si>
  <si>
    <t>Capital Cost in Year-of-Expenditure Dollars</t>
  </si>
  <si>
    <t>Cost in Constant Dollars (2024 $)</t>
  </si>
  <si>
    <t>Operations and Maintenance Costs</t>
  </si>
  <si>
    <t xml:space="preserve">All values entered into input cells in this sheet should be entered as undiscounted 2024 dollar values. The template will automatically apply discounting to all costs and benefits for you. </t>
  </si>
  <si>
    <t>Applicants should use this sheet for general operations and maintenance, as well as any recapitalization costs that will be needed for project components over the course of the analysis period.</t>
  </si>
  <si>
    <t>Table 1. Operations and Maintenance</t>
  </si>
  <si>
    <t>No Build Operations and Maintenance Costs</t>
  </si>
  <si>
    <t>Build Operations and Maintenance Costs</t>
  </si>
  <si>
    <t>Net Change in Operations and Maintenance Costs</t>
  </si>
  <si>
    <t>NO BUILD</t>
  </si>
  <si>
    <t>Location</t>
  </si>
  <si>
    <t>Treatment</t>
  </si>
  <si>
    <t>Cost per mile</t>
  </si>
  <si>
    <t>Miles</t>
  </si>
  <si>
    <t>south end</t>
  </si>
  <si>
    <t>LT</t>
  </si>
  <si>
    <t>north end</t>
  </si>
  <si>
    <t>whole corridor</t>
  </si>
  <si>
    <t>mill and fill</t>
  </si>
  <si>
    <t>BUILD</t>
  </si>
  <si>
    <t>Note that not all projects will have benefits in all categories. In such cases, simply leave the input values in that sheet as zeros and move to the next sheet.</t>
  </si>
  <si>
    <t>Table 1. Recommended Monetization Values</t>
  </si>
  <si>
    <t>Table 2. Safety</t>
  </si>
  <si>
    <t>No Build Safety Costs</t>
  </si>
  <si>
    <t>Build Safety Costs</t>
  </si>
  <si>
    <t>Safety Benefits</t>
  </si>
  <si>
    <t>Intersection of Rt 1 with Chapel Road</t>
  </si>
  <si>
    <t>Injuries as a result of crashes at the intersection, from 2021-2025</t>
  </si>
  <si>
    <t>CRF ID #</t>
  </si>
  <si>
    <t>CMF</t>
  </si>
  <si>
    <t>CRF (%)</t>
  </si>
  <si>
    <t>CRF Detail</t>
  </si>
  <si>
    <t>Annual Occurrences</t>
  </si>
  <si>
    <t>x CMF</t>
  </si>
  <si>
    <t xml:space="preserve">Severity </t>
  </si>
  <si>
    <t>Total Injuries</t>
  </si>
  <si>
    <t xml:space="preserve">Annual Injuries </t>
  </si>
  <si>
    <t>325</t>
  </si>
  <si>
    <t>0.56</t>
  </si>
  <si>
    <t>Install a traffic signal</t>
  </si>
  <si>
    <t>C</t>
  </si>
  <si>
    <t>B</t>
  </si>
  <si>
    <t>A</t>
  </si>
  <si>
    <t>K</t>
  </si>
  <si>
    <t>PDO</t>
  </si>
  <si>
    <t>U</t>
  </si>
  <si>
    <t>Pedestrian Sidewalk Improvements</t>
  </si>
  <si>
    <t>5 year (2021-2025) Pedestrian Crashes on straight road segments</t>
  </si>
  <si>
    <t>* Excluded one A injury that occurred at a driveway, b/c not applicable to added sidewalk or crosswalk countermeasures.</t>
  </si>
  <si>
    <t xml:space="preserve">Total Crashes </t>
  </si>
  <si>
    <t xml:space="preserve">Annual Crashes </t>
  </si>
  <si>
    <t>11181</t>
  </si>
  <si>
    <t>Enhanced crosswalks with 15 new RRFBs, and 8 added crosswalks</t>
  </si>
  <si>
    <t>11246</t>
  </si>
  <si>
    <t>0.598</t>
  </si>
  <si>
    <t>Separation between vehicles and pedestrians/bicycles on US -1 with new and upgraded 5.5 ft sidewalks</t>
  </si>
  <si>
    <t>Hourly Value (2024 $)</t>
  </si>
  <si>
    <t>Personal</t>
  </si>
  <si>
    <t>Business</t>
  </si>
  <si>
    <t>All Purpose</t>
  </si>
  <si>
    <t>Walking, Cycling, Waiting, Standing, and Transfer Time</t>
  </si>
  <si>
    <t>Commercial Vehicle Operators</t>
  </si>
  <si>
    <t>Table 2. Travel Time Savings</t>
  </si>
  <si>
    <t>No Build Travel Time Costs</t>
  </si>
  <si>
    <t>Build Travel Time Costs</t>
  </si>
  <si>
    <t>Travel Time Benefits</t>
  </si>
  <si>
    <t>EDC-1: Adaptive Signal Control Technology | Federal Highway Administration</t>
  </si>
  <si>
    <t>On average ASCT improves travel time by more than 10 percent. In areas with particularly outdated signal timing, improvements can be 50 percent or more.</t>
  </si>
  <si>
    <t>Average percent travel time savings from ASCT</t>
  </si>
  <si>
    <t>&lt;-- estimate from FHWA reported study in link above</t>
  </si>
  <si>
    <t>No Build Average Travel Time (mins)</t>
  </si>
  <si>
    <t>&lt;--Average Travel Time on full road length</t>
  </si>
  <si>
    <t>Build Travel Time (min)</t>
  </si>
  <si>
    <t>&lt;--Travel Time after implentation of ASCT</t>
  </si>
  <si>
    <t>Value of time - All Purpose- per person</t>
  </si>
  <si>
    <t>&lt;-- From Parameter Values Table A-2 in BCA Guidance</t>
  </si>
  <si>
    <t>Occupancy  Rate</t>
  </si>
  <si>
    <t>No Build Travel Time Costs per trip</t>
  </si>
  <si>
    <t>Build Travel Time Costs per trip</t>
  </si>
  <si>
    <t>Travel Time Savings per trip</t>
  </si>
  <si>
    <t xml:space="preserve">Build Travel Times </t>
  </si>
  <si>
    <t>Average Travel Time (mins)</t>
  </si>
  <si>
    <t>10% time savings added to build per FHWA guidelines</t>
  </si>
  <si>
    <t xml:space="preserve">Average Daily Vehicles </t>
  </si>
  <si>
    <t>Build Value</t>
  </si>
  <si>
    <t xml:space="preserve">No Build Travel Times </t>
  </si>
  <si>
    <t xml:space="preserve">TT Savings </t>
  </si>
  <si>
    <t>No Build Value</t>
  </si>
  <si>
    <t xml:space="preserve">For recommended monetization values, please refer to the Parameter Values tab directly. </t>
  </si>
  <si>
    <t>There are numerous potential values for pedestrian facilities, bicycle facilities, transit vehicles, and transit stations.</t>
  </si>
  <si>
    <t>Table 2. Amenity Benefits</t>
  </si>
  <si>
    <t>Additional sidewalk &amp; multi-use path, crosswalks, and signals to enhance pedestrian and cyclist travel experience and drive increase in traffic volumes</t>
  </si>
  <si>
    <t>Pedestrian Enhancements:</t>
  </si>
  <si>
    <t>Sidewalk Gain Benefit:</t>
  </si>
  <si>
    <t>Sidewalk/multi-use path width gained (ft):</t>
  </si>
  <si>
    <t>&lt;--Additional Width of Sidewalk (ft) for 8 miles of new sidewalks along high volume arterial road</t>
  </si>
  <si>
    <t>Value Per Mile: Expand Sidewalk (per foot of added width):</t>
  </si>
  <si>
    <t>&lt;--Per BCA guidance</t>
  </si>
  <si>
    <t>Maximum pedestrian trip length per BCA Guidance (mi):</t>
  </si>
  <si>
    <t>Value per trip:</t>
  </si>
  <si>
    <t>Crosswalk Gain Benefit:</t>
  </si>
  <si>
    <t>New Crosswalks Gained:</t>
  </si>
  <si>
    <t>&lt;-- 8 new mid-block crosswalks added along the 5.6 mile corridor</t>
  </si>
  <si>
    <t>Signal Gain Benefit:</t>
  </si>
  <si>
    <t>Pedestrian Signals Gained:</t>
  </si>
  <si>
    <t>&lt;--Two new signlized intersections with crossings, and 10 crosswalks with new RRFBs</t>
  </si>
  <si>
    <t>Total Pedestrian Improvement Per Trip:</t>
  </si>
  <si>
    <t>Value per induced trip:</t>
  </si>
  <si>
    <t>&lt;-- Induced Trips accrue only 50% of benefit</t>
  </si>
  <si>
    <t>Cyclist Enhancements:</t>
  </si>
  <si>
    <t>Cycling Facility Improvement Benefit:</t>
  </si>
  <si>
    <t>Value Per Mile: Dedicated Cycling Lane</t>
  </si>
  <si>
    <t>Maximum cyclist trip length per BCA Guidance (mi):</t>
  </si>
  <si>
    <t>Total Cyclist Improvement Per Trip:</t>
  </si>
  <si>
    <t>Applicable Age Range</t>
  </si>
  <si>
    <t>Recommended Value per Induced Trip (2024 $)</t>
  </si>
  <si>
    <t>Walking</t>
  </si>
  <si>
    <t>Cycling</t>
  </si>
  <si>
    <t>Table 2. Health Benefits</t>
  </si>
  <si>
    <t>Induced trips * Recommended Value per induced trip * Applicable Age Range Ratio * Mode Shift Ratio</t>
  </si>
  <si>
    <t>Annual Induced Pedestrian Trips</t>
  </si>
  <si>
    <t>Column H in User Volumes</t>
  </si>
  <si>
    <t xml:space="preserve">&lt;--The difference of pedestrian trips between build and no build is considered the induced demand. </t>
  </si>
  <si>
    <t>Induced Pedestrian Demand is 20%, applied at the start of the project. Induced demand increases at the same rate (4%) as the general population and both the no build and build scenarios.</t>
  </si>
  <si>
    <t>Percent of Pedestrians Faiiling in age range</t>
  </si>
  <si>
    <t>Non Active Mode Shift Ratio</t>
  </si>
  <si>
    <t>Recommended Value per Induced Pedestrian Trip (2024$)</t>
  </si>
  <si>
    <t>Annual Induced Cycling Trips</t>
  </si>
  <si>
    <t>Column K in User Volumes</t>
  </si>
  <si>
    <t>Induced Cycling Demand is 20%, applied at the start of the project. Induced demand increases at the same rate (4%) as the general population and both the no build and build scenarios.</t>
  </si>
  <si>
    <t>Recommended Value per Induced Cycling Trip (2024$)</t>
  </si>
  <si>
    <t xml:space="preserve">To calculate overall residual value for the entire project automatically, simply enter a useful life in the first row of Table 1 below. </t>
  </si>
  <si>
    <t>If there are multiple distinct components with unique useful lives, use multiple rows as needed and override the formula and names in the input cells of Table 1 below.</t>
  </si>
  <si>
    <t>For projects that involve capacity expansion or represent purely operational improvements, no residual value should be assumed.</t>
  </si>
  <si>
    <t>Table 1. Useful Life</t>
  </si>
  <si>
    <t>Project Component</t>
  </si>
  <si>
    <t>Capital Cost (2024 $)</t>
  </si>
  <si>
    <t>Useful Life (Years)</t>
  </si>
  <si>
    <t>Overall Project if One Component</t>
  </si>
  <si>
    <t>[Text Describing Project Component]</t>
  </si>
  <si>
    <t>Total Residual Value</t>
  </si>
  <si>
    <t>To manually calculate the residual value, please enter your estimated value in the blue italicized cell below in lieu of the automatic calculation</t>
  </si>
  <si>
    <t>To remove the residual value, please enter "0" in the blue cell below in lieu of the automatic calculation</t>
  </si>
  <si>
    <t>Table 2. Residual Value</t>
  </si>
  <si>
    <t>Summary by Benefit Area</t>
  </si>
  <si>
    <t>Note that not all projects will have all benefit categories. Conversely, if more categories are needed, applicants may need to add additional columns, but be sure to edit the formula under "Total Benefits" to ensure all benefits are being correctly summed.</t>
  </si>
  <si>
    <t>Table 1. Summary of Benefits</t>
  </si>
  <si>
    <t>Emission Reduction</t>
  </si>
  <si>
    <t>Avoided Highway Externality</t>
  </si>
  <si>
    <t>Total Benefits</t>
  </si>
  <si>
    <t>Total Discounted Benefits</t>
  </si>
  <si>
    <t>Undiscounted Total</t>
  </si>
  <si>
    <t>Discounted Total</t>
  </si>
  <si>
    <t>Table 2. Summary of Costs</t>
  </si>
  <si>
    <t>Discounted Capital Cost</t>
  </si>
  <si>
    <t>Benefit Cost Analysis Results</t>
  </si>
  <si>
    <t>Table 1. BCA Results</t>
  </si>
  <si>
    <t>Total Discounted Costs</t>
  </si>
  <si>
    <t>Benefit Cost Ratio</t>
  </si>
  <si>
    <t>Other Highway Use Externalities</t>
  </si>
  <si>
    <t>Congestion Cost per VMT</t>
  </si>
  <si>
    <t>Noise Cost per VMT</t>
  </si>
  <si>
    <t>Safety Cost per VMT</t>
  </si>
  <si>
    <t>Table 2. Avoided Externality Benefits</t>
  </si>
  <si>
    <t>Avoided Externalities</t>
  </si>
  <si>
    <t>Emissions Reduction</t>
  </si>
  <si>
    <t xml:space="preserve">Unique to this sheet, applicants may either input monetized emissions in 2024 dollars OR enter the direct emission amounts in the table below, in which case they must be entered in the form of METRIC TONS. A metric ton is equal to 1.1023 short tons. </t>
  </si>
  <si>
    <t>To avoid double-counting of benefits, applicants should not enter the same emission data as BOTH a dollar value and as units of emissions.</t>
  </si>
  <si>
    <t>Unique to this sheet, the template will automatically apply the correct monetization values for units of emissions.</t>
  </si>
  <si>
    <t>Whether amounts are entered in dollar form OR direct units of emissions, the template will automatically apply discounting to all costs and benefits for you.</t>
  </si>
  <si>
    <t>Table 1. Emission Costs per VMT and Train-Hour</t>
  </si>
  <si>
    <t>Emissions</t>
  </si>
  <si>
    <t>Table 2. Emissions</t>
  </si>
  <si>
    <t>No Build Emission Costs ($)</t>
  </si>
  <si>
    <t>Build Emission Costs ($)</t>
  </si>
  <si>
    <r>
      <t>No Build NO</t>
    </r>
    <r>
      <rPr>
        <vertAlign val="subscript"/>
        <sz val="11"/>
        <color theme="0"/>
        <rFont val="Calibri"/>
        <family val="2"/>
        <scheme val="minor"/>
      </rPr>
      <t>x</t>
    </r>
    <r>
      <rPr>
        <sz val="11"/>
        <color theme="0"/>
        <rFont val="Calibri"/>
        <family val="2"/>
        <scheme val="minor"/>
      </rPr>
      <t xml:space="preserve"> (mt)</t>
    </r>
  </si>
  <si>
    <r>
      <t>Build NO</t>
    </r>
    <r>
      <rPr>
        <vertAlign val="subscript"/>
        <sz val="11"/>
        <color theme="0"/>
        <rFont val="Calibri"/>
        <family val="2"/>
        <scheme val="minor"/>
      </rPr>
      <t>x</t>
    </r>
    <r>
      <rPr>
        <sz val="11"/>
        <color theme="0"/>
        <rFont val="Calibri"/>
        <family val="2"/>
        <scheme val="minor"/>
      </rPr>
      <t xml:space="preserve"> (mt)</t>
    </r>
  </si>
  <si>
    <r>
      <t>No Build SO</t>
    </r>
    <r>
      <rPr>
        <vertAlign val="subscript"/>
        <sz val="11"/>
        <color theme="0"/>
        <rFont val="Calibri"/>
        <family val="2"/>
        <scheme val="minor"/>
      </rPr>
      <t>x</t>
    </r>
    <r>
      <rPr>
        <sz val="11"/>
        <color theme="0"/>
        <rFont val="Calibri"/>
        <family val="2"/>
        <scheme val="minor"/>
      </rPr>
      <t xml:space="preserve"> (mt)</t>
    </r>
  </si>
  <si>
    <r>
      <t>Build SO</t>
    </r>
    <r>
      <rPr>
        <vertAlign val="subscript"/>
        <sz val="11"/>
        <color theme="0"/>
        <rFont val="Calibri"/>
        <family val="2"/>
        <scheme val="minor"/>
      </rPr>
      <t>x</t>
    </r>
    <r>
      <rPr>
        <sz val="11"/>
        <color theme="0"/>
        <rFont val="Calibri"/>
        <family val="2"/>
        <scheme val="minor"/>
      </rPr>
      <t xml:space="preserve"> (mt)</t>
    </r>
  </si>
  <si>
    <r>
      <t>No Build PM</t>
    </r>
    <r>
      <rPr>
        <vertAlign val="subscript"/>
        <sz val="11"/>
        <color theme="0"/>
        <rFont val="Calibri"/>
        <family val="2"/>
        <scheme val="minor"/>
      </rPr>
      <t>2.5</t>
    </r>
    <r>
      <rPr>
        <sz val="11"/>
        <color theme="0"/>
        <rFont val="Calibri"/>
        <family val="2"/>
        <scheme val="minor"/>
      </rPr>
      <t xml:space="preserve"> (mt)</t>
    </r>
  </si>
  <si>
    <r>
      <t>Build PM</t>
    </r>
    <r>
      <rPr>
        <vertAlign val="subscript"/>
        <sz val="11"/>
        <color theme="0"/>
        <rFont val="Calibri"/>
        <family val="2"/>
        <scheme val="minor"/>
      </rPr>
      <t>2.5</t>
    </r>
    <r>
      <rPr>
        <sz val="11"/>
        <color theme="0"/>
        <rFont val="Calibri"/>
        <family val="2"/>
        <scheme val="minor"/>
      </rPr>
      <t xml:space="preserve"> (mt)</t>
    </r>
  </si>
  <si>
    <r>
      <t>NO</t>
    </r>
    <r>
      <rPr>
        <vertAlign val="subscript"/>
        <sz val="11"/>
        <color theme="0"/>
        <rFont val="Calibri"/>
        <family val="2"/>
        <scheme val="minor"/>
      </rPr>
      <t>x</t>
    </r>
  </si>
  <si>
    <r>
      <t>SO</t>
    </r>
    <r>
      <rPr>
        <vertAlign val="subscript"/>
        <sz val="11"/>
        <color theme="0"/>
        <rFont val="Calibri"/>
        <family val="2"/>
        <scheme val="minor"/>
      </rPr>
      <t>x</t>
    </r>
  </si>
  <si>
    <r>
      <t>PM</t>
    </r>
    <r>
      <rPr>
        <vertAlign val="subscript"/>
        <sz val="11"/>
        <color theme="0"/>
        <rFont val="Calibri"/>
        <family val="2"/>
        <scheme val="minor"/>
      </rPr>
      <t>2.5</t>
    </r>
  </si>
  <si>
    <t>Other Benefit 1</t>
  </si>
  <si>
    <t>This is an extra benefit sheet for an additional benefit category not captured elsewhere</t>
  </si>
  <si>
    <t>Table 1. Other Benefit</t>
  </si>
  <si>
    <t>&lt;- Benefit Name</t>
  </si>
  <si>
    <t>Marked-Crosswalk</t>
  </si>
  <si>
    <t xml:space="preserve">Pedestrian Signal </t>
  </si>
  <si>
    <t>Expand Sidewalk (per foot of added width)</t>
  </si>
  <si>
    <t>Baseline Daily Pedestrian Trips</t>
  </si>
  <si>
    <t>Assume 20% initial increase in pedestrian trips from completion of project (many dense areas currently have no sidewalks), then 6% 30-year population growth based on consensus U.S. average predictions</t>
  </si>
  <si>
    <t>Annualized Days Per Year</t>
  </si>
  <si>
    <t>Peak Season in Wells</t>
  </si>
  <si>
    <t>New Sidewalk Segment</t>
  </si>
  <si>
    <t>Additional Width of Sidewalk (ft):</t>
  </si>
  <si>
    <t>Block Length (miles):</t>
  </si>
  <si>
    <t>Benefit per Mile Walked:</t>
  </si>
  <si>
    <t>Daily Benefit to Users:</t>
  </si>
  <si>
    <t xml:space="preserve">Signal for Pedestrian Crossing </t>
  </si>
  <si>
    <t># of New Signals:</t>
  </si>
  <si>
    <t xml:space="preserve">2 traffic signals, 10 RRFB </t>
  </si>
  <si>
    <t>Benefit per Signal:</t>
  </si>
  <si>
    <t>Benefit</t>
  </si>
  <si>
    <t>Other Benefit 2</t>
  </si>
  <si>
    <t>Baseline Daily Cyclist Trips</t>
  </si>
  <si>
    <t>Assume 10% initial increase in cyclist trips from completion of project, then 6% 30-year population growth based on consensus U.S. average predictions</t>
  </si>
  <si>
    <t>New Bike Segment</t>
  </si>
  <si>
    <t>Additional Width of Cycling Lane (ft):</t>
  </si>
  <si>
    <t>Average Daily Bicycle Trips:</t>
  </si>
  <si>
    <t>Benefit per Mile Biked</t>
  </si>
  <si>
    <t>Cyclist</t>
  </si>
  <si>
    <t>Other Benefit 3</t>
  </si>
  <si>
    <t>Other Benefit 4</t>
  </si>
  <si>
    <t xml:space="preserve">Note that if more than four "other benefit" categories are needed, applicants may create a copy of this sheet (and rename accordingly). </t>
  </si>
  <si>
    <t>Additionally, the "Summary" sheet will need to be edited to include additional columns for benefits.</t>
  </si>
  <si>
    <t>Additionally, the formulas in the "Total Benefits" column may need to be adjusted to ensure all benefits are being summed correctly.</t>
  </si>
  <si>
    <t>Vehicle Operating Costs</t>
  </si>
  <si>
    <t>Light Duty Vehicles</t>
  </si>
  <si>
    <t>Commercial Trucks</t>
  </si>
  <si>
    <t>Operating Costs</t>
  </si>
  <si>
    <t>Table 2. Vehicle Operating Costs</t>
  </si>
  <si>
    <t>No Build Vehicle Operating Costs</t>
  </si>
  <si>
    <t>Build Vehicle Operating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</si>
</sst>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quot;$&quot;#,##0.0000"/>
    <numFmt numFmtId="167" formatCode="&quot;$&quot;#,##0.000_);[Red]\(&quot;$&quot;#,##0.000\)"/>
    <numFmt numFmtId="168" formatCode="&quot;$&quot;#,##0.0000_);[Red]\(&quot;$&quot;#,##0.0000\)"/>
    <numFmt numFmtId="169" formatCode="&quot;$&quot;#,##0.000"/>
    <numFmt numFmtId="170" formatCode="_(&quot;$&quot;* #,##0_);_(&quot;$&quot;* \(#,##0\);_(&quot;$&quot;* &quot;-&quot;??_);_(@_)"/>
    <numFmt numFmtId="171" formatCode="0.0"/>
    <numFmt numFmtId="172" formatCode="_(* #,##0_);_(* \(#,##0\);_(* &quot;-&quot;??_);_(@_)"/>
    <numFmt numFmtId="173" formatCode="0.000"/>
    <numFmt numFmtId="174" formatCode="0.0%"/>
  </numFmts>
  <fonts count="43" x14ac:knownFonts="1">
    <font>
      <sz val="11"/>
      <color theme="1"/>
      <name val="Calibri"/>
      <family val="2"/>
      <scheme val="minor"/>
    </font>
    <font>
      <u/>
      <sz val="11"/>
      <color theme="10"/>
      <name val="Calibri"/>
      <family val="2"/>
      <scheme val="minor"/>
    </font>
    <font>
      <sz val="11"/>
      <color rgb="FF1F497D"/>
      <name val="Times New Roman"/>
      <family val="1"/>
    </font>
    <font>
      <vertAlign val="superscript"/>
      <sz val="11"/>
      <color rgb="FF1F497D"/>
      <name val="Times New Roman"/>
      <family val="1"/>
    </font>
    <font>
      <vertAlign val="superscript"/>
      <sz val="11"/>
      <color theme="1"/>
      <name val="Calibri"/>
      <family val="2"/>
      <scheme val="minor"/>
    </font>
    <font>
      <b/>
      <i/>
      <sz val="11"/>
      <color theme="8" tint="-0.249977111117893"/>
      <name val="Times New Roman"/>
      <family val="1"/>
    </font>
    <font>
      <sz val="11"/>
      <color theme="1"/>
      <name val="Times New Roman"/>
      <family val="1"/>
    </font>
    <font>
      <vertAlign val="superscript"/>
      <sz val="11"/>
      <color theme="1"/>
      <name val="Times New Roman"/>
      <family val="1"/>
    </font>
    <font>
      <vertAlign val="subscript"/>
      <sz val="11"/>
      <color rgb="FF1F497D"/>
      <name val="Times New Roman"/>
      <family val="1"/>
    </font>
    <font>
      <b/>
      <u/>
      <sz val="11"/>
      <color theme="1"/>
      <name val="Calibri"/>
      <family val="2"/>
      <scheme val="minor"/>
    </font>
    <font>
      <i/>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1"/>
      <color theme="0"/>
      <name val="Calibri"/>
      <family val="2"/>
      <scheme val="minor"/>
    </font>
    <font>
      <sz val="11"/>
      <color theme="0"/>
      <name val="Calibri"/>
      <family val="2"/>
      <scheme val="minor"/>
    </font>
    <font>
      <b/>
      <sz val="15"/>
      <name val="Calibri"/>
      <family val="2"/>
      <scheme val="minor"/>
    </font>
    <font>
      <sz val="12"/>
      <color theme="1"/>
      <name val="Calibri"/>
      <family val="2"/>
      <scheme val="minor"/>
    </font>
    <font>
      <sz val="11"/>
      <name val="Calibri"/>
      <family val="2"/>
      <scheme val="minor"/>
    </font>
    <font>
      <b/>
      <sz val="11"/>
      <name val="Calibri"/>
      <family val="2"/>
      <scheme val="minor"/>
    </font>
    <font>
      <b/>
      <sz val="16"/>
      <color theme="0"/>
      <name val="Calibri"/>
      <family val="2"/>
      <scheme val="minor"/>
    </font>
    <font>
      <b/>
      <sz val="11"/>
      <color theme="0"/>
      <name val="Times New Roman"/>
      <family val="1"/>
    </font>
    <font>
      <sz val="11"/>
      <color theme="0"/>
      <name val="Times New Roman"/>
      <family val="1"/>
    </font>
    <font>
      <vertAlign val="superscript"/>
      <sz val="11"/>
      <color theme="0"/>
      <name val="Times New Roman"/>
      <family val="1"/>
    </font>
    <font>
      <vertAlign val="superscript"/>
      <sz val="11"/>
      <color theme="0"/>
      <name val="Calibri"/>
      <family val="2"/>
      <scheme val="minor"/>
    </font>
    <font>
      <vertAlign val="subscript"/>
      <sz val="11"/>
      <color theme="0"/>
      <name val="Times New Roman"/>
      <family val="1"/>
    </font>
    <font>
      <sz val="14"/>
      <name val="Calibri"/>
      <family val="2"/>
      <scheme val="minor"/>
    </font>
    <font>
      <vertAlign val="subscript"/>
      <sz val="11"/>
      <color theme="0"/>
      <name val="Calibri"/>
      <family val="2"/>
      <scheme val="minor"/>
    </font>
    <font>
      <u/>
      <sz val="11"/>
      <name val="Calibri"/>
      <family val="2"/>
      <scheme val="minor"/>
    </font>
    <font>
      <i/>
      <sz val="11"/>
      <name val="Calibri"/>
      <family val="2"/>
      <scheme val="minor"/>
    </font>
    <font>
      <sz val="9"/>
      <color rgb="FF000000"/>
      <name val="Segoe UI"/>
      <family val="2"/>
    </font>
    <font>
      <sz val="10"/>
      <color theme="1"/>
      <name val="Segoe UI"/>
      <family val="2"/>
    </font>
    <font>
      <b/>
      <sz val="10"/>
      <color theme="1"/>
      <name val="Segoe UI"/>
      <family val="2"/>
    </font>
    <font>
      <b/>
      <sz val="11"/>
      <color theme="1"/>
      <name val="Calibri"/>
      <family val="2"/>
      <scheme val="minor"/>
    </font>
    <font>
      <sz val="11"/>
      <color rgb="FF0000FF"/>
      <name val="Calibri"/>
      <family val="2"/>
      <scheme val="minor"/>
    </font>
    <font>
      <sz val="11"/>
      <color theme="1" tint="0.34998626667073579"/>
      <name val="Calibri"/>
      <family val="2"/>
      <scheme val="minor"/>
    </font>
    <font>
      <sz val="11"/>
      <color rgb="FF000000"/>
      <name val="Aptos"/>
      <family val="2"/>
    </font>
    <font>
      <sz val="8"/>
      <name val="Calibri"/>
      <family val="2"/>
      <scheme val="minor"/>
    </font>
    <font>
      <b/>
      <sz val="11"/>
      <color rgb="FF000000"/>
      <name val="Calibri"/>
      <family val="2"/>
      <scheme val="minor"/>
    </font>
    <font>
      <sz val="11"/>
      <color rgb="FF000000"/>
      <name val="Calibri"/>
      <family val="2"/>
      <scheme val="minor"/>
    </font>
    <font>
      <sz val="11"/>
      <color rgb="FFFF0000"/>
      <name val="Calibri"/>
      <family val="2"/>
      <scheme val="minor"/>
    </font>
    <font>
      <sz val="11"/>
      <color rgb="FF00B050"/>
      <name val="Calibri"/>
      <family val="2"/>
      <scheme val="minor"/>
    </font>
  </fonts>
  <fills count="25">
    <fill>
      <patternFill patternType="none"/>
    </fill>
    <fill>
      <patternFill patternType="gray125"/>
    </fill>
    <fill>
      <patternFill patternType="solid">
        <fgColor theme="9"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rgb="FFA9D08E"/>
        <bgColor indexed="64"/>
      </patternFill>
    </fill>
    <fill>
      <patternFill patternType="solid">
        <fgColor theme="0" tint="-4.9989318521683403E-2"/>
        <bgColor indexed="64"/>
      </patternFill>
    </fill>
    <fill>
      <patternFill patternType="solid">
        <fgColor theme="1"/>
        <bgColor indexed="64"/>
      </patternFill>
    </fill>
    <fill>
      <patternFill patternType="solid">
        <fgColor theme="4"/>
        <bgColor theme="4"/>
      </patternFill>
    </fill>
    <fill>
      <patternFill patternType="solid">
        <fgColor theme="4"/>
        <bgColor indexed="64"/>
      </patternFill>
    </fill>
    <fill>
      <patternFill patternType="solid">
        <fgColor theme="1"/>
        <bgColor theme="1"/>
      </patternFill>
    </fill>
    <fill>
      <patternFill patternType="solid">
        <fgColor theme="1" tint="0.34998626667073579"/>
        <bgColor indexed="64"/>
      </patternFill>
    </fill>
    <fill>
      <patternFill patternType="solid">
        <fgColor theme="0" tint="-0.14999847407452621"/>
        <bgColor indexed="64"/>
      </patternFill>
    </fill>
    <fill>
      <patternFill patternType="solid">
        <fgColor rgb="FFFFFFCC"/>
      </patternFill>
    </fill>
    <fill>
      <patternFill patternType="solid">
        <fgColor theme="8" tint="0.39997558519241921"/>
        <bgColor indexed="64"/>
      </patternFill>
    </fill>
    <fill>
      <patternFill patternType="solid">
        <fgColor rgb="FFBFBFBF"/>
        <bgColor indexed="64"/>
      </patternFill>
    </fill>
    <fill>
      <patternFill patternType="solid">
        <fgColor rgb="FFFFFF00"/>
        <bgColor indexed="64"/>
      </patternFill>
    </fill>
    <fill>
      <patternFill patternType="solid">
        <fgColor rgb="FF002060"/>
        <bgColor indexed="64"/>
      </patternFill>
    </fill>
    <fill>
      <patternFill patternType="solid">
        <fgColor rgb="FF548235"/>
        <bgColor indexed="64"/>
      </patternFill>
    </fill>
    <fill>
      <patternFill patternType="solid">
        <fgColor theme="5" tint="0.79998168889431442"/>
        <bgColor indexed="64"/>
      </patternFill>
    </fill>
    <fill>
      <patternFill patternType="solid">
        <fgColor rgb="FFFFFF00"/>
        <bgColor rgb="FF000000"/>
      </patternFill>
    </fill>
    <fill>
      <patternFill patternType="solid">
        <fgColor rgb="FF92D050"/>
        <bgColor indexed="64"/>
      </patternFill>
    </fill>
    <fill>
      <patternFill patternType="solid">
        <fgColor theme="2"/>
        <bgColor indexed="64"/>
      </patternFill>
    </fill>
    <fill>
      <patternFill patternType="solid">
        <fgColor theme="2" tint="-9.9978637043366805E-2"/>
        <bgColor indexed="64"/>
      </patternFill>
    </fill>
    <fill>
      <patternFill patternType="solid">
        <fgColor theme="4" tint="0.399975585192419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ck">
        <color theme="4" tint="0.499984740745262"/>
      </top>
      <bottom style="thin">
        <color indexed="64"/>
      </bottom>
      <diagonal/>
    </border>
    <border>
      <left style="thin">
        <color indexed="64"/>
      </left>
      <right style="thin">
        <color indexed="64"/>
      </right>
      <top style="thick">
        <color theme="4" tint="0.499984740745262"/>
      </top>
      <bottom/>
      <diagonal/>
    </border>
    <border>
      <left style="medium">
        <color indexed="64"/>
      </left>
      <right/>
      <top style="medium">
        <color indexed="64"/>
      </top>
      <bottom style="thick">
        <color theme="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B2B2B2"/>
      </left>
      <right style="thin">
        <color rgb="FFB2B2B2"/>
      </right>
      <top style="thin">
        <color rgb="FFB2B2B2"/>
      </top>
      <bottom style="thin">
        <color rgb="FFB2B2B2"/>
      </bottom>
      <diagonal/>
    </border>
    <border>
      <left/>
      <right/>
      <top/>
      <bottom style="thin">
        <color theme="0" tint="-0.249977111117893"/>
      </bottom>
      <diagonal/>
    </border>
    <border>
      <left/>
      <right style="dashDotDot">
        <color theme="0" tint="-0.249977111117893"/>
      </right>
      <top/>
      <bottom/>
      <diagonal/>
    </border>
    <border>
      <left/>
      <right style="thin">
        <color theme="0"/>
      </right>
      <top/>
      <bottom/>
      <diagonal/>
    </border>
    <border>
      <left/>
      <right style="thin">
        <color theme="0"/>
      </right>
      <top/>
      <bottom style="thin">
        <color theme="0" tint="-0.249977111117893"/>
      </bottom>
      <diagonal/>
    </border>
    <border>
      <left style="dashDotDot">
        <color theme="0" tint="-0.249977111117893"/>
      </left>
      <right/>
      <top/>
      <bottom/>
      <diagonal/>
    </border>
    <border>
      <left style="dashDotDot">
        <color theme="0" tint="-0.249977111117893"/>
      </left>
      <right/>
      <top style="thin">
        <color indexed="64"/>
      </top>
      <bottom/>
      <diagonal/>
    </border>
    <border>
      <left/>
      <right style="dashDotDot">
        <color theme="0" tint="-0.249977111117893"/>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12">
    <xf numFmtId="0" fontId="0" fillId="0" borderId="0"/>
    <xf numFmtId="0" fontId="1" fillId="0" borderId="0" applyNumberFormat="0" applyFill="0" applyBorder="0" applyAlignment="0" applyProtection="0"/>
    <xf numFmtId="44" fontId="11" fillId="0" borderId="0" applyFont="0" applyFill="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0" applyNumberFormat="0" applyFill="0" applyBorder="0" applyAlignment="0" applyProtection="0"/>
    <xf numFmtId="0" fontId="18" fillId="0" borderId="0"/>
    <xf numFmtId="0" fontId="1" fillId="0" borderId="0" applyNumberFormat="0" applyFill="0" applyBorder="0" applyAlignment="0" applyProtection="0"/>
    <xf numFmtId="0" fontId="11" fillId="13" borderId="31" applyNumberFormat="0" applyFont="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cellStyleXfs>
  <cellXfs count="434">
    <xf numFmtId="0" fontId="0" fillId="0" borderId="0" xfId="0"/>
    <xf numFmtId="0" fontId="0" fillId="3" borderId="0" xfId="0" applyFill="1"/>
    <xf numFmtId="0" fontId="0" fillId="3" borderId="14" xfId="0" applyFill="1" applyBorder="1"/>
    <xf numFmtId="0" fontId="0" fillId="3" borderId="16" xfId="0" applyFill="1" applyBorder="1"/>
    <xf numFmtId="0" fontId="6" fillId="0" borderId="10" xfId="0" applyFont="1" applyBorder="1"/>
    <xf numFmtId="0" fontId="0" fillId="4" borderId="0" xfId="0" applyFill="1"/>
    <xf numFmtId="0" fontId="0" fillId="3" borderId="13" xfId="0" applyFill="1" applyBorder="1"/>
    <xf numFmtId="6" fontId="0" fillId="3" borderId="0" xfId="0" applyNumberFormat="1" applyFill="1"/>
    <xf numFmtId="6" fontId="0" fillId="3" borderId="21" xfId="0" applyNumberFormat="1" applyFill="1" applyBorder="1"/>
    <xf numFmtId="6" fontId="0" fillId="3" borderId="22" xfId="0" applyNumberFormat="1" applyFill="1" applyBorder="1"/>
    <xf numFmtId="0" fontId="0" fillId="0" borderId="7" xfId="0" applyBorder="1"/>
    <xf numFmtId="0" fontId="0" fillId="0" borderId="18"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9" xfId="0" applyBorder="1"/>
    <xf numFmtId="0" fontId="0" fillId="0" borderId="12" xfId="0" applyBorder="1"/>
    <xf numFmtId="6" fontId="0" fillId="3" borderId="4" xfId="0" applyNumberFormat="1" applyFill="1" applyBorder="1"/>
    <xf numFmtId="165" fontId="0" fillId="3" borderId="3" xfId="0" applyNumberFormat="1" applyFill="1" applyBorder="1"/>
    <xf numFmtId="165" fontId="0" fillId="3" borderId="5" xfId="0" applyNumberFormat="1" applyFill="1" applyBorder="1"/>
    <xf numFmtId="165" fontId="0" fillId="3" borderId="0" xfId="0" applyNumberFormat="1" applyFill="1"/>
    <xf numFmtId="6" fontId="9" fillId="2" borderId="2" xfId="0" applyNumberFormat="1" applyFont="1" applyFill="1" applyBorder="1"/>
    <xf numFmtId="1" fontId="9" fillId="2" borderId="1" xfId="0" applyNumberFormat="1" applyFont="1" applyFill="1" applyBorder="1"/>
    <xf numFmtId="0" fontId="9" fillId="2" borderId="17" xfId="0" applyFont="1" applyFill="1" applyBorder="1" applyAlignment="1">
      <alignment horizontal="right"/>
    </xf>
    <xf numFmtId="0" fontId="0" fillId="3" borderId="15" xfId="0" applyFill="1" applyBorder="1"/>
    <xf numFmtId="6" fontId="0" fillId="3" borderId="20" xfId="0" applyNumberFormat="1" applyFill="1" applyBorder="1"/>
    <xf numFmtId="1" fontId="9" fillId="2" borderId="2" xfId="0" applyNumberFormat="1" applyFont="1" applyFill="1" applyBorder="1"/>
    <xf numFmtId="6" fontId="9" fillId="4" borderId="0" xfId="0" applyNumberFormat="1" applyFont="1" applyFill="1"/>
    <xf numFmtId="6" fontId="0" fillId="4" borderId="0" xfId="0" applyNumberFormat="1" applyFill="1"/>
    <xf numFmtId="1" fontId="0" fillId="3" borderId="13" xfId="0" applyNumberFormat="1" applyFill="1" applyBorder="1"/>
    <xf numFmtId="0" fontId="0" fillId="4" borderId="13" xfId="0" applyFill="1" applyBorder="1"/>
    <xf numFmtId="6" fontId="9" fillId="4" borderId="13" xfId="0" applyNumberFormat="1" applyFont="1" applyFill="1" applyBorder="1"/>
    <xf numFmtId="6" fontId="0" fillId="4" borderId="13" xfId="0" applyNumberFormat="1" applyFill="1" applyBorder="1"/>
    <xf numFmtId="1" fontId="9" fillId="2" borderId="15" xfId="0" applyNumberFormat="1" applyFont="1" applyFill="1" applyBorder="1"/>
    <xf numFmtId="0" fontId="0" fillId="4" borderId="1" xfId="0" applyFill="1" applyBorder="1" applyAlignment="1">
      <alignment vertical="top" wrapText="1"/>
    </xf>
    <xf numFmtId="165" fontId="0" fillId="4" borderId="0" xfId="0" applyNumberFormat="1" applyFill="1"/>
    <xf numFmtId="165" fontId="0" fillId="3" borderId="16" xfId="0" applyNumberFormat="1" applyFill="1" applyBorder="1"/>
    <xf numFmtId="0" fontId="0" fillId="4" borderId="0" xfId="0" applyFill="1" applyAlignment="1">
      <alignment vertical="top" wrapText="1"/>
    </xf>
    <xf numFmtId="164" fontId="0" fillId="4" borderId="1" xfId="0" applyNumberFormat="1" applyFill="1" applyBorder="1" applyAlignment="1">
      <alignment vertical="top" wrapText="1"/>
    </xf>
    <xf numFmtId="165" fontId="0" fillId="4" borderId="1" xfId="0" applyNumberFormat="1" applyFill="1" applyBorder="1" applyAlignment="1">
      <alignment vertical="top" wrapText="1"/>
    </xf>
    <xf numFmtId="0" fontId="9" fillId="5" borderId="1" xfId="0" applyFont="1" applyFill="1" applyBorder="1"/>
    <xf numFmtId="8" fontId="0" fillId="4" borderId="1" xfId="0" applyNumberFormat="1" applyFill="1" applyBorder="1" applyAlignment="1">
      <alignment vertical="top" wrapText="1"/>
    </xf>
    <xf numFmtId="0" fontId="0" fillId="4" borderId="1" xfId="0" applyFill="1" applyBorder="1"/>
    <xf numFmtId="164" fontId="0" fillId="4" borderId="1" xfId="2" applyNumberFormat="1" applyFont="1" applyFill="1" applyBorder="1"/>
    <xf numFmtId="0" fontId="17" fillId="4" borderId="24" xfId="3" applyFont="1" applyFill="1" applyAlignment="1">
      <alignment wrapText="1"/>
    </xf>
    <xf numFmtId="0" fontId="11" fillId="0" borderId="0" xfId="6" quotePrefix="1" applyFont="1"/>
    <xf numFmtId="0" fontId="13" fillId="0" borderId="25" xfId="4" applyFill="1" applyAlignment="1">
      <alignment wrapText="1"/>
    </xf>
    <xf numFmtId="0" fontId="13" fillId="0" borderId="25" xfId="4" applyFill="1" applyAlignment="1"/>
    <xf numFmtId="0" fontId="19" fillId="6" borderId="21" xfId="0" applyFont="1" applyFill="1" applyBorder="1" applyAlignment="1">
      <alignment vertical="center" wrapText="1"/>
    </xf>
    <xf numFmtId="0" fontId="19" fillId="6" borderId="26" xfId="0" applyFont="1" applyFill="1" applyBorder="1" applyAlignment="1">
      <alignment vertical="center" wrapText="1"/>
    </xf>
    <xf numFmtId="0" fontId="19" fillId="6" borderId="21" xfId="0" applyFont="1" applyFill="1" applyBorder="1" applyAlignment="1">
      <alignment horizontal="left" wrapText="1"/>
    </xf>
    <xf numFmtId="0" fontId="19" fillId="6" borderId="21" xfId="0" applyFont="1" applyFill="1" applyBorder="1" applyAlignment="1">
      <alignment horizontal="left"/>
    </xf>
    <xf numFmtId="0" fontId="1" fillId="6" borderId="6" xfId="1" applyFill="1" applyBorder="1" applyAlignment="1">
      <alignment vertical="center" wrapText="1"/>
    </xf>
    <xf numFmtId="0" fontId="19" fillId="6" borderId="27" xfId="0" applyFont="1" applyFill="1" applyBorder="1" applyAlignment="1">
      <alignment vertical="center" wrapText="1"/>
    </xf>
    <xf numFmtId="0" fontId="19" fillId="6" borderId="22" xfId="0" applyFont="1" applyFill="1" applyBorder="1" applyAlignment="1">
      <alignment wrapText="1"/>
    </xf>
    <xf numFmtId="0" fontId="21" fillId="7" borderId="2" xfId="0" applyFont="1" applyFill="1" applyBorder="1"/>
    <xf numFmtId="0" fontId="0" fillId="7" borderId="13" xfId="0" applyFill="1" applyBorder="1"/>
    <xf numFmtId="0" fontId="0" fillId="0" borderId="13" xfId="0" applyBorder="1"/>
    <xf numFmtId="0" fontId="0" fillId="0" borderId="23" xfId="0" applyBorder="1"/>
    <xf numFmtId="0" fontId="0" fillId="0" borderId="4" xfId="0" applyBorder="1"/>
    <xf numFmtId="0" fontId="1" fillId="0" borderId="3" xfId="1" applyBorder="1" applyAlignment="1"/>
    <xf numFmtId="0" fontId="0" fillId="0" borderId="3" xfId="0" applyBorder="1"/>
    <xf numFmtId="0" fontId="5" fillId="0" borderId="3" xfId="0" applyFont="1" applyBorder="1"/>
    <xf numFmtId="0" fontId="6" fillId="0" borderId="0" xfId="0" applyFont="1"/>
    <xf numFmtId="0" fontId="6" fillId="0" borderId="3" xfId="0" applyFont="1" applyBorder="1"/>
    <xf numFmtId="0" fontId="15" fillId="8" borderId="1" xfId="0" applyFont="1" applyFill="1" applyBorder="1" applyAlignment="1">
      <alignment wrapText="1"/>
    </xf>
    <xf numFmtId="0" fontId="2" fillId="0" borderId="1" xfId="0" applyFont="1" applyBorder="1" applyAlignment="1">
      <alignment vertical="center" wrapText="1"/>
    </xf>
    <xf numFmtId="6" fontId="2" fillId="0" borderId="1" xfId="0" applyNumberFormat="1" applyFont="1" applyBorder="1" applyAlignment="1">
      <alignment horizontal="right" vertical="center" wrapText="1"/>
    </xf>
    <xf numFmtId="0" fontId="6" fillId="0" borderId="1" xfId="0" applyFont="1" applyBorder="1"/>
    <xf numFmtId="164" fontId="2" fillId="0" borderId="1" xfId="0" applyNumberFormat="1" applyFont="1" applyBorder="1"/>
    <xf numFmtId="0" fontId="0" fillId="7" borderId="23" xfId="0" applyFill="1" applyBorder="1"/>
    <xf numFmtId="0" fontId="6" fillId="0" borderId="4" xfId="0" applyFont="1" applyBorder="1"/>
    <xf numFmtId="0" fontId="6" fillId="0" borderId="2" xfId="0" applyFont="1" applyBorder="1"/>
    <xf numFmtId="0" fontId="6" fillId="0" borderId="23" xfId="0" applyFont="1" applyBorder="1"/>
    <xf numFmtId="0" fontId="23" fillId="9" borderId="1" xfId="0" applyFont="1" applyFill="1" applyBorder="1" applyAlignment="1">
      <alignment horizontal="right" vertical="center" wrapText="1"/>
    </xf>
    <xf numFmtId="2" fontId="2" fillId="0" borderId="1" xfId="0" applyNumberFormat="1" applyFont="1" applyBorder="1" applyAlignment="1">
      <alignment horizontal="right" vertical="center" wrapText="1"/>
    </xf>
    <xf numFmtId="8" fontId="2" fillId="0" borderId="1" xfId="0" applyNumberFormat="1" applyFont="1" applyBorder="1" applyAlignment="1">
      <alignment horizontal="right" vertical="center" wrapText="1"/>
    </xf>
    <xf numFmtId="0" fontId="23" fillId="9" borderId="1" xfId="0" applyFont="1" applyFill="1" applyBorder="1" applyAlignment="1">
      <alignment vertical="center"/>
    </xf>
    <xf numFmtId="0" fontId="2" fillId="0" borderId="2" xfId="0" applyFont="1" applyBorder="1" applyAlignment="1">
      <alignment vertical="center" wrapText="1"/>
    </xf>
    <xf numFmtId="6" fontId="2" fillId="0" borderId="13" xfId="0" applyNumberFormat="1" applyFont="1" applyBorder="1" applyAlignment="1">
      <alignment horizontal="right" vertical="center" wrapText="1"/>
    </xf>
    <xf numFmtId="6" fontId="2" fillId="0" borderId="23" xfId="0" applyNumberFormat="1" applyFont="1" applyBorder="1" applyAlignment="1">
      <alignment horizontal="right" vertical="center" wrapText="1"/>
    </xf>
    <xf numFmtId="0" fontId="2" fillId="0" borderId="1" xfId="0" applyFont="1" applyBorder="1" applyAlignment="1">
      <alignment horizontal="left" vertical="center" wrapText="1"/>
    </xf>
    <xf numFmtId="0" fontId="2" fillId="0" borderId="1" xfId="0" applyFont="1" applyBorder="1" applyAlignment="1">
      <alignment vertical="top"/>
    </xf>
    <xf numFmtId="0" fontId="2" fillId="0" borderId="1" xfId="0" applyFont="1" applyBorder="1" applyAlignment="1">
      <alignment vertical="top" wrapText="1"/>
    </xf>
    <xf numFmtId="166" fontId="2" fillId="0" borderId="1" xfId="0" applyNumberFormat="1" applyFont="1" applyBorder="1"/>
    <xf numFmtId="0" fontId="2" fillId="0" borderId="1" xfId="0" applyFont="1" applyBorder="1" applyAlignment="1">
      <alignment vertical="center"/>
    </xf>
    <xf numFmtId="8" fontId="2" fillId="0" borderId="1" xfId="0" applyNumberFormat="1" applyFont="1" applyBorder="1" applyAlignment="1">
      <alignment horizontal="right" vertical="center"/>
    </xf>
    <xf numFmtId="0" fontId="2" fillId="0" borderId="1" xfId="0" applyFont="1" applyBorder="1" applyAlignment="1">
      <alignment horizontal="right" vertical="center"/>
    </xf>
    <xf numFmtId="0" fontId="0" fillId="0" borderId="2" xfId="0" applyBorder="1"/>
    <xf numFmtId="0" fontId="23" fillId="9" borderId="1" xfId="0" applyFont="1" applyFill="1" applyBorder="1" applyAlignment="1">
      <alignment horizontal="right" vertical="top" wrapText="1"/>
    </xf>
    <xf numFmtId="167" fontId="2" fillId="0" borderId="1" xfId="0" applyNumberFormat="1" applyFont="1" applyBorder="1" applyAlignment="1">
      <alignment horizontal="right" vertical="center" wrapText="1"/>
    </xf>
    <xf numFmtId="168" fontId="2" fillId="0" borderId="1" xfId="0" applyNumberFormat="1" applyFont="1" applyBorder="1" applyAlignment="1">
      <alignment horizontal="right" vertical="center" wrapText="1"/>
    </xf>
    <xf numFmtId="0" fontId="12" fillId="0" borderId="28" xfId="3" applyFill="1" applyBorder="1" applyAlignment="1" applyProtection="1"/>
    <xf numFmtId="0" fontId="14" fillId="0" borderId="9" xfId="5" applyBorder="1" applyProtection="1"/>
    <xf numFmtId="0" fontId="0" fillId="3" borderId="1" xfId="0" applyFill="1" applyBorder="1"/>
    <xf numFmtId="1" fontId="0" fillId="3" borderId="1" xfId="0" applyNumberFormat="1" applyFill="1" applyBorder="1"/>
    <xf numFmtId="0" fontId="15" fillId="10" borderId="29" xfId="0" applyFont="1" applyFill="1" applyBorder="1"/>
    <xf numFmtId="0" fontId="15" fillId="10" borderId="30" xfId="0" applyFont="1" applyFill="1" applyBorder="1" applyAlignment="1">
      <alignment horizontal="left"/>
    </xf>
    <xf numFmtId="0" fontId="15" fillId="7" borderId="1" xfId="0" applyFont="1" applyFill="1" applyBorder="1" applyAlignment="1">
      <alignment horizontal="right"/>
    </xf>
    <xf numFmtId="0" fontId="15" fillId="11" borderId="1" xfId="0" applyFont="1" applyFill="1" applyBorder="1" applyAlignment="1">
      <alignment horizontal="center"/>
    </xf>
    <xf numFmtId="0" fontId="27" fillId="0" borderId="9" xfId="0" quotePrefix="1" applyFont="1" applyBorder="1" applyAlignment="1">
      <alignment vertical="top"/>
    </xf>
    <xf numFmtId="165" fontId="0" fillId="3" borderId="1" xfId="0" applyNumberFormat="1" applyFill="1" applyBorder="1"/>
    <xf numFmtId="0" fontId="15" fillId="10" borderId="1" xfId="0" applyFont="1" applyFill="1" applyBorder="1" applyAlignment="1">
      <alignment horizontal="center" vertical="center" wrapText="1"/>
    </xf>
    <xf numFmtId="0" fontId="16" fillId="7" borderId="1" xfId="0" applyFont="1" applyFill="1" applyBorder="1" applyAlignment="1">
      <alignment horizontal="right"/>
    </xf>
    <xf numFmtId="0" fontId="16" fillId="7" borderId="17" xfId="0" applyFont="1" applyFill="1" applyBorder="1" applyAlignment="1">
      <alignment horizontal="right"/>
    </xf>
    <xf numFmtId="0" fontId="16" fillId="7" borderId="22" xfId="0" applyFont="1" applyFill="1" applyBorder="1" applyAlignment="1">
      <alignment horizontal="right"/>
    </xf>
    <xf numFmtId="0" fontId="16" fillId="7" borderId="15" xfId="0" applyFont="1" applyFill="1" applyBorder="1" applyAlignment="1">
      <alignment horizontal="right"/>
    </xf>
    <xf numFmtId="0" fontId="16" fillId="7" borderId="15" xfId="0" applyFont="1" applyFill="1" applyBorder="1"/>
    <xf numFmtId="0" fontId="16" fillId="7" borderId="16" xfId="0" applyFont="1" applyFill="1" applyBorder="1"/>
    <xf numFmtId="0" fontId="16" fillId="7" borderId="16" xfId="0" applyFont="1" applyFill="1" applyBorder="1" applyAlignment="1">
      <alignment horizontal="right"/>
    </xf>
    <xf numFmtId="0" fontId="16" fillId="7" borderId="23" xfId="0" applyFont="1" applyFill="1" applyBorder="1" applyAlignment="1">
      <alignment horizontal="right"/>
    </xf>
    <xf numFmtId="0" fontId="16" fillId="7" borderId="15" xfId="0" applyFont="1" applyFill="1" applyBorder="1" applyAlignment="1">
      <alignment horizontal="left"/>
    </xf>
    <xf numFmtId="0" fontId="16" fillId="7" borderId="1" xfId="0" applyFont="1" applyFill="1" applyBorder="1" applyAlignment="1">
      <alignment vertical="top" wrapText="1"/>
    </xf>
    <xf numFmtId="0" fontId="16" fillId="7" borderId="1" xfId="0" applyFont="1" applyFill="1" applyBorder="1"/>
    <xf numFmtId="0" fontId="16" fillId="7" borderId="1" xfId="0" applyFont="1" applyFill="1" applyBorder="1" applyAlignment="1">
      <alignment wrapText="1"/>
    </xf>
    <xf numFmtId="9" fontId="9" fillId="2" borderId="1" xfId="0" applyNumberFormat="1" applyFont="1" applyFill="1" applyBorder="1"/>
    <xf numFmtId="6" fontId="9" fillId="2" borderId="1" xfId="0" applyNumberFormat="1" applyFont="1" applyFill="1" applyBorder="1"/>
    <xf numFmtId="1" fontId="0" fillId="3" borderId="3" xfId="0" applyNumberFormat="1" applyFill="1" applyBorder="1" applyAlignment="1">
      <alignment horizontal="right"/>
    </xf>
    <xf numFmtId="0" fontId="0" fillId="3" borderId="3" xfId="0" applyFill="1" applyBorder="1" applyAlignment="1">
      <alignment horizontal="right"/>
    </xf>
    <xf numFmtId="165" fontId="2" fillId="0" borderId="1" xfId="0" applyNumberFormat="1" applyFont="1" applyBorder="1"/>
    <xf numFmtId="164" fontId="2" fillId="0" borderId="1" xfId="0" applyNumberFormat="1" applyFont="1" applyBorder="1" applyAlignment="1">
      <alignment horizontal="right"/>
    </xf>
    <xf numFmtId="0" fontId="6" fillId="12" borderId="0" xfId="0" applyFont="1" applyFill="1"/>
    <xf numFmtId="0" fontId="0" fillId="4" borderId="13" xfId="0" applyFill="1" applyBorder="1" applyAlignment="1">
      <alignment vertical="top" wrapText="1"/>
    </xf>
    <xf numFmtId="165" fontId="0" fillId="4" borderId="13" xfId="0" applyNumberFormat="1" applyFill="1" applyBorder="1" applyAlignment="1">
      <alignment vertical="top" wrapText="1"/>
    </xf>
    <xf numFmtId="0" fontId="0" fillId="12" borderId="1" xfId="0" applyFill="1" applyBorder="1" applyAlignment="1">
      <alignment vertical="top" wrapText="1"/>
    </xf>
    <xf numFmtId="8" fontId="0" fillId="12" borderId="1" xfId="0" applyNumberFormat="1" applyFill="1" applyBorder="1" applyAlignment="1">
      <alignment vertical="top" wrapText="1"/>
    </xf>
    <xf numFmtId="6" fontId="0" fillId="4" borderId="1" xfId="0" applyNumberFormat="1" applyFill="1" applyBorder="1" applyAlignment="1">
      <alignment vertical="top" wrapText="1"/>
    </xf>
    <xf numFmtId="0" fontId="12" fillId="0" borderId="0" xfId="3" applyFill="1" applyBorder="1" applyAlignment="1" applyProtection="1"/>
    <xf numFmtId="0" fontId="14" fillId="0" borderId="0" xfId="5" applyBorder="1" applyProtection="1"/>
    <xf numFmtId="165" fontId="9" fillId="2" borderId="2" xfId="0" applyNumberFormat="1" applyFont="1" applyFill="1" applyBorder="1"/>
    <xf numFmtId="165" fontId="9" fillId="2" borderId="15" xfId="0" applyNumberFormat="1" applyFont="1" applyFill="1" applyBorder="1"/>
    <xf numFmtId="0" fontId="14" fillId="12" borderId="0" xfId="5" applyFill="1" applyBorder="1" applyProtection="1"/>
    <xf numFmtId="167" fontId="0" fillId="4" borderId="1" xfId="0" applyNumberFormat="1" applyFill="1" applyBorder="1" applyAlignment="1">
      <alignment vertical="top" wrapText="1"/>
    </xf>
    <xf numFmtId="164" fontId="0" fillId="4" borderId="1" xfId="0" applyNumberFormat="1" applyFill="1" applyBorder="1"/>
    <xf numFmtId="169" fontId="0" fillId="4" borderId="1" xfId="0" applyNumberFormat="1" applyFill="1" applyBorder="1"/>
    <xf numFmtId="166" fontId="0" fillId="4" borderId="1" xfId="0" applyNumberFormat="1" applyFill="1" applyBorder="1"/>
    <xf numFmtId="2" fontId="0" fillId="3" borderId="1" xfId="0" applyNumberFormat="1" applyFill="1" applyBorder="1"/>
    <xf numFmtId="0" fontId="14" fillId="4" borderId="9" xfId="5" applyFill="1" applyBorder="1" applyProtection="1"/>
    <xf numFmtId="0" fontId="0" fillId="4" borderId="9" xfId="0" applyFill="1" applyBorder="1"/>
    <xf numFmtId="0" fontId="0" fillId="4" borderId="10" xfId="0" applyFill="1" applyBorder="1"/>
    <xf numFmtId="0" fontId="0" fillId="4" borderId="11" xfId="0" applyFill="1" applyBorder="1"/>
    <xf numFmtId="0" fontId="0" fillId="4" borderId="19" xfId="0" applyFill="1" applyBorder="1"/>
    <xf numFmtId="0" fontId="0" fillId="4" borderId="12" xfId="0" applyFill="1" applyBorder="1"/>
    <xf numFmtId="0" fontId="0" fillId="13" borderId="31" xfId="8" applyFont="1"/>
    <xf numFmtId="0" fontId="0" fillId="13" borderId="31" xfId="8" applyFont="1" applyAlignment="1">
      <alignment vertical="top"/>
    </xf>
    <xf numFmtId="0" fontId="0" fillId="13" borderId="31" xfId="8" applyFont="1" applyAlignment="1"/>
    <xf numFmtId="0" fontId="0" fillId="13" borderId="31" xfId="8" applyFont="1" applyAlignment="1">
      <alignment wrapText="1"/>
    </xf>
    <xf numFmtId="0" fontId="9" fillId="2" borderId="1" xfId="0" applyFont="1" applyFill="1" applyBorder="1"/>
    <xf numFmtId="6" fontId="10" fillId="14" borderId="0" xfId="0" applyNumberFormat="1" applyFont="1" applyFill="1"/>
    <xf numFmtId="170" fontId="9" fillId="3" borderId="16" xfId="2" applyNumberFormat="1" applyFont="1" applyFill="1" applyBorder="1"/>
    <xf numFmtId="43" fontId="9" fillId="3" borderId="17" xfId="9" applyFont="1" applyFill="1" applyBorder="1"/>
    <xf numFmtId="0" fontId="16" fillId="7" borderId="20" xfId="0" applyFont="1" applyFill="1" applyBorder="1" applyAlignment="1">
      <alignment horizontal="right"/>
    </xf>
    <xf numFmtId="0" fontId="16" fillId="7" borderId="20" xfId="0" applyFont="1" applyFill="1" applyBorder="1" applyAlignment="1">
      <alignment horizontal="right" wrapText="1"/>
    </xf>
    <xf numFmtId="0" fontId="16" fillId="7" borderId="0" xfId="0" applyFont="1" applyFill="1" applyAlignment="1">
      <alignment horizontal="right" wrapText="1"/>
    </xf>
    <xf numFmtId="165" fontId="9" fillId="2" borderId="1" xfId="2" applyNumberFormat="1" applyFont="1" applyFill="1" applyBorder="1"/>
    <xf numFmtId="6" fontId="9" fillId="2" borderId="20" xfId="0" applyNumberFormat="1" applyFont="1" applyFill="1" applyBorder="1"/>
    <xf numFmtId="6" fontId="0" fillId="3" borderId="1" xfId="0" applyNumberFormat="1" applyFill="1" applyBorder="1"/>
    <xf numFmtId="0" fontId="19" fillId="5" borderId="4" xfId="0" applyFont="1" applyFill="1" applyBorder="1" applyAlignment="1">
      <alignment wrapText="1"/>
    </xf>
    <xf numFmtId="0" fontId="19" fillId="14" borderId="4" xfId="0" applyFont="1" applyFill="1" applyBorder="1" applyAlignment="1">
      <alignment wrapText="1"/>
    </xf>
    <xf numFmtId="165" fontId="10" fillId="14" borderId="1" xfId="2" applyNumberFormat="1" applyFont="1" applyFill="1" applyBorder="1"/>
    <xf numFmtId="0" fontId="19" fillId="3" borderId="4" xfId="0" applyFont="1" applyFill="1" applyBorder="1" applyAlignment="1">
      <alignment wrapText="1"/>
    </xf>
    <xf numFmtId="6" fontId="0" fillId="3" borderId="16" xfId="0" applyNumberFormat="1" applyFill="1" applyBorder="1"/>
    <xf numFmtId="6" fontId="10" fillId="14" borderId="16" xfId="0" applyNumberFormat="1" applyFont="1" applyFill="1" applyBorder="1"/>
    <xf numFmtId="6" fontId="0" fillId="3" borderId="17" xfId="0" applyNumberFormat="1" applyFill="1" applyBorder="1"/>
    <xf numFmtId="165" fontId="0" fillId="3" borderId="13" xfId="0" applyNumberFormat="1" applyFill="1" applyBorder="1"/>
    <xf numFmtId="0" fontId="0" fillId="3" borderId="23" xfId="0" applyFill="1" applyBorder="1"/>
    <xf numFmtId="14" fontId="0" fillId="3" borderId="6" xfId="0" applyNumberFormat="1" applyFill="1" applyBorder="1"/>
    <xf numFmtId="167" fontId="0" fillId="4" borderId="1" xfId="0" applyNumberFormat="1" applyFill="1" applyBorder="1" applyAlignment="1">
      <alignment horizontal="right" vertical="top" wrapText="1"/>
    </xf>
    <xf numFmtId="0" fontId="6" fillId="12" borderId="17" xfId="0" applyFont="1" applyFill="1" applyBorder="1"/>
    <xf numFmtId="0" fontId="23" fillId="0" borderId="3" xfId="0" applyFont="1" applyBorder="1" applyAlignment="1">
      <alignment vertical="center"/>
    </xf>
    <xf numFmtId="165" fontId="2" fillId="0" borderId="3" xfId="0" applyNumberFormat="1" applyFont="1" applyBorder="1"/>
    <xf numFmtId="164" fontId="2" fillId="0" borderId="3" xfId="0" applyNumberFormat="1" applyFont="1" applyBorder="1" applyAlignment="1">
      <alignment horizontal="right"/>
    </xf>
    <xf numFmtId="0" fontId="2" fillId="0" borderId="3" xfId="0" applyFont="1" applyBorder="1" applyAlignment="1">
      <alignment vertical="center" wrapText="1"/>
    </xf>
    <xf numFmtId="0" fontId="23" fillId="0" borderId="3" xfId="0" applyFont="1" applyBorder="1" applyAlignment="1">
      <alignment horizontal="right" vertical="center" wrapText="1"/>
    </xf>
    <xf numFmtId="6" fontId="2" fillId="0" borderId="3" xfId="0" applyNumberFormat="1" applyFont="1" applyBorder="1" applyAlignment="1">
      <alignment horizontal="right" vertical="center" wrapText="1"/>
    </xf>
    <xf numFmtId="0" fontId="2" fillId="0" borderId="3" xfId="0" applyFont="1" applyBorder="1" applyAlignment="1">
      <alignment vertical="top"/>
    </xf>
    <xf numFmtId="0" fontId="0" fillId="0" borderId="20" xfId="0" applyBorder="1"/>
    <xf numFmtId="0" fontId="23" fillId="0" borderId="21" xfId="0" applyFont="1" applyBorder="1" applyAlignment="1">
      <alignment vertical="center" wrapText="1"/>
    </xf>
    <xf numFmtId="0" fontId="23" fillId="0" borderId="21" xfId="0" applyFont="1" applyBorder="1" applyAlignment="1">
      <alignment horizontal="right" vertical="center" wrapText="1"/>
    </xf>
    <xf numFmtId="167" fontId="2" fillId="0" borderId="21" xfId="0" applyNumberFormat="1" applyFont="1" applyBorder="1" applyAlignment="1">
      <alignment horizontal="right" vertical="center" wrapText="1"/>
    </xf>
    <xf numFmtId="0" fontId="0" fillId="0" borderId="21" xfId="0" applyBorder="1"/>
    <xf numFmtId="0" fontId="2" fillId="0" borderId="21" xfId="0" applyFont="1" applyBorder="1" applyAlignment="1">
      <alignment vertical="top" wrapText="1"/>
    </xf>
    <xf numFmtId="0" fontId="2" fillId="0" borderId="21" xfId="0" applyFont="1" applyBorder="1" applyAlignment="1">
      <alignment vertical="center" wrapText="1"/>
    </xf>
    <xf numFmtId="0" fontId="2" fillId="0" borderId="2" xfId="0" applyFont="1" applyBorder="1"/>
    <xf numFmtId="0" fontId="2" fillId="0" borderId="23" xfId="0" applyFont="1" applyBorder="1"/>
    <xf numFmtId="0" fontId="16" fillId="4" borderId="3" xfId="0" applyFont="1" applyFill="1" applyBorder="1" applyAlignment="1">
      <alignment vertical="top" wrapText="1"/>
    </xf>
    <xf numFmtId="8" fontId="0" fillId="4" borderId="3" xfId="0" applyNumberFormat="1" applyFill="1" applyBorder="1" applyAlignment="1">
      <alignment vertical="top" wrapText="1"/>
    </xf>
    <xf numFmtId="167" fontId="0" fillId="4" borderId="3" xfId="0" applyNumberFormat="1" applyFill="1" applyBorder="1" applyAlignment="1">
      <alignment vertical="top" wrapText="1"/>
    </xf>
    <xf numFmtId="6" fontId="0" fillId="4" borderId="3" xfId="0" applyNumberFormat="1" applyFill="1" applyBorder="1" applyAlignment="1">
      <alignment vertical="top" wrapText="1"/>
    </xf>
    <xf numFmtId="165" fontId="9" fillId="15" borderId="2" xfId="0" applyNumberFormat="1" applyFont="1" applyFill="1" applyBorder="1"/>
    <xf numFmtId="165" fontId="9" fillId="15" borderId="3" xfId="0" applyNumberFormat="1" applyFont="1" applyFill="1" applyBorder="1"/>
    <xf numFmtId="165" fontId="9" fillId="2" borderId="3" xfId="0" applyNumberFormat="1" applyFont="1" applyFill="1" applyBorder="1"/>
    <xf numFmtId="165" fontId="9" fillId="2" borderId="5" xfId="0" applyNumberFormat="1" applyFont="1" applyFill="1" applyBorder="1"/>
    <xf numFmtId="165" fontId="9" fillId="15" borderId="13" xfId="0" applyNumberFormat="1" applyFont="1" applyFill="1" applyBorder="1"/>
    <xf numFmtId="165" fontId="9" fillId="15" borderId="0" xfId="0" applyNumberFormat="1" applyFont="1" applyFill="1"/>
    <xf numFmtId="165" fontId="9" fillId="2" borderId="0" xfId="0" applyNumberFormat="1" applyFont="1" applyFill="1"/>
    <xf numFmtId="165" fontId="9" fillId="2" borderId="14" xfId="0" applyNumberFormat="1" applyFont="1" applyFill="1" applyBorder="1"/>
    <xf numFmtId="1" fontId="9" fillId="15" borderId="2" xfId="0" applyNumberFormat="1" applyFont="1" applyFill="1" applyBorder="1"/>
    <xf numFmtId="1" fontId="9" fillId="15" borderId="23" xfId="0" applyNumberFormat="1" applyFont="1" applyFill="1" applyBorder="1"/>
    <xf numFmtId="1" fontId="9" fillId="15" borderId="3" xfId="0" applyNumberFormat="1" applyFont="1" applyFill="1" applyBorder="1"/>
    <xf numFmtId="1" fontId="9" fillId="15" borderId="4" xfId="0" applyNumberFormat="1" applyFont="1" applyFill="1" applyBorder="1"/>
    <xf numFmtId="1" fontId="9" fillId="15" borderId="5" xfId="0" applyNumberFormat="1" applyFont="1" applyFill="1" applyBorder="1"/>
    <xf numFmtId="1" fontId="9" fillId="15" borderId="6" xfId="0" applyNumberFormat="1" applyFont="1" applyFill="1" applyBorder="1"/>
    <xf numFmtId="165" fontId="0" fillId="3" borderId="2" xfId="0" applyNumberFormat="1" applyFill="1" applyBorder="1"/>
    <xf numFmtId="165" fontId="0" fillId="3" borderId="20" xfId="0" applyNumberFormat="1" applyFill="1" applyBorder="1"/>
    <xf numFmtId="165" fontId="0" fillId="3" borderId="21" xfId="0" applyNumberFormat="1" applyFill="1" applyBorder="1"/>
    <xf numFmtId="165" fontId="0" fillId="3" borderId="22" xfId="0" applyNumberFormat="1" applyFill="1" applyBorder="1"/>
    <xf numFmtId="0" fontId="16" fillId="4" borderId="3" xfId="0" applyFont="1" applyFill="1" applyBorder="1" applyAlignment="1">
      <alignment horizontal="right"/>
    </xf>
    <xf numFmtId="6" fontId="0" fillId="4" borderId="3" xfId="0" applyNumberFormat="1" applyFill="1" applyBorder="1"/>
    <xf numFmtId="165" fontId="0" fillId="0" borderId="0" xfId="0" applyNumberFormat="1"/>
    <xf numFmtId="0" fontId="1" fillId="0" borderId="0" xfId="1"/>
    <xf numFmtId="43" fontId="0" fillId="0" borderId="0" xfId="0" applyNumberFormat="1"/>
    <xf numFmtId="0" fontId="0" fillId="4" borderId="0" xfId="0" applyFill="1" applyAlignment="1">
      <alignment wrapText="1"/>
    </xf>
    <xf numFmtId="0" fontId="0" fillId="0" borderId="18" xfId="0" applyBorder="1" applyAlignment="1">
      <alignment wrapText="1"/>
    </xf>
    <xf numFmtId="0" fontId="0" fillId="0" borderId="0" xfId="0" applyAlignment="1">
      <alignment wrapText="1"/>
    </xf>
    <xf numFmtId="164" fontId="0" fillId="0" borderId="0" xfId="2" applyNumberFormat="1" applyFont="1" applyBorder="1" applyAlignment="1">
      <alignment wrapText="1"/>
    </xf>
    <xf numFmtId="0" fontId="0" fillId="0" borderId="9" xfId="0" applyBorder="1" applyAlignment="1">
      <alignment wrapText="1"/>
    </xf>
    <xf numFmtId="0" fontId="0" fillId="0" borderId="10" xfId="0" applyBorder="1" applyAlignment="1">
      <alignment wrapText="1"/>
    </xf>
    <xf numFmtId="43" fontId="0" fillId="0" borderId="10" xfId="9" applyFont="1" applyBorder="1" applyAlignment="1">
      <alignment wrapText="1"/>
    </xf>
    <xf numFmtId="0" fontId="0" fillId="0" borderId="11" xfId="0" applyBorder="1" applyAlignment="1">
      <alignment wrapText="1"/>
    </xf>
    <xf numFmtId="44" fontId="0" fillId="0" borderId="12" xfId="2" applyFont="1" applyBorder="1" applyAlignment="1">
      <alignment wrapText="1"/>
    </xf>
    <xf numFmtId="0" fontId="0" fillId="0" borderId="19" xfId="0" applyBorder="1" applyAlignment="1">
      <alignment wrapText="1"/>
    </xf>
    <xf numFmtId="44" fontId="32" fillId="0" borderId="0" xfId="2" applyFont="1" applyAlignment="1">
      <alignment horizontal="left"/>
    </xf>
    <xf numFmtId="44" fontId="0" fillId="0" borderId="0" xfId="2" applyFont="1"/>
    <xf numFmtId="0" fontId="32" fillId="0" borderId="0" xfId="10" applyFont="1" applyAlignment="1">
      <alignment wrapText="1"/>
    </xf>
    <xf numFmtId="173" fontId="32" fillId="0" borderId="0" xfId="10" applyNumberFormat="1" applyFont="1" applyAlignment="1">
      <alignment horizontal="left"/>
    </xf>
    <xf numFmtId="165" fontId="32" fillId="0" borderId="0" xfId="10" applyNumberFormat="1" applyFont="1" applyAlignment="1">
      <alignment horizontal="left"/>
    </xf>
    <xf numFmtId="0" fontId="32" fillId="0" borderId="0" xfId="10" applyFont="1"/>
    <xf numFmtId="1" fontId="32" fillId="0" borderId="0" xfId="10" applyNumberFormat="1" applyFont="1" applyAlignment="1">
      <alignment horizontal="left"/>
    </xf>
    <xf numFmtId="10" fontId="0" fillId="0" borderId="0" xfId="0" applyNumberFormat="1"/>
    <xf numFmtId="0" fontId="0" fillId="0" borderId="0" xfId="0" applyAlignment="1">
      <alignment horizontal="left"/>
    </xf>
    <xf numFmtId="0" fontId="33" fillId="0" borderId="7" xfId="10" applyFont="1" applyBorder="1"/>
    <xf numFmtId="0" fontId="32" fillId="0" borderId="18" xfId="10" applyFont="1" applyBorder="1"/>
    <xf numFmtId="0" fontId="32" fillId="0" borderId="8" xfId="10" applyFont="1" applyBorder="1"/>
    <xf numFmtId="0" fontId="33" fillId="0" borderId="0" xfId="10" applyFont="1"/>
    <xf numFmtId="0" fontId="32" fillId="0" borderId="0" xfId="0" applyFont="1"/>
    <xf numFmtId="165" fontId="32" fillId="0" borderId="9" xfId="10" applyNumberFormat="1" applyFont="1" applyBorder="1"/>
    <xf numFmtId="173" fontId="32" fillId="0" borderId="10" xfId="10" applyNumberFormat="1" applyFont="1" applyBorder="1" applyAlignment="1">
      <alignment horizontal="left"/>
    </xf>
    <xf numFmtId="44" fontId="32" fillId="0" borderId="0" xfId="2" applyFont="1" applyFill="1" applyBorder="1"/>
    <xf numFmtId="165" fontId="32" fillId="0" borderId="0" xfId="10" applyNumberFormat="1" applyFont="1" applyAlignment="1">
      <alignment horizontal="right"/>
    </xf>
    <xf numFmtId="44" fontId="32" fillId="0" borderId="10" xfId="2" applyFont="1" applyBorder="1" applyAlignment="1">
      <alignment horizontal="left"/>
    </xf>
    <xf numFmtId="0" fontId="32" fillId="0" borderId="11" xfId="10" applyFont="1" applyBorder="1"/>
    <xf numFmtId="0" fontId="32" fillId="0" borderId="19" xfId="10" applyFont="1" applyBorder="1" applyAlignment="1">
      <alignment horizontal="right"/>
    </xf>
    <xf numFmtId="44" fontId="32" fillId="0" borderId="12" xfId="2" applyFont="1" applyBorder="1"/>
    <xf numFmtId="44" fontId="32" fillId="0" borderId="0" xfId="0" applyNumberFormat="1" applyFont="1"/>
    <xf numFmtId="0" fontId="33" fillId="0" borderId="7" xfId="0" applyFont="1" applyBorder="1"/>
    <xf numFmtId="0" fontId="33" fillId="0" borderId="18" xfId="0" applyFont="1" applyBorder="1"/>
    <xf numFmtId="0" fontId="33" fillId="0" borderId="8" xfId="0" applyFont="1" applyBorder="1"/>
    <xf numFmtId="0" fontId="32" fillId="0" borderId="10" xfId="0" applyFont="1" applyBorder="1"/>
    <xf numFmtId="44" fontId="32" fillId="0" borderId="10" xfId="2" applyFont="1" applyBorder="1"/>
    <xf numFmtId="44" fontId="32" fillId="0" borderId="12" xfId="0" applyNumberFormat="1" applyFont="1" applyBorder="1"/>
    <xf numFmtId="1" fontId="0" fillId="0" borderId="0" xfId="0" applyNumberFormat="1"/>
    <xf numFmtId="44" fontId="0" fillId="0" borderId="0" xfId="0" applyNumberFormat="1"/>
    <xf numFmtId="44" fontId="9" fillId="2" borderId="20" xfId="0" applyNumberFormat="1" applyFont="1" applyFill="1" applyBorder="1"/>
    <xf numFmtId="44" fontId="32" fillId="0" borderId="0" xfId="2" applyFont="1" applyBorder="1" applyAlignment="1">
      <alignment horizontal="right"/>
    </xf>
    <xf numFmtId="44" fontId="32" fillId="0" borderId="0" xfId="2" applyFont="1" applyBorder="1"/>
    <xf numFmtId="3" fontId="33" fillId="0" borderId="0" xfId="10" applyNumberFormat="1" applyFont="1"/>
    <xf numFmtId="3" fontId="32" fillId="0" borderId="0" xfId="10" applyNumberFormat="1" applyFont="1"/>
    <xf numFmtId="172" fontId="0" fillId="16" borderId="0" xfId="9" applyNumberFormat="1" applyFont="1" applyFill="1"/>
    <xf numFmtId="0" fontId="0" fillId="16" borderId="0" xfId="0" applyFill="1"/>
    <xf numFmtId="172" fontId="0" fillId="16" borderId="0" xfId="0" applyNumberFormat="1" applyFill="1"/>
    <xf numFmtId="44" fontId="0" fillId="16" borderId="0" xfId="2" applyFont="1" applyFill="1"/>
    <xf numFmtId="0" fontId="33" fillId="16" borderId="2" xfId="10" applyFont="1" applyFill="1" applyBorder="1"/>
    <xf numFmtId="0" fontId="32" fillId="16" borderId="13" xfId="10" applyFont="1" applyFill="1" applyBorder="1"/>
    <xf numFmtId="0" fontId="32" fillId="16" borderId="23" xfId="10" applyFont="1" applyFill="1" applyBorder="1"/>
    <xf numFmtId="165" fontId="32" fillId="16" borderId="3" xfId="10" applyNumberFormat="1" applyFont="1" applyFill="1" applyBorder="1"/>
    <xf numFmtId="0" fontId="32" fillId="16" borderId="0" xfId="10" applyFont="1" applyFill="1" applyAlignment="1">
      <alignment horizontal="right"/>
    </xf>
    <xf numFmtId="1" fontId="32" fillId="16" borderId="4" xfId="10" applyNumberFormat="1" applyFont="1" applyFill="1" applyBorder="1" applyAlignment="1">
      <alignment horizontal="right"/>
    </xf>
    <xf numFmtId="172" fontId="32" fillId="16" borderId="4" xfId="9" applyNumberFormat="1" applyFont="1" applyFill="1" applyBorder="1" applyAlignment="1">
      <alignment horizontal="right"/>
    </xf>
    <xf numFmtId="2" fontId="32" fillId="16" borderId="4" xfId="10" applyNumberFormat="1" applyFont="1" applyFill="1" applyBorder="1" applyAlignment="1">
      <alignment horizontal="right"/>
    </xf>
    <xf numFmtId="165" fontId="32" fillId="16" borderId="5" xfId="10" applyNumberFormat="1" applyFont="1" applyFill="1" applyBorder="1"/>
    <xf numFmtId="165" fontId="32" fillId="16" borderId="14" xfId="10" applyNumberFormat="1" applyFont="1" applyFill="1" applyBorder="1" applyAlignment="1">
      <alignment horizontal="right"/>
    </xf>
    <xf numFmtId="8" fontId="32" fillId="16" borderId="6" xfId="10" applyNumberFormat="1" applyFont="1" applyFill="1" applyBorder="1" applyAlignment="1">
      <alignment horizontal="right"/>
    </xf>
    <xf numFmtId="8" fontId="0" fillId="16" borderId="0" xfId="0" applyNumberFormat="1" applyFill="1"/>
    <xf numFmtId="0" fontId="34" fillId="0" borderId="32" xfId="0" applyFont="1" applyBorder="1"/>
    <xf numFmtId="0" fontId="16" fillId="17" borderId="0" xfId="0" applyFont="1" applyFill="1" applyAlignment="1">
      <alignment horizontal="center"/>
    </xf>
    <xf numFmtId="0" fontId="16" fillId="18" borderId="0" xfId="0" applyFont="1" applyFill="1" applyAlignment="1">
      <alignment horizontal="center"/>
    </xf>
    <xf numFmtId="0" fontId="15" fillId="11" borderId="0" xfId="0" applyFont="1" applyFill="1" applyAlignment="1">
      <alignment horizontal="centerContinuous"/>
    </xf>
    <xf numFmtId="0" fontId="15" fillId="11" borderId="34" xfId="0" applyFont="1" applyFill="1" applyBorder="1" applyAlignment="1">
      <alignment horizontal="centerContinuous"/>
    </xf>
    <xf numFmtId="0" fontId="16" fillId="17" borderId="32" xfId="0" applyFont="1" applyFill="1" applyBorder="1" applyAlignment="1">
      <alignment horizontal="center"/>
    </xf>
    <xf numFmtId="0" fontId="16" fillId="18" borderId="35" xfId="0" applyFont="1" applyFill="1" applyBorder="1" applyAlignment="1">
      <alignment horizontal="center"/>
    </xf>
    <xf numFmtId="0" fontId="16" fillId="0" borderId="0" xfId="0" applyFont="1" applyAlignment="1">
      <alignment horizontal="center"/>
    </xf>
    <xf numFmtId="0" fontId="34" fillId="0" borderId="0" xfId="0" applyFont="1"/>
    <xf numFmtId="0" fontId="35" fillId="0" borderId="0" xfId="0" applyFont="1"/>
    <xf numFmtId="0" fontId="0" fillId="0" borderId="0" xfId="0" applyAlignment="1">
      <alignment horizontal="left" indent="2"/>
    </xf>
    <xf numFmtId="0" fontId="35" fillId="0" borderId="36" xfId="0" applyFont="1" applyBorder="1" applyAlignment="1">
      <alignment horizontal="center"/>
    </xf>
    <xf numFmtId="0" fontId="35" fillId="0" borderId="33" xfId="0" applyFont="1" applyBorder="1" applyAlignment="1">
      <alignment horizontal="center"/>
    </xf>
    <xf numFmtId="3" fontId="35" fillId="0" borderId="36" xfId="0" applyNumberFormat="1" applyFont="1" applyBorder="1" applyAlignment="1">
      <alignment horizontal="center"/>
    </xf>
    <xf numFmtId="3" fontId="35" fillId="0" borderId="0" xfId="0" applyNumberFormat="1" applyFont="1" applyAlignment="1">
      <alignment horizontal="center"/>
    </xf>
    <xf numFmtId="3" fontId="0" fillId="0" borderId="0" xfId="0" applyNumberFormat="1" applyAlignment="1">
      <alignment horizontal="center"/>
    </xf>
    <xf numFmtId="3" fontId="0" fillId="0" borderId="0" xfId="0" applyNumberFormat="1"/>
    <xf numFmtId="0" fontId="35" fillId="0" borderId="0" xfId="0" applyFont="1" applyAlignment="1">
      <alignment horizontal="center"/>
    </xf>
    <xf numFmtId="0" fontId="34" fillId="0" borderId="0" xfId="0" applyFont="1" applyAlignment="1">
      <alignment horizontal="left"/>
    </xf>
    <xf numFmtId="3" fontId="19" fillId="0" borderId="33" xfId="0" applyNumberFormat="1" applyFont="1" applyBorder="1" applyAlignment="1">
      <alignment horizontal="center"/>
    </xf>
    <xf numFmtId="165" fontId="35" fillId="0" borderId="33" xfId="0" applyNumberFormat="1" applyFont="1" applyBorder="1" applyAlignment="1">
      <alignment horizontal="center"/>
    </xf>
    <xf numFmtId="165" fontId="0" fillId="0" borderId="33" xfId="0" applyNumberFormat="1" applyBorder="1" applyAlignment="1">
      <alignment horizontal="center"/>
    </xf>
    <xf numFmtId="0" fontId="19" fillId="0" borderId="0" xfId="0" applyFont="1" applyAlignment="1">
      <alignment horizontal="center"/>
    </xf>
    <xf numFmtId="165" fontId="19" fillId="0" borderId="0" xfId="0" applyNumberFormat="1" applyFont="1" applyAlignment="1">
      <alignment horizontal="center"/>
    </xf>
    <xf numFmtId="2" fontId="0" fillId="0" borderId="0" xfId="0" applyNumberFormat="1"/>
    <xf numFmtId="0" fontId="36" fillId="0" borderId="0" xfId="0" applyFont="1"/>
    <xf numFmtId="0" fontId="34" fillId="16" borderId="0" xfId="0" applyFont="1" applyFill="1"/>
    <xf numFmtId="0" fontId="34" fillId="0" borderId="14" xfId="0" applyFont="1" applyBorder="1"/>
    <xf numFmtId="0" fontId="0" fillId="0" borderId="14" xfId="0" applyBorder="1"/>
    <xf numFmtId="165" fontId="34" fillId="0" borderId="0" xfId="0" applyNumberFormat="1" applyFont="1"/>
    <xf numFmtId="6" fontId="0" fillId="0" borderId="0" xfId="0" applyNumberFormat="1"/>
    <xf numFmtId="164" fontId="0" fillId="0" borderId="0" xfId="0" applyNumberFormat="1"/>
    <xf numFmtId="0" fontId="34" fillId="0" borderId="13" xfId="0" applyFont="1" applyBorder="1"/>
    <xf numFmtId="6" fontId="34" fillId="0" borderId="0" xfId="0" applyNumberFormat="1" applyFont="1"/>
    <xf numFmtId="6" fontId="0" fillId="0" borderId="13" xfId="0" applyNumberFormat="1" applyBorder="1"/>
    <xf numFmtId="0" fontId="0" fillId="19" borderId="0" xfId="0" applyFill="1"/>
    <xf numFmtId="165" fontId="0" fillId="0" borderId="0" xfId="0" applyNumberFormat="1" applyAlignment="1">
      <alignment horizontal="center"/>
    </xf>
    <xf numFmtId="0" fontId="0" fillId="3" borderId="9" xfId="0" applyFill="1" applyBorder="1"/>
    <xf numFmtId="0" fontId="0" fillId="3" borderId="10" xfId="0" applyFill="1" applyBorder="1"/>
    <xf numFmtId="0" fontId="10" fillId="4" borderId="0" xfId="0" applyFont="1" applyFill="1"/>
    <xf numFmtId="172" fontId="34" fillId="5" borderId="1" xfId="9" applyNumberFormat="1" applyFont="1" applyFill="1" applyBorder="1"/>
    <xf numFmtId="0" fontId="34" fillId="5" borderId="1" xfId="0" applyFont="1" applyFill="1" applyBorder="1"/>
    <xf numFmtId="6" fontId="0" fillId="2" borderId="2" xfId="0" applyNumberFormat="1" applyFill="1" applyBorder="1"/>
    <xf numFmtId="170" fontId="34" fillId="2" borderId="2" xfId="0" applyNumberFormat="1" applyFont="1" applyFill="1" applyBorder="1"/>
    <xf numFmtId="9" fontId="0" fillId="19" borderId="0" xfId="0" applyNumberFormat="1" applyFill="1" applyAlignment="1">
      <alignment wrapText="1"/>
    </xf>
    <xf numFmtId="0" fontId="0" fillId="19" borderId="0" xfId="0" applyFill="1" applyAlignment="1">
      <alignment wrapText="1"/>
    </xf>
    <xf numFmtId="2" fontId="0" fillId="0" borderId="0" xfId="0" applyNumberFormat="1" applyAlignment="1">
      <alignment horizontal="centerContinuous"/>
    </xf>
    <xf numFmtId="0" fontId="0" fillId="0" borderId="0" xfId="0" applyAlignment="1">
      <alignment horizontal="centerContinuous"/>
    </xf>
    <xf numFmtId="0" fontId="37" fillId="0" borderId="0" xfId="0" applyFont="1" applyAlignment="1">
      <alignment vertical="center"/>
    </xf>
    <xf numFmtId="0" fontId="37" fillId="0" borderId="0" xfId="0" applyFont="1" applyAlignment="1">
      <alignment horizontal="left" vertical="center" indent="1"/>
    </xf>
    <xf numFmtId="49" fontId="0" fillId="0" borderId="0" xfId="0" applyNumberFormat="1" applyAlignment="1">
      <alignment horizontal="right"/>
    </xf>
    <xf numFmtId="174" fontId="0" fillId="0" borderId="0" xfId="0" applyNumberFormat="1" applyAlignment="1">
      <alignment horizontal="right"/>
    </xf>
    <xf numFmtId="174" fontId="0" fillId="0" borderId="0" xfId="0" applyNumberFormat="1"/>
    <xf numFmtId="171" fontId="0" fillId="19" borderId="0" xfId="0" applyNumberFormat="1" applyFill="1" applyAlignment="1">
      <alignment wrapText="1"/>
    </xf>
    <xf numFmtId="2" fontId="0" fillId="0" borderId="0" xfId="0" applyNumberFormat="1" applyAlignment="1">
      <alignment horizontal="right"/>
    </xf>
    <xf numFmtId="0" fontId="37" fillId="0" borderId="0" xfId="0" applyFont="1" applyAlignment="1">
      <alignment horizontal="left" vertical="center"/>
    </xf>
    <xf numFmtId="44" fontId="0" fillId="0" borderId="0" xfId="2" applyFont="1" applyFill="1" applyAlignment="1">
      <alignment wrapText="1"/>
    </xf>
    <xf numFmtId="6" fontId="34" fillId="2" borderId="2" xfId="0" applyNumberFormat="1" applyFont="1" applyFill="1" applyBorder="1"/>
    <xf numFmtId="164" fontId="34" fillId="0" borderId="13" xfId="0" applyNumberFormat="1" applyFont="1" applyBorder="1"/>
    <xf numFmtId="0" fontId="39" fillId="20" borderId="0" xfId="0" applyFont="1" applyFill="1"/>
    <xf numFmtId="0" fontId="40" fillId="20" borderId="0" xfId="0" applyFont="1" applyFill="1"/>
    <xf numFmtId="9" fontId="0" fillId="0" borderId="0" xfId="0" applyNumberFormat="1"/>
    <xf numFmtId="0" fontId="40" fillId="0" borderId="0" xfId="0" applyFont="1"/>
    <xf numFmtId="0" fontId="39" fillId="0" borderId="0" xfId="0" applyFont="1"/>
    <xf numFmtId="0" fontId="41" fillId="0" borderId="0" xfId="0" applyFont="1"/>
    <xf numFmtId="0" fontId="34" fillId="3" borderId="39" xfId="0" applyFont="1" applyFill="1" applyBorder="1" applyAlignment="1">
      <alignment horizontal="centerContinuous"/>
    </xf>
    <xf numFmtId="0" fontId="0" fillId="3" borderId="40" xfId="0" applyFill="1" applyBorder="1" applyAlignment="1">
      <alignment horizontal="centerContinuous"/>
    </xf>
    <xf numFmtId="0" fontId="0" fillId="3" borderId="41" xfId="0" applyFill="1" applyBorder="1" applyAlignment="1">
      <alignment horizontal="centerContinuous"/>
    </xf>
    <xf numFmtId="0" fontId="34" fillId="3" borderId="42" xfId="0" applyFont="1" applyFill="1" applyBorder="1" applyAlignment="1">
      <alignment horizontal="centerContinuous"/>
    </xf>
    <xf numFmtId="0" fontId="34" fillId="3" borderId="43" xfId="0" applyFont="1" applyFill="1" applyBorder="1" applyAlignment="1">
      <alignment horizontal="centerContinuous"/>
    </xf>
    <xf numFmtId="0" fontId="34" fillId="3" borderId="21" xfId="0" applyFont="1" applyFill="1" applyBorder="1"/>
    <xf numFmtId="6" fontId="0" fillId="4" borderId="4" xfId="0" applyNumberFormat="1" applyFill="1" applyBorder="1"/>
    <xf numFmtId="0" fontId="0" fillId="4" borderId="4" xfId="0" applyFill="1" applyBorder="1"/>
    <xf numFmtId="0" fontId="34" fillId="3" borderId="1" xfId="0" applyFont="1" applyFill="1" applyBorder="1"/>
    <xf numFmtId="6" fontId="42" fillId="4" borderId="17" xfId="0" applyNumberFormat="1" applyFont="1" applyFill="1" applyBorder="1"/>
    <xf numFmtId="0" fontId="34" fillId="3" borderId="22" xfId="0" applyFont="1" applyFill="1" applyBorder="1"/>
    <xf numFmtId="0" fontId="0" fillId="4" borderId="22" xfId="0" applyFill="1" applyBorder="1"/>
    <xf numFmtId="6" fontId="42" fillId="4" borderId="6" xfId="0" applyNumberFormat="1" applyFont="1" applyFill="1" applyBorder="1"/>
    <xf numFmtId="5" fontId="34" fillId="3" borderId="22" xfId="0" applyNumberFormat="1" applyFont="1" applyFill="1" applyBorder="1"/>
    <xf numFmtId="0" fontId="34" fillId="21" borderId="1" xfId="0" applyFont="1" applyFill="1" applyBorder="1"/>
    <xf numFmtId="165" fontId="34" fillId="21" borderId="16" xfId="0" applyNumberFormat="1" applyFont="1" applyFill="1" applyBorder="1" applyAlignment="1">
      <alignment horizontal="centerContinuous"/>
    </xf>
    <xf numFmtId="2" fontId="34" fillId="21" borderId="16" xfId="0" applyNumberFormat="1" applyFont="1" applyFill="1" applyBorder="1" applyAlignment="1">
      <alignment horizontal="centerContinuous"/>
    </xf>
    <xf numFmtId="0" fontId="0" fillId="21" borderId="17" xfId="0" applyFill="1" applyBorder="1" applyAlignment="1">
      <alignment horizontal="centerContinuous"/>
    </xf>
    <xf numFmtId="0" fontId="34" fillId="21" borderId="22" xfId="0" applyFont="1" applyFill="1" applyBorder="1"/>
    <xf numFmtId="2" fontId="34" fillId="21" borderId="14" xfId="0" applyNumberFormat="1" applyFont="1" applyFill="1" applyBorder="1" applyAlignment="1">
      <alignment horizontal="centerContinuous"/>
    </xf>
    <xf numFmtId="0" fontId="0" fillId="21" borderId="6" xfId="0" applyFill="1" applyBorder="1" applyAlignment="1">
      <alignment horizontal="centerContinuous"/>
    </xf>
    <xf numFmtId="49" fontId="0" fillId="0" borderId="0" xfId="0" applyNumberFormat="1"/>
    <xf numFmtId="0" fontId="37" fillId="23" borderId="0" xfId="0" applyFont="1" applyFill="1" applyAlignment="1">
      <alignment horizontal="left" vertical="center"/>
    </xf>
    <xf numFmtId="0" fontId="0" fillId="23" borderId="0" xfId="0" applyFill="1"/>
    <xf numFmtId="0" fontId="0" fillId="23" borderId="0" xfId="0" applyFill="1" applyAlignment="1">
      <alignment horizontal="center"/>
    </xf>
    <xf numFmtId="2" fontId="0" fillId="24" borderId="0" xfId="0" applyNumberFormat="1" applyFill="1" applyAlignment="1">
      <alignment horizontal="centerContinuous"/>
    </xf>
    <xf numFmtId="0" fontId="0" fillId="2" borderId="0" xfId="0" applyFill="1" applyAlignment="1">
      <alignment horizontal="centerContinuous"/>
    </xf>
    <xf numFmtId="0" fontId="9" fillId="23" borderId="0" xfId="0" applyFont="1" applyFill="1"/>
    <xf numFmtId="165" fontId="9" fillId="23" borderId="0" xfId="0" applyNumberFormat="1" applyFont="1" applyFill="1"/>
    <xf numFmtId="0" fontId="19" fillId="0" borderId="0" xfId="0" applyFont="1"/>
    <xf numFmtId="3" fontId="0" fillId="22" borderId="0" xfId="0" applyNumberFormat="1" applyFill="1" applyAlignment="1">
      <alignment horizontal="center" vertical="center"/>
    </xf>
    <xf numFmtId="3" fontId="0" fillId="0" borderId="0" xfId="0" applyNumberFormat="1" applyAlignment="1">
      <alignment horizontal="center" vertical="center"/>
    </xf>
    <xf numFmtId="9" fontId="0" fillId="22" borderId="0" xfId="11" applyFont="1" applyFill="1" applyAlignment="1">
      <alignment horizontal="center" vertical="center"/>
    </xf>
    <xf numFmtId="174" fontId="0" fillId="0" borderId="33" xfId="0" applyNumberFormat="1" applyBorder="1" applyAlignment="1">
      <alignment horizontal="center"/>
    </xf>
    <xf numFmtId="174" fontId="0" fillId="0" borderId="0" xfId="0" applyNumberFormat="1" applyAlignment="1">
      <alignment horizontal="center"/>
    </xf>
    <xf numFmtId="3" fontId="0" fillId="0" borderId="33" xfId="0" applyNumberFormat="1" applyBorder="1" applyAlignment="1">
      <alignment horizontal="center"/>
    </xf>
    <xf numFmtId="2" fontId="0" fillId="0" borderId="33" xfId="0" applyNumberFormat="1" applyBorder="1" applyAlignment="1">
      <alignment horizontal="center"/>
    </xf>
    <xf numFmtId="2" fontId="0" fillId="0" borderId="0" xfId="0" applyNumberFormat="1" applyAlignment="1">
      <alignment horizontal="center"/>
    </xf>
    <xf numFmtId="0" fontId="0" fillId="0" borderId="33" xfId="0" applyBorder="1" applyAlignment="1">
      <alignment horizontal="center"/>
    </xf>
    <xf numFmtId="0" fontId="0" fillId="0" borderId="36" xfId="0" applyBorder="1" applyAlignment="1">
      <alignment horizontal="center"/>
    </xf>
    <xf numFmtId="0" fontId="0" fillId="0" borderId="0" xfId="0" applyAlignment="1">
      <alignment horizontal="center"/>
    </xf>
    <xf numFmtId="0" fontId="34" fillId="0" borderId="0" xfId="0" applyFont="1" applyAlignment="1">
      <alignment horizontal="left" indent="2"/>
    </xf>
    <xf numFmtId="0" fontId="20" fillId="0" borderId="37" xfId="0" applyFont="1" applyBorder="1" applyAlignment="1">
      <alignment horizontal="center"/>
    </xf>
    <xf numFmtId="165" fontId="20" fillId="0" borderId="38" xfId="0" applyNumberFormat="1" applyFont="1" applyBorder="1" applyAlignment="1">
      <alignment horizontal="center"/>
    </xf>
    <xf numFmtId="165" fontId="34" fillId="0" borderId="38" xfId="0" applyNumberFormat="1" applyFont="1" applyBorder="1" applyAlignment="1">
      <alignment horizontal="center"/>
    </xf>
    <xf numFmtId="165" fontId="34" fillId="0" borderId="37" xfId="0" applyNumberFormat="1" applyFont="1" applyBorder="1" applyAlignment="1">
      <alignment horizontal="center"/>
    </xf>
    <xf numFmtId="0" fontId="34" fillId="4" borderId="0" xfId="0" applyFont="1" applyFill="1"/>
    <xf numFmtId="164" fontId="34" fillId="0" borderId="0" xfId="0" applyNumberFormat="1" applyFont="1"/>
    <xf numFmtId="171" fontId="32" fillId="0" borderId="0" xfId="10" applyNumberFormat="1" applyFont="1" applyAlignment="1">
      <alignment horizontal="right"/>
    </xf>
    <xf numFmtId="0" fontId="10" fillId="0" borderId="0" xfId="0" applyFont="1"/>
    <xf numFmtId="164" fontId="10" fillId="0" borderId="0" xfId="0" applyNumberFormat="1" applyFont="1"/>
    <xf numFmtId="0" fontId="23" fillId="9" borderId="1" xfId="0" applyFont="1" applyFill="1" applyBorder="1" applyAlignment="1">
      <alignment vertical="center" wrapText="1"/>
    </xf>
    <xf numFmtId="0" fontId="32" fillId="0" borderId="0" xfId="10" applyFont="1" applyAlignment="1">
      <alignment horizontal="right"/>
    </xf>
    <xf numFmtId="44" fontId="0" fillId="0" borderId="0" xfId="0" applyNumberFormat="1" applyAlignment="1">
      <alignment wrapText="1"/>
    </xf>
    <xf numFmtId="0" fontId="22" fillId="9" borderId="1" xfId="0" applyFont="1" applyFill="1" applyBorder="1" applyAlignment="1">
      <alignmen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23" fillId="9" borderId="15" xfId="0" applyFont="1" applyFill="1" applyBorder="1" applyAlignment="1">
      <alignment horizontal="center" vertical="center"/>
    </xf>
    <xf numFmtId="0" fontId="23" fillId="9" borderId="17" xfId="0" applyFont="1" applyFill="1" applyBorder="1" applyAlignment="1">
      <alignment horizontal="center" vertical="center"/>
    </xf>
    <xf numFmtId="0" fontId="2" fillId="0" borderId="13" xfId="0" applyFont="1" applyBorder="1" applyAlignment="1">
      <alignment horizontal="left" vertical="top" wrapText="1"/>
    </xf>
    <xf numFmtId="0" fontId="2" fillId="0" borderId="23" xfId="0" applyFont="1" applyBorder="1" applyAlignment="1">
      <alignment horizontal="left" vertical="top" wrapText="1"/>
    </xf>
    <xf numFmtId="0" fontId="2" fillId="0" borderId="14" xfId="0" applyFont="1" applyBorder="1" applyAlignment="1">
      <alignment horizontal="left" vertical="top" wrapText="1"/>
    </xf>
    <xf numFmtId="0" fontId="2" fillId="0" borderId="0" xfId="0" applyFont="1" applyAlignment="1">
      <alignment horizontal="left" vertical="top" wrapText="1"/>
    </xf>
    <xf numFmtId="0" fontId="2" fillId="0" borderId="5" xfId="0" applyFont="1" applyBorder="1" applyAlignment="1">
      <alignment horizontal="left" vertical="top"/>
    </xf>
    <xf numFmtId="0" fontId="2" fillId="0" borderId="14" xfId="0" applyFont="1" applyBorder="1" applyAlignment="1">
      <alignment horizontal="left" vertical="top"/>
    </xf>
    <xf numFmtId="0" fontId="2" fillId="0" borderId="6" xfId="0" applyFont="1" applyBorder="1" applyAlignment="1">
      <alignment horizontal="left" vertical="top"/>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3" fillId="9" borderId="1" xfId="0" applyFont="1" applyFill="1" applyBorder="1" applyAlignment="1">
      <alignment horizontal="center" vertical="center" wrapText="1"/>
    </xf>
    <xf numFmtId="0" fontId="23" fillId="9" borderId="1" xfId="0" applyFont="1" applyFill="1" applyBorder="1" applyAlignment="1">
      <alignment vertical="center" wrapText="1"/>
    </xf>
    <xf numFmtId="0" fontId="23" fillId="9" borderId="5" xfId="0" applyFont="1" applyFill="1" applyBorder="1" applyAlignment="1">
      <alignment horizontal="center" vertical="center" wrapText="1"/>
    </xf>
    <xf numFmtId="0" fontId="23" fillId="9" borderId="14" xfId="0" applyFont="1" applyFill="1" applyBorder="1" applyAlignment="1">
      <alignment horizontal="center" vertical="center" wrapText="1"/>
    </xf>
    <xf numFmtId="0" fontId="23" fillId="9" borderId="6" xfId="0" applyFont="1" applyFill="1" applyBorder="1" applyAlignment="1">
      <alignment horizontal="center" vertical="center" wrapText="1"/>
    </xf>
    <xf numFmtId="0" fontId="15" fillId="7" borderId="16" xfId="0" applyFont="1" applyFill="1" applyBorder="1" applyAlignment="1">
      <alignment horizontal="center"/>
    </xf>
    <xf numFmtId="0" fontId="15" fillId="7" borderId="17" xfId="0" applyFont="1" applyFill="1" applyBorder="1" applyAlignment="1">
      <alignment horizontal="center"/>
    </xf>
    <xf numFmtId="0" fontId="15" fillId="7" borderId="15" xfId="0" applyFont="1" applyFill="1" applyBorder="1" applyAlignment="1">
      <alignment horizontal="center"/>
    </xf>
    <xf numFmtId="0" fontId="34" fillId="0" borderId="0" xfId="0" applyFont="1" applyAlignment="1">
      <alignment horizontal="center"/>
    </xf>
    <xf numFmtId="171" fontId="31" fillId="0" borderId="0" xfId="0" applyNumberFormat="1" applyFont="1" applyAlignment="1">
      <alignment horizontal="center" vertical="center"/>
    </xf>
    <xf numFmtId="1" fontId="0" fillId="0" borderId="0" xfId="0" applyNumberFormat="1" applyAlignment="1">
      <alignment horizontal="center"/>
    </xf>
    <xf numFmtId="0" fontId="0" fillId="0" borderId="7" xfId="0" applyBorder="1" applyAlignment="1">
      <alignment horizontal="center" wrapText="1"/>
    </xf>
    <xf numFmtId="0" fontId="0" fillId="0" borderId="8" xfId="0" applyBorder="1" applyAlignment="1">
      <alignment horizontal="center" wrapText="1"/>
    </xf>
    <xf numFmtId="0" fontId="32" fillId="0" borderId="11" xfId="0" applyFont="1" applyBorder="1" applyAlignment="1">
      <alignment horizontal="right"/>
    </xf>
    <xf numFmtId="0" fontId="32" fillId="0" borderId="19" xfId="0" applyFont="1" applyBorder="1" applyAlignment="1">
      <alignment horizontal="right"/>
    </xf>
    <xf numFmtId="0" fontId="32" fillId="0" borderId="0" xfId="0" applyFont="1" applyAlignment="1">
      <alignment horizontal="right"/>
    </xf>
    <xf numFmtId="0" fontId="32" fillId="0" borderId="0" xfId="10" applyFont="1" applyAlignment="1">
      <alignment horizontal="right" wrapText="1"/>
    </xf>
    <xf numFmtId="165" fontId="32" fillId="0" borderId="0" xfId="10" applyNumberFormat="1" applyFont="1" applyAlignment="1">
      <alignment horizontal="center"/>
    </xf>
    <xf numFmtId="0" fontId="32" fillId="0" borderId="9" xfId="0" applyFont="1" applyBorder="1" applyAlignment="1">
      <alignment horizontal="right"/>
    </xf>
    <xf numFmtId="0" fontId="32" fillId="0" borderId="0" xfId="10" applyFont="1" applyAlignment="1">
      <alignment horizontal="right"/>
    </xf>
  </cellXfs>
  <cellStyles count="12">
    <cellStyle name="Comma" xfId="9" builtinId="3"/>
    <cellStyle name="Currency" xfId="2" builtinId="4"/>
    <cellStyle name="Heading 1" xfId="3" builtinId="16"/>
    <cellStyle name="Heading 2" xfId="4" builtinId="17"/>
    <cellStyle name="Heading 4" xfId="5" builtinId="19"/>
    <cellStyle name="Hyperlink" xfId="1" builtinId="8"/>
    <cellStyle name="Hyperlink 2" xfId="7" xr:uid="{304C8883-2D05-433A-93CD-BB7137A396C1}"/>
    <cellStyle name="Normal" xfId="0" builtinId="0"/>
    <cellStyle name="Normal 3" xfId="10" xr:uid="{6FD9CD29-103C-4138-A552-B1D435ED6BFD}"/>
    <cellStyle name="Normal 7" xfId="6" xr:uid="{39C09B7B-9AFF-4A61-96F1-6C02C073A05F}"/>
    <cellStyle name="Note" xfId="8" builtinId="10"/>
    <cellStyle name="Percent" xfId="11" builtinId="5"/>
  </cellStyles>
  <dxfs count="22">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font>
    </dxf>
    <dxf>
      <font>
        <b val="0"/>
        <i/>
        <u val="none"/>
      </font>
      <fill>
        <patternFill>
          <bgColor theme="4" tint="0.39994506668294322"/>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strike val="0"/>
        <u val="none"/>
      </font>
      <fill>
        <patternFill>
          <bgColor rgb="FFBFBFBF"/>
        </patternFill>
      </fill>
    </dxf>
    <dxf>
      <fill>
        <patternFill>
          <bgColor theme="2"/>
        </patternFill>
      </fill>
    </dxf>
  </dxfs>
  <tableStyles count="0" defaultTableStyle="TableStyleMedium2" defaultPivotStyle="PivotStyleLight16"/>
  <colors>
    <mruColors>
      <color rgb="FF0000FF"/>
      <color rgb="FFBFBFBF"/>
      <color rgb="FFA9D08E"/>
      <color rgb="FFFFFFCC"/>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123825</xdr:colOff>
      <xdr:row>12</xdr:row>
      <xdr:rowOff>95250</xdr:rowOff>
    </xdr:from>
    <xdr:to>
      <xdr:col>9</xdr:col>
      <xdr:colOff>981701</xdr:colOff>
      <xdr:row>17</xdr:row>
      <xdr:rowOff>67831</xdr:rowOff>
    </xdr:to>
    <xdr:pic>
      <xdr:nvPicPr>
        <xdr:cNvPr id="2" name="Picture 1">
          <a:extLst>
            <a:ext uri="{FF2B5EF4-FFF2-40B4-BE49-F238E27FC236}">
              <a16:creationId xmlns:a16="http://schemas.microsoft.com/office/drawing/2014/main" id="{08457283-06AC-4EA4-B900-94DA6C0A86AA}"/>
            </a:ext>
          </a:extLst>
        </xdr:cNvPr>
        <xdr:cNvPicPr>
          <a:picLocks noChangeAspect="1"/>
        </xdr:cNvPicPr>
      </xdr:nvPicPr>
      <xdr:blipFill>
        <a:blip xmlns:r="http://schemas.openxmlformats.org/officeDocument/2006/relationships" r:embed="rId1"/>
        <a:stretch>
          <a:fillRect/>
        </a:stretch>
      </xdr:blipFill>
      <xdr:spPr>
        <a:xfrm>
          <a:off x="9058275" y="2647950"/>
          <a:ext cx="5182226" cy="9250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athryn.grond\Downloads\BCA%20Calculation.xlsx" TargetMode="External"/><Relationship Id="rId1" Type="http://schemas.openxmlformats.org/officeDocument/2006/relationships/externalLinkPath" Target="file:///C:\Users\kathryn.grond\Downloads\BCA%20Calcul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verview"/>
      <sheetName val="Project Information"/>
      <sheetName val="Parameter Values"/>
      <sheetName val="Inputs"/>
      <sheetName val="Outputs"/>
      <sheetName val="User Volumes"/>
      <sheetName val="Capital Costs"/>
      <sheetName val="Operations and Maintenance"/>
      <sheetName val="Safety"/>
      <sheetName val="Travel Time Savings"/>
      <sheetName val="Vehicle Operating Cost Savings"/>
      <sheetName val="Emissions Reduction"/>
      <sheetName val="Amenity Benefits"/>
      <sheetName val="Health Benefits"/>
      <sheetName val="Summary"/>
      <sheetName val="Final Results"/>
      <sheetName val="Other Highway Use Externalities"/>
      <sheetName val="Residual Value"/>
      <sheetName val="Other Benefit 1"/>
      <sheetName val="Other Benefit 2"/>
      <sheetName val="Other Benefit 3"/>
      <sheetName val="Other Benefit 4"/>
    </sheetNames>
    <sheetDataSet>
      <sheetData sheetId="0"/>
      <sheetData sheetId="1"/>
      <sheetData sheetId="2">
        <row r="145">
          <cell r="A145" t="str">
            <v>Install Marked-Crosswalk on Roadway with Volumes ≥10,000 Vehicle per Day</v>
          </cell>
        </row>
        <row r="146">
          <cell r="A146" t="str">
            <v>Install Signal for Pedestrian Crossing on Roadway with Volumes ≥13,000 Vehicles per Day</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fhwa.dot.gov/innovation/everydaycounts/edc-1/asct.cfm"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transportation.gov/mission/office-secretary/office-policy/transportation-policy/benefit-cost-analysis-guidanc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7D2A8-0D1D-45CA-80EB-C8363DA63B93}">
  <sheetPr>
    <tabColor theme="0" tint="-0.249977111117893"/>
  </sheetPr>
  <dimension ref="A1:B23"/>
  <sheetViews>
    <sheetView topLeftCell="A17" zoomScale="130" zoomScaleNormal="130" workbookViewId="0">
      <selection activeCell="A34" sqref="A34"/>
    </sheetView>
  </sheetViews>
  <sheetFormatPr defaultColWidth="9.109375" defaultRowHeight="14.4" x14ac:dyDescent="0.3"/>
  <cols>
    <col min="1" max="1" width="72.88671875" style="5" customWidth="1"/>
    <col min="2" max="2" width="11.33203125" style="5" bestFit="1" customWidth="1"/>
    <col min="3" max="16384" width="9.109375" style="5"/>
  </cols>
  <sheetData>
    <row r="1" spans="1:1" ht="20.399999999999999" thickBot="1" x14ac:dyDescent="0.45">
      <c r="A1" s="45" t="s">
        <v>0</v>
      </c>
    </row>
    <row r="2" spans="1:1" ht="15" thickTop="1" x14ac:dyDescent="0.3">
      <c r="A2" s="46" t="s">
        <v>1</v>
      </c>
    </row>
    <row r="3" spans="1:1" ht="18" thickBot="1" x14ac:dyDescent="0.4">
      <c r="A3" s="48" t="s">
        <v>2</v>
      </c>
    </row>
    <row r="4" spans="1:1" ht="75.900000000000006" customHeight="1" thickTop="1" x14ac:dyDescent="0.3">
      <c r="A4" s="50" t="s">
        <v>3</v>
      </c>
    </row>
    <row r="5" spans="1:1" x14ac:dyDescent="0.3">
      <c r="A5" s="46" t="s">
        <v>4</v>
      </c>
    </row>
    <row r="6" spans="1:1" ht="18" thickBot="1" x14ac:dyDescent="0.4">
      <c r="A6" s="47" t="s">
        <v>5</v>
      </c>
    </row>
    <row r="7" spans="1:1" ht="15" thickTop="1" x14ac:dyDescent="0.3">
      <c r="A7" s="52" t="s">
        <v>6</v>
      </c>
    </row>
    <row r="8" spans="1:1" x14ac:dyDescent="0.3">
      <c r="A8" s="52" t="s">
        <v>7</v>
      </c>
    </row>
    <row r="9" spans="1:1" ht="28.8" x14ac:dyDescent="0.3">
      <c r="A9" s="51" t="s">
        <v>8</v>
      </c>
    </row>
    <row r="10" spans="1:1" x14ac:dyDescent="0.3">
      <c r="A10" s="53" t="str">
        <f>HYPERLINK("https://www.transportation.gov/mission/office-secretary/office-policy/transportation-policy/benefit-cost-analysis-guidance", "See USDOT BCA Guidance for full details.")</f>
        <v>See USDOT BCA Guidance for full details.</v>
      </c>
    </row>
    <row r="11" spans="1:1" x14ac:dyDescent="0.3">
      <c r="A11" s="46" t="s">
        <v>1</v>
      </c>
    </row>
    <row r="12" spans="1:1" ht="18" thickBot="1" x14ac:dyDescent="0.4">
      <c r="A12" s="47" t="s">
        <v>9</v>
      </c>
    </row>
    <row r="13" spans="1:1" ht="15" thickTop="1" x14ac:dyDescent="0.3">
      <c r="A13" s="54" t="s">
        <v>10</v>
      </c>
    </row>
    <row r="14" spans="1:1" ht="28.8" x14ac:dyDescent="0.3">
      <c r="A14" s="158" t="s">
        <v>11</v>
      </c>
    </row>
    <row r="15" spans="1:1" ht="28.8" x14ac:dyDescent="0.3">
      <c r="A15" s="159" t="s">
        <v>12</v>
      </c>
    </row>
    <row r="16" spans="1:1" ht="28.8" x14ac:dyDescent="0.3">
      <c r="A16" s="161" t="s">
        <v>13</v>
      </c>
    </row>
    <row r="17" spans="1:2" ht="43.2" x14ac:dyDescent="0.3">
      <c r="A17" s="49" t="s">
        <v>14</v>
      </c>
    </row>
    <row r="18" spans="1:2" x14ac:dyDescent="0.3">
      <c r="A18" s="49" t="s">
        <v>15</v>
      </c>
    </row>
    <row r="19" spans="1:2" ht="43.2" x14ac:dyDescent="0.3">
      <c r="A19" s="55" t="s">
        <v>16</v>
      </c>
    </row>
    <row r="22" spans="1:2" x14ac:dyDescent="0.3">
      <c r="A22" s="6" t="s">
        <v>17</v>
      </c>
      <c r="B22" s="166">
        <v>2024</v>
      </c>
    </row>
    <row r="23" spans="1:2" x14ac:dyDescent="0.3">
      <c r="A23" s="2" t="s">
        <v>18</v>
      </c>
      <c r="B23" s="167">
        <v>46014</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A464A-8D12-4AB5-8A49-F5EA91C50422}">
  <sheetPr>
    <tabColor theme="9" tint="0.39997558519241921"/>
  </sheetPr>
  <dimension ref="A1:BB111"/>
  <sheetViews>
    <sheetView tabSelected="1" topLeftCell="C20" workbookViewId="0">
      <selection activeCell="J35" sqref="J35"/>
    </sheetView>
  </sheetViews>
  <sheetFormatPr defaultColWidth="9.109375" defaultRowHeight="14.4" x14ac:dyDescent="0.3"/>
  <cols>
    <col min="1" max="1" width="28.5546875" style="5" customWidth="1"/>
    <col min="2" max="2" width="27.44140625" style="5" customWidth="1"/>
    <col min="3" max="3" width="28.88671875" style="5" customWidth="1"/>
    <col min="4" max="4" width="30.88671875" style="5" customWidth="1"/>
    <col min="5" max="8" width="9.109375" style="5"/>
    <col min="9" max="9" width="46.5546875" style="213" customWidth="1"/>
    <col min="10" max="10" width="20.109375" style="213" customWidth="1"/>
    <col min="11" max="16384" width="9.109375" style="5"/>
  </cols>
  <sheetData>
    <row r="1" spans="1:10" ht="20.399999999999999" thickBot="1" x14ac:dyDescent="0.45">
      <c r="A1" s="93" t="s">
        <v>285</v>
      </c>
    </row>
    <row r="2" spans="1:10" ht="15" thickTop="1" x14ac:dyDescent="0.3">
      <c r="A2" s="144" t="s">
        <v>334</v>
      </c>
      <c r="B2" s="144"/>
      <c r="C2" s="144"/>
      <c r="D2" s="144"/>
      <c r="E2" s="144"/>
      <c r="F2" s="144"/>
      <c r="G2" s="144"/>
    </row>
    <row r="3" spans="1:10" x14ac:dyDescent="0.3">
      <c r="A3" s="5" t="s">
        <v>21</v>
      </c>
    </row>
    <row r="4" spans="1:10" x14ac:dyDescent="0.3">
      <c r="A4" s="145" t="s">
        <v>317</v>
      </c>
      <c r="B4" s="144"/>
      <c r="C4" s="144"/>
      <c r="D4" s="144"/>
      <c r="E4" s="144"/>
      <c r="F4" s="144"/>
      <c r="G4" s="144"/>
      <c r="H4" s="144"/>
      <c r="I4" s="147"/>
      <c r="J4" s="147"/>
    </row>
    <row r="5" spans="1:10" x14ac:dyDescent="0.3">
      <c r="A5" s="38" t="s">
        <v>21</v>
      </c>
    </row>
    <row r="6" spans="1:10" x14ac:dyDescent="0.3">
      <c r="A6" s="94" t="s">
        <v>335</v>
      </c>
    </row>
    <row r="7" spans="1:10" x14ac:dyDescent="0.3">
      <c r="A7" s="113" t="s">
        <v>53</v>
      </c>
      <c r="B7" s="113" t="s">
        <v>370</v>
      </c>
    </row>
    <row r="8" spans="1:10" x14ac:dyDescent="0.3">
      <c r="A8" s="35" t="s">
        <v>371</v>
      </c>
      <c r="B8" s="39">
        <f>'Parameter Values'!B24</f>
        <v>20.100000000000001</v>
      </c>
    </row>
    <row r="9" spans="1:10" x14ac:dyDescent="0.3">
      <c r="A9" s="35" t="s">
        <v>372</v>
      </c>
      <c r="B9" s="39">
        <f>'Parameter Values'!B25</f>
        <v>34.6</v>
      </c>
    </row>
    <row r="10" spans="1:10" x14ac:dyDescent="0.3">
      <c r="A10" s="35" t="s">
        <v>373</v>
      </c>
      <c r="B10" s="39">
        <f>'Parameter Values'!B26</f>
        <v>21.8</v>
      </c>
    </row>
    <row r="11" spans="1:10" ht="28.8" x14ac:dyDescent="0.3">
      <c r="A11" s="35" t="s">
        <v>374</v>
      </c>
      <c r="B11" s="39">
        <f>'Parameter Values'!B28</f>
        <v>40.200000000000003</v>
      </c>
    </row>
    <row r="12" spans="1:10" x14ac:dyDescent="0.3">
      <c r="A12" s="35" t="s">
        <v>375</v>
      </c>
      <c r="B12" s="39"/>
    </row>
    <row r="13" spans="1:10" x14ac:dyDescent="0.3">
      <c r="A13" s="35" t="s">
        <v>61</v>
      </c>
      <c r="B13" s="39">
        <f>'Parameter Values'!B31</f>
        <v>37.200000000000003</v>
      </c>
    </row>
    <row r="14" spans="1:10" x14ac:dyDescent="0.3">
      <c r="A14" s="35" t="s">
        <v>62</v>
      </c>
      <c r="B14" s="39">
        <f>'Parameter Values'!B32</f>
        <v>40.299999999999997</v>
      </c>
    </row>
    <row r="15" spans="1:10" x14ac:dyDescent="0.3">
      <c r="A15" s="35" t="s">
        <v>63</v>
      </c>
      <c r="B15" s="39">
        <f>'Parameter Values'!B33</f>
        <v>59.5</v>
      </c>
    </row>
    <row r="16" spans="1:10" x14ac:dyDescent="0.3">
      <c r="A16" s="35" t="s">
        <v>64</v>
      </c>
      <c r="B16" s="39">
        <f>'Parameter Values'!B34</f>
        <v>54.2</v>
      </c>
    </row>
    <row r="17" spans="1:54" x14ac:dyDescent="0.3">
      <c r="A17" s="38" t="s">
        <v>21</v>
      </c>
    </row>
    <row r="18" spans="1:54" ht="15" thickBot="1" x14ac:dyDescent="0.35">
      <c r="A18" s="94" t="s">
        <v>376</v>
      </c>
    </row>
    <row r="19" spans="1:54" x14ac:dyDescent="0.3">
      <c r="A19" s="104" t="s">
        <v>308</v>
      </c>
      <c r="B19" s="105" t="s">
        <v>377</v>
      </c>
      <c r="C19" s="105" t="s">
        <v>378</v>
      </c>
      <c r="D19" s="111" t="s">
        <v>379</v>
      </c>
      <c r="G19" s="10" t="s">
        <v>307</v>
      </c>
      <c r="H19" s="11"/>
      <c r="I19" s="214"/>
      <c r="J19" s="214"/>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2"/>
    </row>
    <row r="20" spans="1:54" x14ac:dyDescent="0.3">
      <c r="A20" s="6">
        <f>'Project Information'!$B$9</f>
        <v>2032</v>
      </c>
      <c r="B20" s="318">
        <f>J$31*'User Volumes'!B10</f>
        <v>33864992</v>
      </c>
      <c r="C20" s="318">
        <f>J$32*'User Volumes'!C10</f>
        <v>30478492.800000004</v>
      </c>
      <c r="D20" s="26">
        <f>B20-C20</f>
        <v>3386499.1999999955</v>
      </c>
      <c r="G20" s="13"/>
      <c r="H20"/>
      <c r="I20" s="215"/>
      <c r="J20" s="215"/>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s="14"/>
    </row>
    <row r="21" spans="1:54" x14ac:dyDescent="0.3">
      <c r="A21" s="1">
        <f>IF(A20&lt;'Project Information'!B$11,A20+1,"")</f>
        <v>2033</v>
      </c>
      <c r="B21" s="318">
        <f>J$31*'User Volumes'!B11</f>
        <v>34034316.959999993</v>
      </c>
      <c r="C21" s="318">
        <f>J$32*'User Volumes'!C11</f>
        <v>30630885.263999999</v>
      </c>
      <c r="D21" s="8">
        <f t="shared" ref="D21:D49" si="0">B21-C21</f>
        <v>3403431.6959999949</v>
      </c>
      <c r="G21" s="13"/>
      <c r="H21"/>
      <c r="I21" s="215"/>
      <c r="J21" s="216"/>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s="14"/>
    </row>
    <row r="22" spans="1:54" x14ac:dyDescent="0.3">
      <c r="A22" s="1">
        <f>IF(A21&lt;'Project Information'!B$11,A21+1,"")</f>
        <v>2034</v>
      </c>
      <c r="B22" s="318">
        <f>J$31*'User Volumes'!B12</f>
        <v>34204488.544799991</v>
      </c>
      <c r="C22" s="318">
        <f>J$32*'User Volumes'!C12</f>
        <v>30784039.690319993</v>
      </c>
      <c r="D22" s="8">
        <f t="shared" si="0"/>
        <v>3420448.8544799984</v>
      </c>
      <c r="G22" s="13"/>
      <c r="H22"/>
      <c r="I22" s="211" t="s">
        <v>380</v>
      </c>
      <c r="J22" s="215"/>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s="14"/>
    </row>
    <row r="23" spans="1:54" x14ac:dyDescent="0.3">
      <c r="A23" s="1">
        <f>IF(A22&lt;'Project Information'!B$11,A22+1,"")</f>
        <v>2035</v>
      </c>
      <c r="B23" s="318">
        <f>J$31*'User Volumes'!B13</f>
        <v>34375510.98752398</v>
      </c>
      <c r="C23" s="318">
        <f>J$32*'User Volumes'!C13</f>
        <v>30937959.888771586</v>
      </c>
      <c r="D23" s="8">
        <f t="shared" si="0"/>
        <v>3437551.0987523943</v>
      </c>
      <c r="G23" s="13"/>
      <c r="H23"/>
      <c r="I23" t="s">
        <v>381</v>
      </c>
      <c r="J23" s="215"/>
      <c r="K23"/>
      <c r="L23" s="212"/>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s="14"/>
    </row>
    <row r="24" spans="1:54" x14ac:dyDescent="0.3">
      <c r="A24" s="1">
        <f>IF(A23&lt;'Project Information'!B$11,A23+1,"")</f>
        <v>2036</v>
      </c>
      <c r="B24" s="318">
        <f>J$31*'User Volumes'!B14</f>
        <v>34547388.542461604</v>
      </c>
      <c r="C24" s="318">
        <f>J$32*'User Volumes'!C14</f>
        <v>31092649.688215446</v>
      </c>
      <c r="D24" s="8">
        <f t="shared" si="0"/>
        <v>3454738.8542461582</v>
      </c>
      <c r="G24" s="13"/>
      <c r="H24"/>
      <c r="I24" s="215"/>
      <c r="J24" s="215"/>
      <c r="K24"/>
      <c r="L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s="14"/>
    </row>
    <row r="25" spans="1:54" x14ac:dyDescent="0.3">
      <c r="A25" s="1">
        <f>IF(A24&lt;'Project Information'!B$11,A24+1,"")</f>
        <v>2037</v>
      </c>
      <c r="B25" s="318">
        <f>J$31*'User Volumes'!B15</f>
        <v>34720125.485173903</v>
      </c>
      <c r="C25" s="318">
        <f>J$32*'User Volumes'!C15</f>
        <v>31248112.93665652</v>
      </c>
      <c r="D25" s="8">
        <f t="shared" si="0"/>
        <v>3472012.5485173836</v>
      </c>
      <c r="G25" s="13"/>
      <c r="H25"/>
      <c r="I25" s="215" t="s">
        <v>382</v>
      </c>
      <c r="J25" s="319">
        <v>0.1</v>
      </c>
      <c r="K25" s="310" t="s">
        <v>383</v>
      </c>
      <c r="L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s="14"/>
    </row>
    <row r="26" spans="1:54" x14ac:dyDescent="0.3">
      <c r="A26" s="1">
        <f>IF(A25&lt;'Project Information'!B$11,A25+1,"")</f>
        <v>2038</v>
      </c>
      <c r="B26" s="318">
        <f>J$31*'User Volumes'!B16</f>
        <v>34893726.112599768</v>
      </c>
      <c r="C26" s="318">
        <f>J$32*'User Volumes'!C16</f>
        <v>31404353.501339797</v>
      </c>
      <c r="D26" s="8">
        <f t="shared" si="0"/>
        <v>3489372.6112599708</v>
      </c>
      <c r="G26" s="13"/>
      <c r="H26"/>
      <c r="I26" s="215" t="s">
        <v>384</v>
      </c>
      <c r="J26" s="328">
        <v>12</v>
      </c>
      <c r="K26" s="310" t="s">
        <v>385</v>
      </c>
      <c r="L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s="14"/>
    </row>
    <row r="27" spans="1:54" x14ac:dyDescent="0.3">
      <c r="A27" s="1">
        <f>IF(A26&lt;'Project Information'!B$11,A26+1,"")</f>
        <v>2039</v>
      </c>
      <c r="B27" s="318">
        <f>J$31*'User Volumes'!B17</f>
        <v>35068194.743162766</v>
      </c>
      <c r="C27" s="318">
        <f>J$32*'User Volumes'!C17</f>
        <v>31561375.268846493</v>
      </c>
      <c r="D27" s="8">
        <f t="shared" si="0"/>
        <v>3506819.4743162729</v>
      </c>
      <c r="G27" s="13"/>
      <c r="H27"/>
      <c r="I27" s="215" t="s">
        <v>386</v>
      </c>
      <c r="J27" s="320">
        <f>J26*(1-J25)</f>
        <v>10.8</v>
      </c>
      <c r="K27" s="310" t="s">
        <v>387</v>
      </c>
      <c r="L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s="14"/>
    </row>
    <row r="28" spans="1:54" x14ac:dyDescent="0.3">
      <c r="A28" s="1">
        <f>IF(A27&lt;'Project Information'!B$11,A27+1,"")</f>
        <v>2040</v>
      </c>
      <c r="B28" s="318">
        <f>J$31*'User Volumes'!B18</f>
        <v>35243535.716878578</v>
      </c>
      <c r="C28" s="318">
        <f>J$32*'User Volumes'!C18</f>
        <v>31719182.145190723</v>
      </c>
      <c r="D28" s="8">
        <f t="shared" si="0"/>
        <v>3524353.5716878548</v>
      </c>
      <c r="G28" s="13"/>
      <c r="H28"/>
      <c r="I28" s="215" t="s">
        <v>388</v>
      </c>
      <c r="J28" s="215">
        <f>'Parameter Values'!B26</f>
        <v>21.8</v>
      </c>
      <c r="K28" t="s">
        <v>389</v>
      </c>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s="14"/>
    </row>
    <row r="29" spans="1:54" x14ac:dyDescent="0.3">
      <c r="A29" s="1">
        <f>IF(A28&lt;'Project Information'!B$11,A28+1,"")</f>
        <v>2041</v>
      </c>
      <c r="B29" s="318">
        <f>J$31*'User Volumes'!B19</f>
        <v>35419753.395462967</v>
      </c>
      <c r="C29" s="318">
        <f>J$32*'User Volumes'!C19</f>
        <v>31877778.055916674</v>
      </c>
      <c r="D29" s="8">
        <f t="shared" si="0"/>
        <v>3541975.339546293</v>
      </c>
      <c r="G29" s="13"/>
      <c r="H29"/>
      <c r="I29" s="215" t="s">
        <v>390</v>
      </c>
      <c r="J29" s="215">
        <v>1.52</v>
      </c>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s="14"/>
    </row>
    <row r="30" spans="1:54" x14ac:dyDescent="0.3">
      <c r="A30" s="1">
        <f>IF(A29&lt;'Project Information'!B$11,A29+1,"")</f>
        <v>2042</v>
      </c>
      <c r="B30" s="318">
        <f>J$31*'User Volumes'!B20</f>
        <v>35596852.162440278</v>
      </c>
      <c r="C30" s="318">
        <f>J$32*'User Volumes'!C20</f>
        <v>32037166.946196254</v>
      </c>
      <c r="D30" s="8">
        <f t="shared" si="0"/>
        <v>3559685.2162440233</v>
      </c>
      <c r="G30" s="13"/>
      <c r="H30"/>
      <c r="I30" s="215"/>
      <c r="J30" s="215"/>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s="14"/>
    </row>
    <row r="31" spans="1:54" x14ac:dyDescent="0.3">
      <c r="A31" s="1">
        <f>IF(A30&lt;'Project Information'!B$11,A30+1,"")</f>
        <v>2043</v>
      </c>
      <c r="B31" s="318">
        <f>J$31*'User Volumes'!B21</f>
        <v>35774836.423252478</v>
      </c>
      <c r="C31" s="318">
        <f>J$32*'User Volumes'!C21</f>
        <v>32197352.780927233</v>
      </c>
      <c r="D31" s="8">
        <f t="shared" si="0"/>
        <v>3577483.6423252448</v>
      </c>
      <c r="G31" s="13"/>
      <c r="H31"/>
      <c r="I31" s="215" t="s">
        <v>391</v>
      </c>
      <c r="J31" s="331">
        <f>J28*(J26/60)*J29</f>
        <v>6.6272000000000002</v>
      </c>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s="14"/>
    </row>
    <row r="32" spans="1:54" x14ac:dyDescent="0.3">
      <c r="A32" s="1">
        <f>IF(A31&lt;'Project Information'!B$11,A31+1,"")</f>
        <v>2044</v>
      </c>
      <c r="B32" s="318">
        <f>J$31*'User Volumes'!B22</f>
        <v>35953710.605368733</v>
      </c>
      <c r="C32" s="318">
        <f>J$32*'User Volumes'!C22</f>
        <v>32358339.544831865</v>
      </c>
      <c r="D32" s="8">
        <f t="shared" si="0"/>
        <v>3595371.0605368689</v>
      </c>
      <c r="G32" s="13"/>
      <c r="H32"/>
      <c r="I32" s="215" t="s">
        <v>392</v>
      </c>
      <c r="J32" s="331">
        <f>J28*(J27/60)*J29</f>
        <v>5.9644800000000009</v>
      </c>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s="14"/>
    </row>
    <row r="33" spans="1:54" x14ac:dyDescent="0.3">
      <c r="A33" s="1">
        <f>IF(A32&lt;'Project Information'!B$11,A32+1,"")</f>
        <v>2045</v>
      </c>
      <c r="B33" s="318">
        <f>J$31*'User Volumes'!B23</f>
        <v>36133479.158395581</v>
      </c>
      <c r="C33" s="318">
        <f>J$32*'User Volumes'!C23</f>
        <v>32520131.242556024</v>
      </c>
      <c r="D33" s="8">
        <f t="shared" si="0"/>
        <v>3613347.9158395566</v>
      </c>
      <c r="G33" s="13"/>
      <c r="H33"/>
      <c r="I33" s="215" t="s">
        <v>393</v>
      </c>
      <c r="J33" s="393">
        <f>J31-J32</f>
        <v>0.66271999999999931</v>
      </c>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s="14"/>
    </row>
    <row r="34" spans="1:54" x14ac:dyDescent="0.3">
      <c r="A34" s="1">
        <f>IF(A33&lt;'Project Information'!B$11,A33+1,"")</f>
        <v>2046</v>
      </c>
      <c r="B34" s="318">
        <f>J$31*'User Volumes'!B24</f>
        <v>36314146.554187551</v>
      </c>
      <c r="C34" s="318">
        <f>J$32*'User Volumes'!C24</f>
        <v>32682731.898768798</v>
      </c>
      <c r="D34" s="8">
        <f t="shared" si="0"/>
        <v>3631414.6554187536</v>
      </c>
      <c r="G34" s="13"/>
      <c r="H34"/>
      <c r="I34" s="215"/>
      <c r="J34" s="215"/>
      <c r="K34"/>
      <c r="L34"/>
      <c r="M34" s="212"/>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s="14"/>
    </row>
    <row r="35" spans="1:54" x14ac:dyDescent="0.3">
      <c r="A35" s="1">
        <f>IF(A34&lt;'Project Information'!B$11,A34+1,"")</f>
        <v>2047</v>
      </c>
      <c r="B35" s="318">
        <f>J$31*'User Volumes'!B25</f>
        <v>36495717.286958486</v>
      </c>
      <c r="C35" s="318">
        <f>J$32*'User Volumes'!C25</f>
        <v>32846145.558262639</v>
      </c>
      <c r="D35" s="8">
        <f t="shared" si="0"/>
        <v>3649571.7286958471</v>
      </c>
      <c r="G35" s="13"/>
      <c r="H35"/>
      <c r="I35" s="215"/>
      <c r="J35" s="21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s="14"/>
    </row>
    <row r="36" spans="1:54" x14ac:dyDescent="0.3">
      <c r="A36" s="1">
        <f>IF(A35&lt;'Project Information'!B$11,A35+1,"")</f>
        <v>2048</v>
      </c>
      <c r="B36" s="318">
        <f>J$31*'User Volumes'!B26</f>
        <v>36678195.873393275</v>
      </c>
      <c r="C36" s="318">
        <f>J$32*'User Volumes'!C26</f>
        <v>33010376.286053948</v>
      </c>
      <c r="D36" s="8">
        <f t="shared" si="0"/>
        <v>3667819.5873393267</v>
      </c>
      <c r="G36" s="13"/>
      <c r="H36"/>
      <c r="I36" s="215"/>
      <c r="J36" s="215"/>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s="14"/>
    </row>
    <row r="37" spans="1:54" ht="13.5" customHeight="1" x14ac:dyDescent="0.3">
      <c r="A37" s="1">
        <f>IF(A36&lt;'Project Information'!B$11,A36+1,"")</f>
        <v>2049</v>
      </c>
      <c r="B37" s="318">
        <f>J$31*'User Volumes'!B27</f>
        <v>36861586.852760233</v>
      </c>
      <c r="C37" s="318">
        <f>J$32*'User Volumes'!C27</f>
        <v>33175428.167484216</v>
      </c>
      <c r="D37" s="8">
        <f t="shared" si="0"/>
        <v>3686158.6852760166</v>
      </c>
      <c r="G37" s="13"/>
      <c r="H37"/>
      <c r="I37" s="215"/>
      <c r="J37" s="215"/>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s="14"/>
    </row>
    <row r="38" spans="1:54" x14ac:dyDescent="0.3">
      <c r="A38" s="1">
        <f>IF(A37&lt;'Project Information'!B$11,A37+1,"")</f>
        <v>2050</v>
      </c>
      <c r="B38" s="318">
        <f>J$31*'User Volumes'!B28</f>
        <v>37045894.787024036</v>
      </c>
      <c r="C38" s="318">
        <f>J$32*'User Volumes'!C28</f>
        <v>33341305.308321636</v>
      </c>
      <c r="D38" s="8">
        <f t="shared" si="0"/>
        <v>3704589.4787023999</v>
      </c>
      <c r="G38" s="13"/>
      <c r="H38"/>
      <c r="I38" s="215"/>
      <c r="J38" s="215"/>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s="14"/>
    </row>
    <row r="39" spans="1:54" x14ac:dyDescent="0.3">
      <c r="A39" s="1">
        <f>IF(A38&lt;'Project Information'!B$11,A38+1,"")</f>
        <v>2051</v>
      </c>
      <c r="B39" s="318">
        <f>J$31*'User Volumes'!B29</f>
        <v>37231124.260959156</v>
      </c>
      <c r="C39" s="318">
        <f>J$32*'User Volumes'!C29</f>
        <v>33508011.834863242</v>
      </c>
      <c r="D39" s="8">
        <f t="shared" si="0"/>
        <v>3723112.4260959141</v>
      </c>
      <c r="G39" s="13"/>
      <c r="H39"/>
      <c r="I39" s="215"/>
      <c r="J39" s="215"/>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s="14"/>
    </row>
    <row r="40" spans="1:54" x14ac:dyDescent="0.3">
      <c r="A40" s="1" t="str">
        <f>IF(A39&lt;'Project Information'!B$11,A39+1,"")</f>
        <v/>
      </c>
      <c r="B40" s="318">
        <f>J$31*'User Volumes'!B30</f>
        <v>0</v>
      </c>
      <c r="C40" s="318">
        <f>J$32*'User Volumes'!C30</f>
        <v>0</v>
      </c>
      <c r="D40" s="8">
        <f t="shared" si="0"/>
        <v>0</v>
      </c>
      <c r="G40" s="13"/>
      <c r="H40"/>
      <c r="I40" s="215"/>
      <c r="J40" s="215"/>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s="14"/>
    </row>
    <row r="41" spans="1:54" x14ac:dyDescent="0.3">
      <c r="A41" s="1" t="str">
        <f>IF(A40&lt;'Project Information'!B$11,A40+1,"")</f>
        <v/>
      </c>
      <c r="B41" s="318">
        <f>J$31*'User Volumes'!B31</f>
        <v>0</v>
      </c>
      <c r="C41" s="318">
        <f>J$32*'User Volumes'!C31</f>
        <v>0</v>
      </c>
      <c r="D41" s="8">
        <f t="shared" si="0"/>
        <v>0</v>
      </c>
      <c r="G41" s="13"/>
      <c r="H41"/>
      <c r="I41" s="215"/>
      <c r="J41" s="215"/>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s="14"/>
    </row>
    <row r="42" spans="1:54" x14ac:dyDescent="0.3">
      <c r="A42" s="1" t="str">
        <f>IF(A41&lt;'Project Information'!B$11,A41+1,"")</f>
        <v/>
      </c>
      <c r="B42" s="318">
        <f>J$31*'User Volumes'!B32</f>
        <v>0</v>
      </c>
      <c r="C42" s="318">
        <f>J$32*'User Volumes'!C32</f>
        <v>0</v>
      </c>
      <c r="D42" s="8">
        <f t="shared" si="0"/>
        <v>0</v>
      </c>
      <c r="G42" s="13"/>
      <c r="H42"/>
      <c r="I42" s="215"/>
      <c r="J42" s="215"/>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s="14"/>
    </row>
    <row r="43" spans="1:54" x14ac:dyDescent="0.3">
      <c r="A43" s="1" t="str">
        <f>IF(A42&lt;'Project Information'!B$11,A42+1,"")</f>
        <v/>
      </c>
      <c r="B43" s="318">
        <f>J$31*'User Volumes'!B33</f>
        <v>0</v>
      </c>
      <c r="C43" s="318">
        <f>J$32*'User Volumes'!C33</f>
        <v>0</v>
      </c>
      <c r="D43" s="8">
        <f t="shared" si="0"/>
        <v>0</v>
      </c>
      <c r="G43" s="13"/>
      <c r="H43"/>
      <c r="I43" s="215"/>
      <c r="J43" s="215"/>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s="14"/>
    </row>
    <row r="44" spans="1:54" x14ac:dyDescent="0.3">
      <c r="A44" s="1" t="str">
        <f>IF(A43&lt;'Project Information'!B$11,A43+1,"")</f>
        <v/>
      </c>
      <c r="B44" s="318">
        <f>J$31*'User Volumes'!B34</f>
        <v>0</v>
      </c>
      <c r="C44" s="318">
        <f>J$32*'User Volumes'!C34</f>
        <v>0</v>
      </c>
      <c r="D44" s="8">
        <f t="shared" si="0"/>
        <v>0</v>
      </c>
      <c r="G44" s="13"/>
      <c r="H44"/>
      <c r="I44" s="215"/>
      <c r="J44" s="215"/>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s="14"/>
    </row>
    <row r="45" spans="1:54" x14ac:dyDescent="0.3">
      <c r="A45" s="1" t="str">
        <f>IF(A44&lt;'Project Information'!B$11,A44+1,"")</f>
        <v/>
      </c>
      <c r="B45" s="318">
        <f>J$31*'User Volumes'!B35</f>
        <v>0</v>
      </c>
      <c r="C45" s="318">
        <f>J$32*'User Volumes'!C35</f>
        <v>0</v>
      </c>
      <c r="D45" s="8">
        <f t="shared" si="0"/>
        <v>0</v>
      </c>
      <c r="G45" s="13"/>
      <c r="H45"/>
      <c r="I45" s="215"/>
      <c r="J45" s="21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s="14"/>
    </row>
    <row r="46" spans="1:54" x14ac:dyDescent="0.3">
      <c r="A46" s="1" t="str">
        <f>IF(A45&lt;'Project Information'!B$11,A45+1,"")</f>
        <v/>
      </c>
      <c r="B46" s="318">
        <f>J$31*'User Volumes'!B36</f>
        <v>0</v>
      </c>
      <c r="C46" s="318">
        <f>J$32*'User Volumes'!C36</f>
        <v>0</v>
      </c>
      <c r="D46" s="8">
        <f t="shared" si="0"/>
        <v>0</v>
      </c>
      <c r="G46" s="13"/>
      <c r="H46"/>
      <c r="I46" s="215"/>
      <c r="J46" s="215"/>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s="14"/>
    </row>
    <row r="47" spans="1:54" x14ac:dyDescent="0.3">
      <c r="A47" s="1" t="str">
        <f>IF(A46&lt;'Project Information'!B$11,A46+1,"")</f>
        <v/>
      </c>
      <c r="B47" s="318">
        <f>J$31*'User Volumes'!B37</f>
        <v>0</v>
      </c>
      <c r="C47" s="318">
        <f>J$32*'User Volumes'!C37</f>
        <v>0</v>
      </c>
      <c r="D47" s="8">
        <f t="shared" si="0"/>
        <v>0</v>
      </c>
      <c r="G47" s="13"/>
      <c r="H47"/>
      <c r="I47" s="215"/>
      <c r="J47" s="215"/>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s="14"/>
    </row>
    <row r="48" spans="1:54" x14ac:dyDescent="0.3">
      <c r="A48" s="1" t="str">
        <f>IF(A47&lt;'Project Information'!B$11,A47+1,"")</f>
        <v/>
      </c>
      <c r="B48" s="318">
        <f>J$31*'User Volumes'!B38</f>
        <v>0</v>
      </c>
      <c r="C48" s="318">
        <f>J$32*'User Volumes'!C38</f>
        <v>0</v>
      </c>
      <c r="D48" s="8">
        <f t="shared" si="0"/>
        <v>0</v>
      </c>
      <c r="G48" s="13"/>
      <c r="H48"/>
      <c r="I48" s="215"/>
      <c r="J48" s="215"/>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s="14"/>
    </row>
    <row r="49" spans="1:54" x14ac:dyDescent="0.3">
      <c r="A49" s="1" t="str">
        <f>IF(A48&lt;'Project Information'!B$11,A48+1,"")</f>
        <v/>
      </c>
      <c r="B49" s="318">
        <f>J$31*'User Volumes'!B39</f>
        <v>0</v>
      </c>
      <c r="C49" s="318">
        <f>J$32*'User Volumes'!C39</f>
        <v>0</v>
      </c>
      <c r="D49" s="9">
        <f t="shared" si="0"/>
        <v>0</v>
      </c>
      <c r="G49" s="13"/>
      <c r="H49"/>
      <c r="I49" s="215"/>
      <c r="J49" s="215"/>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s="14"/>
    </row>
    <row r="50" spans="1:54" x14ac:dyDescent="0.3">
      <c r="A50" s="31"/>
      <c r="B50" s="32"/>
      <c r="C50" s="32"/>
      <c r="D50" s="29"/>
      <c r="G50" s="13"/>
      <c r="H50"/>
      <c r="I50" s="215"/>
      <c r="J50" s="215"/>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s="14"/>
    </row>
    <row r="51" spans="1:54" x14ac:dyDescent="0.3">
      <c r="B51" s="28"/>
      <c r="C51" s="28"/>
      <c r="D51" s="29"/>
      <c r="G51" s="13"/>
      <c r="H51"/>
      <c r="I51" s="215"/>
      <c r="J51" s="215"/>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s="14"/>
    </row>
    <row r="52" spans="1:54" x14ac:dyDescent="0.3">
      <c r="B52" s="28"/>
      <c r="C52" s="28"/>
      <c r="D52" s="29"/>
      <c r="G52" s="13"/>
      <c r="H52"/>
      <c r="I52" s="215"/>
      <c r="J52" s="215"/>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s="14"/>
    </row>
    <row r="53" spans="1:54" x14ac:dyDescent="0.3">
      <c r="B53" s="28"/>
      <c r="C53" s="28"/>
      <c r="D53" s="29"/>
      <c r="G53" s="13"/>
      <c r="H53"/>
      <c r="I53" s="215"/>
      <c r="J53" s="215"/>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s="14"/>
    </row>
    <row r="54" spans="1:54" x14ac:dyDescent="0.3">
      <c r="B54" s="28"/>
      <c r="C54" s="28"/>
      <c r="D54" s="29"/>
      <c r="G54" s="13"/>
      <c r="H54"/>
      <c r="I54" s="215"/>
      <c r="J54" s="215"/>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s="14"/>
    </row>
    <row r="55" spans="1:54" x14ac:dyDescent="0.3">
      <c r="B55" s="28"/>
      <c r="C55" s="28"/>
      <c r="D55" s="29"/>
      <c r="G55" s="13"/>
      <c r="H55"/>
      <c r="I55" s="215"/>
      <c r="J55" s="21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s="14"/>
    </row>
    <row r="56" spans="1:54" x14ac:dyDescent="0.3">
      <c r="B56" s="28"/>
      <c r="C56" s="28"/>
      <c r="D56" s="29"/>
      <c r="G56" s="13"/>
      <c r="H56"/>
      <c r="I56" s="215"/>
      <c r="J56" s="215"/>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s="14"/>
    </row>
    <row r="57" spans="1:54" x14ac:dyDescent="0.3">
      <c r="B57" s="28"/>
      <c r="C57" s="28"/>
      <c r="D57" s="29"/>
      <c r="G57" s="13"/>
      <c r="H57"/>
      <c r="I57" s="215"/>
      <c r="J57" s="215"/>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s="14"/>
    </row>
    <row r="58" spans="1:54" ht="15" thickBot="1" x14ac:dyDescent="0.35">
      <c r="B58" s="28"/>
      <c r="C58" s="28"/>
      <c r="D58" s="29"/>
      <c r="G58" s="13"/>
      <c r="H58"/>
      <c r="I58" s="215"/>
      <c r="J58" s="215"/>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s="14"/>
    </row>
    <row r="59" spans="1:54" x14ac:dyDescent="0.3">
      <c r="B59" s="28"/>
      <c r="C59" s="28"/>
      <c r="D59" s="29"/>
      <c r="G59" s="13"/>
      <c r="H59"/>
      <c r="I59" s="425" t="s">
        <v>394</v>
      </c>
      <c r="J59" s="426"/>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s="14"/>
    </row>
    <row r="60" spans="1:54" x14ac:dyDescent="0.3">
      <c r="G60" s="13"/>
      <c r="H60"/>
      <c r="I60" s="217" t="s">
        <v>395</v>
      </c>
      <c r="J60" s="218">
        <v>17</v>
      </c>
      <c r="K60" t="s">
        <v>396</v>
      </c>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s="14"/>
    </row>
    <row r="61" spans="1:54" x14ac:dyDescent="0.3">
      <c r="G61" s="13"/>
      <c r="H61"/>
      <c r="I61" s="217" t="s">
        <v>397</v>
      </c>
      <c r="J61" s="219">
        <v>4677</v>
      </c>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s="14"/>
    </row>
    <row r="62" spans="1:54" ht="15" thickBot="1" x14ac:dyDescent="0.35">
      <c r="G62" s="13"/>
      <c r="H62"/>
      <c r="I62" s="220" t="s">
        <v>398</v>
      </c>
      <c r="J62" s="221">
        <f>B10*(J60/60)*(J61*120)</f>
        <v>3466592.4</v>
      </c>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s="14"/>
    </row>
    <row r="63" spans="1:54" ht="15" thickBot="1" x14ac:dyDescent="0.35">
      <c r="G63" s="13"/>
      <c r="H63"/>
      <c r="I63" s="215"/>
      <c r="J63" s="215"/>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s="14"/>
    </row>
    <row r="64" spans="1:54" x14ac:dyDescent="0.3">
      <c r="G64" s="13"/>
      <c r="H64"/>
      <c r="I64" s="425" t="s">
        <v>399</v>
      </c>
      <c r="J64" s="426"/>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s="14"/>
    </row>
    <row r="65" spans="7:54" x14ac:dyDescent="0.3">
      <c r="G65" s="13"/>
      <c r="H65"/>
      <c r="I65" s="217" t="s">
        <v>395</v>
      </c>
      <c r="J65" s="218">
        <v>24</v>
      </c>
      <c r="K65"/>
      <c r="L65" t="s">
        <v>400</v>
      </c>
      <c r="M65">
        <f>J65-J60</f>
        <v>7</v>
      </c>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s="14"/>
    </row>
    <row r="66" spans="7:54" x14ac:dyDescent="0.3">
      <c r="G66" s="13"/>
      <c r="H66"/>
      <c r="I66" s="217" t="s">
        <v>397</v>
      </c>
      <c r="J66" s="219">
        <v>3488</v>
      </c>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s="14"/>
    </row>
    <row r="67" spans="7:54" ht="15" thickBot="1" x14ac:dyDescent="0.35">
      <c r="G67" s="13"/>
      <c r="H67"/>
      <c r="I67" s="220" t="s">
        <v>401</v>
      </c>
      <c r="J67" s="221">
        <f>B10*(J65/60)*(J66*120)</f>
        <v>3649843.2000000002</v>
      </c>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s="14"/>
    </row>
    <row r="68" spans="7:54" x14ac:dyDescent="0.3">
      <c r="G68" s="13"/>
      <c r="H68"/>
      <c r="I68" s="215"/>
      <c r="J68" s="215"/>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s="14"/>
    </row>
    <row r="69" spans="7:54" x14ac:dyDescent="0.3">
      <c r="G69" s="13"/>
      <c r="H69"/>
      <c r="I69" s="215"/>
      <c r="J69" s="215"/>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s="14"/>
    </row>
    <row r="70" spans="7:54" x14ac:dyDescent="0.3">
      <c r="G70" s="13"/>
      <c r="H70"/>
      <c r="I70" s="215"/>
      <c r="J70" s="215"/>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s="14"/>
    </row>
    <row r="71" spans="7:54" x14ac:dyDescent="0.3">
      <c r="G71" s="13"/>
      <c r="H71"/>
      <c r="I71" s="215"/>
      <c r="J71" s="215"/>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s="14"/>
    </row>
    <row r="72" spans="7:54" x14ac:dyDescent="0.3">
      <c r="G72" s="13"/>
      <c r="H72"/>
      <c r="I72" s="215"/>
      <c r="J72" s="215"/>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s="14"/>
    </row>
    <row r="73" spans="7:54" x14ac:dyDescent="0.3">
      <c r="G73" s="13"/>
      <c r="H73"/>
      <c r="I73" s="215"/>
      <c r="J73" s="215"/>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s="14"/>
    </row>
    <row r="74" spans="7:54" x14ac:dyDescent="0.3">
      <c r="G74" s="13"/>
      <c r="H74"/>
      <c r="I74" s="215"/>
      <c r="J74" s="215"/>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s="14"/>
    </row>
    <row r="75" spans="7:54" x14ac:dyDescent="0.3">
      <c r="G75" s="13"/>
      <c r="H75"/>
      <c r="I75" s="215"/>
      <c r="J75" s="21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s="14"/>
    </row>
    <row r="76" spans="7:54" x14ac:dyDescent="0.3">
      <c r="G76" s="13"/>
      <c r="H76"/>
      <c r="I76" s="215"/>
      <c r="J76" s="215"/>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s="14"/>
    </row>
    <row r="77" spans="7:54" x14ac:dyDescent="0.3">
      <c r="G77" s="13"/>
      <c r="H77"/>
      <c r="I77" s="215"/>
      <c r="J77" s="215"/>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s="14"/>
    </row>
    <row r="78" spans="7:54" x14ac:dyDescent="0.3">
      <c r="G78" s="13"/>
      <c r="H78"/>
      <c r="I78" s="215"/>
      <c r="J78" s="215"/>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s="14"/>
    </row>
    <row r="79" spans="7:54" x14ac:dyDescent="0.3">
      <c r="G79" s="13"/>
      <c r="H79"/>
      <c r="I79" s="215"/>
      <c r="J79" s="215"/>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s="14"/>
    </row>
    <row r="80" spans="7:54" x14ac:dyDescent="0.3">
      <c r="G80" s="13"/>
      <c r="H80"/>
      <c r="I80" s="215"/>
      <c r="J80" s="215"/>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s="14"/>
    </row>
    <row r="81" spans="7:54" x14ac:dyDescent="0.3">
      <c r="G81" s="13"/>
      <c r="H81"/>
      <c r="I81" s="215"/>
      <c r="J81" s="215"/>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s="14"/>
    </row>
    <row r="82" spans="7:54" x14ac:dyDescent="0.3">
      <c r="G82" s="13"/>
      <c r="H82"/>
      <c r="I82" s="215"/>
      <c r="J82" s="215"/>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s="14"/>
    </row>
    <row r="83" spans="7:54" x14ac:dyDescent="0.3">
      <c r="G83" s="13"/>
      <c r="H83"/>
      <c r="I83" s="215"/>
      <c r="J83" s="215"/>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s="14"/>
    </row>
    <row r="84" spans="7:54" x14ac:dyDescent="0.3">
      <c r="G84" s="13"/>
      <c r="H84"/>
      <c r="I84" s="215"/>
      <c r="J84" s="215"/>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s="14"/>
    </row>
    <row r="85" spans="7:54" x14ac:dyDescent="0.3">
      <c r="G85" s="13"/>
      <c r="H85"/>
      <c r="I85" s="215"/>
      <c r="J85" s="21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s="14"/>
    </row>
    <row r="86" spans="7:54" x14ac:dyDescent="0.3">
      <c r="G86" s="13"/>
      <c r="H86"/>
      <c r="I86" s="215"/>
      <c r="J86" s="215"/>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s="14"/>
    </row>
    <row r="87" spans="7:54" x14ac:dyDescent="0.3">
      <c r="G87" s="13"/>
      <c r="H87"/>
      <c r="I87" s="215"/>
      <c r="J87" s="215"/>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s="14"/>
    </row>
    <row r="88" spans="7:54" x14ac:dyDescent="0.3">
      <c r="G88" s="13"/>
      <c r="H88"/>
      <c r="I88" s="215"/>
      <c r="J88" s="215"/>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s="14"/>
    </row>
    <row r="89" spans="7:54" x14ac:dyDescent="0.3">
      <c r="G89" s="13"/>
      <c r="H89"/>
      <c r="I89" s="215"/>
      <c r="J89" s="215"/>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s="14"/>
    </row>
    <row r="90" spans="7:54" x14ac:dyDescent="0.3">
      <c r="G90" s="13"/>
      <c r="H90"/>
      <c r="I90" s="215"/>
      <c r="J90" s="215"/>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s="14"/>
    </row>
    <row r="91" spans="7:54" x14ac:dyDescent="0.3">
      <c r="G91" s="13"/>
      <c r="H91"/>
      <c r="I91" s="215"/>
      <c r="J91" s="215"/>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s="14"/>
    </row>
    <row r="92" spans="7:54" x14ac:dyDescent="0.3">
      <c r="G92" s="13"/>
      <c r="H92"/>
      <c r="I92" s="215"/>
      <c r="J92" s="215"/>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s="14"/>
    </row>
    <row r="93" spans="7:54" x14ac:dyDescent="0.3">
      <c r="G93" s="13"/>
      <c r="H93"/>
      <c r="I93" s="215"/>
      <c r="J93" s="215"/>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s="14"/>
    </row>
    <row r="94" spans="7:54" x14ac:dyDescent="0.3">
      <c r="G94" s="13"/>
      <c r="H94"/>
      <c r="I94" s="215"/>
      <c r="J94" s="215"/>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s="14"/>
    </row>
    <row r="95" spans="7:54" x14ac:dyDescent="0.3">
      <c r="G95" s="13"/>
      <c r="H95"/>
      <c r="I95" s="215"/>
      <c r="J95" s="21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s="14"/>
    </row>
    <row r="96" spans="7:54" x14ac:dyDescent="0.3">
      <c r="G96" s="13"/>
      <c r="H96"/>
      <c r="I96" s="215"/>
      <c r="J96" s="215"/>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s="14"/>
    </row>
    <row r="97" spans="7:54" x14ac:dyDescent="0.3">
      <c r="G97" s="13"/>
      <c r="H97"/>
      <c r="I97" s="215"/>
      <c r="J97" s="215"/>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s="14"/>
    </row>
    <row r="98" spans="7:54" x14ac:dyDescent="0.3">
      <c r="G98" s="13"/>
      <c r="H98"/>
      <c r="I98" s="215"/>
      <c r="J98" s="215"/>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s="14"/>
    </row>
    <row r="99" spans="7:54" x14ac:dyDescent="0.3">
      <c r="G99" s="13"/>
      <c r="H99"/>
      <c r="I99" s="215"/>
      <c r="J99" s="215"/>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s="14"/>
    </row>
    <row r="100" spans="7:54" x14ac:dyDescent="0.3">
      <c r="G100" s="13"/>
      <c r="H100"/>
      <c r="I100" s="215"/>
      <c r="J100" s="215"/>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s="14"/>
    </row>
    <row r="101" spans="7:54" x14ac:dyDescent="0.3">
      <c r="G101" s="13"/>
      <c r="H101"/>
      <c r="I101" s="215"/>
      <c r="J101" s="215"/>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s="14"/>
    </row>
    <row r="102" spans="7:54" x14ac:dyDescent="0.3">
      <c r="G102" s="13"/>
      <c r="H102"/>
      <c r="I102" s="215"/>
      <c r="J102" s="215"/>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s="14"/>
    </row>
    <row r="103" spans="7:54" x14ac:dyDescent="0.3">
      <c r="G103" s="13"/>
      <c r="H103"/>
      <c r="I103" s="215"/>
      <c r="J103" s="215"/>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s="14"/>
    </row>
    <row r="104" spans="7:54" x14ac:dyDescent="0.3">
      <c r="G104" s="13"/>
      <c r="H104"/>
      <c r="I104" s="215"/>
      <c r="J104" s="215"/>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s="14"/>
    </row>
    <row r="105" spans="7:54" x14ac:dyDescent="0.3">
      <c r="G105" s="13"/>
      <c r="H105"/>
      <c r="I105" s="215"/>
      <c r="J105" s="21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s="14"/>
    </row>
    <row r="106" spans="7:54" x14ac:dyDescent="0.3">
      <c r="G106" s="13"/>
      <c r="H106"/>
      <c r="I106" s="215"/>
      <c r="J106" s="215"/>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s="14"/>
    </row>
    <row r="107" spans="7:54" x14ac:dyDescent="0.3">
      <c r="G107" s="13"/>
      <c r="H107"/>
      <c r="I107" s="215"/>
      <c r="J107" s="215"/>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s="14"/>
    </row>
    <row r="108" spans="7:54" x14ac:dyDescent="0.3">
      <c r="G108" s="13"/>
      <c r="H108"/>
      <c r="I108" s="215"/>
      <c r="J108" s="215"/>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s="14"/>
    </row>
    <row r="109" spans="7:54" ht="15" thickBot="1" x14ac:dyDescent="0.35">
      <c r="G109" s="15"/>
      <c r="H109" s="16"/>
      <c r="I109" s="215"/>
      <c r="J109" s="215"/>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7"/>
    </row>
    <row r="110" spans="7:54" x14ac:dyDescent="0.3">
      <c r="I110" s="215"/>
      <c r="J110" s="215"/>
    </row>
    <row r="111" spans="7:54" ht="15" thickBot="1" x14ac:dyDescent="0.35">
      <c r="I111" s="222"/>
      <c r="J111" s="222"/>
    </row>
  </sheetData>
  <mergeCells count="2">
    <mergeCell ref="I59:J59"/>
    <mergeCell ref="I64:J64"/>
  </mergeCells>
  <conditionalFormatting sqref="B20:B49">
    <cfRule type="expression" dxfId="14" priority="2">
      <formula>A20=""</formula>
    </cfRule>
  </conditionalFormatting>
  <conditionalFormatting sqref="C20:C49">
    <cfRule type="expression" dxfId="13" priority="1">
      <formula>A20=""</formula>
    </cfRule>
  </conditionalFormatting>
  <hyperlinks>
    <hyperlink ref="I22" r:id="rId1" display="https://www.fhwa.dot.gov/innovation/everydaycounts/edc-1/asct.cfm" xr:uid="{E29D1818-01AB-4F71-8366-91A3EA2CBF83}"/>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582A7-60FE-4049-9E01-0156D8D060ED}">
  <sheetPr>
    <tabColor theme="9" tint="0.39997558519241921"/>
  </sheetPr>
  <dimension ref="A1:AZ90"/>
  <sheetViews>
    <sheetView topLeftCell="A13" workbookViewId="0">
      <selection activeCell="H16" sqref="H16"/>
    </sheetView>
  </sheetViews>
  <sheetFormatPr defaultColWidth="9.109375" defaultRowHeight="14.4" x14ac:dyDescent="0.3"/>
  <cols>
    <col min="1" max="1" width="26.44140625" style="5" customWidth="1"/>
    <col min="2" max="2" width="28.88671875" style="5" customWidth="1"/>
    <col min="3" max="5" width="9.109375" style="5"/>
    <col min="6" max="6" width="81.109375" style="5" customWidth="1"/>
    <col min="7" max="7" width="22.5546875" style="5" customWidth="1"/>
    <col min="8" max="8" width="130" style="5" customWidth="1"/>
    <col min="9" max="16384" width="9.109375" style="5"/>
  </cols>
  <sheetData>
    <row r="1" spans="1:52" ht="20.399999999999999" thickBot="1" x14ac:dyDescent="0.45">
      <c r="A1" s="93" t="s">
        <v>288</v>
      </c>
    </row>
    <row r="2" spans="1:52" ht="15" thickTop="1" x14ac:dyDescent="0.3">
      <c r="A2" s="144" t="s">
        <v>334</v>
      </c>
      <c r="B2" s="144"/>
      <c r="C2" s="144"/>
      <c r="D2" s="144"/>
      <c r="E2" s="144"/>
      <c r="F2" s="144"/>
      <c r="G2" s="144"/>
      <c r="H2" s="144"/>
      <c r="I2" s="144"/>
      <c r="J2" s="144"/>
      <c r="K2" s="144"/>
    </row>
    <row r="3" spans="1:52" x14ac:dyDescent="0.3">
      <c r="A3" s="5" t="s">
        <v>21</v>
      </c>
    </row>
    <row r="4" spans="1:52" x14ac:dyDescent="0.3">
      <c r="A4" s="145" t="s">
        <v>317</v>
      </c>
      <c r="B4" s="144"/>
      <c r="C4" s="144"/>
      <c r="D4" s="144"/>
      <c r="E4" s="144"/>
      <c r="F4" s="144"/>
      <c r="G4" s="144"/>
      <c r="H4" s="144"/>
      <c r="I4" s="144"/>
      <c r="J4" s="144"/>
      <c r="K4" s="144"/>
      <c r="L4" s="144"/>
      <c r="M4" s="144"/>
      <c r="N4" s="144"/>
    </row>
    <row r="5" spans="1:52" x14ac:dyDescent="0.3">
      <c r="A5" s="38" t="s">
        <v>21</v>
      </c>
    </row>
    <row r="6" spans="1:52" x14ac:dyDescent="0.3">
      <c r="A6" s="145" t="s">
        <v>402</v>
      </c>
      <c r="B6" s="144"/>
      <c r="C6" s="144"/>
      <c r="D6" s="144"/>
      <c r="E6" s="144"/>
    </row>
    <row r="7" spans="1:52" x14ac:dyDescent="0.3">
      <c r="A7" s="145" t="s">
        <v>403</v>
      </c>
      <c r="B7" s="144"/>
      <c r="C7" s="144"/>
      <c r="D7" s="144"/>
      <c r="E7" s="144"/>
      <c r="F7" s="144"/>
      <c r="G7" s="144"/>
      <c r="H7" s="144"/>
    </row>
    <row r="8" spans="1:52" x14ac:dyDescent="0.3">
      <c r="A8" s="5" t="s">
        <v>21</v>
      </c>
    </row>
    <row r="9" spans="1:52" ht="15" thickBot="1" x14ac:dyDescent="0.35">
      <c r="A9" s="94" t="s">
        <v>404</v>
      </c>
    </row>
    <row r="10" spans="1:52" x14ac:dyDescent="0.3">
      <c r="A10" s="104" t="s">
        <v>308</v>
      </c>
      <c r="B10" s="105" t="s">
        <v>288</v>
      </c>
      <c r="E10" s="10" t="s">
        <v>307</v>
      </c>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2"/>
    </row>
    <row r="11" spans="1:52" x14ac:dyDescent="0.3">
      <c r="A11" s="6">
        <f>'Project Information'!$B$9</f>
        <v>2032</v>
      </c>
      <c r="B11" s="156">
        <f>G$31*('User Volumes'!F10)+G$32*('User Volumes'!H10) + G$41*('User Volumes'!I10)+G$42*('User Volumes'!J10)</f>
        <v>872022.88800000004</v>
      </c>
      <c r="E11" s="13"/>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s="14"/>
    </row>
    <row r="12" spans="1:52" x14ac:dyDescent="0.3">
      <c r="A12" s="1">
        <f>IF(A11&lt;'Project Information'!B$11,A11+1,"")</f>
        <v>2033</v>
      </c>
      <c r="B12" s="156">
        <f>G$31*('User Volumes'!F11) + G$32*('User Volumes'!H11) + G$41*('User Volumes'!I11) + G$42*('User Volumes'!J11)</f>
        <v>882051.15121199994</v>
      </c>
      <c r="E12" s="13"/>
      <c r="F12" s="301" t="s">
        <v>405</v>
      </c>
      <c r="G12" s="260"/>
      <c r="H12" s="260"/>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4"/>
    </row>
    <row r="13" spans="1:52" x14ac:dyDescent="0.3">
      <c r="A13" s="1">
        <f>IF(A12&lt;'Project Information'!B$11,A12+1,"")</f>
        <v>2034</v>
      </c>
      <c r="B13" s="156">
        <f>G$31*('User Volumes'!F12)+G$32*('User Volumes'!H12) + G$41*('User Volumes'!I12)+G$42*('User Volumes'!J12)</f>
        <v>892194.73945093818</v>
      </c>
      <c r="E13" s="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4"/>
    </row>
    <row r="14" spans="1:52" x14ac:dyDescent="0.3">
      <c r="A14" s="1">
        <f>IF(A13&lt;'Project Information'!B$11,A13+1,"")</f>
        <v>2035</v>
      </c>
      <c r="B14" s="156">
        <f>G$31*('User Volumes'!F13)+G$32*('User Volumes'!H13) + G$41*('User Volumes'!I13)+G$42*('User Volumes'!J13)</f>
        <v>902454.97895462392</v>
      </c>
      <c r="E14" s="13"/>
      <c r="F14" s="302" t="s">
        <v>406</v>
      </c>
      <c r="G14" s="303"/>
      <c r="H14" s="303"/>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4"/>
    </row>
    <row r="15" spans="1:52" x14ac:dyDescent="0.3">
      <c r="A15" s="1">
        <f>IF(A14&lt;'Project Information'!B$11,A14+1,"")</f>
        <v>2036</v>
      </c>
      <c r="B15" s="156">
        <f>G$31*('User Volumes'!F14)+G$32*('User Volumes'!H14) + G$41*('User Volumes'!I14)+G$42*('User Volumes'!J14)</f>
        <v>912833.21121260221</v>
      </c>
      <c r="E15" s="13"/>
      <c r="F15" s="304" t="s">
        <v>407</v>
      </c>
      <c r="G15" s="30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ht="15" x14ac:dyDescent="0.35">
      <c r="A16" s="1">
        <f>IF(A15&lt;'Project Information'!B$11,A15+1,"")</f>
        <v>2037</v>
      </c>
      <c r="B16" s="156">
        <f>G$31*('User Volumes'!F15)+G$32*('User Volumes'!H15) + G$41*('User Volumes'!I15)+G$42*('User Volumes'!J15)</f>
        <v>923330.79314154712</v>
      </c>
      <c r="E16" s="13"/>
      <c r="F16" t="s">
        <v>408</v>
      </c>
      <c r="G16" s="388">
        <v>5.5</v>
      </c>
      <c r="H16" t="s">
        <v>409</v>
      </c>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3">
      <c r="A17" s="1">
        <f>IF(A16&lt;'Project Information'!B$11,A16+1,"")</f>
        <v>2038</v>
      </c>
      <c r="B17" s="156">
        <f>G$31*('User Volumes'!F16)+G$32*('User Volumes'!H16) + G$41*('User Volumes'!I16)+G$42*('User Volumes'!J16)</f>
        <v>933949.09726267494</v>
      </c>
      <c r="E17" s="13"/>
      <c r="F17" t="s">
        <v>410</v>
      </c>
      <c r="G17" s="306">
        <f>'Parameter Values'!B139</f>
        <v>0.13</v>
      </c>
      <c r="H17" t="s">
        <v>411</v>
      </c>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3">
      <c r="A18" s="1">
        <f>IF(A17&lt;'Project Information'!B$11,A17+1,"")</f>
        <v>2039</v>
      </c>
      <c r="B18" s="156">
        <f>G$31*('User Volumes'!F17)+G$32*('User Volumes'!H17) + G$41*('User Volumes'!I17)+G$42*('User Volumes'!J17)</f>
        <v>944689.51188119582</v>
      </c>
      <c r="E18" s="13"/>
      <c r="F18" t="s">
        <v>412</v>
      </c>
      <c r="G18" s="299">
        <f>Inputs!Y21</f>
        <v>0.86</v>
      </c>
      <c r="H18" t="s">
        <v>250</v>
      </c>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3">
      <c r="A19" s="1">
        <f>IF(A18&lt;'Project Information'!B$11,A18+1,"")</f>
        <v>2040</v>
      </c>
      <c r="B19" s="156">
        <f>G$31*('User Volumes'!F18)+G$32*('User Volumes'!H18) + G$41*('User Volumes'!I18)+G$42*('User Volumes'!J18)</f>
        <v>955553.44126782962</v>
      </c>
      <c r="E19" s="13"/>
      <c r="F19" s="283" t="s">
        <v>413</v>
      </c>
      <c r="G19" s="387">
        <f>G16*G17*G18</f>
        <v>0.61490000000000011</v>
      </c>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3">
      <c r="A20" s="1">
        <f>IF(A19&lt;'Project Information'!B$11,A19+1,"")</f>
        <v>2041</v>
      </c>
      <c r="B20" s="156">
        <f>G$31*('User Volumes'!F19)+G$32*('User Volumes'!H19) + G$41*('User Volumes'!I19)+G$42*('User Volumes'!J19)</f>
        <v>966542.30584240973</v>
      </c>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3">
      <c r="A21" s="1">
        <f>IF(A20&lt;'Project Information'!B$11,A20+1,"")</f>
        <v>2042</v>
      </c>
      <c r="B21" s="156">
        <f>G$31*('User Volumes'!F20)+G$32*('User Volumes'!H20) + G$41*('User Volumes'!I20)+G$42*('User Volumes'!J20)</f>
        <v>977657.5423595974</v>
      </c>
      <c r="E21" s="13"/>
      <c r="F21" s="304" t="s">
        <v>414</v>
      </c>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3">
      <c r="A22" s="1">
        <f>IF(A21&lt;'Project Information'!B$11,A21+1,"")</f>
        <v>2043</v>
      </c>
      <c r="B22" s="156">
        <f>G$31*('User Volumes'!F21)+G$32*('User Volumes'!H21) + G$41*('User Volumes'!I21)+G$42*('User Volumes'!J21)</f>
        <v>988900.60409673292</v>
      </c>
      <c r="E22" s="13"/>
      <c r="F22" t="s">
        <v>415</v>
      </c>
      <c r="G22" s="291">
        <v>8</v>
      </c>
      <c r="H22" t="s">
        <v>416</v>
      </c>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3">
      <c r="A23" s="1">
        <f>IF(A22&lt;'Project Information'!B$11,A22+1,"")</f>
        <v>2044</v>
      </c>
      <c r="B23" s="156">
        <f>G$31*('User Volumes'!F22)+G$32*('User Volumes'!H22) + G$41*('User Volumes'!I22)+G$42*('User Volumes'!J22)</f>
        <v>1000272.9610438454</v>
      </c>
      <c r="E23" s="13"/>
      <c r="F23" s="306" t="str">
        <f>'[1]Parameter Values'!A145</f>
        <v>Install Marked-Crosswalk on Roadway with Volumes ≥10,000 Vehicle per Day</v>
      </c>
      <c r="G23" s="306">
        <f>'Parameter Values'!B145</f>
        <v>0.22</v>
      </c>
      <c r="H23" t="s">
        <v>411</v>
      </c>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3">
      <c r="A24" s="1">
        <f>IF(A23&lt;'Project Information'!B$11,A23+1,"")</f>
        <v>2045</v>
      </c>
      <c r="B24" s="156">
        <f>G$31*('User Volumes'!F23)+G$32*('User Volumes'!H23) + G$41*('User Volumes'!I23)+G$42*('User Volumes'!J23)</f>
        <v>1011776.1000958497</v>
      </c>
      <c r="E24" s="13"/>
      <c r="F24" s="283" t="s">
        <v>413</v>
      </c>
      <c r="G24" s="387">
        <f>G22*G23</f>
        <v>1.76</v>
      </c>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3">
      <c r="A25" s="1">
        <f>IF(A24&lt;'Project Information'!B$11,A24+1,"")</f>
        <v>2046</v>
      </c>
      <c r="B25" s="156">
        <f>G$31*('User Volumes'!F24)+G$32*('User Volumes'!H24) + G$41*('User Volumes'!I24)+G$42*('User Volumes'!J24)</f>
        <v>1023411.525246952</v>
      </c>
      <c r="E25" s="13"/>
      <c r="F25" s="210"/>
      <c r="G25" s="30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3">
      <c r="A26" s="1">
        <f>IF(A25&lt;'Project Information'!B$11,A25+1,"")</f>
        <v>2047</v>
      </c>
      <c r="B26" s="156">
        <f>G$31*('User Volumes'!F25)+G$32*('User Volumes'!H25) + G$41*('User Volumes'!I25)+G$42*('User Volumes'!J25)</f>
        <v>1035180.7577872921</v>
      </c>
      <c r="E26" s="13"/>
      <c r="F26" s="304" t="s">
        <v>417</v>
      </c>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3">
      <c r="A27" s="1">
        <f>IF(A26&lt;'Project Information'!B$11,A26+1,"")</f>
        <v>2048</v>
      </c>
      <c r="B27" s="156">
        <f>G$31*('User Volumes'!F26)+G$32*('User Volumes'!H26) + G$41*('User Volumes'!I26)+G$42*('User Volumes'!J26)</f>
        <v>1047085.3365018461</v>
      </c>
      <c r="E27" s="13"/>
      <c r="F27" t="s">
        <v>418</v>
      </c>
      <c r="G27" s="291">
        <v>12</v>
      </c>
      <c r="H27" t="s">
        <v>419</v>
      </c>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3">
      <c r="A28" s="1">
        <f>IF(A27&lt;'Project Information'!B$11,A27+1,"")</f>
        <v>2049</v>
      </c>
      <c r="B28" s="156">
        <f>G$31*('User Volumes'!F27)+G$32*('User Volumes'!H27) + G$41*('User Volumes'!I27)+G$42*('User Volumes'!J27)</f>
        <v>1059126.8178716174</v>
      </c>
      <c r="E28" s="13"/>
      <c r="F28" t="str">
        <f>'[1]Parameter Values'!A146</f>
        <v>Install Signal for Pedestrian Crossing on Roadway with Volumes ≥13,000 Vehicles per Day</v>
      </c>
      <c r="G28" s="306">
        <f>'Parameter Values'!B146</f>
        <v>0.56999999999999995</v>
      </c>
      <c r="H28" t="s">
        <v>411</v>
      </c>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3">
      <c r="A29" s="1">
        <f>IF(A28&lt;'Project Information'!B$11,A28+1,"")</f>
        <v>2050</v>
      </c>
      <c r="B29" s="156">
        <f>G$31*('User Volumes'!F28)+G$32*('User Volumes'!H28) + G$41*('User Volumes'!I28)+G$42*('User Volumes'!J28)</f>
        <v>1071306.7762771409</v>
      </c>
      <c r="E29" s="13"/>
      <c r="F29" s="283" t="s">
        <v>413</v>
      </c>
      <c r="G29" s="387">
        <f>G27*G28</f>
        <v>6.84</v>
      </c>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3">
      <c r="A30" s="1">
        <f>IF(A29&lt;'Project Information'!B$11,A29+1,"")</f>
        <v>2051</v>
      </c>
      <c r="B30" s="156">
        <f>G$31*('User Volumes'!F29)+G$32*('User Volumes'!H29) + G$41*('User Volumes'!I29)+G$42*('User Volumes'!J29)</f>
        <v>1083626.804204328</v>
      </c>
      <c r="E30" s="13"/>
      <c r="F30" s="210"/>
      <c r="G30" s="305"/>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3">
      <c r="A31" s="1" t="str">
        <f>IF(A30&lt;'Project Information'!B$11,A30+1,"")</f>
        <v/>
      </c>
      <c r="B31" s="156">
        <f>G$31*('User Volumes'!G30-'User Volumes'!H30)+G$32*('User Volumes'!H30) + G$41*('User Volumes'!J30-'User Volumes'!K30)+G$42*('User Volumes'!J30)</f>
        <v>0</v>
      </c>
      <c r="E31" s="13"/>
      <c r="F31" s="307" t="s">
        <v>420</v>
      </c>
      <c r="G31" s="333">
        <f>G19+G24+G29</f>
        <v>9.2149000000000001</v>
      </c>
      <c r="H31" s="58"/>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3">
      <c r="A32" s="1" t="str">
        <f>IF(A31&lt;'Project Information'!B$11,A31+1,"")</f>
        <v/>
      </c>
      <c r="B32" s="156">
        <f>G$31*('User Volumes'!G31-'User Volumes'!H31)+G$32*('User Volumes'!H31) + G$41*('User Volumes'!J31-'User Volumes'!K31)+G$42*('User Volumes'!J31)</f>
        <v>0</v>
      </c>
      <c r="E32" s="13"/>
      <c r="F32" s="389" t="s">
        <v>421</v>
      </c>
      <c r="G32" s="390">
        <f>G31*0.5</f>
        <v>4.60745</v>
      </c>
      <c r="H32" s="389" t="s">
        <v>422</v>
      </c>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3">
      <c r="A33" s="1" t="str">
        <f>IF(A32&lt;'Project Information'!B$11,A32+1,"")</f>
        <v/>
      </c>
      <c r="B33" s="156">
        <f>G$31*('User Volumes'!G32-'User Volumes'!H32)+G$32*('User Volumes'!H32) + G$41*('User Volumes'!J32-'User Volumes'!K32)+G$42*('User Volumes'!J32)</f>
        <v>0</v>
      </c>
      <c r="E33" s="13"/>
      <c r="F33"/>
      <c r="G33" s="306"/>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3">
      <c r="A34" s="1" t="str">
        <f>IF(A33&lt;'Project Information'!B$11,A33+1,"")</f>
        <v/>
      </c>
      <c r="B34" s="156">
        <f>G$31*('User Volumes'!G33-'User Volumes'!H33)+G$32*('User Volumes'!H33) + G$41*('User Volumes'!J33-'User Volumes'!K33)+G$42*('User Volumes'!J33)</f>
        <v>0</v>
      </c>
      <c r="E34" s="13"/>
      <c r="F34"/>
      <c r="G34" s="306"/>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3">
      <c r="A35" s="1" t="str">
        <f>IF(A34&lt;'Project Information'!B$11,A34+1,"")</f>
        <v/>
      </c>
      <c r="B35" s="156">
        <f>G$31*('User Volumes'!G34-'User Volumes'!H34)+G$32*('User Volumes'!H34) + G$41*('User Volumes'!J34-'User Volumes'!K34)+G$42*('User Volumes'!J34)</f>
        <v>0</v>
      </c>
      <c r="E35" s="13"/>
      <c r="F35" s="302" t="s">
        <v>423</v>
      </c>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3">
      <c r="A36" s="1" t="str">
        <f>IF(A35&lt;'Project Information'!B$11,A35+1,"")</f>
        <v/>
      </c>
      <c r="B36" s="156">
        <f>G$31*('User Volumes'!G35-'User Volumes'!H35)+G$32*('User Volumes'!H35) + G$41*('User Volumes'!J35-'User Volumes'!K35)+G$42*('User Volumes'!J35)</f>
        <v>0</v>
      </c>
      <c r="E36" s="13"/>
      <c r="F36" s="308" t="s">
        <v>424</v>
      </c>
      <c r="G36" s="309"/>
      <c r="H36" s="58"/>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3">
      <c r="A37" s="1" t="str">
        <f>IF(A36&lt;'Project Information'!B$11,A36+1,"")</f>
        <v/>
      </c>
      <c r="B37" s="156">
        <f>G$31*('User Volumes'!G36-'User Volumes'!H36)+G$32*('User Volumes'!H36) + G$41*('User Volumes'!J36-'User Volumes'!K36)+G$42*('User Volumes'!J36)</f>
        <v>0</v>
      </c>
      <c r="E37" s="13"/>
      <c r="F37" t="s">
        <v>425</v>
      </c>
      <c r="G37" s="306">
        <f>'Parameter Values'!B155</f>
        <v>2.09</v>
      </c>
      <c r="H37" t="s">
        <v>411</v>
      </c>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3">
      <c r="A38" s="1" t="str">
        <f>IF(A37&lt;'Project Information'!B$11,A37+1,"")</f>
        <v/>
      </c>
      <c r="B38" s="156">
        <f>G$31*('User Volumes'!G37-'User Volumes'!H37)+G$32*('User Volumes'!H37) + G$41*('User Volumes'!J37-'User Volumes'!K37)+G$42*('User Volumes'!J37)</f>
        <v>0</v>
      </c>
      <c r="E38" s="13"/>
      <c r="F38" t="s">
        <v>426</v>
      </c>
      <c r="G38" s="299">
        <v>2.2999999999999998</v>
      </c>
      <c r="H38" t="s">
        <v>252</v>
      </c>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3">
      <c r="A39" s="1" t="str">
        <f>IF(A38&lt;'Project Information'!B$11,A38+1,"")</f>
        <v/>
      </c>
      <c r="B39" s="156">
        <f>G$31*('User Volumes'!G38-'User Volumes'!H38)+G$32*('User Volumes'!H38) + G$41*('User Volumes'!J38-'User Volumes'!K38)+G$42*('User Volumes'!J38)</f>
        <v>0</v>
      </c>
      <c r="E39" s="13"/>
      <c r="F39" s="283" t="s">
        <v>413</v>
      </c>
      <c r="G39" s="387">
        <f>G37*G38</f>
        <v>4.8069999999999995</v>
      </c>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3">
      <c r="A40" s="2" t="str">
        <f>IF(A39&lt;'Project Information'!B$11,A39+1,"")</f>
        <v/>
      </c>
      <c r="B40" s="156">
        <f>G$31*('User Volumes'!G39-'User Volumes'!H39)+G$32*('User Volumes'!H39) + G$41*('User Volumes'!J39-'User Volumes'!K39)+G$42*('User Volumes'!J39)</f>
        <v>0</v>
      </c>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3">
      <c r="E41" s="13"/>
      <c r="F41" s="307" t="s">
        <v>427</v>
      </c>
      <c r="G41" s="333">
        <f>G39</f>
        <v>4.8069999999999995</v>
      </c>
      <c r="H41" s="58"/>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3">
      <c r="E42" s="13"/>
      <c r="F42" s="389" t="s">
        <v>421</v>
      </c>
      <c r="G42" s="390">
        <f>G41*0.5</f>
        <v>2.4034999999999997</v>
      </c>
      <c r="H42" s="389" t="s">
        <v>422</v>
      </c>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3">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3">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3">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3">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3">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3">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3">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3">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3">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3">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3">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3">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3">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3">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3">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3">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3">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3">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3">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3">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3">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3">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3">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3">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3">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3">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3">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3">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3">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3">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3">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3">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3">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3">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3">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3">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3">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3">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3">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3">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3">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3">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3">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3">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x14ac:dyDescent="0.3">
      <c r="E87" s="13"/>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s="14"/>
    </row>
    <row r="88" spans="5:52" x14ac:dyDescent="0.3">
      <c r="E88" s="13"/>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s="14"/>
    </row>
    <row r="89" spans="5:52" x14ac:dyDescent="0.3">
      <c r="E89" s="13"/>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s="14"/>
    </row>
    <row r="90" spans="5:52" ht="15" thickBot="1" x14ac:dyDescent="0.35">
      <c r="E90" s="15"/>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7"/>
    </row>
  </sheetData>
  <conditionalFormatting sqref="B11:B40">
    <cfRule type="expression" dxfId="12" priority="1">
      <formula>A11=""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EE6D4-7F6C-4AC2-AF83-FF0176DC6AB8}">
  <sheetPr>
    <tabColor theme="9" tint="0.39997558519241921"/>
  </sheetPr>
  <dimension ref="A1:AZ94"/>
  <sheetViews>
    <sheetView topLeftCell="B11" workbookViewId="0">
      <selection activeCell="H33" sqref="H33"/>
    </sheetView>
  </sheetViews>
  <sheetFormatPr defaultColWidth="9.109375" defaultRowHeight="14.4" x14ac:dyDescent="0.3"/>
  <cols>
    <col min="1" max="1" width="27.33203125" style="5" customWidth="1"/>
    <col min="2" max="2" width="40.6640625" style="5" customWidth="1"/>
    <col min="3" max="3" width="24.44140625" style="5" customWidth="1"/>
    <col min="4" max="5" width="9.109375" style="5"/>
    <col min="6" max="6" width="54.44140625" style="5" customWidth="1"/>
    <col min="7" max="7" width="26.33203125" style="5" customWidth="1"/>
    <col min="8" max="8" width="166.33203125" style="5" customWidth="1"/>
    <col min="9" max="16384" width="9.109375" style="5"/>
  </cols>
  <sheetData>
    <row r="1" spans="1:52" ht="20.399999999999999" thickBot="1" x14ac:dyDescent="0.45">
      <c r="A1" s="93" t="s">
        <v>289</v>
      </c>
    </row>
    <row r="2" spans="1:52" ht="15" thickTop="1" x14ac:dyDescent="0.3">
      <c r="A2" s="144" t="s">
        <v>334</v>
      </c>
      <c r="B2" s="144"/>
      <c r="C2" s="144"/>
      <c r="D2" s="144"/>
      <c r="E2" s="144"/>
      <c r="F2" s="144"/>
      <c r="G2" s="144"/>
      <c r="H2" s="144"/>
    </row>
    <row r="3" spans="1:52" x14ac:dyDescent="0.3">
      <c r="A3" s="5" t="s">
        <v>21</v>
      </c>
    </row>
    <row r="4" spans="1:52" x14ac:dyDescent="0.3">
      <c r="A4" s="145" t="s">
        <v>317</v>
      </c>
      <c r="B4" s="144"/>
      <c r="C4" s="144"/>
      <c r="D4" s="144"/>
      <c r="E4" s="144"/>
      <c r="F4" s="144"/>
      <c r="G4" s="144"/>
      <c r="H4" s="144"/>
      <c r="I4" s="144"/>
      <c r="J4" s="144"/>
      <c r="K4" s="144"/>
    </row>
    <row r="5" spans="1:52" x14ac:dyDescent="0.3">
      <c r="A5" s="38" t="s">
        <v>21</v>
      </c>
    </row>
    <row r="6" spans="1:52" x14ac:dyDescent="0.3">
      <c r="A6" s="94" t="s">
        <v>335</v>
      </c>
    </row>
    <row r="7" spans="1:52" ht="28.8" x14ac:dyDescent="0.3">
      <c r="A7" s="114" t="s">
        <v>186</v>
      </c>
      <c r="B7" s="114" t="s">
        <v>428</v>
      </c>
      <c r="C7" s="115" t="s">
        <v>429</v>
      </c>
    </row>
    <row r="8" spans="1:52" x14ac:dyDescent="0.3">
      <c r="A8" s="43" t="s">
        <v>430</v>
      </c>
      <c r="B8" s="43" t="str">
        <f>'Parameter Values'!B220</f>
        <v>Ages 20-74</v>
      </c>
      <c r="C8" s="44">
        <f>'Parameter Values'!C220</f>
        <v>8.36</v>
      </c>
    </row>
    <row r="9" spans="1:52" x14ac:dyDescent="0.3">
      <c r="A9" s="43" t="s">
        <v>431</v>
      </c>
      <c r="B9" s="43" t="str">
        <f>'Parameter Values'!B221</f>
        <v>Ages 20-64</v>
      </c>
      <c r="C9" s="44">
        <f>'Parameter Values'!C221</f>
        <v>7.45</v>
      </c>
    </row>
    <row r="10" spans="1:52" x14ac:dyDescent="0.3">
      <c r="A10" s="144" t="str">
        <f>RIGHT('Parameter Values'!A225,LEN('Parameter Values'!A225)-5)</f>
        <v>Absent more localized data on the proportion of the expected users falling into the age ranges above, applicants may apply a general assumption of 68% and 59% of overall induced trips falling into the walking and cycling age ranges, respectively, assuming a distribution matching the national average.</v>
      </c>
      <c r="B10" s="144"/>
      <c r="C10" s="144"/>
      <c r="D10" s="144"/>
      <c r="E10" s="144"/>
      <c r="F10" s="144"/>
      <c r="G10" s="144"/>
      <c r="H10" s="144"/>
      <c r="I10" s="144"/>
      <c r="J10" s="144"/>
      <c r="K10" s="144"/>
      <c r="L10" s="144"/>
      <c r="M10" s="144"/>
      <c r="N10" s="144"/>
      <c r="O10" s="144"/>
      <c r="P10" s="144"/>
      <c r="Q10" s="144"/>
      <c r="R10" s="144"/>
      <c r="S10" s="144"/>
      <c r="T10" s="144"/>
      <c r="U10" s="144"/>
      <c r="V10" s="144"/>
      <c r="W10" s="144"/>
    </row>
    <row r="11" spans="1:52" x14ac:dyDescent="0.3">
      <c r="A11" s="144" t="str">
        <f>RIGHT('Parameter Values'!A226,LEN('Parameter Values'!A226)-5)</f>
        <v xml:space="preserve">Applicants should ensure these monetization values are only applied to trips induced from non-active transportation modes within the relevant age ranges for each mode. Absent more localized data on the proportion of induced trips coming from non-active transportation modes, applicants may apply a general assumption of 89% of induced trips falling into that category, assuming a distribution matching the national average travel pattern. </v>
      </c>
      <c r="B11" s="144"/>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row>
    <row r="12" spans="1:52" x14ac:dyDescent="0.3">
      <c r="A12" s="38" t="s">
        <v>21</v>
      </c>
    </row>
    <row r="13" spans="1:52" ht="15" thickBot="1" x14ac:dyDescent="0.35">
      <c r="A13" s="94" t="s">
        <v>432</v>
      </c>
    </row>
    <row r="14" spans="1:52" x14ac:dyDescent="0.3">
      <c r="A14" s="104" t="s">
        <v>308</v>
      </c>
      <c r="B14" s="105" t="s">
        <v>289</v>
      </c>
      <c r="E14" s="10" t="s">
        <v>307</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2"/>
    </row>
    <row r="15" spans="1:52" x14ac:dyDescent="0.3">
      <c r="A15" s="6">
        <f>'Project Information'!$B$9</f>
        <v>2032</v>
      </c>
      <c r="B15" s="156">
        <f>($G$21*$G$19*$G$20*'User Volumes'!H10)+($G$27*$G$26*$G$25*'User Volumes'!K10)</f>
        <v>87183.62748000001</v>
      </c>
      <c r="E15" s="13"/>
      <c r="F15" s="334" t="s">
        <v>433</v>
      </c>
      <c r="G15" s="335"/>
      <c r="H15" s="33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3">
      <c r="A16" s="1">
        <f>IF(A15&lt;'Project Information'!B$11,A15+1,"")</f>
        <v>2033</v>
      </c>
      <c r="B16" s="156">
        <f>($G$21*$G$19*$G$20*'User Volumes'!H11)+($G$27*$G$26*$G$25*'User Volumes'!K11)</f>
        <v>88186.239196020033</v>
      </c>
      <c r="E16" s="1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3">
      <c r="A17" s="1">
        <f>IF(A16&lt;'Project Information'!B$11,A16+1,"")</f>
        <v>2034</v>
      </c>
      <c r="B17" s="156">
        <f>($G$21*$G$19*$G$20*'User Volumes'!H12)+($G$27*$G$26*$G$25*'User Volumes'!K12)</f>
        <v>89200.380946774298</v>
      </c>
      <c r="E17" s="13"/>
      <c r="F17" s="283" t="s">
        <v>434</v>
      </c>
      <c r="G17" s="283" t="s">
        <v>435</v>
      </c>
      <c r="H17" t="s">
        <v>436</v>
      </c>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3">
      <c r="A18" s="1">
        <f>IF(A17&lt;'Project Information'!B$11,A17+1,"")</f>
        <v>2035</v>
      </c>
      <c r="B18" s="156">
        <f>($G$21*$G$19*$G$20*'User Volumes'!H13)+($G$27*$G$26*$G$25*'User Volumes'!K13)</f>
        <v>90226.185327662155</v>
      </c>
      <c r="E18" s="13"/>
      <c r="F18"/>
      <c r="G18"/>
      <c r="H18" t="s">
        <v>437</v>
      </c>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3">
      <c r="A19" s="1">
        <f>IF(A18&lt;'Project Information'!B$11,A18+1,"")</f>
        <v>2036</v>
      </c>
      <c r="B19" s="156">
        <f>($G$21*$G$19*$G$20*'User Volumes'!H14)+($G$27*$G$26*$G$25*'User Volumes'!K14)</f>
        <v>91263.786458930306</v>
      </c>
      <c r="E19" s="13"/>
      <c r="F19" t="s">
        <v>438</v>
      </c>
      <c r="G19" s="336">
        <v>0.68</v>
      </c>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3">
      <c r="A20" s="1">
        <f>IF(A19&lt;'Project Information'!B$11,A19+1,"")</f>
        <v>2037</v>
      </c>
      <c r="B20" s="156">
        <f>($G$21*$G$19*$G$20*'User Volumes'!H15)+($G$27*$G$26*$G$25*'User Volumes'!K15)</f>
        <v>92313.320003208006</v>
      </c>
      <c r="E20" s="13"/>
      <c r="F20" s="337" t="s">
        <v>439</v>
      </c>
      <c r="G20" s="337">
        <v>0.89</v>
      </c>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3">
      <c r="A21" s="1">
        <f>IF(A20&lt;'Project Information'!B$11,A20+1,"")</f>
        <v>2038</v>
      </c>
      <c r="B21" s="156">
        <f>($G$21*$G$19*$G$20*'User Volumes'!H16)+($G$27*$G$26*$G$25*'User Volumes'!K16)</f>
        <v>93374.923183244915</v>
      </c>
      <c r="E21" s="13"/>
      <c r="F21" t="s">
        <v>440</v>
      </c>
      <c r="G21" s="306">
        <f>C8</f>
        <v>8.36</v>
      </c>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3">
      <c r="A22" s="1">
        <f>IF(A21&lt;'Project Information'!B$11,A21+1,"")</f>
        <v>2039</v>
      </c>
      <c r="B22" s="156">
        <f>($G$21*$G$19*$G$20*'User Volumes'!H17)+($G$27*$G$26*$G$25*'User Volumes'!K17)</f>
        <v>94448.734799852275</v>
      </c>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3">
      <c r="A23" s="1">
        <f>IF(A22&lt;'Project Information'!B$11,A22+1,"")</f>
        <v>2040</v>
      </c>
      <c r="B23" s="156">
        <f>($G$21*$G$19*$G$20*'User Volumes'!H18)+($G$27*$G$26*$G$25*'User Volumes'!K18)</f>
        <v>95534.895250050569</v>
      </c>
      <c r="E23" s="13"/>
      <c r="F23" s="283" t="s">
        <v>441</v>
      </c>
      <c r="G23" s="283" t="s">
        <v>442</v>
      </c>
      <c r="H23" t="s">
        <v>436</v>
      </c>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3">
      <c r="A24" s="1">
        <f>IF(A23&lt;'Project Information'!B$11,A23+1,"")</f>
        <v>2041</v>
      </c>
      <c r="B24" s="156">
        <f>($G$21*$G$19*$G$20*'User Volumes'!H19)+($G$27*$G$26*$G$25*'User Volumes'!K19)</f>
        <v>96633.546545426099</v>
      </c>
      <c r="E24" s="13"/>
      <c r="F24"/>
      <c r="G24"/>
      <c r="H24" t="s">
        <v>443</v>
      </c>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3">
      <c r="A25" s="1">
        <f>IF(A24&lt;'Project Information'!B$11,A24+1,"")</f>
        <v>2042</v>
      </c>
      <c r="B25" s="156">
        <f>($G$21*$G$19*$G$20*'User Volumes'!H20)+($G$27*$G$26*$G$25*'User Volumes'!K20)</f>
        <v>97744.832330698453</v>
      </c>
      <c r="E25" s="13"/>
      <c r="F25" t="s">
        <v>438</v>
      </c>
      <c r="G25" s="336">
        <v>0.59</v>
      </c>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3">
      <c r="A26" s="1">
        <f>IF(A25&lt;'Project Information'!B$11,A25+1,"")</f>
        <v>2043</v>
      </c>
      <c r="B26" s="156">
        <f>($G$21*$G$19*$G$20*'User Volumes'!H21)+($G$27*$G$26*$G$25*'User Volumes'!K21)</f>
        <v>98868.897902501427</v>
      </c>
      <c r="E26" s="13"/>
      <c r="F26" s="337" t="s">
        <v>439</v>
      </c>
      <c r="G26" s="337">
        <v>0.89</v>
      </c>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3">
      <c r="A27" s="1">
        <f>IF(A26&lt;'Project Information'!B$11,A26+1,"")</f>
        <v>2044</v>
      </c>
      <c r="B27" s="156">
        <f>($G$21*$G$19*$G$20*'User Volumes'!H22)+($G$27*$G$26*$G$25*'User Volumes'!K22)</f>
        <v>100005.89022838016</v>
      </c>
      <c r="E27" s="13"/>
      <c r="F27" t="s">
        <v>444</v>
      </c>
      <c r="G27" s="306">
        <f>C9</f>
        <v>7.45</v>
      </c>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3">
      <c r="A28" s="1">
        <f>IF(A27&lt;'Project Information'!B$11,A27+1,"")</f>
        <v>2045</v>
      </c>
      <c r="B28" s="156">
        <f>($G$21*$G$19*$G$20*'User Volumes'!H23)+($G$27*$G$26*$G$25*'User Volumes'!K23)</f>
        <v>101155.95796600658</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3">
      <c r="A29" s="1">
        <f>IF(A28&lt;'Project Information'!B$11,A28+1,"")</f>
        <v>2046</v>
      </c>
      <c r="B29" s="156">
        <f>($G$21*$G$19*$G$20*'User Volumes'!H24)+($G$27*$G$26*$G$25*'User Volumes'!K24)</f>
        <v>102319.25148261568</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3">
      <c r="A30" s="1">
        <f>IF(A29&lt;'Project Information'!B$11,A29+1,"")</f>
        <v>2047</v>
      </c>
      <c r="B30" s="156">
        <f>($G$21*$G$19*$G$20*'User Volumes'!H25)+($G$27*$G$26*$G$25*'User Volumes'!K25)</f>
        <v>103495.92287466578</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3">
      <c r="A31" s="1">
        <f>IF(A30&lt;'Project Information'!B$11,A30+1,"")</f>
        <v>2048</v>
      </c>
      <c r="B31" s="156">
        <f>($G$21*$G$19*$G$20*'User Volumes'!H26)+($G$27*$G$26*$G$25*'User Volumes'!K26)</f>
        <v>104686.1259877244</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3">
      <c r="A32" s="1">
        <f>IF(A31&lt;'Project Information'!B$11,A31+1,"")</f>
        <v>2049</v>
      </c>
      <c r="B32" s="156">
        <f>($G$21*$G$19*$G$20*'User Volumes'!H27)+($G$27*$G$26*$G$25*'User Volumes'!K27)</f>
        <v>105890.01643658322</v>
      </c>
      <c r="E32" s="13"/>
      <c r="F32" s="338"/>
      <c r="G32" s="337"/>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3">
      <c r="A33" s="1">
        <f>IF(A32&lt;'Project Information'!B$11,A32+1,"")</f>
        <v>2050</v>
      </c>
      <c r="B33" s="156">
        <f>($G$21*$G$19*$G$20*'User Volumes'!H28)+($G$27*$G$26*$G$25*'User Volumes'!K28)</f>
        <v>107107.75162560389</v>
      </c>
      <c r="E33" s="13"/>
      <c r="F33" s="338"/>
      <c r="G33" s="337"/>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3">
      <c r="A34" s="1">
        <f>IF(A33&lt;'Project Information'!B$11,A33+1,"")</f>
        <v>2051</v>
      </c>
      <c r="B34" s="156">
        <f>($G$21*$G$19*$G$20*'User Volumes'!H29)+($G$27*$G$26*$G$25*'User Volumes'!K29)</f>
        <v>108339.49076929831</v>
      </c>
      <c r="E34" s="13"/>
      <c r="F34" s="337"/>
      <c r="G34" s="337"/>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3">
      <c r="A35" s="1" t="str">
        <f>IF(A34&lt;'Project Information'!B$11,A34+1,"")</f>
        <v/>
      </c>
      <c r="B35" s="156">
        <f>($G$21*$G$19*$G$20*'User Volumes'!H30)+($G$27*$G$26*$G$25*'User Volumes'!K30)</f>
        <v>0</v>
      </c>
      <c r="E35" s="13"/>
      <c r="F35" s="337"/>
      <c r="G35" s="337"/>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3">
      <c r="A36" s="1" t="str">
        <f>IF(A35&lt;'Project Information'!B$11,A35+1,"")</f>
        <v/>
      </c>
      <c r="B36" s="156">
        <f>($G$21*$G$19*$G$20*'User Volumes'!H31)+($G$27*$G$26*$G$25*'User Volumes'!K31)</f>
        <v>0</v>
      </c>
      <c r="E36" s="13"/>
      <c r="F36" s="337"/>
      <c r="G36" s="337"/>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3">
      <c r="A37" s="1" t="str">
        <f>IF(A36&lt;'Project Information'!B$11,A36+1,"")</f>
        <v/>
      </c>
      <c r="B37" s="156">
        <f>($G$21*$G$19*$G$20*'User Volumes'!H32)+($G$27*$G$26*$G$25*'User Volumes'!K32)</f>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3">
      <c r="A38" s="1" t="str">
        <f>IF(A37&lt;'Project Information'!B$11,A37+1,"")</f>
        <v/>
      </c>
      <c r="B38" s="156">
        <f>($G$21*$G$19*$G$20*'User Volumes'!H33)+($G$27*$G$26*$G$25*'User Volumes'!K33)</f>
        <v>0</v>
      </c>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3">
      <c r="A39" s="1" t="str">
        <f>IF(A38&lt;'Project Information'!B$11,A38+1,"")</f>
        <v/>
      </c>
      <c r="B39" s="156">
        <f>($G$21*$G$19*$G$20*'User Volumes'!H34)+($G$27*$G$26*$G$25*'User Volumes'!K34)</f>
        <v>0</v>
      </c>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3">
      <c r="A40" s="1" t="str">
        <f>IF(A39&lt;'Project Information'!B$11,A39+1,"")</f>
        <v/>
      </c>
      <c r="B40" s="156">
        <f>($G$21*$G$19*$G$20*'User Volumes'!H35)+($G$27*$G$26*$G$25*'User Volumes'!K35)</f>
        <v>0</v>
      </c>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3">
      <c r="A41" s="1" t="str">
        <f>IF(A40&lt;'Project Information'!B$11,A40+1,"")</f>
        <v/>
      </c>
      <c r="B41" s="156">
        <f>($G$21*$G$19*$G$20*'User Volumes'!H36)+($G$27*$G$26*$G$25*'User Volumes'!K36)</f>
        <v>0</v>
      </c>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3">
      <c r="A42" s="1" t="str">
        <f>IF(A41&lt;'Project Information'!B$11,A41+1,"")</f>
        <v/>
      </c>
      <c r="B42" s="156">
        <f>($G$21*$G$19*$G$20*'User Volumes'!H37)+($G$27*$G$26*$G$25*'User Volumes'!K37)</f>
        <v>0</v>
      </c>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3">
      <c r="A43" s="1" t="str">
        <f>IF(A42&lt;'Project Information'!B$11,A42+1,"")</f>
        <v/>
      </c>
      <c r="B43" s="156">
        <f>($G$21*$G$19*$G$20*'User Volumes'!H38)+($G$27*$G$26*$G$25*'User Volumes'!K38)</f>
        <v>0</v>
      </c>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3">
      <c r="A44" s="2" t="str">
        <f>IF(A43&lt;'Project Information'!B$11,A43+1,"")</f>
        <v/>
      </c>
      <c r="B44" s="156">
        <f>($G$21*$G$19*$G$20*'User Volumes'!H39)+($G$27*$G$26*$G$25*'User Volumes'!K39)</f>
        <v>0</v>
      </c>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3">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3">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3">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3">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3">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3">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3">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3">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3">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3">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3">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3">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3">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3">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3">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3">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3">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3">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3">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3">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3">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3">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3">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3">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3">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3">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3">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3">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3">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3">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3">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3">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3">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3">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3">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3">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3">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3">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3">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3">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3">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3">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x14ac:dyDescent="0.3">
      <c r="E87" s="13"/>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s="14"/>
    </row>
    <row r="88" spans="5:52" x14ac:dyDescent="0.3">
      <c r="E88" s="13"/>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s="14"/>
    </row>
    <row r="89" spans="5:52" x14ac:dyDescent="0.3">
      <c r="E89" s="13"/>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s="14"/>
    </row>
    <row r="90" spans="5:52" x14ac:dyDescent="0.3">
      <c r="E90" s="13"/>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s="14"/>
    </row>
    <row r="91" spans="5:52" x14ac:dyDescent="0.3">
      <c r="E91" s="13"/>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s="14"/>
    </row>
    <row r="92" spans="5:52" x14ac:dyDescent="0.3">
      <c r="E92" s="13"/>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s="14"/>
    </row>
    <row r="93" spans="5:52" x14ac:dyDescent="0.3">
      <c r="E93" s="1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s="14"/>
    </row>
    <row r="94" spans="5:52" ht="15" thickBot="1" x14ac:dyDescent="0.35">
      <c r="E94" s="15"/>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7"/>
    </row>
  </sheetData>
  <conditionalFormatting sqref="B15:B44">
    <cfRule type="expression" dxfId="11" priority="1">
      <formula>A15=""</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BE35F-05A6-46FB-8C80-3085CA6C95D6}">
  <sheetPr>
    <tabColor theme="9" tint="0.39997558519241921"/>
  </sheetPr>
  <dimension ref="A1:AZ102"/>
  <sheetViews>
    <sheetView topLeftCell="A8" zoomScaleNormal="100" workbookViewId="0">
      <selection activeCell="C12" sqref="C12"/>
    </sheetView>
  </sheetViews>
  <sheetFormatPr defaultColWidth="9.109375" defaultRowHeight="14.4" x14ac:dyDescent="0.3"/>
  <cols>
    <col min="1" max="1" width="33.5546875" style="5" customWidth="1"/>
    <col min="2" max="2" width="30" style="5" customWidth="1"/>
    <col min="3" max="3" width="21.88671875" style="5" customWidth="1"/>
    <col min="4" max="4" width="17.88671875" style="5" customWidth="1"/>
    <col min="5" max="16384" width="9.109375" style="5"/>
  </cols>
  <sheetData>
    <row r="1" spans="1:11" ht="20.399999999999999" thickBot="1" x14ac:dyDescent="0.45">
      <c r="A1" s="93" t="s">
        <v>290</v>
      </c>
    </row>
    <row r="2" spans="1:11" ht="15" thickTop="1" x14ac:dyDescent="0.3">
      <c r="A2" s="144" t="s">
        <v>334</v>
      </c>
      <c r="B2" s="144"/>
      <c r="C2" s="144"/>
      <c r="D2" s="144"/>
      <c r="E2" s="144"/>
      <c r="F2" s="144"/>
      <c r="G2" s="144"/>
      <c r="H2" s="144"/>
    </row>
    <row r="3" spans="1:11" x14ac:dyDescent="0.3">
      <c r="A3" s="5" t="s">
        <v>21</v>
      </c>
    </row>
    <row r="4" spans="1:11" x14ac:dyDescent="0.3">
      <c r="A4" s="145" t="s">
        <v>317</v>
      </c>
      <c r="B4" s="144"/>
      <c r="C4" s="144"/>
      <c r="D4" s="144"/>
      <c r="E4" s="144"/>
      <c r="F4" s="144"/>
      <c r="G4" s="144"/>
      <c r="H4" s="144"/>
      <c r="I4" s="144"/>
      <c r="J4" s="144"/>
      <c r="K4" s="144"/>
    </row>
    <row r="5" spans="1:11" x14ac:dyDescent="0.3">
      <c r="A5" s="5" t="s">
        <v>21</v>
      </c>
    </row>
    <row r="6" spans="1:11" x14ac:dyDescent="0.3">
      <c r="A6" s="145" t="s">
        <v>445</v>
      </c>
      <c r="B6" s="144"/>
      <c r="C6" s="144"/>
      <c r="D6" s="144"/>
      <c r="E6" s="144"/>
      <c r="F6" s="144"/>
    </row>
    <row r="7" spans="1:11" x14ac:dyDescent="0.3">
      <c r="A7" s="145" t="s">
        <v>446</v>
      </c>
      <c r="B7" s="144"/>
      <c r="C7" s="144"/>
      <c r="D7" s="144"/>
      <c r="E7" s="144"/>
      <c r="F7" s="144"/>
      <c r="G7" s="144"/>
      <c r="H7" s="144"/>
      <c r="I7" s="144"/>
    </row>
    <row r="8" spans="1:11" x14ac:dyDescent="0.3">
      <c r="A8" s="145" t="s">
        <v>447</v>
      </c>
      <c r="B8" s="144"/>
      <c r="C8" s="144"/>
      <c r="D8" s="144"/>
      <c r="E8" s="144"/>
      <c r="F8" s="144"/>
    </row>
    <row r="9" spans="1:11" x14ac:dyDescent="0.3">
      <c r="A9" s="94" t="s">
        <v>448</v>
      </c>
    </row>
    <row r="10" spans="1:11" x14ac:dyDescent="0.3">
      <c r="A10" s="114" t="s">
        <v>449</v>
      </c>
      <c r="B10" s="104" t="s">
        <v>450</v>
      </c>
      <c r="C10" s="104" t="s">
        <v>451</v>
      </c>
      <c r="D10" s="104" t="s">
        <v>290</v>
      </c>
    </row>
    <row r="11" spans="1:11" x14ac:dyDescent="0.3">
      <c r="A11" s="148" t="s">
        <v>452</v>
      </c>
      <c r="B11" s="160">
        <f>SUM('Capital Costs'!C9:C23)+'Capital Costs'!A5</f>
        <v>22208754.892724626</v>
      </c>
      <c r="C11" s="23">
        <v>45</v>
      </c>
      <c r="D11" s="102">
        <f>IF(C11&gt;'Project Information'!$B$10,IFERROR(B11*((C11-'Project Information'!$B$10)/C11),0),0)</f>
        <v>12338197.162624793</v>
      </c>
    </row>
    <row r="12" spans="1:11" x14ac:dyDescent="0.3">
      <c r="A12" s="148" t="s">
        <v>453</v>
      </c>
      <c r="B12" s="155">
        <v>0</v>
      </c>
      <c r="C12" s="23">
        <v>0</v>
      </c>
      <c r="D12" s="102">
        <f>IF(C12&gt;'Project Information'!$B$10,IFERROR(B12*((C12-'Project Information'!$B$10)/C12),0),0)</f>
        <v>0</v>
      </c>
    </row>
    <row r="13" spans="1:11" x14ac:dyDescent="0.3">
      <c r="A13" s="148" t="s">
        <v>453</v>
      </c>
      <c r="B13" s="155">
        <v>0</v>
      </c>
      <c r="C13" s="23">
        <v>0</v>
      </c>
      <c r="D13" s="102">
        <f>IF(C13&gt;'Project Information'!$B$10,IFERROR(B13*((C13-'Project Information'!$B$10)/C13),0),0)</f>
        <v>0</v>
      </c>
    </row>
    <row r="14" spans="1:11" x14ac:dyDescent="0.3">
      <c r="A14" s="148" t="s">
        <v>453</v>
      </c>
      <c r="B14" s="155">
        <v>0</v>
      </c>
      <c r="C14" s="23">
        <v>0</v>
      </c>
      <c r="D14" s="102">
        <f>IF(C14&gt;'Project Information'!$B$10,IFERROR(B14*((C14-'Project Information'!$B$10)/C14),0),0)</f>
        <v>0</v>
      </c>
    </row>
    <row r="15" spans="1:11" x14ac:dyDescent="0.3">
      <c r="A15" s="148" t="s">
        <v>453</v>
      </c>
      <c r="B15" s="155">
        <v>0</v>
      </c>
      <c r="C15" s="23">
        <v>0</v>
      </c>
      <c r="D15" s="102">
        <f>IF(C15&gt;'Project Information'!$B$10,IFERROR(B15*((C15-'Project Information'!$B$10)/C15),0),0)</f>
        <v>0</v>
      </c>
    </row>
    <row r="16" spans="1:11" x14ac:dyDescent="0.3">
      <c r="A16" s="148" t="s">
        <v>453</v>
      </c>
      <c r="B16" s="155">
        <v>0</v>
      </c>
      <c r="C16" s="23">
        <v>0</v>
      </c>
      <c r="D16" s="102">
        <f>IF(C16&gt;'Project Information'!$B$10,IFERROR(B16*((C16-'Project Information'!$B$10)/C16),0),0)</f>
        <v>0</v>
      </c>
    </row>
    <row r="17" spans="1:52" x14ac:dyDescent="0.3">
      <c r="A17" s="3" t="s">
        <v>454</v>
      </c>
      <c r="B17" s="150"/>
      <c r="C17" s="151"/>
      <c r="D17" s="102">
        <f>SUM(D11:D16)</f>
        <v>12338197.162624793</v>
      </c>
    </row>
    <row r="18" spans="1:52" x14ac:dyDescent="0.3">
      <c r="A18" s="5" t="s">
        <v>21</v>
      </c>
    </row>
    <row r="19" spans="1:52" x14ac:dyDescent="0.3">
      <c r="A19" s="145" t="s">
        <v>455</v>
      </c>
      <c r="B19" s="145"/>
      <c r="C19" s="145"/>
      <c r="D19" s="145"/>
      <c r="E19" s="145"/>
      <c r="F19" s="145"/>
      <c r="G19" s="145"/>
    </row>
    <row r="20" spans="1:52" x14ac:dyDescent="0.3">
      <c r="A20" s="145" t="s">
        <v>456</v>
      </c>
      <c r="B20" s="145"/>
      <c r="C20" s="145"/>
      <c r="D20" s="145"/>
    </row>
    <row r="21" spans="1:52" ht="15" thickBot="1" x14ac:dyDescent="0.35">
      <c r="A21" s="94" t="s">
        <v>457</v>
      </c>
    </row>
    <row r="22" spans="1:52" x14ac:dyDescent="0.3">
      <c r="A22" s="104" t="s">
        <v>308</v>
      </c>
      <c r="B22" s="105" t="s">
        <v>290</v>
      </c>
      <c r="E22" s="10" t="s">
        <v>307</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2"/>
    </row>
    <row r="23" spans="1:52" x14ac:dyDescent="0.3">
      <c r="A23" s="6">
        <f>'Project Information'!$B$9</f>
        <v>2032</v>
      </c>
      <c r="B23" s="26">
        <f>IF(A23='Project Information'!$B$6+'Project Information'!$B$8+'Project Information'!$B$10+('Project Information'!$B$7-'Project Information'!$B$6-1),$D$17,0)</f>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3">
      <c r="A24" s="1">
        <f>IF(A23&lt;'Project Information'!B$11,A23+1,"")</f>
        <v>2033</v>
      </c>
      <c r="B24" s="26">
        <f>IF(A24='Project Information'!$B$6+'Project Information'!$B$8+'Project Information'!$B$10+('Project Information'!$B$7-'Project Information'!$B$6-1),$D$17,0)</f>
        <v>0</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3">
      <c r="A25" s="1">
        <f>IF(A24&lt;'Project Information'!B$11,A24+1,"")</f>
        <v>2034</v>
      </c>
      <c r="B25" s="26">
        <f>IF(A25='Project Information'!$B$6+'Project Information'!$B$8+'Project Information'!$B$10+('Project Information'!$B$7-'Project Information'!$B$6-1),$D$17,0)</f>
        <v>0</v>
      </c>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3">
      <c r="A26" s="1">
        <f>IF(A25&lt;'Project Information'!B$11,A25+1,"")</f>
        <v>2035</v>
      </c>
      <c r="B26" s="26">
        <f>IF(A26='Project Information'!$B$6+'Project Information'!$B$8+'Project Information'!$B$10+('Project Information'!$B$7-'Project Information'!$B$6-1),$D$17,0)</f>
        <v>0</v>
      </c>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3">
      <c r="A27" s="1">
        <f>IF(A26&lt;'Project Information'!B$11,A26+1,"")</f>
        <v>2036</v>
      </c>
      <c r="B27" s="26">
        <f>IF(A27='Project Information'!$B$6+'Project Information'!$B$8+'Project Information'!$B$10+('Project Information'!$B$7-'Project Information'!$B$6-1),$D$17,0)</f>
        <v>0</v>
      </c>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3">
      <c r="A28" s="1">
        <f>IF(A27&lt;'Project Information'!B$11,A27+1,"")</f>
        <v>2037</v>
      </c>
      <c r="B28" s="26">
        <f>IF(A28='Project Information'!$B$6+'Project Information'!$B$8+'Project Information'!$B$10+('Project Information'!$B$7-'Project Information'!$B$6-1),$D$17,0)</f>
        <v>0</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3">
      <c r="A29" s="1">
        <f>IF(A28&lt;'Project Information'!B$11,A28+1,"")</f>
        <v>2038</v>
      </c>
      <c r="B29" s="26">
        <f>IF(A29='Project Information'!$B$6+'Project Information'!$B$8+'Project Information'!$B$10+('Project Information'!$B$7-'Project Information'!$B$6-1),$D$17,0)</f>
        <v>0</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3">
      <c r="A30" s="1">
        <f>IF(A29&lt;'Project Information'!B$11,A29+1,"")</f>
        <v>2039</v>
      </c>
      <c r="B30" s="26">
        <f>IF(A30='Project Information'!$B$6+'Project Information'!$B$8+'Project Information'!$B$10+('Project Information'!$B$7-'Project Information'!$B$6-1),$D$17,0)</f>
        <v>0</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3">
      <c r="A31" s="1">
        <f>IF(A30&lt;'Project Information'!B$11,A30+1,"")</f>
        <v>2040</v>
      </c>
      <c r="B31" s="26">
        <f>IF(A31='Project Information'!$B$6+'Project Information'!$B$8+'Project Information'!$B$10+('Project Information'!$B$7-'Project Information'!$B$6-1),$D$17,0)</f>
        <v>0</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3">
      <c r="A32" s="1">
        <f>IF(A31&lt;'Project Information'!B$11,A31+1,"")</f>
        <v>2041</v>
      </c>
      <c r="B32" s="26">
        <f>IF(A32='Project Information'!$B$6+'Project Information'!$B$8+'Project Information'!$B$10+('Project Information'!$B$7-'Project Information'!$B$6-1),$D$17,0)</f>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3">
      <c r="A33" s="1">
        <f>IF(A32&lt;'Project Information'!B$11,A32+1,"")</f>
        <v>2042</v>
      </c>
      <c r="B33" s="26">
        <f>IF(A33='Project Information'!$B$6+'Project Information'!$B$8+'Project Information'!$B$10+('Project Information'!$B$7-'Project Information'!$B$6-1),$D$17,0)</f>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3">
      <c r="A34" s="1">
        <f>IF(A33&lt;'Project Information'!B$11,A33+1,"")</f>
        <v>2043</v>
      </c>
      <c r="B34" s="26">
        <f>IF(A34='Project Information'!$B$6+'Project Information'!$B$8+'Project Information'!$B$10+('Project Information'!$B$7-'Project Information'!$B$6-1),$D$17,0)</f>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3">
      <c r="A35" s="1">
        <f>IF(A34&lt;'Project Information'!B$11,A34+1,"")</f>
        <v>2044</v>
      </c>
      <c r="B35" s="26">
        <f>IF(A35='Project Information'!$B$6+'Project Information'!$B$8+'Project Information'!$B$10+('Project Information'!$B$7-'Project Information'!$B$6-1),$D$17,0)</f>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3">
      <c r="A36" s="1">
        <f>IF(A35&lt;'Project Information'!B$11,A35+1,"")</f>
        <v>2045</v>
      </c>
      <c r="B36" s="26">
        <f>IF(A36='Project Information'!$B$6+'Project Information'!$B$8+'Project Information'!$B$10+('Project Information'!$B$7-'Project Information'!$B$6-1),$D$17,0)</f>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3">
      <c r="A37" s="1">
        <f>IF(A36&lt;'Project Information'!B$11,A36+1,"")</f>
        <v>2046</v>
      </c>
      <c r="B37" s="26">
        <f>IF(A37='Project Information'!$B$6+'Project Information'!$B$8+'Project Information'!$B$10+('Project Information'!$B$7-'Project Information'!$B$6-1),$D$17,0)</f>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3">
      <c r="A38" s="1">
        <f>IF(A37&lt;'Project Information'!B$11,A37+1,"")</f>
        <v>2047</v>
      </c>
      <c r="B38" s="26">
        <f>IF(A38='Project Information'!$B$6+'Project Information'!$B$8+'Project Information'!$B$10+('Project Information'!$B$7-'Project Information'!$B$6-1),$D$17,0)</f>
        <v>0</v>
      </c>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3">
      <c r="A39" s="1">
        <f>IF(A38&lt;'Project Information'!B$11,A38+1,"")</f>
        <v>2048</v>
      </c>
      <c r="B39" s="26">
        <f>IF(A39='Project Information'!$B$6+'Project Information'!$B$8+'Project Information'!$B$10+('Project Information'!$B$7-'Project Information'!$B$6-1),$D$17,0)</f>
        <v>0</v>
      </c>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3">
      <c r="A40" s="1">
        <f>IF(A39&lt;'Project Information'!B$11,A39+1,"")</f>
        <v>2049</v>
      </c>
      <c r="B40" s="26">
        <f>IF(A40='Project Information'!$B$6+'Project Information'!$B$8+'Project Information'!$B$10+('Project Information'!$B$7-'Project Information'!$B$6-1),$D$17,0)</f>
        <v>0</v>
      </c>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3">
      <c r="A41" s="1">
        <f>IF(A40&lt;'Project Information'!B$11,A40+1,"")</f>
        <v>2050</v>
      </c>
      <c r="B41" s="26">
        <f>IF(A41='Project Information'!$B$6+'Project Information'!$B$8+'Project Information'!$B$10+('Project Information'!$B$7-'Project Information'!$B$6-1),$D$17,0)</f>
        <v>0</v>
      </c>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3">
      <c r="A42" s="1">
        <f>IF(A41&lt;'Project Information'!B$11,A41+1,"")</f>
        <v>2051</v>
      </c>
      <c r="B42" s="26">
        <f>IF(A42='Project Information'!$B$6+'Project Information'!$B$8+'Project Information'!$B$10+('Project Information'!$B$7-'Project Information'!$B$6-1),$D$17,0)</f>
        <v>12338197.162624793</v>
      </c>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3">
      <c r="A43" s="1" t="str">
        <f>IF(A42&lt;'Project Information'!B$11,A42+1,"")</f>
        <v/>
      </c>
      <c r="B43" s="26">
        <f>IF(A43='Project Information'!$B$6+'Project Information'!$B$8+'Project Information'!$B$10+('Project Information'!$B$7-'Project Information'!$B$6-1),$D$17,0)</f>
        <v>0</v>
      </c>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3">
      <c r="A44" s="1" t="str">
        <f>IF(A43&lt;'Project Information'!B$11,A43+1,"")</f>
        <v/>
      </c>
      <c r="B44" s="26">
        <f>IF(A44='Project Information'!$B$6+'Project Information'!$B$8+'Project Information'!$B$10+('Project Information'!$B$7-'Project Information'!$B$6-1),$D$17,0)</f>
        <v>0</v>
      </c>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3">
      <c r="A45" s="1" t="str">
        <f>IF(A44&lt;'Project Information'!B$11,A44+1,"")</f>
        <v/>
      </c>
      <c r="B45" s="26">
        <f>IF(A45='Project Information'!$B$6+'Project Information'!$B$8+'Project Information'!$B$10+('Project Information'!$B$7-'Project Information'!$B$6-1),$D$17,0)</f>
        <v>0</v>
      </c>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3">
      <c r="A46" s="1" t="str">
        <f>IF(A45&lt;'Project Information'!B$11,A45+1,"")</f>
        <v/>
      </c>
      <c r="B46" s="26">
        <f>IF(A46='Project Information'!$B$6+'Project Information'!$B$8+'Project Information'!$B$10+('Project Information'!$B$7-'Project Information'!$B$6-1),$D$17,0)</f>
        <v>0</v>
      </c>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3">
      <c r="A47" s="1" t="str">
        <f>IF(A46&lt;'Project Information'!B$11,A46+1,"")</f>
        <v/>
      </c>
      <c r="B47" s="26">
        <f>IF(A47='Project Information'!$B$6+'Project Information'!$B$8+'Project Information'!$B$10+('Project Information'!$B$7-'Project Information'!$B$6-1),$D$17,0)</f>
        <v>0</v>
      </c>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3">
      <c r="A48" s="1" t="str">
        <f>IF(A47&lt;'Project Information'!B$11,A47+1,"")</f>
        <v/>
      </c>
      <c r="B48" s="26">
        <f>IF(A48='Project Information'!$B$6+'Project Information'!$B$8+'Project Information'!$B$10+('Project Information'!$B$7-'Project Information'!$B$6-1),$D$17,0)</f>
        <v>0</v>
      </c>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1:52" x14ac:dyDescent="0.3">
      <c r="A49" s="1" t="str">
        <f>IF(A48&lt;'Project Information'!B$11,A48+1,"")</f>
        <v/>
      </c>
      <c r="B49" s="26">
        <f>IF(A49='Project Information'!$B$6+'Project Information'!$B$8+'Project Information'!$B$10+('Project Information'!$B$7-'Project Information'!$B$6-1),$D$17,0)</f>
        <v>0</v>
      </c>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1:52" x14ac:dyDescent="0.3">
      <c r="A50" s="1" t="str">
        <f>IF(A49&lt;'Project Information'!B$11,A49+1,"")</f>
        <v/>
      </c>
      <c r="B50" s="26">
        <f>IF(A50='Project Information'!$B$6+'Project Information'!$B$8+'Project Information'!$B$10+('Project Information'!$B$7-'Project Information'!$B$6-1),$D$17,0)</f>
        <v>0</v>
      </c>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1:52" x14ac:dyDescent="0.3">
      <c r="A51" s="1" t="str">
        <f>IF(A50&lt;'Project Information'!B$11,A50+1,"")</f>
        <v/>
      </c>
      <c r="B51" s="26">
        <f>IF(A51='Project Information'!$B$6+'Project Information'!$B$8+'Project Information'!$B$10+('Project Information'!$B$7-'Project Information'!$B$6-1),$D$17,0)</f>
        <v>0</v>
      </c>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1:52" x14ac:dyDescent="0.3">
      <c r="A52" s="2" t="str">
        <f>IF(A51&lt;'Project Information'!B$11,A51+1,"")</f>
        <v/>
      </c>
      <c r="B52" s="157">
        <f>IF(A52='Project Information'!$B$6+'Project Information'!$B$8+'Project Information'!$B$10+('Project Information'!$B$7-'Project Information'!$B$6-1),$D$17,0)</f>
        <v>0</v>
      </c>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1:52" x14ac:dyDescent="0.3">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1:52" x14ac:dyDescent="0.3">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1:52" x14ac:dyDescent="0.3">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1:52" x14ac:dyDescent="0.3">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1:52" x14ac:dyDescent="0.3">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1:52" x14ac:dyDescent="0.3">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1:52" x14ac:dyDescent="0.3">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1:52" x14ac:dyDescent="0.3">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1:52" x14ac:dyDescent="0.3">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1:52" x14ac:dyDescent="0.3">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1:52" x14ac:dyDescent="0.3">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1:52" x14ac:dyDescent="0.3">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3">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3">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3">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3">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3">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3">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3">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3">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3">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3">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3">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3">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3">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3">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3">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3">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3">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3">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3">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3">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3">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3">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x14ac:dyDescent="0.3">
      <c r="E87" s="13"/>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s="14"/>
    </row>
    <row r="88" spans="5:52" x14ac:dyDescent="0.3">
      <c r="E88" s="13"/>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s="14"/>
    </row>
    <row r="89" spans="5:52" x14ac:dyDescent="0.3">
      <c r="E89" s="13"/>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s="14"/>
    </row>
    <row r="90" spans="5:52" x14ac:dyDescent="0.3">
      <c r="E90" s="13"/>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s="14"/>
    </row>
    <row r="91" spans="5:52" x14ac:dyDescent="0.3">
      <c r="E91" s="13"/>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s="14"/>
    </row>
    <row r="92" spans="5:52" x14ac:dyDescent="0.3">
      <c r="E92" s="13"/>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s="14"/>
    </row>
    <row r="93" spans="5:52" x14ac:dyDescent="0.3">
      <c r="E93" s="1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s="14"/>
    </row>
    <row r="94" spans="5:52" x14ac:dyDescent="0.3">
      <c r="E94" s="13"/>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s="14"/>
    </row>
    <row r="95" spans="5:52" x14ac:dyDescent="0.3">
      <c r="E95" s="13"/>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s="14"/>
    </row>
    <row r="96" spans="5:52" x14ac:dyDescent="0.3">
      <c r="E96" s="13"/>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s="14"/>
    </row>
    <row r="97" spans="5:52" x14ac:dyDescent="0.3">
      <c r="E97" s="13"/>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s="14"/>
    </row>
    <row r="98" spans="5:52" x14ac:dyDescent="0.3">
      <c r="E98" s="13"/>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s="14"/>
    </row>
    <row r="99" spans="5:52" x14ac:dyDescent="0.3">
      <c r="E99" s="13"/>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s="14"/>
    </row>
    <row r="100" spans="5:52" x14ac:dyDescent="0.3">
      <c r="E100" s="13"/>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s="14"/>
    </row>
    <row r="101" spans="5:52" x14ac:dyDescent="0.3">
      <c r="E101" s="13"/>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s="14"/>
    </row>
    <row r="102" spans="5:52" ht="15" thickBot="1" x14ac:dyDescent="0.35">
      <c r="E102" s="15"/>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7"/>
    </row>
  </sheetData>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id="{DF3C72DF-52D5-440E-BE83-E16345A5E25E}">
            <xm:f>A23='Project Information'!$B$11</xm:f>
            <x14:dxf>
              <font>
                <b val="0"/>
                <i/>
                <u val="none"/>
              </font>
              <fill>
                <patternFill>
                  <bgColor theme="4" tint="0.39994506668294322"/>
                </patternFill>
              </fill>
            </x14:dxf>
          </x14:cfRule>
          <xm:sqref>B23:B52</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223E3-CA4A-450A-91B0-3ECFC3741DDC}">
  <sheetPr>
    <tabColor theme="8" tint="0.39997558519241921"/>
  </sheetPr>
  <dimension ref="A1:Q65"/>
  <sheetViews>
    <sheetView topLeftCell="A34" zoomScale="85" zoomScaleNormal="85" workbookViewId="0">
      <selection activeCell="B41" sqref="B41:B46"/>
    </sheetView>
  </sheetViews>
  <sheetFormatPr defaultColWidth="9.109375" defaultRowHeight="14.4" x14ac:dyDescent="0.3"/>
  <cols>
    <col min="1" max="1" width="32.5546875" style="5" customWidth="1"/>
    <col min="2" max="2" width="30.33203125" style="5" customWidth="1"/>
    <col min="3" max="3" width="23.88671875" style="5" customWidth="1"/>
    <col min="4" max="4" width="25.44140625" style="5" customWidth="1"/>
    <col min="5" max="5" width="31" style="5" customWidth="1"/>
    <col min="6" max="6" width="27.88671875" style="5" customWidth="1"/>
    <col min="7" max="7" width="27.44140625" style="5" customWidth="1"/>
    <col min="8" max="8" width="28.6640625" style="5" customWidth="1"/>
    <col min="9" max="9" width="30.88671875" style="5" customWidth="1"/>
    <col min="10" max="10" width="30.33203125" style="5" customWidth="1"/>
    <col min="11" max="11" width="26.44140625" style="5" customWidth="1"/>
    <col min="12" max="12" width="21.109375" style="5" customWidth="1"/>
    <col min="13" max="13" width="19.44140625" style="5" customWidth="1"/>
    <col min="14" max="14" width="21" style="5" customWidth="1"/>
    <col min="15" max="15" width="19" style="5" customWidth="1"/>
    <col min="16" max="16" width="19.44140625" style="5" customWidth="1"/>
    <col min="17" max="17" width="25.6640625" style="5" customWidth="1"/>
    <col min="18" max="18" width="18.109375" style="5" customWidth="1"/>
    <col min="19" max="19" width="11" style="5" customWidth="1"/>
    <col min="20" max="20" width="19.88671875" style="5" customWidth="1"/>
    <col min="21" max="21" width="25.109375" style="5" customWidth="1"/>
    <col min="22" max="16384" width="9.109375" style="5"/>
  </cols>
  <sheetData>
    <row r="1" spans="1:17" ht="20.399999999999999" thickBot="1" x14ac:dyDescent="0.45">
      <c r="A1" s="93" t="s">
        <v>458</v>
      </c>
    </row>
    <row r="2" spans="1:17" ht="15" thickTop="1" x14ac:dyDescent="0.3">
      <c r="A2" s="144" t="s">
        <v>459</v>
      </c>
      <c r="B2" s="144"/>
      <c r="C2" s="144"/>
      <c r="D2" s="144"/>
      <c r="E2" s="144"/>
      <c r="F2" s="144"/>
      <c r="G2" s="144"/>
      <c r="H2" s="144"/>
      <c r="I2" s="144"/>
      <c r="J2" s="144"/>
    </row>
    <row r="3" spans="1:17" x14ac:dyDescent="0.3">
      <c r="A3" s="5" t="s">
        <v>21</v>
      </c>
    </row>
    <row r="4" spans="1:17" x14ac:dyDescent="0.3">
      <c r="A4" s="94" t="s">
        <v>460</v>
      </c>
    </row>
    <row r="5" spans="1:17" x14ac:dyDescent="0.3">
      <c r="A5" s="107" t="s">
        <v>308</v>
      </c>
      <c r="B5" s="110" t="s">
        <v>283</v>
      </c>
      <c r="C5" s="110" t="s">
        <v>284</v>
      </c>
      <c r="D5" s="110" t="s">
        <v>285</v>
      </c>
      <c r="E5" s="110" t="s">
        <v>286</v>
      </c>
      <c r="F5" s="110" t="s">
        <v>461</v>
      </c>
      <c r="G5" s="110"/>
      <c r="H5" s="110" t="s">
        <v>462</v>
      </c>
      <c r="I5" s="110" t="s">
        <v>288</v>
      </c>
      <c r="J5" s="110" t="s">
        <v>289</v>
      </c>
      <c r="K5" s="110" t="s">
        <v>290</v>
      </c>
      <c r="L5" s="110" t="str">
        <f>'Other Benefit 1'!B7</f>
        <v>Other Benefit 1</v>
      </c>
      <c r="M5" s="110" t="str">
        <f>'Other Benefit 2'!B7</f>
        <v>Other Benefit 2</v>
      </c>
      <c r="N5" s="110" t="str">
        <f>'Other Benefit 3'!B7</f>
        <v>Other Benefit 3</v>
      </c>
      <c r="O5" s="110" t="str">
        <f>'Other Benefit 4'!B11</f>
        <v>Other Benefit 4</v>
      </c>
      <c r="P5" s="110" t="s">
        <v>463</v>
      </c>
      <c r="Q5" s="104" t="s">
        <v>464</v>
      </c>
    </row>
    <row r="6" spans="1:17" x14ac:dyDescent="0.3">
      <c r="A6" s="6">
        <f>'Project Information'!$B$9</f>
        <v>2032</v>
      </c>
      <c r="B6" s="7">
        <f>'Operations and Maintenance'!D8</f>
        <v>0</v>
      </c>
      <c r="C6" s="7">
        <f>Safety!D22</f>
        <v>456541.72</v>
      </c>
      <c r="D6" s="7">
        <f>'Travel Time Savings'!D20</f>
        <v>3386499.1999999955</v>
      </c>
      <c r="E6" s="7">
        <f>'Vehicle Operating Cost Savings'!D26</f>
        <v>0</v>
      </c>
      <c r="F6" s="21">
        <f>'Emissions Reduction'!S33</f>
        <v>0</v>
      </c>
      <c r="G6" s="21"/>
      <c r="H6" s="21">
        <f>'Other Highway Use Externalities'!B20</f>
        <v>0</v>
      </c>
      <c r="I6" s="7">
        <f>'Amenity Benefits'!B11</f>
        <v>872022.88800000004</v>
      </c>
      <c r="J6" s="7">
        <f>'Health Benefits'!B15</f>
        <v>87183.62748000001</v>
      </c>
      <c r="K6" s="7">
        <f>'Residual Value'!B23</f>
        <v>0</v>
      </c>
      <c r="L6" s="7">
        <f>'Other Benefit 1'!B8</f>
        <v>0</v>
      </c>
      <c r="M6" s="7">
        <f>'Other Benefit 2'!B8</f>
        <v>0</v>
      </c>
      <c r="N6" s="7">
        <f>'Other Benefit 3'!B8</f>
        <v>0</v>
      </c>
      <c r="O6" s="7">
        <f>'Other Benefit 4'!B12</f>
        <v>0</v>
      </c>
      <c r="P6" s="149">
        <f>SUM(C6:O6)-B6</f>
        <v>4802247.4354799958</v>
      </c>
      <c r="Q6" s="8">
        <f>IFERROR(((P6)/(1.07)^(A6-Overview!$B$22)),0)</f>
        <v>2794951.7298234645</v>
      </c>
    </row>
    <row r="7" spans="1:17" x14ac:dyDescent="0.3">
      <c r="A7" s="1">
        <f>IF(A6&lt;'Project Information'!B$11,A6+1,"")</f>
        <v>2033</v>
      </c>
      <c r="B7" s="7">
        <f>'Operations and Maintenance'!D9</f>
        <v>0</v>
      </c>
      <c r="C7" s="7">
        <f>Safety!D23</f>
        <v>456541.72</v>
      </c>
      <c r="D7" s="7">
        <f>'Travel Time Savings'!D21</f>
        <v>3403431.6959999949</v>
      </c>
      <c r="E7" s="7">
        <f>'Vehicle Operating Cost Savings'!D27</f>
        <v>0</v>
      </c>
      <c r="F7" s="21">
        <f>'Emissions Reduction'!S34</f>
        <v>0</v>
      </c>
      <c r="G7" s="21"/>
      <c r="H7" s="21">
        <f>'Other Highway Use Externalities'!B21</f>
        <v>0</v>
      </c>
      <c r="I7" s="7">
        <f>'Amenity Benefits'!B12</f>
        <v>882051.15121199994</v>
      </c>
      <c r="J7" s="7">
        <f>'Health Benefits'!B16</f>
        <v>88186.239196020033</v>
      </c>
      <c r="K7" s="7">
        <f>'Residual Value'!B24</f>
        <v>0</v>
      </c>
      <c r="L7" s="7">
        <f>'Other Benefit 1'!B9</f>
        <v>0</v>
      </c>
      <c r="M7" s="7">
        <f>'Other Benefit 2'!B9</f>
        <v>0</v>
      </c>
      <c r="N7" s="7">
        <f>'Other Benefit 3'!B9</f>
        <v>0</v>
      </c>
      <c r="O7" s="7">
        <f>'Other Benefit 4'!B13</f>
        <v>0</v>
      </c>
      <c r="P7" s="149">
        <f t="shared" ref="P7:P35" si="0">SUM(C7:O7)-B7</f>
        <v>4830210.8064080151</v>
      </c>
      <c r="Q7" s="8">
        <f>IFERROR(((P7)/(1.07)^(A7-Overview!$B$22)),0)</f>
        <v>2627314.6413999074</v>
      </c>
    </row>
    <row r="8" spans="1:17" x14ac:dyDescent="0.3">
      <c r="A8" s="1">
        <f>IF(A7&lt;'Project Information'!B$11,A7+1,"")</f>
        <v>2034</v>
      </c>
      <c r="B8" s="7">
        <f>'Operations and Maintenance'!D10</f>
        <v>0</v>
      </c>
      <c r="C8" s="7">
        <f>Safety!D24</f>
        <v>456541.72</v>
      </c>
      <c r="D8" s="7">
        <f>'Travel Time Savings'!D22</f>
        <v>3420448.8544799984</v>
      </c>
      <c r="E8" s="7">
        <f>'Vehicle Operating Cost Savings'!D28</f>
        <v>0</v>
      </c>
      <c r="F8" s="21">
        <f>'Emissions Reduction'!S35</f>
        <v>0</v>
      </c>
      <c r="G8" s="21"/>
      <c r="H8" s="21">
        <f>'Other Highway Use Externalities'!B22</f>
        <v>0</v>
      </c>
      <c r="I8" s="7">
        <f>'Amenity Benefits'!B13</f>
        <v>892194.73945093818</v>
      </c>
      <c r="J8" s="7">
        <f>'Health Benefits'!B17</f>
        <v>89200.380946774298</v>
      </c>
      <c r="K8" s="7">
        <f>'Residual Value'!B25</f>
        <v>0</v>
      </c>
      <c r="L8" s="7">
        <f>'Other Benefit 1'!B10</f>
        <v>0</v>
      </c>
      <c r="M8" s="7">
        <f>'Other Benefit 2'!B10</f>
        <v>0</v>
      </c>
      <c r="N8" s="7">
        <f>'Other Benefit 3'!B10</f>
        <v>0</v>
      </c>
      <c r="O8" s="7">
        <f>'Other Benefit 4'!B14</f>
        <v>0</v>
      </c>
      <c r="P8" s="149">
        <f t="shared" si="0"/>
        <v>4858385.6948777102</v>
      </c>
      <c r="Q8" s="8">
        <f>IFERROR(((P8)/(1.07)^(A8-Overview!$B$22)),0)</f>
        <v>2469756.9289085232</v>
      </c>
    </row>
    <row r="9" spans="1:17" x14ac:dyDescent="0.3">
      <c r="A9" s="1">
        <f>IF(A8&lt;'Project Information'!B$11,A8+1,"")</f>
        <v>2035</v>
      </c>
      <c r="B9" s="7">
        <f>'Operations and Maintenance'!D11</f>
        <v>0</v>
      </c>
      <c r="C9" s="7">
        <f>Safety!D25</f>
        <v>456541.72</v>
      </c>
      <c r="D9" s="7">
        <f>'Travel Time Savings'!D23</f>
        <v>3437551.0987523943</v>
      </c>
      <c r="E9" s="7">
        <f>'Vehicle Operating Cost Savings'!D29</f>
        <v>0</v>
      </c>
      <c r="F9" s="21">
        <f>'Emissions Reduction'!S36</f>
        <v>0</v>
      </c>
      <c r="G9" s="21"/>
      <c r="H9" s="21">
        <f>'Other Highway Use Externalities'!B23</f>
        <v>0</v>
      </c>
      <c r="I9" s="7">
        <f>'Amenity Benefits'!B14</f>
        <v>902454.97895462392</v>
      </c>
      <c r="J9" s="7">
        <f>'Health Benefits'!B18</f>
        <v>90226.185327662155</v>
      </c>
      <c r="K9" s="7">
        <f>'Residual Value'!B26</f>
        <v>0</v>
      </c>
      <c r="L9" s="7">
        <f>'Other Benefit 1'!B11</f>
        <v>0</v>
      </c>
      <c r="M9" s="7">
        <f>'Other Benefit 2'!B11</f>
        <v>0</v>
      </c>
      <c r="N9" s="7">
        <f>'Other Benefit 3'!B11</f>
        <v>0</v>
      </c>
      <c r="O9" s="7">
        <f>'Other Benefit 4'!B15</f>
        <v>0</v>
      </c>
      <c r="P9" s="149">
        <f t="shared" si="0"/>
        <v>4886773.9830346797</v>
      </c>
      <c r="Q9" s="8">
        <f>IFERROR(((P9)/(1.07)^(A9-Overview!$B$22)),0)</f>
        <v>2321671.1169140511</v>
      </c>
    </row>
    <row r="10" spans="1:17" x14ac:dyDescent="0.3">
      <c r="A10" s="1">
        <f>IF(A9&lt;'Project Information'!B$11,A9+1,"")</f>
        <v>2036</v>
      </c>
      <c r="B10" s="7">
        <f>'Operations and Maintenance'!D12</f>
        <v>0</v>
      </c>
      <c r="C10" s="7">
        <f>Safety!D26</f>
        <v>456541.72</v>
      </c>
      <c r="D10" s="7">
        <f>'Travel Time Savings'!D24</f>
        <v>3454738.8542461582</v>
      </c>
      <c r="E10" s="7">
        <f>'Vehicle Operating Cost Savings'!D30</f>
        <v>0</v>
      </c>
      <c r="F10" s="21">
        <f>'Emissions Reduction'!S37</f>
        <v>0</v>
      </c>
      <c r="G10" s="21"/>
      <c r="H10" s="21">
        <f>'Other Highway Use Externalities'!B24</f>
        <v>0</v>
      </c>
      <c r="I10" s="7">
        <f>'Amenity Benefits'!B15</f>
        <v>912833.21121260221</v>
      </c>
      <c r="J10" s="7">
        <f>'Health Benefits'!B19</f>
        <v>91263.786458930306</v>
      </c>
      <c r="K10" s="7">
        <f>'Residual Value'!B27</f>
        <v>0</v>
      </c>
      <c r="L10" s="7">
        <f>'Other Benefit 1'!B12</f>
        <v>0</v>
      </c>
      <c r="M10" s="7">
        <f>'Other Benefit 2'!B12</f>
        <v>0</v>
      </c>
      <c r="N10" s="7">
        <f>'Other Benefit 3'!B12</f>
        <v>0</v>
      </c>
      <c r="O10" s="7">
        <f>'Other Benefit 4'!B16</f>
        <v>0</v>
      </c>
      <c r="P10" s="149">
        <f t="shared" si="0"/>
        <v>4915377.5719176903</v>
      </c>
      <c r="Q10" s="8">
        <f>IFERROR(((P10)/(1.07)^(A10-Overview!$B$22)),0)</f>
        <v>2182486.4261151417</v>
      </c>
    </row>
    <row r="11" spans="1:17" x14ac:dyDescent="0.3">
      <c r="A11" s="1">
        <f>IF(A10&lt;'Project Information'!B$11,A10+1,"")</f>
        <v>2037</v>
      </c>
      <c r="B11" s="7">
        <f>'Operations and Maintenance'!D13</f>
        <v>0</v>
      </c>
      <c r="C11" s="7">
        <f>Safety!D27</f>
        <v>456541.72</v>
      </c>
      <c r="D11" s="7">
        <f>'Travel Time Savings'!D25</f>
        <v>3472012.5485173836</v>
      </c>
      <c r="E11" s="7">
        <f>'Vehicle Operating Cost Savings'!D31</f>
        <v>0</v>
      </c>
      <c r="F11" s="21">
        <f>'Emissions Reduction'!S38</f>
        <v>0</v>
      </c>
      <c r="G11" s="21"/>
      <c r="H11" s="21">
        <f>'Other Highway Use Externalities'!B25</f>
        <v>0</v>
      </c>
      <c r="I11" s="7">
        <f>'Amenity Benefits'!B16</f>
        <v>923330.79314154712</v>
      </c>
      <c r="J11" s="7">
        <f>'Health Benefits'!B20</f>
        <v>92313.320003208006</v>
      </c>
      <c r="K11" s="7">
        <f>'Residual Value'!B28</f>
        <v>0</v>
      </c>
      <c r="L11" s="7">
        <f>'Other Benefit 1'!B13</f>
        <v>0</v>
      </c>
      <c r="M11" s="7">
        <f>'Other Benefit 2'!B13</f>
        <v>0</v>
      </c>
      <c r="N11" s="7">
        <f>'Other Benefit 3'!B13</f>
        <v>0</v>
      </c>
      <c r="O11" s="7">
        <f>'Other Benefit 4'!B17</f>
        <v>0</v>
      </c>
      <c r="P11" s="149">
        <f t="shared" si="0"/>
        <v>4944198.3816621378</v>
      </c>
      <c r="Q11" s="8">
        <f>IFERROR(((P11)/(1.07)^(A11-Overview!$B$22)),0)</f>
        <v>2051666.5516978302</v>
      </c>
    </row>
    <row r="12" spans="1:17" x14ac:dyDescent="0.3">
      <c r="A12" s="1">
        <f>IF(A11&lt;'Project Information'!B$11,A11+1,"")</f>
        <v>2038</v>
      </c>
      <c r="B12" s="7">
        <f>'Operations and Maintenance'!D14</f>
        <v>0</v>
      </c>
      <c r="C12" s="7">
        <f>Safety!D28</f>
        <v>456541.72</v>
      </c>
      <c r="D12" s="7">
        <f>'Travel Time Savings'!D26</f>
        <v>3489372.6112599708</v>
      </c>
      <c r="E12" s="7">
        <f>'Vehicle Operating Cost Savings'!D32</f>
        <v>0</v>
      </c>
      <c r="F12" s="21">
        <f>'Emissions Reduction'!S39</f>
        <v>0</v>
      </c>
      <c r="G12" s="21"/>
      <c r="H12" s="21">
        <f>'Other Highway Use Externalities'!B26</f>
        <v>0</v>
      </c>
      <c r="I12" s="7">
        <f>'Amenity Benefits'!B17</f>
        <v>933949.09726267494</v>
      </c>
      <c r="J12" s="7">
        <f>'Health Benefits'!B21</f>
        <v>93374.923183244915</v>
      </c>
      <c r="K12" s="7">
        <f>'Residual Value'!B29</f>
        <v>0</v>
      </c>
      <c r="L12" s="7">
        <f>'Other Benefit 1'!B14</f>
        <v>0</v>
      </c>
      <c r="M12" s="7">
        <f>'Other Benefit 2'!B14</f>
        <v>0</v>
      </c>
      <c r="N12" s="7">
        <f>'Other Benefit 3'!B14</f>
        <v>0</v>
      </c>
      <c r="O12" s="7">
        <f>'Other Benefit 4'!B18</f>
        <v>0</v>
      </c>
      <c r="P12" s="149">
        <f t="shared" si="0"/>
        <v>4973238.3517058901</v>
      </c>
      <c r="Q12" s="8">
        <f>IFERROR(((P12)/(1.07)^(A12-Overview!$B$22)),0)</f>
        <v>1928707.5764801267</v>
      </c>
    </row>
    <row r="13" spans="1:17" x14ac:dyDescent="0.3">
      <c r="A13" s="1">
        <f>IF(A12&lt;'Project Information'!B$11,A12+1,"")</f>
        <v>2039</v>
      </c>
      <c r="B13" s="7">
        <f>'Operations and Maintenance'!D15</f>
        <v>-1651500</v>
      </c>
      <c r="C13" s="7">
        <f>Safety!D29</f>
        <v>456541.72</v>
      </c>
      <c r="D13" s="7">
        <f>'Travel Time Savings'!D27</f>
        <v>3506819.4743162729</v>
      </c>
      <c r="E13" s="7">
        <f>'Vehicle Operating Cost Savings'!D33</f>
        <v>0</v>
      </c>
      <c r="F13" s="21">
        <f>'Emissions Reduction'!S40</f>
        <v>0</v>
      </c>
      <c r="G13" s="21"/>
      <c r="H13" s="21">
        <f>'Other Highway Use Externalities'!B27</f>
        <v>0</v>
      </c>
      <c r="I13" s="7">
        <f>'Amenity Benefits'!B18</f>
        <v>944689.51188119582</v>
      </c>
      <c r="J13" s="7">
        <f>'Health Benefits'!B22</f>
        <v>94448.734799852275</v>
      </c>
      <c r="K13" s="7">
        <f>'Residual Value'!B30</f>
        <v>0</v>
      </c>
      <c r="L13" s="7">
        <f>'Other Benefit 1'!B15</f>
        <v>0</v>
      </c>
      <c r="M13" s="7">
        <f>'Other Benefit 2'!B15</f>
        <v>0</v>
      </c>
      <c r="N13" s="7">
        <f>'Other Benefit 3'!B15</f>
        <v>0</v>
      </c>
      <c r="O13" s="7">
        <f>'Other Benefit 4'!B19</f>
        <v>0</v>
      </c>
      <c r="P13" s="149">
        <f>SUM(C13:O13)-B13</f>
        <v>6653999.4409973212</v>
      </c>
      <c r="Q13" s="8">
        <f>IFERROR(((P13)/(1.07)^(A13-Overview!$B$22)),0)</f>
        <v>2411715.6120919655</v>
      </c>
    </row>
    <row r="14" spans="1:17" x14ac:dyDescent="0.3">
      <c r="A14" s="1">
        <f>IF(A13&lt;'Project Information'!B$11,A13+1,"")</f>
        <v>2040</v>
      </c>
      <c r="B14" s="7">
        <f>'Operations and Maintenance'!D16</f>
        <v>-823500</v>
      </c>
      <c r="C14" s="7">
        <f>Safety!D30</f>
        <v>456541.72</v>
      </c>
      <c r="D14" s="7">
        <f>'Travel Time Savings'!D28</f>
        <v>3524353.5716878548</v>
      </c>
      <c r="E14" s="7">
        <f>'Vehicle Operating Cost Savings'!D34</f>
        <v>0</v>
      </c>
      <c r="F14" s="21">
        <f>'Emissions Reduction'!S41</f>
        <v>0</v>
      </c>
      <c r="G14" s="21"/>
      <c r="H14" s="21">
        <f>'Other Highway Use Externalities'!B28</f>
        <v>0</v>
      </c>
      <c r="I14" s="7">
        <f>'Amenity Benefits'!B19</f>
        <v>955553.44126782962</v>
      </c>
      <c r="J14" s="7">
        <f>'Health Benefits'!B23</f>
        <v>95534.895250050569</v>
      </c>
      <c r="K14" s="7">
        <f>'Residual Value'!B31</f>
        <v>0</v>
      </c>
      <c r="L14" s="7">
        <f>'Other Benefit 1'!B16</f>
        <v>0</v>
      </c>
      <c r="M14" s="7">
        <f>'Other Benefit 2'!B16</f>
        <v>0</v>
      </c>
      <c r="N14" s="7">
        <f>'Other Benefit 3'!B16</f>
        <v>0</v>
      </c>
      <c r="O14" s="7">
        <f>'Other Benefit 4'!B20</f>
        <v>0</v>
      </c>
      <c r="P14" s="149">
        <f t="shared" si="0"/>
        <v>5855483.6282057343</v>
      </c>
      <c r="Q14" s="8">
        <f>IFERROR(((P14)/(1.07)^(A14-Overview!$B$22)),0)</f>
        <v>1983454.8917048331</v>
      </c>
    </row>
    <row r="15" spans="1:17" x14ac:dyDescent="0.3">
      <c r="A15" s="1">
        <f>IF(A14&lt;'Project Information'!B$11,A14+1,"")</f>
        <v>2041</v>
      </c>
      <c r="B15" s="7">
        <f>'Operations and Maintenance'!D17</f>
        <v>0</v>
      </c>
      <c r="C15" s="7">
        <f>Safety!D31</f>
        <v>456541.72</v>
      </c>
      <c r="D15" s="7">
        <f>'Travel Time Savings'!D29</f>
        <v>3541975.339546293</v>
      </c>
      <c r="E15" s="7">
        <f>'Vehicle Operating Cost Savings'!D35</f>
        <v>0</v>
      </c>
      <c r="F15" s="21">
        <f>'Emissions Reduction'!S42</f>
        <v>0</v>
      </c>
      <c r="G15" s="21"/>
      <c r="H15" s="21">
        <f>'Other Highway Use Externalities'!B29</f>
        <v>0</v>
      </c>
      <c r="I15" s="7">
        <f>'Amenity Benefits'!B20</f>
        <v>966542.30584240973</v>
      </c>
      <c r="J15" s="7">
        <f>'Health Benefits'!B24</f>
        <v>96633.546545426099</v>
      </c>
      <c r="K15" s="7">
        <f>'Residual Value'!B32</f>
        <v>0</v>
      </c>
      <c r="L15" s="7">
        <f>'Other Benefit 1'!B17</f>
        <v>0</v>
      </c>
      <c r="M15" s="7">
        <f>'Other Benefit 2'!B17</f>
        <v>0</v>
      </c>
      <c r="N15" s="7">
        <f>'Other Benefit 3'!B17</f>
        <v>0</v>
      </c>
      <c r="O15" s="7">
        <f>'Other Benefit 4'!B21</f>
        <v>0</v>
      </c>
      <c r="P15" s="149">
        <f t="shared" si="0"/>
        <v>5061692.911934129</v>
      </c>
      <c r="Q15" s="8">
        <f>IFERROR(((P15)/(1.07)^(A15-Overview!$B$22)),0)</f>
        <v>1602402.3483120536</v>
      </c>
    </row>
    <row r="16" spans="1:17" x14ac:dyDescent="0.3">
      <c r="A16" s="1">
        <f>IF(A15&lt;'Project Information'!B$11,A15+1,"")</f>
        <v>2042</v>
      </c>
      <c r="B16" s="7">
        <f>'Operations and Maintenance'!D18</f>
        <v>0</v>
      </c>
      <c r="C16" s="7">
        <f>Safety!D32</f>
        <v>456541.72</v>
      </c>
      <c r="D16" s="7">
        <f>'Travel Time Savings'!D30</f>
        <v>3559685.2162440233</v>
      </c>
      <c r="E16" s="7">
        <f>'Vehicle Operating Cost Savings'!D36</f>
        <v>0</v>
      </c>
      <c r="F16" s="21">
        <f>'Emissions Reduction'!S43</f>
        <v>0</v>
      </c>
      <c r="G16" s="21"/>
      <c r="H16" s="21">
        <f>'Other Highway Use Externalities'!B30</f>
        <v>0</v>
      </c>
      <c r="I16" s="7">
        <f>'Amenity Benefits'!B21</f>
        <v>977657.5423595974</v>
      </c>
      <c r="J16" s="7">
        <f>'Health Benefits'!B25</f>
        <v>97744.832330698453</v>
      </c>
      <c r="K16" s="7">
        <f>'Residual Value'!B33</f>
        <v>0</v>
      </c>
      <c r="L16" s="7">
        <f>'Other Benefit 1'!B18</f>
        <v>0</v>
      </c>
      <c r="M16" s="7">
        <f>'Other Benefit 2'!B18</f>
        <v>0</v>
      </c>
      <c r="N16" s="7">
        <f>'Other Benefit 3'!B18</f>
        <v>0</v>
      </c>
      <c r="O16" s="7">
        <f>'Other Benefit 4'!B22</f>
        <v>0</v>
      </c>
      <c r="P16" s="149">
        <f t="shared" si="0"/>
        <v>5091629.3109343182</v>
      </c>
      <c r="Q16" s="8">
        <f>IFERROR(((P16)/(1.07)^(A16-Overview!$B$22)),0)</f>
        <v>1506429.3883908682</v>
      </c>
    </row>
    <row r="17" spans="1:17" x14ac:dyDescent="0.3">
      <c r="A17" s="1">
        <f>IF(A16&lt;'Project Information'!B$11,A16+1,"")</f>
        <v>2043</v>
      </c>
      <c r="B17" s="7">
        <f>'Operations and Maintenance'!D19</f>
        <v>2475000</v>
      </c>
      <c r="C17" s="7">
        <f>Safety!D33</f>
        <v>456541.72</v>
      </c>
      <c r="D17" s="7">
        <f>'Travel Time Savings'!D31</f>
        <v>3577483.6423252448</v>
      </c>
      <c r="E17" s="7">
        <f>'Vehicle Operating Cost Savings'!D37</f>
        <v>0</v>
      </c>
      <c r="F17" s="21">
        <f>'Emissions Reduction'!S44</f>
        <v>0</v>
      </c>
      <c r="G17" s="21"/>
      <c r="H17" s="21">
        <f>'Other Highway Use Externalities'!B31</f>
        <v>0</v>
      </c>
      <c r="I17" s="7">
        <f>'Amenity Benefits'!B22</f>
        <v>988900.60409673292</v>
      </c>
      <c r="J17" s="7">
        <f>'Health Benefits'!B26</f>
        <v>98868.897902501427</v>
      </c>
      <c r="K17" s="7">
        <f>'Residual Value'!B34</f>
        <v>0</v>
      </c>
      <c r="L17" s="7">
        <f>'Other Benefit 1'!B19</f>
        <v>0</v>
      </c>
      <c r="M17" s="7">
        <f>'Other Benefit 2'!B19</f>
        <v>0</v>
      </c>
      <c r="N17" s="7">
        <f>'Other Benefit 3'!B19</f>
        <v>0</v>
      </c>
      <c r="O17" s="7">
        <f>'Other Benefit 4'!B23</f>
        <v>0</v>
      </c>
      <c r="P17" s="149">
        <f t="shared" si="0"/>
        <v>2646794.8643244794</v>
      </c>
      <c r="Q17" s="8">
        <f>IFERROR(((P17)/(1.07)^(A17-Overview!$B$22)),0)</f>
        <v>731860.83575601282</v>
      </c>
    </row>
    <row r="18" spans="1:17" x14ac:dyDescent="0.3">
      <c r="A18" s="1">
        <f>IF(A17&lt;'Project Information'!B$11,A17+1,"")</f>
        <v>2044</v>
      </c>
      <c r="B18" s="7">
        <f>'Operations and Maintenance'!D20</f>
        <v>0</v>
      </c>
      <c r="C18" s="7">
        <f>Safety!D34</f>
        <v>456541.72</v>
      </c>
      <c r="D18" s="7">
        <f>'Travel Time Savings'!D32</f>
        <v>3595371.0605368689</v>
      </c>
      <c r="E18" s="7">
        <f>'Vehicle Operating Cost Savings'!D38</f>
        <v>0</v>
      </c>
      <c r="F18" s="21">
        <f>'Emissions Reduction'!S45</f>
        <v>0</v>
      </c>
      <c r="G18" s="21"/>
      <c r="H18" s="21">
        <f>'Other Highway Use Externalities'!B32</f>
        <v>0</v>
      </c>
      <c r="I18" s="7">
        <f>'Amenity Benefits'!B23</f>
        <v>1000272.9610438454</v>
      </c>
      <c r="J18" s="7">
        <f>'Health Benefits'!B27</f>
        <v>100005.89022838016</v>
      </c>
      <c r="K18" s="7">
        <f>'Residual Value'!B35</f>
        <v>0</v>
      </c>
      <c r="L18" s="7">
        <f>'Other Benefit 1'!B20</f>
        <v>0</v>
      </c>
      <c r="M18" s="7">
        <f>'Other Benefit 2'!B20</f>
        <v>0</v>
      </c>
      <c r="N18" s="7">
        <f>'Other Benefit 3'!B20</f>
        <v>0</v>
      </c>
      <c r="O18" s="7">
        <f>'Other Benefit 4'!B24</f>
        <v>0</v>
      </c>
      <c r="P18" s="149">
        <f t="shared" si="0"/>
        <v>5152191.631809094</v>
      </c>
      <c r="Q18" s="8">
        <f>IFERROR(((P18)/(1.07)^(A18-Overview!$B$22)),0)</f>
        <v>1331424.223798065</v>
      </c>
    </row>
    <row r="19" spans="1:17" x14ac:dyDescent="0.3">
      <c r="A19" s="1">
        <f>IF(A18&lt;'Project Information'!B$11,A18+1,"")</f>
        <v>2045</v>
      </c>
      <c r="B19" s="7">
        <f>'Operations and Maintenance'!D21</f>
        <v>0</v>
      </c>
      <c r="C19" s="7">
        <f>Safety!D35</f>
        <v>456541.72</v>
      </c>
      <c r="D19" s="7">
        <f>'Travel Time Savings'!D33</f>
        <v>3613347.9158395566</v>
      </c>
      <c r="E19" s="7">
        <f>'Vehicle Operating Cost Savings'!D39</f>
        <v>0</v>
      </c>
      <c r="F19" s="21">
        <f>'Emissions Reduction'!S46</f>
        <v>0</v>
      </c>
      <c r="G19" s="21"/>
      <c r="H19" s="21">
        <f>'Other Highway Use Externalities'!B33</f>
        <v>0</v>
      </c>
      <c r="I19" s="7">
        <f>'Amenity Benefits'!B24</f>
        <v>1011776.1000958497</v>
      </c>
      <c r="J19" s="7">
        <f>'Health Benefits'!B28</f>
        <v>101155.95796600658</v>
      </c>
      <c r="K19" s="7">
        <f>'Residual Value'!B36</f>
        <v>0</v>
      </c>
      <c r="L19" s="7">
        <f>'Other Benefit 1'!B21</f>
        <v>0</v>
      </c>
      <c r="M19" s="7">
        <f>'Other Benefit 2'!B21</f>
        <v>0</v>
      </c>
      <c r="N19" s="7">
        <f>'Other Benefit 3'!B21</f>
        <v>0</v>
      </c>
      <c r="O19" s="7">
        <f>'Other Benefit 4'!B25</f>
        <v>0</v>
      </c>
      <c r="P19" s="149">
        <f t="shared" si="0"/>
        <v>5182821.6939014122</v>
      </c>
      <c r="Q19" s="8">
        <f>IFERROR(((P19)/(1.07)^(A19-Overview!$B$22)),0)</f>
        <v>1251719.2653271856</v>
      </c>
    </row>
    <row r="20" spans="1:17" x14ac:dyDescent="0.3">
      <c r="A20" s="1">
        <f>IF(A19&lt;'Project Information'!B$11,A19+1,"")</f>
        <v>2046</v>
      </c>
      <c r="B20" s="7">
        <f>'Operations and Maintenance'!D22</f>
        <v>0</v>
      </c>
      <c r="C20" s="7">
        <f>Safety!D36</f>
        <v>456541.72</v>
      </c>
      <c r="D20" s="7">
        <f>'Travel Time Savings'!D34</f>
        <v>3631414.6554187536</v>
      </c>
      <c r="E20" s="7">
        <f>'Vehicle Operating Cost Savings'!D40</f>
        <v>0</v>
      </c>
      <c r="F20" s="21">
        <f>'Emissions Reduction'!S47</f>
        <v>0</v>
      </c>
      <c r="G20" s="21"/>
      <c r="H20" s="21">
        <f>'Other Highway Use Externalities'!B34</f>
        <v>0</v>
      </c>
      <c r="I20" s="7">
        <f>'Amenity Benefits'!B25</f>
        <v>1023411.525246952</v>
      </c>
      <c r="J20" s="7">
        <f>'Health Benefits'!B29</f>
        <v>102319.25148261568</v>
      </c>
      <c r="K20" s="7">
        <f>'Residual Value'!B37</f>
        <v>0</v>
      </c>
      <c r="L20" s="7">
        <f>'Other Benefit 1'!B22</f>
        <v>0</v>
      </c>
      <c r="M20" s="7">
        <f>'Other Benefit 2'!B22</f>
        <v>0</v>
      </c>
      <c r="N20" s="7">
        <f>'Other Benefit 3'!B22</f>
        <v>0</v>
      </c>
      <c r="O20" s="7">
        <f>'Other Benefit 4'!B26</f>
        <v>0</v>
      </c>
      <c r="P20" s="149">
        <f t="shared" si="0"/>
        <v>5213687.1521483203</v>
      </c>
      <c r="Q20" s="8">
        <f>IFERROR(((P20)/(1.07)^(A20-Overview!$B$22)),0)</f>
        <v>1176797.8293664493</v>
      </c>
    </row>
    <row r="21" spans="1:17" x14ac:dyDescent="0.3">
      <c r="A21" s="1">
        <f>IF(A20&lt;'Project Information'!B$11,A20+1,"")</f>
        <v>2047</v>
      </c>
      <c r="B21" s="7">
        <f>'Operations and Maintenance'!D23</f>
        <v>0</v>
      </c>
      <c r="C21" s="7">
        <f>Safety!D37</f>
        <v>456541.72</v>
      </c>
      <c r="D21" s="7">
        <f>'Travel Time Savings'!D35</f>
        <v>3649571.7286958471</v>
      </c>
      <c r="E21" s="7">
        <f>'Vehicle Operating Cost Savings'!D41</f>
        <v>0</v>
      </c>
      <c r="F21" s="21">
        <f>'Emissions Reduction'!S48</f>
        <v>0</v>
      </c>
      <c r="G21" s="21"/>
      <c r="H21" s="21">
        <f>'Other Highway Use Externalities'!B35</f>
        <v>0</v>
      </c>
      <c r="I21" s="7">
        <f>'Amenity Benefits'!B26</f>
        <v>1035180.7577872921</v>
      </c>
      <c r="J21" s="7">
        <f>'Health Benefits'!B30</f>
        <v>103495.92287466578</v>
      </c>
      <c r="K21" s="7">
        <f>'Residual Value'!B38</f>
        <v>0</v>
      </c>
      <c r="L21" s="7">
        <f>'Other Benefit 1'!B23</f>
        <v>0</v>
      </c>
      <c r="M21" s="7">
        <f>'Other Benefit 2'!B23</f>
        <v>0</v>
      </c>
      <c r="N21" s="7">
        <f>'Other Benefit 3'!B23</f>
        <v>0</v>
      </c>
      <c r="O21" s="7">
        <f>'Other Benefit 4'!B27</f>
        <v>0</v>
      </c>
      <c r="P21" s="149">
        <f t="shared" si="0"/>
        <v>5244790.1293578045</v>
      </c>
      <c r="Q21" s="8">
        <f>IFERROR(((P21)/(1.07)^(A21-Overview!$B$22)),0)</f>
        <v>1106372.1315877608</v>
      </c>
    </row>
    <row r="22" spans="1:17" x14ac:dyDescent="0.3">
      <c r="A22" s="1">
        <f>IF(A21&lt;'Project Information'!B$11,A21+1,"")</f>
        <v>2048</v>
      </c>
      <c r="B22" s="7">
        <f>'Operations and Maintenance'!D24</f>
        <v>0</v>
      </c>
      <c r="C22" s="7">
        <f>Safety!D38</f>
        <v>456541.72</v>
      </c>
      <c r="D22" s="7">
        <f>'Travel Time Savings'!D36</f>
        <v>3667819.5873393267</v>
      </c>
      <c r="E22" s="7">
        <f>'Vehicle Operating Cost Savings'!D42</f>
        <v>0</v>
      </c>
      <c r="F22" s="21">
        <f>'Emissions Reduction'!S49</f>
        <v>0</v>
      </c>
      <c r="G22" s="21"/>
      <c r="H22" s="21">
        <f>'Other Highway Use Externalities'!B36</f>
        <v>0</v>
      </c>
      <c r="I22" s="7">
        <f>'Amenity Benefits'!B27</f>
        <v>1047085.3365018461</v>
      </c>
      <c r="J22" s="7">
        <f>'Health Benefits'!B31</f>
        <v>104686.1259877244</v>
      </c>
      <c r="K22" s="7">
        <f>'Residual Value'!B39</f>
        <v>0</v>
      </c>
      <c r="L22" s="7">
        <f>'Other Benefit 1'!B24</f>
        <v>0</v>
      </c>
      <c r="M22" s="7">
        <f>'Other Benefit 2'!B24</f>
        <v>0</v>
      </c>
      <c r="N22" s="7">
        <f>'Other Benefit 3'!B24</f>
        <v>0</v>
      </c>
      <c r="O22" s="7">
        <f>'Other Benefit 4'!B28</f>
        <v>0</v>
      </c>
      <c r="P22" s="149">
        <f t="shared" si="0"/>
        <v>5276132.769828897</v>
      </c>
      <c r="Q22" s="8">
        <f>IFERROR(((P22)/(1.07)^(A22-Overview!$B$22)),0)</f>
        <v>1040171.7419728478</v>
      </c>
    </row>
    <row r="23" spans="1:17" x14ac:dyDescent="0.3">
      <c r="A23" s="1">
        <f>IF(A22&lt;'Project Information'!B$11,A22+1,"")</f>
        <v>2049</v>
      </c>
      <c r="B23" s="7">
        <f>'Operations and Maintenance'!D25</f>
        <v>0</v>
      </c>
      <c r="C23" s="7">
        <f>Safety!D39</f>
        <v>456541.72</v>
      </c>
      <c r="D23" s="7">
        <f>'Travel Time Savings'!D37</f>
        <v>3686158.6852760166</v>
      </c>
      <c r="E23" s="7">
        <f>'Vehicle Operating Cost Savings'!D43</f>
        <v>0</v>
      </c>
      <c r="F23" s="21">
        <f>'Emissions Reduction'!S50</f>
        <v>0</v>
      </c>
      <c r="G23" s="21"/>
      <c r="H23" s="21">
        <f>'Other Highway Use Externalities'!B37</f>
        <v>0</v>
      </c>
      <c r="I23" s="7">
        <f>'Amenity Benefits'!B28</f>
        <v>1059126.8178716174</v>
      </c>
      <c r="J23" s="7">
        <f>'Health Benefits'!B32</f>
        <v>105890.01643658322</v>
      </c>
      <c r="K23" s="7">
        <f>'Residual Value'!B40</f>
        <v>0</v>
      </c>
      <c r="L23" s="7">
        <f>'Other Benefit 1'!B25</f>
        <v>0</v>
      </c>
      <c r="M23" s="7">
        <f>'Other Benefit 2'!B25</f>
        <v>0</v>
      </c>
      <c r="N23" s="7">
        <f>'Other Benefit 3'!B25</f>
        <v>0</v>
      </c>
      <c r="O23" s="7">
        <f>'Other Benefit 4'!B29</f>
        <v>0</v>
      </c>
      <c r="P23" s="149">
        <f t="shared" si="0"/>
        <v>5307717.2395842168</v>
      </c>
      <c r="Q23" s="8">
        <f>IFERROR(((P23)/(1.07)^(A23-Overview!$B$22)),0)</f>
        <v>977942.53591400373</v>
      </c>
    </row>
    <row r="24" spans="1:17" x14ac:dyDescent="0.3">
      <c r="A24" s="1">
        <f>IF(A23&lt;'Project Information'!B$11,A23+1,"")</f>
        <v>2050</v>
      </c>
      <c r="B24" s="7">
        <f>'Operations and Maintenance'!D26</f>
        <v>0</v>
      </c>
      <c r="C24" s="7">
        <f>Safety!D40</f>
        <v>456541.72</v>
      </c>
      <c r="D24" s="7">
        <f>'Travel Time Savings'!D38</f>
        <v>3704589.4787023999</v>
      </c>
      <c r="E24" s="7">
        <f>'Vehicle Operating Cost Savings'!D44</f>
        <v>0</v>
      </c>
      <c r="F24" s="21">
        <f>'Emissions Reduction'!S51</f>
        <v>0</v>
      </c>
      <c r="G24" s="21"/>
      <c r="H24" s="21">
        <f>'Other Highway Use Externalities'!B38</f>
        <v>0</v>
      </c>
      <c r="I24" s="7">
        <f>'Amenity Benefits'!B29</f>
        <v>1071306.7762771409</v>
      </c>
      <c r="J24" s="7">
        <f>'Health Benefits'!B33</f>
        <v>107107.75162560389</v>
      </c>
      <c r="K24" s="7">
        <f>'Residual Value'!B41</f>
        <v>0</v>
      </c>
      <c r="L24" s="7">
        <f>'Other Benefit 1'!B26</f>
        <v>0</v>
      </c>
      <c r="M24" s="7">
        <f>'Other Benefit 2'!B26</f>
        <v>0</v>
      </c>
      <c r="N24" s="7">
        <f>'Other Benefit 3'!B26</f>
        <v>0</v>
      </c>
      <c r="O24" s="7">
        <f>'Other Benefit 4'!B30</f>
        <v>0</v>
      </c>
      <c r="P24" s="149">
        <f t="shared" si="0"/>
        <v>5339545.7266051443</v>
      </c>
      <c r="Q24" s="8">
        <f>IFERROR(((P24)/(1.07)^(A24-Overview!$B$22)),0)</f>
        <v>919445.70884989446</v>
      </c>
    </row>
    <row r="25" spans="1:17" x14ac:dyDescent="0.3">
      <c r="A25" s="1">
        <f>IF(A24&lt;'Project Information'!B$11,A24+1,"")</f>
        <v>2051</v>
      </c>
      <c r="B25" s="7">
        <f>'Operations and Maintenance'!D27</f>
        <v>-5500000</v>
      </c>
      <c r="C25" s="7">
        <f>Safety!D41</f>
        <v>456541.72</v>
      </c>
      <c r="D25" s="7">
        <f>'Travel Time Savings'!D39</f>
        <v>3723112.4260959141</v>
      </c>
      <c r="E25" s="7">
        <f>'Vehicle Operating Cost Savings'!D45</f>
        <v>0</v>
      </c>
      <c r="F25" s="21">
        <f>'Emissions Reduction'!S52</f>
        <v>0</v>
      </c>
      <c r="G25" s="21"/>
      <c r="H25" s="21">
        <f>'Other Highway Use Externalities'!B39</f>
        <v>0</v>
      </c>
      <c r="I25" s="7">
        <f>'Amenity Benefits'!B30</f>
        <v>1083626.804204328</v>
      </c>
      <c r="J25" s="7">
        <f>'Health Benefits'!B34</f>
        <v>108339.49076929831</v>
      </c>
      <c r="K25" s="7">
        <f>'Residual Value'!B42</f>
        <v>12338197.162624793</v>
      </c>
      <c r="L25" s="7">
        <f>'Other Benefit 1'!B27</f>
        <v>0</v>
      </c>
      <c r="M25" s="7">
        <f>'Other Benefit 2'!B27</f>
        <v>0</v>
      </c>
      <c r="N25" s="7">
        <f>'Other Benefit 3'!B27</f>
        <v>0</v>
      </c>
      <c r="O25" s="7">
        <f>'Other Benefit 4'!B31</f>
        <v>0</v>
      </c>
      <c r="P25" s="149">
        <f t="shared" si="0"/>
        <v>23209817.603694335</v>
      </c>
      <c r="Q25" s="8">
        <f>IFERROR(((P25)/(1.07)^(A25-Overview!$B$22)),0)</f>
        <v>3735164.4719380541</v>
      </c>
    </row>
    <row r="26" spans="1:17" x14ac:dyDescent="0.3">
      <c r="A26" s="1" t="str">
        <f>IF(A25&lt;'Project Information'!B$11,A25+1,"")</f>
        <v/>
      </c>
      <c r="B26" s="7">
        <f>'Operations and Maintenance'!D28</f>
        <v>0</v>
      </c>
      <c r="C26" s="7">
        <f>Safety!D42</f>
        <v>0</v>
      </c>
      <c r="D26" s="7">
        <f>'Travel Time Savings'!D40</f>
        <v>0</v>
      </c>
      <c r="E26" s="7">
        <f>'Vehicle Operating Cost Savings'!D46</f>
        <v>0</v>
      </c>
      <c r="F26" s="21">
        <f>'Emissions Reduction'!S53</f>
        <v>0</v>
      </c>
      <c r="G26" s="21"/>
      <c r="H26" s="21">
        <f>'Other Highway Use Externalities'!B40</f>
        <v>0</v>
      </c>
      <c r="I26" s="7">
        <f>'Amenity Benefits'!B31</f>
        <v>0</v>
      </c>
      <c r="J26" s="7">
        <f>'Health Benefits'!B35</f>
        <v>0</v>
      </c>
      <c r="K26" s="7">
        <f>'Residual Value'!B43</f>
        <v>0</v>
      </c>
      <c r="L26" s="7">
        <f>'Other Benefit 1'!B28</f>
        <v>0</v>
      </c>
      <c r="M26" s="7">
        <f>'Other Benefit 2'!B28</f>
        <v>0</v>
      </c>
      <c r="N26" s="7">
        <f>'Other Benefit 3'!B28</f>
        <v>0</v>
      </c>
      <c r="O26" s="7">
        <f>'Other Benefit 4'!B32</f>
        <v>0</v>
      </c>
      <c r="P26" s="149">
        <f t="shared" si="0"/>
        <v>0</v>
      </c>
      <c r="Q26" s="8">
        <f>IFERROR(((P26)/(1.07)^(A26-Overview!$B$22)),0)</f>
        <v>0</v>
      </c>
    </row>
    <row r="27" spans="1:17" x14ac:dyDescent="0.3">
      <c r="A27" s="1" t="str">
        <f>IF(A26&lt;'Project Information'!B$11,A26+1,"")</f>
        <v/>
      </c>
      <c r="B27" s="7">
        <f>'Operations and Maintenance'!D29</f>
        <v>0</v>
      </c>
      <c r="C27" s="7">
        <f>Safety!D43</f>
        <v>0</v>
      </c>
      <c r="D27" s="7">
        <f>'Travel Time Savings'!D41</f>
        <v>0</v>
      </c>
      <c r="E27" s="7">
        <f>'Vehicle Operating Cost Savings'!D47</f>
        <v>0</v>
      </c>
      <c r="F27" s="21">
        <f>'Emissions Reduction'!S54</f>
        <v>0</v>
      </c>
      <c r="G27" s="21"/>
      <c r="H27" s="21">
        <f>'Other Highway Use Externalities'!B41</f>
        <v>0</v>
      </c>
      <c r="I27" s="7">
        <f>'Amenity Benefits'!B32</f>
        <v>0</v>
      </c>
      <c r="J27" s="7">
        <f>'Health Benefits'!B36</f>
        <v>0</v>
      </c>
      <c r="K27" s="7">
        <f>'Residual Value'!B44</f>
        <v>0</v>
      </c>
      <c r="L27" s="7">
        <f>'Other Benefit 1'!B29</f>
        <v>0</v>
      </c>
      <c r="M27" s="7">
        <f>'Other Benefit 2'!B29</f>
        <v>0</v>
      </c>
      <c r="N27" s="7">
        <f>'Other Benefit 3'!B29</f>
        <v>0</v>
      </c>
      <c r="O27" s="7">
        <f>'Other Benefit 4'!B33</f>
        <v>0</v>
      </c>
      <c r="P27" s="149">
        <f t="shared" si="0"/>
        <v>0</v>
      </c>
      <c r="Q27" s="8">
        <f>IFERROR(((P27)/(1.07)^(A27-Overview!$B$22)),0)</f>
        <v>0</v>
      </c>
    </row>
    <row r="28" spans="1:17" x14ac:dyDescent="0.3">
      <c r="A28" s="1" t="str">
        <f>IF(A27&lt;'Project Information'!B$11,A27+1,"")</f>
        <v/>
      </c>
      <c r="B28" s="7">
        <f>'Operations and Maintenance'!D30</f>
        <v>0</v>
      </c>
      <c r="C28" s="7">
        <f>Safety!D44</f>
        <v>0</v>
      </c>
      <c r="D28" s="7">
        <f>'Travel Time Savings'!D42</f>
        <v>0</v>
      </c>
      <c r="E28" s="7">
        <f>'Vehicle Operating Cost Savings'!D48</f>
        <v>0</v>
      </c>
      <c r="F28" s="21">
        <f>'Emissions Reduction'!S55</f>
        <v>0</v>
      </c>
      <c r="G28" s="21"/>
      <c r="H28" s="21">
        <f>'Other Highway Use Externalities'!B42</f>
        <v>0</v>
      </c>
      <c r="I28" s="7">
        <f>'Amenity Benefits'!B33</f>
        <v>0</v>
      </c>
      <c r="J28" s="7">
        <f>'Health Benefits'!B37</f>
        <v>0</v>
      </c>
      <c r="K28" s="7">
        <f>'Residual Value'!B45</f>
        <v>0</v>
      </c>
      <c r="L28" s="7">
        <f>'Other Benefit 1'!B30</f>
        <v>0</v>
      </c>
      <c r="M28" s="7">
        <f>'Other Benefit 2'!B30</f>
        <v>0</v>
      </c>
      <c r="N28" s="7">
        <f>'Other Benefit 3'!B30</f>
        <v>0</v>
      </c>
      <c r="O28" s="7">
        <f>'Other Benefit 4'!B34</f>
        <v>0</v>
      </c>
      <c r="P28" s="149">
        <f t="shared" si="0"/>
        <v>0</v>
      </c>
      <c r="Q28" s="8">
        <f>IFERROR(((P28)/(1.07)^(A28-Overview!$B$22)),0)</f>
        <v>0</v>
      </c>
    </row>
    <row r="29" spans="1:17" x14ac:dyDescent="0.3">
      <c r="A29" s="1" t="str">
        <f>IF(A28&lt;'Project Information'!B$11,A28+1,"")</f>
        <v/>
      </c>
      <c r="B29" s="7">
        <f>'Operations and Maintenance'!D31</f>
        <v>0</v>
      </c>
      <c r="C29" s="7">
        <f>Safety!D45</f>
        <v>0</v>
      </c>
      <c r="D29" s="7">
        <f>'Travel Time Savings'!D43</f>
        <v>0</v>
      </c>
      <c r="E29" s="7">
        <f>'Vehicle Operating Cost Savings'!D49</f>
        <v>0</v>
      </c>
      <c r="F29" s="21">
        <f>'Emissions Reduction'!S56</f>
        <v>0</v>
      </c>
      <c r="G29" s="21"/>
      <c r="H29" s="21">
        <f>'Other Highway Use Externalities'!B43</f>
        <v>0</v>
      </c>
      <c r="I29" s="7">
        <f>'Amenity Benefits'!B34</f>
        <v>0</v>
      </c>
      <c r="J29" s="7">
        <f>'Health Benefits'!B38</f>
        <v>0</v>
      </c>
      <c r="K29" s="7">
        <f>'Residual Value'!B46</f>
        <v>0</v>
      </c>
      <c r="L29" s="7">
        <f>'Other Benefit 1'!B31</f>
        <v>0</v>
      </c>
      <c r="M29" s="7">
        <f>'Other Benefit 2'!B31</f>
        <v>0</v>
      </c>
      <c r="N29" s="7">
        <f>'Other Benefit 3'!B31</f>
        <v>0</v>
      </c>
      <c r="O29" s="7">
        <f>'Other Benefit 4'!B35</f>
        <v>0</v>
      </c>
      <c r="P29" s="149">
        <f t="shared" si="0"/>
        <v>0</v>
      </c>
      <c r="Q29" s="8">
        <f>IFERROR(((P29)/(1.07)^(A29-Overview!$B$22)),0)</f>
        <v>0</v>
      </c>
    </row>
    <row r="30" spans="1:17" x14ac:dyDescent="0.3">
      <c r="A30" s="1" t="str">
        <f>IF(A29&lt;'Project Information'!B$11,A29+1,"")</f>
        <v/>
      </c>
      <c r="B30" s="7">
        <f>'Operations and Maintenance'!D32</f>
        <v>0</v>
      </c>
      <c r="C30" s="7">
        <f>Safety!D46</f>
        <v>0</v>
      </c>
      <c r="D30" s="7">
        <f>'Travel Time Savings'!D44</f>
        <v>0</v>
      </c>
      <c r="E30" s="7">
        <f>'Vehicle Operating Cost Savings'!D50</f>
        <v>0</v>
      </c>
      <c r="F30" s="21">
        <f>'Emissions Reduction'!S57</f>
        <v>0</v>
      </c>
      <c r="G30" s="21"/>
      <c r="H30" s="21">
        <f>'Other Highway Use Externalities'!B44</f>
        <v>0</v>
      </c>
      <c r="I30" s="7">
        <f>'Amenity Benefits'!B35</f>
        <v>0</v>
      </c>
      <c r="J30" s="7">
        <f>'Health Benefits'!B39</f>
        <v>0</v>
      </c>
      <c r="K30" s="7">
        <f>'Residual Value'!B47</f>
        <v>0</v>
      </c>
      <c r="L30" s="7">
        <f>'Other Benefit 1'!B32</f>
        <v>0</v>
      </c>
      <c r="M30" s="7">
        <f>'Other Benefit 2'!B32</f>
        <v>0</v>
      </c>
      <c r="N30" s="7">
        <f>'Other Benefit 3'!B32</f>
        <v>0</v>
      </c>
      <c r="O30" s="7">
        <f>'Other Benefit 4'!B36</f>
        <v>0</v>
      </c>
      <c r="P30" s="149">
        <f t="shared" si="0"/>
        <v>0</v>
      </c>
      <c r="Q30" s="8">
        <f>IFERROR(((P30)/(1.07)^(A30-Overview!$B$22)),0)</f>
        <v>0</v>
      </c>
    </row>
    <row r="31" spans="1:17" x14ac:dyDescent="0.3">
      <c r="A31" s="1" t="str">
        <f>IF(A30&lt;'Project Information'!B$11,A30+1,"")</f>
        <v/>
      </c>
      <c r="B31" s="7">
        <f>'Operations and Maintenance'!D33</f>
        <v>0</v>
      </c>
      <c r="C31" s="7">
        <f>Safety!D47</f>
        <v>0</v>
      </c>
      <c r="D31" s="7">
        <f>'Travel Time Savings'!D45</f>
        <v>0</v>
      </c>
      <c r="E31" s="7">
        <f>'Vehicle Operating Cost Savings'!D51</f>
        <v>0</v>
      </c>
      <c r="F31" s="21">
        <f>'Emissions Reduction'!S58</f>
        <v>0</v>
      </c>
      <c r="G31" s="21"/>
      <c r="H31" s="21">
        <f>'Other Highway Use Externalities'!B45</f>
        <v>0</v>
      </c>
      <c r="I31" s="7">
        <f>'Amenity Benefits'!B36</f>
        <v>0</v>
      </c>
      <c r="J31" s="7">
        <f>'Health Benefits'!B40</f>
        <v>0</v>
      </c>
      <c r="K31" s="7">
        <f>'Residual Value'!B48</f>
        <v>0</v>
      </c>
      <c r="L31" s="7">
        <f>'Other Benefit 1'!B33</f>
        <v>0</v>
      </c>
      <c r="M31" s="7">
        <f>'Other Benefit 2'!B33</f>
        <v>0</v>
      </c>
      <c r="N31" s="7">
        <f>'Other Benefit 3'!B33</f>
        <v>0</v>
      </c>
      <c r="O31" s="7">
        <f>'Other Benefit 4'!B37</f>
        <v>0</v>
      </c>
      <c r="P31" s="149">
        <f t="shared" si="0"/>
        <v>0</v>
      </c>
      <c r="Q31" s="8">
        <f>IFERROR(((P31)/(1.07)^(A31-Overview!$B$22)),0)</f>
        <v>0</v>
      </c>
    </row>
    <row r="32" spans="1:17" x14ac:dyDescent="0.3">
      <c r="A32" s="1" t="str">
        <f>IF(A31&lt;'Project Information'!B$11,A31+1,"")</f>
        <v/>
      </c>
      <c r="B32" s="7">
        <f>'Operations and Maintenance'!D34</f>
        <v>0</v>
      </c>
      <c r="C32" s="7">
        <f>Safety!D48</f>
        <v>0</v>
      </c>
      <c r="D32" s="7">
        <f>'Travel Time Savings'!D46</f>
        <v>0</v>
      </c>
      <c r="E32" s="7">
        <f>'Vehicle Operating Cost Savings'!D52</f>
        <v>0</v>
      </c>
      <c r="F32" s="21">
        <f>'Emissions Reduction'!S59</f>
        <v>0</v>
      </c>
      <c r="G32" s="21"/>
      <c r="H32" s="21">
        <f>'Other Highway Use Externalities'!B46</f>
        <v>0</v>
      </c>
      <c r="I32" s="7">
        <f>'Amenity Benefits'!B37</f>
        <v>0</v>
      </c>
      <c r="J32" s="7">
        <f>'Health Benefits'!B41</f>
        <v>0</v>
      </c>
      <c r="K32" s="7">
        <f>'Residual Value'!B49</f>
        <v>0</v>
      </c>
      <c r="L32" s="7">
        <f>'Other Benefit 1'!B34</f>
        <v>0</v>
      </c>
      <c r="M32" s="7">
        <f>'Other Benefit 2'!B34</f>
        <v>0</v>
      </c>
      <c r="N32" s="7">
        <f>'Other Benefit 3'!B34</f>
        <v>0</v>
      </c>
      <c r="O32" s="7">
        <f>'Other Benefit 4'!B38</f>
        <v>0</v>
      </c>
      <c r="P32" s="149">
        <f t="shared" si="0"/>
        <v>0</v>
      </c>
      <c r="Q32" s="8">
        <f>IFERROR(((P32)/(1.07)^(A32-Overview!$B$22)),0)</f>
        <v>0</v>
      </c>
    </row>
    <row r="33" spans="1:17" x14ac:dyDescent="0.3">
      <c r="A33" s="1" t="str">
        <f>IF(A32&lt;'Project Information'!B$11,A32+1,"")</f>
        <v/>
      </c>
      <c r="B33" s="7">
        <f>'Operations and Maintenance'!D35</f>
        <v>0</v>
      </c>
      <c r="C33" s="7">
        <f>Safety!D49</f>
        <v>0</v>
      </c>
      <c r="D33" s="7">
        <f>'Travel Time Savings'!D47</f>
        <v>0</v>
      </c>
      <c r="E33" s="7">
        <f>'Vehicle Operating Cost Savings'!D53</f>
        <v>0</v>
      </c>
      <c r="F33" s="21">
        <f>'Emissions Reduction'!S60</f>
        <v>0</v>
      </c>
      <c r="G33" s="21"/>
      <c r="H33" s="21">
        <f>'Other Highway Use Externalities'!B47</f>
        <v>0</v>
      </c>
      <c r="I33" s="7">
        <f>'Amenity Benefits'!B38</f>
        <v>0</v>
      </c>
      <c r="J33" s="7">
        <f>'Health Benefits'!B42</f>
        <v>0</v>
      </c>
      <c r="K33" s="7">
        <f>'Residual Value'!B50</f>
        <v>0</v>
      </c>
      <c r="L33" s="7">
        <f>'Other Benefit 1'!B35</f>
        <v>0</v>
      </c>
      <c r="M33" s="7">
        <f>'Other Benefit 2'!B35</f>
        <v>0</v>
      </c>
      <c r="N33" s="7">
        <f>'Other Benefit 3'!B35</f>
        <v>0</v>
      </c>
      <c r="O33" s="7">
        <f>'Other Benefit 4'!B39</f>
        <v>0</v>
      </c>
      <c r="P33" s="149">
        <f t="shared" si="0"/>
        <v>0</v>
      </c>
      <c r="Q33" s="8">
        <f>IFERROR(((P33)/(1.07)^(A33-Overview!$B$22)),0)</f>
        <v>0</v>
      </c>
    </row>
    <row r="34" spans="1:17" x14ac:dyDescent="0.3">
      <c r="A34" s="1" t="str">
        <f>IF(A33&lt;'Project Information'!B$11,A33+1,"")</f>
        <v/>
      </c>
      <c r="B34" s="7">
        <f>'Operations and Maintenance'!D36</f>
        <v>0</v>
      </c>
      <c r="C34" s="7">
        <f>Safety!D50</f>
        <v>0</v>
      </c>
      <c r="D34" s="7">
        <f>'Travel Time Savings'!D48</f>
        <v>0</v>
      </c>
      <c r="E34" s="7">
        <f>'Vehicle Operating Cost Savings'!D54</f>
        <v>0</v>
      </c>
      <c r="F34" s="21">
        <f>'Emissions Reduction'!S61</f>
        <v>0</v>
      </c>
      <c r="G34" s="21"/>
      <c r="H34" s="21">
        <f>'Other Highway Use Externalities'!B48</f>
        <v>0</v>
      </c>
      <c r="I34" s="7">
        <f>'Amenity Benefits'!B39</f>
        <v>0</v>
      </c>
      <c r="J34" s="7">
        <f>'Health Benefits'!B43</f>
        <v>0</v>
      </c>
      <c r="K34" s="7">
        <f>'Residual Value'!B51</f>
        <v>0</v>
      </c>
      <c r="L34" s="7">
        <f>'Other Benefit 1'!B36</f>
        <v>0</v>
      </c>
      <c r="M34" s="7">
        <f>'Other Benefit 2'!B36</f>
        <v>0</v>
      </c>
      <c r="N34" s="7">
        <f>'Other Benefit 3'!B36</f>
        <v>0</v>
      </c>
      <c r="O34" s="7">
        <f>'Other Benefit 4'!B40</f>
        <v>0</v>
      </c>
      <c r="P34" s="149">
        <f t="shared" si="0"/>
        <v>0</v>
      </c>
      <c r="Q34" s="8">
        <f>IFERROR(((P34)/(1.07)^(A34-Overview!$B$22)),0)</f>
        <v>0</v>
      </c>
    </row>
    <row r="35" spans="1:17" x14ac:dyDescent="0.3">
      <c r="A35" s="1" t="str">
        <f>IF(A34&lt;'Project Information'!B$11,A34+1,"")</f>
        <v/>
      </c>
      <c r="B35" s="7">
        <f>'Operations and Maintenance'!D37</f>
        <v>0</v>
      </c>
      <c r="C35" s="7">
        <f>Safety!D51</f>
        <v>0</v>
      </c>
      <c r="D35" s="7">
        <f>'Travel Time Savings'!D49</f>
        <v>0</v>
      </c>
      <c r="E35" s="7">
        <f>'Vehicle Operating Cost Savings'!D55</f>
        <v>0</v>
      </c>
      <c r="F35" s="21">
        <f>'Emissions Reduction'!S62</f>
        <v>0</v>
      </c>
      <c r="G35" s="21"/>
      <c r="H35" s="21">
        <f>'Other Highway Use Externalities'!B49</f>
        <v>0</v>
      </c>
      <c r="I35" s="7">
        <f>'Amenity Benefits'!B40</f>
        <v>0</v>
      </c>
      <c r="J35" s="7">
        <f>'Health Benefits'!B44</f>
        <v>0</v>
      </c>
      <c r="K35" s="7">
        <f>'Residual Value'!B52</f>
        <v>0</v>
      </c>
      <c r="L35" s="7">
        <f>'Other Benefit 1'!B37</f>
        <v>0</v>
      </c>
      <c r="M35" s="7">
        <f>'Other Benefit 2'!B37</f>
        <v>0</v>
      </c>
      <c r="N35" s="7">
        <f>'Other Benefit 3'!B37</f>
        <v>0</v>
      </c>
      <c r="O35" s="7">
        <f>'Other Benefit 4'!B41</f>
        <v>0</v>
      </c>
      <c r="P35" s="149">
        <f t="shared" si="0"/>
        <v>0</v>
      </c>
      <c r="Q35" s="8">
        <f>IFERROR(((P35)/(1.07)^(A35-Overview!$B$22)),0)</f>
        <v>0</v>
      </c>
    </row>
    <row r="36" spans="1:17" x14ac:dyDescent="0.3">
      <c r="A36" s="3" t="s">
        <v>465</v>
      </c>
      <c r="B36" s="162">
        <f>SUM(B6:B35)</f>
        <v>-5500000</v>
      </c>
      <c r="C36" s="162">
        <f t="shared" ref="C36:O36" si="1">SUM(C6:C35)</f>
        <v>9130834.3999999966</v>
      </c>
      <c r="D36" s="162">
        <f t="shared" si="1"/>
        <v>71045757.645280272</v>
      </c>
      <c r="E36" s="162">
        <f t="shared" si="1"/>
        <v>0</v>
      </c>
      <c r="F36" s="165">
        <f t="shared" si="1"/>
        <v>0</v>
      </c>
      <c r="G36" s="165"/>
      <c r="H36" s="165">
        <f t="shared" si="1"/>
        <v>0</v>
      </c>
      <c r="I36" s="162">
        <f t="shared" si="1"/>
        <v>19483967.343711026</v>
      </c>
      <c r="J36" s="162">
        <f t="shared" si="1"/>
        <v>1947979.7767952469</v>
      </c>
      <c r="K36" s="162">
        <f t="shared" si="1"/>
        <v>12338197.162624793</v>
      </c>
      <c r="L36" s="162">
        <f t="shared" si="1"/>
        <v>0</v>
      </c>
      <c r="M36" s="162">
        <f t="shared" si="1"/>
        <v>0</v>
      </c>
      <c r="N36" s="162">
        <f t="shared" si="1"/>
        <v>0</v>
      </c>
      <c r="O36" s="162">
        <f t="shared" si="1"/>
        <v>0</v>
      </c>
      <c r="P36" s="163">
        <f>SUM(P6:P35)</f>
        <v>119446736.32841133</v>
      </c>
      <c r="Q36" s="157"/>
    </row>
    <row r="37" spans="1:17" x14ac:dyDescent="0.3">
      <c r="A37" s="25" t="s">
        <v>466</v>
      </c>
      <c r="B37" s="162">
        <f>NPV(0.07,B6:B35)/(1.07)^($A$6-Overview!$B$22-1)</f>
        <v>-1078286.4386752825</v>
      </c>
      <c r="C37" s="162">
        <f>NPV(0.07,C6:C35)/(1.07)^($A$6-Overview!$B$22-1)</f>
        <v>3011997.3085998022</v>
      </c>
      <c r="D37" s="162">
        <f>NPV(0.07,D6:D35)/(1.07)^($A$6-Overview!$B$22-1)</f>
        <v>23181289.895521097</v>
      </c>
      <c r="E37" s="162">
        <f>NPV(0.07,E6:E35)/(1.07)^($A$6-Overview!$B$22-1)</f>
        <v>0</v>
      </c>
      <c r="F37" s="37">
        <f>NPV(0.07,F6:F35)/(1.07)^($A$6-Overview!$B$22-1)</f>
        <v>0</v>
      </c>
      <c r="G37" s="37"/>
      <c r="H37" s="37">
        <f>NPV(0.07,H6:H35)/(1.07)^($A$6-Overview!$B$22-1)</f>
        <v>0</v>
      </c>
      <c r="I37" s="162">
        <f>NPV(0.07,I6:I35)/(1.07)^($A$6-Overview!$B$22-1)</f>
        <v>6267659.8549860902</v>
      </c>
      <c r="J37" s="162">
        <f>NPV(0.07,J6:J35)/(1.07)^($A$6-Overview!$B$22-1)</f>
        <v>626631.85736067279</v>
      </c>
      <c r="K37" s="162">
        <f>NPV(0.07,K6:K35)/(1.07)^($A$6-Overview!$B$22-1)</f>
        <v>1985590.6012060838</v>
      </c>
      <c r="L37" s="162">
        <f>NPV(0.07,L6:L35)/(1.07)^($A$6-Overview!$B$22-1)</f>
        <v>0</v>
      </c>
      <c r="M37" s="162">
        <f>NPV(0.07,M6:M35)/(1.07)^($A$6-Overview!$B$22-1)</f>
        <v>0</v>
      </c>
      <c r="N37" s="162">
        <f>NPV(0.07,N6:N35)/(1.07)^($A$6-Overview!$B$22-1)</f>
        <v>0</v>
      </c>
      <c r="O37" s="162">
        <f>NPV(0.07,O6:O35)/(1.07)^($A$6-Overview!$B$22-1)</f>
        <v>0</v>
      </c>
      <c r="P37" s="162">
        <f>NPV(0.07,P6:P35)/(1.07)^($A$6-Overview!$B$22-1)</f>
        <v>36151455.956349023</v>
      </c>
      <c r="Q37" s="157">
        <f>SUM(Q6:Q35)</f>
        <v>36151455.956349038</v>
      </c>
    </row>
    <row r="38" spans="1:17" x14ac:dyDescent="0.3">
      <c r="A38" s="5" t="s">
        <v>21</v>
      </c>
    </row>
    <row r="39" spans="1:17" x14ac:dyDescent="0.3">
      <c r="A39" s="94" t="s">
        <v>467</v>
      </c>
    </row>
    <row r="40" spans="1:17" x14ac:dyDescent="0.3">
      <c r="A40" s="107" t="s">
        <v>308</v>
      </c>
      <c r="B40" s="110" t="s">
        <v>282</v>
      </c>
      <c r="C40" s="105" t="s">
        <v>468</v>
      </c>
    </row>
    <row r="41" spans="1:17" x14ac:dyDescent="0.3">
      <c r="A41" s="118">
        <f>'Capital Costs'!A9</f>
        <v>2026</v>
      </c>
      <c r="B41" s="7">
        <f>'Capital Costs'!C9</f>
        <v>386699.27504585549</v>
      </c>
      <c r="C41" s="18">
        <f>B41/(1.07)^(A41-Overview!$B$22)</f>
        <v>337758.12302022491</v>
      </c>
    </row>
    <row r="42" spans="1:17" x14ac:dyDescent="0.3">
      <c r="A42" s="119">
        <f t="shared" ref="A42:A55" si="2">A41+1</f>
        <v>2027</v>
      </c>
      <c r="B42" s="7">
        <f>'Capital Costs'!C10</f>
        <v>722802.38326328131</v>
      </c>
      <c r="C42" s="18">
        <f>B42/(1.07)^(A42-Overview!$B$22)</f>
        <v>590022.05086946441</v>
      </c>
    </row>
    <row r="43" spans="1:17" x14ac:dyDescent="0.3">
      <c r="A43" s="119">
        <f t="shared" si="2"/>
        <v>2028</v>
      </c>
      <c r="B43" s="7">
        <f>'Capital Costs'!C11</f>
        <v>675516.24604044983</v>
      </c>
      <c r="C43" s="18">
        <f>B43/(1.07)^(A43-Overview!$B$22)</f>
        <v>515348.10976457718</v>
      </c>
    </row>
    <row r="44" spans="1:17" x14ac:dyDescent="0.3">
      <c r="A44" s="119">
        <f t="shared" si="2"/>
        <v>2029</v>
      </c>
      <c r="B44" s="7">
        <f>'Capital Costs'!C12</f>
        <v>4671796.3099512495</v>
      </c>
      <c r="C44" s="18">
        <f>B44/(1.07)^(A44-Overview!$B$22)</f>
        <v>3330926.202358041</v>
      </c>
    </row>
    <row r="45" spans="1:17" x14ac:dyDescent="0.3">
      <c r="A45" s="119">
        <f t="shared" si="2"/>
        <v>2030</v>
      </c>
      <c r="B45" s="7">
        <f>'Capital Costs'!C13</f>
        <v>8142307.5004412839</v>
      </c>
      <c r="C45" s="18">
        <f>B45/(1.07)^(A45-Overview!$B$22)</f>
        <v>5425563.286841915</v>
      </c>
      <c r="D45" s="36"/>
    </row>
    <row r="46" spans="1:17" x14ac:dyDescent="0.3">
      <c r="A46" s="119">
        <f t="shared" si="2"/>
        <v>2031</v>
      </c>
      <c r="B46" s="7">
        <f>'Capital Costs'!C14</f>
        <v>7609633.1779825073</v>
      </c>
      <c r="C46" s="18">
        <f>B46/(1.07)^(A46-Overview!$B$22)</f>
        <v>4738897.0974250268</v>
      </c>
      <c r="D46" s="36"/>
    </row>
    <row r="47" spans="1:17" x14ac:dyDescent="0.3">
      <c r="A47" s="119">
        <f t="shared" si="2"/>
        <v>2032</v>
      </c>
      <c r="B47" s="7">
        <f>'Capital Costs'!C15</f>
        <v>0</v>
      </c>
      <c r="C47" s="18">
        <f>B47/(1.07)^(A47-Overview!$B$22)</f>
        <v>0</v>
      </c>
      <c r="D47" s="36"/>
    </row>
    <row r="48" spans="1:17" x14ac:dyDescent="0.3">
      <c r="A48" s="119">
        <f t="shared" si="2"/>
        <v>2033</v>
      </c>
      <c r="B48" s="7">
        <f>'Capital Costs'!C16</f>
        <v>0</v>
      </c>
      <c r="C48" s="18">
        <f>B48/(1.07)^(A48-Overview!$B$22)</f>
        <v>0</v>
      </c>
      <c r="D48" s="36"/>
    </row>
    <row r="49" spans="1:4" x14ac:dyDescent="0.3">
      <c r="A49" s="119">
        <f t="shared" si="2"/>
        <v>2034</v>
      </c>
      <c r="B49" s="7">
        <f>'Capital Costs'!C17</f>
        <v>0</v>
      </c>
      <c r="C49" s="18">
        <f>B49/(1.07)^(A49-Overview!$B$22)</f>
        <v>0</v>
      </c>
      <c r="D49" s="36"/>
    </row>
    <row r="50" spans="1:4" x14ac:dyDescent="0.3">
      <c r="A50" s="119">
        <f t="shared" si="2"/>
        <v>2035</v>
      </c>
      <c r="B50" s="7">
        <f>'Capital Costs'!C18</f>
        <v>0</v>
      </c>
      <c r="C50" s="18">
        <f>B50/(1.07)^(A50-Overview!$B$22)</f>
        <v>0</v>
      </c>
    </row>
    <row r="51" spans="1:4" x14ac:dyDescent="0.3">
      <c r="A51" s="119">
        <f t="shared" si="2"/>
        <v>2036</v>
      </c>
      <c r="B51" s="7">
        <f>'Capital Costs'!C19</f>
        <v>0</v>
      </c>
      <c r="C51" s="18">
        <f>B51/(1.07)^(A51-Overview!$B$22)</f>
        <v>0</v>
      </c>
    </row>
    <row r="52" spans="1:4" x14ac:dyDescent="0.3">
      <c r="A52" s="119">
        <f t="shared" si="2"/>
        <v>2037</v>
      </c>
      <c r="B52" s="7">
        <f>'Capital Costs'!C20</f>
        <v>0</v>
      </c>
      <c r="C52" s="18">
        <f>B52/(1.07)^(A52-Overview!$B$22)</f>
        <v>0</v>
      </c>
    </row>
    <row r="53" spans="1:4" x14ac:dyDescent="0.3">
      <c r="A53" s="119">
        <f t="shared" si="2"/>
        <v>2038</v>
      </c>
      <c r="B53" s="7">
        <f>'Capital Costs'!C21</f>
        <v>0</v>
      </c>
      <c r="C53" s="18">
        <f>B53/(1.07)^(A53-Overview!$B$22)</f>
        <v>0</v>
      </c>
    </row>
    <row r="54" spans="1:4" x14ac:dyDescent="0.3">
      <c r="A54" s="119">
        <f t="shared" si="2"/>
        <v>2039</v>
      </c>
      <c r="B54" s="7">
        <f>'Capital Costs'!C22</f>
        <v>0</v>
      </c>
      <c r="C54" s="18">
        <f>B54/(1.07)^(A54-Overview!$B$22)</f>
        <v>0</v>
      </c>
    </row>
    <row r="55" spans="1:4" x14ac:dyDescent="0.3">
      <c r="A55" s="119">
        <f t="shared" si="2"/>
        <v>2040</v>
      </c>
      <c r="B55" s="7">
        <f>'Capital Costs'!C23</f>
        <v>0</v>
      </c>
      <c r="C55" s="18">
        <f>B55/(1.07)^(A55-Overview!$B$22)</f>
        <v>0</v>
      </c>
    </row>
    <row r="56" spans="1:4" x14ac:dyDescent="0.3">
      <c r="A56" s="25" t="s">
        <v>291</v>
      </c>
      <c r="B56" s="162">
        <f>SUM(B41:B55)</f>
        <v>22208754.892724626</v>
      </c>
      <c r="C56" s="164">
        <f>SUM(C41:C55)+'Capital Costs'!A5</f>
        <v>14938514.870279251</v>
      </c>
      <c r="D56" s="36"/>
    </row>
    <row r="57" spans="1:4" x14ac:dyDescent="0.3">
      <c r="C57" s="36"/>
      <c r="D57" s="36"/>
    </row>
    <row r="58" spans="1:4" x14ac:dyDescent="0.3">
      <c r="C58" s="36"/>
      <c r="D58" s="36"/>
    </row>
    <row r="59" spans="1:4" x14ac:dyDescent="0.3">
      <c r="C59" s="36"/>
      <c r="D59" s="36"/>
    </row>
    <row r="60" spans="1:4" x14ac:dyDescent="0.3">
      <c r="C60" s="36"/>
      <c r="D60" s="36"/>
    </row>
    <row r="61" spans="1:4" x14ac:dyDescent="0.3">
      <c r="C61" s="36"/>
      <c r="D61" s="36"/>
    </row>
    <row r="62" spans="1:4" x14ac:dyDescent="0.3">
      <c r="C62" s="36"/>
      <c r="D62" s="36"/>
    </row>
    <row r="63" spans="1:4" x14ac:dyDescent="0.3">
      <c r="D63" s="36"/>
    </row>
    <row r="65" spans="3:3" x14ac:dyDescent="0.3">
      <c r="C65" s="29"/>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06FF2-EC53-4111-9343-1323F6427D32}">
  <sheetPr>
    <tabColor theme="0" tint="-0.249977111117893"/>
  </sheetPr>
  <dimension ref="A1:B8"/>
  <sheetViews>
    <sheetView workbookViewId="0">
      <selection activeCell="C13" sqref="C13"/>
    </sheetView>
  </sheetViews>
  <sheetFormatPr defaultColWidth="8.6640625" defaultRowHeight="14.4" x14ac:dyDescent="0.3"/>
  <cols>
    <col min="1" max="1" width="41.33203125" style="5" customWidth="1"/>
    <col min="2" max="2" width="31.44140625" style="5" customWidth="1"/>
    <col min="3" max="16384" width="8.6640625" style="5"/>
  </cols>
  <sheetData>
    <row r="1" spans="1:2" ht="20.399999999999999" thickBot="1" x14ac:dyDescent="0.45">
      <c r="A1" s="93" t="s">
        <v>469</v>
      </c>
    </row>
    <row r="2" spans="1:2" ht="18.600000000000001" thickTop="1" x14ac:dyDescent="0.3">
      <c r="A2" s="101" t="s">
        <v>21</v>
      </c>
    </row>
    <row r="3" spans="1:2" x14ac:dyDescent="0.3">
      <c r="A3" s="94" t="s">
        <v>470</v>
      </c>
    </row>
    <row r="4" spans="1:2" x14ac:dyDescent="0.3">
      <c r="A4" s="103" t="s">
        <v>53</v>
      </c>
      <c r="B4" s="103" t="s">
        <v>24</v>
      </c>
    </row>
    <row r="5" spans="1:2" x14ac:dyDescent="0.3">
      <c r="A5" s="95" t="s">
        <v>464</v>
      </c>
      <c r="B5" s="102">
        <f>Summary!Q37</f>
        <v>36151455.956349038</v>
      </c>
    </row>
    <row r="6" spans="1:2" x14ac:dyDescent="0.3">
      <c r="A6" s="95" t="s">
        <v>471</v>
      </c>
      <c r="B6" s="102">
        <f>Summary!C56</f>
        <v>14938514.870279251</v>
      </c>
    </row>
    <row r="7" spans="1:2" x14ac:dyDescent="0.3">
      <c r="A7" s="95" t="s">
        <v>292</v>
      </c>
      <c r="B7" s="102">
        <f>B5-B6</f>
        <v>21212941.086069785</v>
      </c>
    </row>
    <row r="8" spans="1:2" x14ac:dyDescent="0.3">
      <c r="A8" s="95" t="s">
        <v>472</v>
      </c>
      <c r="B8" s="137">
        <f>IFERROR(B5/B6, "Enter Costs in 'Capital Cost' sheet")</f>
        <v>2.4200167332747213</v>
      </c>
    </row>
  </sheetData>
  <conditionalFormatting sqref="A4:B4">
    <cfRule type="expression" dxfId="9" priority="1">
      <formula>ISNUMBER(SEARCH("_sns",A$4))</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F779B-5621-4FD7-9FF5-8762E5B5030F}">
  <sheetPr>
    <tabColor theme="9" tint="0.39997558519241921"/>
  </sheetPr>
  <dimension ref="A1:BA99"/>
  <sheetViews>
    <sheetView workbookViewId="0"/>
  </sheetViews>
  <sheetFormatPr defaultColWidth="9.109375" defaultRowHeight="14.4" x14ac:dyDescent="0.3"/>
  <cols>
    <col min="1" max="1" width="32" style="5" customWidth="1"/>
    <col min="2" max="2" width="24.44140625" style="5" customWidth="1"/>
    <col min="3" max="3" width="25.6640625" style="5" customWidth="1"/>
    <col min="4" max="4" width="24.44140625" style="5" customWidth="1"/>
    <col min="5" max="10" width="9.109375" style="5"/>
    <col min="11" max="11" width="10.33203125" style="5" customWidth="1"/>
    <col min="12" max="16384" width="9.109375" style="5"/>
  </cols>
  <sheetData>
    <row r="1" spans="1:11" ht="20.399999999999999" thickBot="1" x14ac:dyDescent="0.45">
      <c r="A1" s="93" t="s">
        <v>473</v>
      </c>
    </row>
    <row r="2" spans="1:11" ht="15" thickTop="1" x14ac:dyDescent="0.3">
      <c r="A2" s="144" t="s">
        <v>334</v>
      </c>
      <c r="B2" s="144"/>
      <c r="C2" s="144"/>
      <c r="D2" s="144"/>
      <c r="E2" s="144"/>
      <c r="F2" s="144"/>
      <c r="G2" s="144"/>
      <c r="H2" s="144"/>
      <c r="I2" s="144"/>
    </row>
    <row r="3" spans="1:11" x14ac:dyDescent="0.3">
      <c r="A3" s="5" t="s">
        <v>21</v>
      </c>
    </row>
    <row r="4" spans="1:11" x14ac:dyDescent="0.3">
      <c r="A4" s="145" t="s">
        <v>317</v>
      </c>
      <c r="B4" s="144"/>
      <c r="C4" s="144"/>
      <c r="D4" s="144"/>
      <c r="E4" s="144"/>
      <c r="F4" s="144"/>
      <c r="G4" s="144"/>
      <c r="H4" s="144"/>
      <c r="I4" s="144"/>
      <c r="J4" s="144"/>
      <c r="K4" s="144"/>
    </row>
    <row r="5" spans="1:11" x14ac:dyDescent="0.3">
      <c r="A5" s="38" t="s">
        <v>21</v>
      </c>
    </row>
    <row r="6" spans="1:11" x14ac:dyDescent="0.3">
      <c r="A6" s="94" t="s">
        <v>335</v>
      </c>
    </row>
    <row r="7" spans="1:11" x14ac:dyDescent="0.3">
      <c r="A7" s="114" t="s">
        <v>198</v>
      </c>
      <c r="B7" s="152" t="s">
        <v>474</v>
      </c>
      <c r="C7" s="153" t="s">
        <v>475</v>
      </c>
      <c r="D7" s="154" t="s">
        <v>476</v>
      </c>
    </row>
    <row r="8" spans="1:11" x14ac:dyDescent="0.3">
      <c r="A8" s="43" t="str">
        <f>'Parameter Values'!A231</f>
        <v>Light-Duty Vehicles - Urban</v>
      </c>
      <c r="B8" s="135">
        <f>'Parameter Values'!B231</f>
        <v>0.14699999999999999</v>
      </c>
      <c r="C8" s="136">
        <f>'Parameter Values'!C231</f>
        <v>2.0999999999999999E-3</v>
      </c>
      <c r="D8" s="134">
        <f>'Parameter Values'!D231</f>
        <v>1.9E-2</v>
      </c>
    </row>
    <row r="9" spans="1:11" x14ac:dyDescent="0.3">
      <c r="A9" s="43" t="str">
        <f>'Parameter Values'!A232</f>
        <v>Light-Duty Vehicles - Rural</v>
      </c>
      <c r="B9" s="135">
        <f>'Parameter Values'!B232</f>
        <v>3.1E-2</v>
      </c>
      <c r="C9" s="136">
        <f>'Parameter Values'!C232</f>
        <v>2.0000000000000001E-4</v>
      </c>
      <c r="D9" s="134">
        <f>'Parameter Values'!D232</f>
        <v>0.105</v>
      </c>
    </row>
    <row r="10" spans="1:11" x14ac:dyDescent="0.3">
      <c r="A10" s="43" t="str">
        <f>'Parameter Values'!A233</f>
        <v>Light-Duty Vehicles – All Locations</v>
      </c>
      <c r="B10" s="135">
        <f>'Parameter Values'!B233</f>
        <v>0.124</v>
      </c>
      <c r="C10" s="136">
        <f>'Parameter Values'!C233</f>
        <v>1.1000000000000001E-3</v>
      </c>
      <c r="D10" s="134">
        <f>'Parameter Values'!D233</f>
        <v>4.2999999999999997E-2</v>
      </c>
    </row>
    <row r="11" spans="1:11" x14ac:dyDescent="0.3">
      <c r="A11" s="43" t="str">
        <f>'Parameter Values'!A234</f>
        <v>Buses and Trucks - Urban</v>
      </c>
      <c r="B11" s="135">
        <f>'Parameter Values'!B234</f>
        <v>0.36699999999999999</v>
      </c>
      <c r="C11" s="136">
        <f>'Parameter Values'!C234</f>
        <v>4.65E-2</v>
      </c>
      <c r="D11" s="134">
        <f>'Parameter Values'!D234</f>
        <v>1.7000000000000001E-2</v>
      </c>
    </row>
    <row r="12" spans="1:11" x14ac:dyDescent="0.3">
      <c r="A12" s="43" t="str">
        <f>'Parameter Values'!A235</f>
        <v>Buses and Trucks - Rural</v>
      </c>
      <c r="B12" s="135">
        <f>'Parameter Values'!B235</f>
        <v>0.08</v>
      </c>
      <c r="C12" s="136">
        <f>'Parameter Values'!C235</f>
        <v>3.8999999999999998E-3</v>
      </c>
      <c r="D12" s="134">
        <f>'Parameter Values'!D235</f>
        <v>0.03</v>
      </c>
    </row>
    <row r="13" spans="1:11" x14ac:dyDescent="0.3">
      <c r="A13" s="43" t="str">
        <f>'Parameter Values'!A236</f>
        <v>Buses and Trucks – All Locations</v>
      </c>
      <c r="B13" s="135">
        <f>'Parameter Values'!B236</f>
        <v>0.251</v>
      </c>
      <c r="C13" s="136">
        <f>'Parameter Values'!C236</f>
        <v>2.3400000000000001E-2</v>
      </c>
      <c r="D13" s="134">
        <f>'Parameter Values'!D236</f>
        <v>2.3E-2</v>
      </c>
    </row>
    <row r="14" spans="1:11" x14ac:dyDescent="0.3">
      <c r="A14" s="43" t="str">
        <f>'Parameter Values'!A237</f>
        <v>All Vehicles - Urban</v>
      </c>
      <c r="B14" s="135">
        <f>'Parameter Values'!B237</f>
        <v>0.16300000000000001</v>
      </c>
      <c r="C14" s="136">
        <f>'Parameter Values'!C237</f>
        <v>5.4000000000000003E-3</v>
      </c>
      <c r="D14" s="134">
        <f>'Parameter Values'!D237</f>
        <v>1.9E-2</v>
      </c>
    </row>
    <row r="15" spans="1:11" x14ac:dyDescent="0.3">
      <c r="A15" s="43" t="str">
        <f>'Parameter Values'!A238</f>
        <v>All Vehicles - Rural</v>
      </c>
      <c r="B15" s="135">
        <f>'Parameter Values'!B238</f>
        <v>3.7999999999999999E-2</v>
      </c>
      <c r="C15" s="136">
        <f>'Parameter Values'!C238</f>
        <v>6.9999999999999999E-4</v>
      </c>
      <c r="D15" s="134">
        <f>'Parameter Values'!D238</f>
        <v>9.4E-2</v>
      </c>
    </row>
    <row r="16" spans="1:11" x14ac:dyDescent="0.3">
      <c r="A16" s="43" t="str">
        <f>'Parameter Values'!A239</f>
        <v>All Vehicles – All Locations</v>
      </c>
      <c r="B16" s="135">
        <f>'Parameter Values'!B239</f>
        <v>0.13600000000000001</v>
      </c>
      <c r="C16" s="136">
        <f>'Parameter Values'!C239</f>
        <v>3.3E-3</v>
      </c>
      <c r="D16" s="134">
        <f>'Parameter Values'!D239</f>
        <v>4.1000000000000002E-2</v>
      </c>
    </row>
    <row r="17" spans="1:53" x14ac:dyDescent="0.3">
      <c r="A17" s="38" t="s">
        <v>21</v>
      </c>
    </row>
    <row r="18" spans="1:53" ht="15" thickBot="1" x14ac:dyDescent="0.35">
      <c r="A18" s="94" t="s">
        <v>477</v>
      </c>
    </row>
    <row r="19" spans="1:53" x14ac:dyDescent="0.3">
      <c r="A19" s="104" t="s">
        <v>308</v>
      </c>
      <c r="B19" s="105" t="s">
        <v>478</v>
      </c>
      <c r="F19" s="10" t="s">
        <v>307</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2"/>
    </row>
    <row r="20" spans="1:53" x14ac:dyDescent="0.3">
      <c r="A20" s="6">
        <f>'Project Information'!$B$9</f>
        <v>2032</v>
      </c>
      <c r="B20" s="156">
        <v>0</v>
      </c>
      <c r="F20" s="13"/>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s="14"/>
    </row>
    <row r="21" spans="1:53" x14ac:dyDescent="0.3">
      <c r="A21" s="1">
        <f>IF(A20&lt;'Project Information'!B$11,A20+1,"")</f>
        <v>2033</v>
      </c>
      <c r="B21" s="156">
        <v>0</v>
      </c>
      <c r="F21" s="13"/>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s="14"/>
    </row>
    <row r="22" spans="1:53" x14ac:dyDescent="0.3">
      <c r="A22" s="1">
        <f>IF(A21&lt;'Project Information'!B$11,A21+1,"")</f>
        <v>2034</v>
      </c>
      <c r="B22" s="156">
        <v>0</v>
      </c>
      <c r="F22" s="13"/>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s="14"/>
    </row>
    <row r="23" spans="1:53" x14ac:dyDescent="0.3">
      <c r="A23" s="1">
        <f>IF(A22&lt;'Project Information'!B$11,A22+1,"")</f>
        <v>2035</v>
      </c>
      <c r="B23" s="156">
        <v>0</v>
      </c>
      <c r="F23" s="1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s="14"/>
    </row>
    <row r="24" spans="1:53" x14ac:dyDescent="0.3">
      <c r="A24" s="1">
        <f>IF(A23&lt;'Project Information'!B$11,A23+1,"")</f>
        <v>2036</v>
      </c>
      <c r="B24" s="156">
        <v>0</v>
      </c>
      <c r="F24" s="13"/>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s="14"/>
    </row>
    <row r="25" spans="1:53" x14ac:dyDescent="0.3">
      <c r="A25" s="1">
        <f>IF(A24&lt;'Project Information'!B$11,A24+1,"")</f>
        <v>2037</v>
      </c>
      <c r="B25" s="156">
        <v>0</v>
      </c>
      <c r="F25" s="13"/>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s="14"/>
    </row>
    <row r="26" spans="1:53" x14ac:dyDescent="0.3">
      <c r="A26" s="1">
        <f>IF(A25&lt;'Project Information'!B$11,A25+1,"")</f>
        <v>2038</v>
      </c>
      <c r="B26" s="156">
        <v>0</v>
      </c>
      <c r="F26" s="13"/>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s="14"/>
    </row>
    <row r="27" spans="1:53" x14ac:dyDescent="0.3">
      <c r="A27" s="1">
        <f>IF(A26&lt;'Project Information'!B$11,A26+1,"")</f>
        <v>2039</v>
      </c>
      <c r="B27" s="156">
        <v>0</v>
      </c>
      <c r="F27" s="13"/>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s="14"/>
    </row>
    <row r="28" spans="1:53" x14ac:dyDescent="0.3">
      <c r="A28" s="1">
        <f>IF(A27&lt;'Project Information'!B$11,A27+1,"")</f>
        <v>2040</v>
      </c>
      <c r="B28" s="156">
        <v>0</v>
      </c>
      <c r="F28" s="13"/>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s="14"/>
    </row>
    <row r="29" spans="1:53" x14ac:dyDescent="0.3">
      <c r="A29" s="1">
        <f>IF(A28&lt;'Project Information'!B$11,A28+1,"")</f>
        <v>2041</v>
      </c>
      <c r="B29" s="156">
        <v>0</v>
      </c>
      <c r="F29" s="13"/>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s="14"/>
    </row>
    <row r="30" spans="1:53" x14ac:dyDescent="0.3">
      <c r="A30" s="1">
        <f>IF(A29&lt;'Project Information'!B$11,A29+1,"")</f>
        <v>2042</v>
      </c>
      <c r="B30" s="156">
        <v>0</v>
      </c>
      <c r="F30" s="13"/>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s="14"/>
    </row>
    <row r="31" spans="1:53" x14ac:dyDescent="0.3">
      <c r="A31" s="1">
        <f>IF(A30&lt;'Project Information'!B$11,A30+1,"")</f>
        <v>2043</v>
      </c>
      <c r="B31" s="156">
        <v>0</v>
      </c>
      <c r="F31" s="13"/>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s="14"/>
    </row>
    <row r="32" spans="1:53" x14ac:dyDescent="0.3">
      <c r="A32" s="1">
        <f>IF(A31&lt;'Project Information'!B$11,A31+1,"")</f>
        <v>2044</v>
      </c>
      <c r="B32" s="156">
        <v>0</v>
      </c>
      <c r="F32" s="13"/>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s="14"/>
    </row>
    <row r="33" spans="1:53" x14ac:dyDescent="0.3">
      <c r="A33" s="1">
        <f>IF(A32&lt;'Project Information'!B$11,A32+1,"")</f>
        <v>2045</v>
      </c>
      <c r="B33" s="156">
        <v>0</v>
      </c>
      <c r="F33" s="1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s="14"/>
    </row>
    <row r="34" spans="1:53" x14ac:dyDescent="0.3">
      <c r="A34" s="1">
        <f>IF(A33&lt;'Project Information'!B$11,A33+1,"")</f>
        <v>2046</v>
      </c>
      <c r="B34" s="156">
        <v>0</v>
      </c>
      <c r="F34" s="13"/>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s="14"/>
    </row>
    <row r="35" spans="1:53" x14ac:dyDescent="0.3">
      <c r="A35" s="1">
        <f>IF(A34&lt;'Project Information'!B$11,A34+1,"")</f>
        <v>2047</v>
      </c>
      <c r="B35" s="156">
        <v>0</v>
      </c>
      <c r="F35" s="13"/>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s="14"/>
    </row>
    <row r="36" spans="1:53" x14ac:dyDescent="0.3">
      <c r="A36" s="1">
        <f>IF(A35&lt;'Project Information'!B$11,A35+1,"")</f>
        <v>2048</v>
      </c>
      <c r="B36" s="156">
        <v>0</v>
      </c>
      <c r="F36" s="13"/>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s="14"/>
    </row>
    <row r="37" spans="1:53" x14ac:dyDescent="0.3">
      <c r="A37" s="1">
        <f>IF(A36&lt;'Project Information'!B$11,A36+1,"")</f>
        <v>2049</v>
      </c>
      <c r="B37" s="156">
        <v>0</v>
      </c>
      <c r="F37" s="13"/>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s="14"/>
    </row>
    <row r="38" spans="1:53" x14ac:dyDescent="0.3">
      <c r="A38" s="1">
        <f>IF(A37&lt;'Project Information'!B$11,A37+1,"")</f>
        <v>2050</v>
      </c>
      <c r="B38" s="156">
        <v>0</v>
      </c>
      <c r="F38" s="13"/>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s="14"/>
    </row>
    <row r="39" spans="1:53" x14ac:dyDescent="0.3">
      <c r="A39" s="1">
        <f>IF(A38&lt;'Project Information'!B$11,A38+1,"")</f>
        <v>2051</v>
      </c>
      <c r="B39" s="156">
        <v>0</v>
      </c>
      <c r="F39" s="13"/>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s="14"/>
    </row>
    <row r="40" spans="1:53" x14ac:dyDescent="0.3">
      <c r="A40" s="1" t="str">
        <f>IF(A39&lt;'Project Information'!B$11,A39+1,"")</f>
        <v/>
      </c>
      <c r="B40" s="156">
        <v>0</v>
      </c>
      <c r="F40" s="13"/>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s="14"/>
    </row>
    <row r="41" spans="1:53" x14ac:dyDescent="0.3">
      <c r="A41" s="1" t="str">
        <f>IF(A40&lt;'Project Information'!B$11,A40+1,"")</f>
        <v/>
      </c>
      <c r="B41" s="156">
        <v>0</v>
      </c>
      <c r="F41" s="13"/>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s="14"/>
    </row>
    <row r="42" spans="1:53" x14ac:dyDescent="0.3">
      <c r="A42" s="1" t="str">
        <f>IF(A41&lt;'Project Information'!B$11,A41+1,"")</f>
        <v/>
      </c>
      <c r="B42" s="156">
        <v>0</v>
      </c>
      <c r="F42" s="13"/>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s="14"/>
    </row>
    <row r="43" spans="1:53" x14ac:dyDescent="0.3">
      <c r="A43" s="1" t="str">
        <f>IF(A42&lt;'Project Information'!B$11,A42+1,"")</f>
        <v/>
      </c>
      <c r="B43" s="156">
        <v>0</v>
      </c>
      <c r="F43" s="1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s="14"/>
    </row>
    <row r="44" spans="1:53" x14ac:dyDescent="0.3">
      <c r="A44" s="1" t="str">
        <f>IF(A43&lt;'Project Information'!B$11,A43+1,"")</f>
        <v/>
      </c>
      <c r="B44" s="156">
        <v>0</v>
      </c>
      <c r="F44" s="13"/>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s="14"/>
    </row>
    <row r="45" spans="1:53" x14ac:dyDescent="0.3">
      <c r="A45" s="1" t="str">
        <f>IF(A44&lt;'Project Information'!B$11,A44+1,"")</f>
        <v/>
      </c>
      <c r="B45" s="156">
        <v>0</v>
      </c>
      <c r="F45" s="13"/>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s="14"/>
    </row>
    <row r="46" spans="1:53" x14ac:dyDescent="0.3">
      <c r="A46" s="1" t="str">
        <f>IF(A45&lt;'Project Information'!B$11,A45+1,"")</f>
        <v/>
      </c>
      <c r="B46" s="156">
        <v>0</v>
      </c>
      <c r="F46" s="13"/>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s="14"/>
    </row>
    <row r="47" spans="1:53" x14ac:dyDescent="0.3">
      <c r="A47" s="1" t="str">
        <f>IF(A46&lt;'Project Information'!B$11,A46+1,"")</f>
        <v/>
      </c>
      <c r="B47" s="156">
        <v>0</v>
      </c>
      <c r="F47" s="13"/>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s="14"/>
    </row>
    <row r="48" spans="1:53" x14ac:dyDescent="0.3">
      <c r="A48" s="1" t="str">
        <f>IF(A47&lt;'Project Information'!B$11,A47+1,"")</f>
        <v/>
      </c>
      <c r="B48" s="156">
        <v>0</v>
      </c>
      <c r="F48" s="13"/>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s="14"/>
    </row>
    <row r="49" spans="1:53" x14ac:dyDescent="0.3">
      <c r="A49" s="2" t="str">
        <f>IF(A48&lt;'Project Information'!B$11,A48+1,"")</f>
        <v/>
      </c>
      <c r="B49" s="117">
        <v>0</v>
      </c>
      <c r="F49" s="13"/>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s="14"/>
    </row>
    <row r="50" spans="1:53" x14ac:dyDescent="0.3">
      <c r="F50" s="13"/>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s="14"/>
    </row>
    <row r="51" spans="1:53" x14ac:dyDescent="0.3">
      <c r="F51" s="13"/>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s="14"/>
    </row>
    <row r="52" spans="1:53" x14ac:dyDescent="0.3">
      <c r="F52" s="13"/>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s="14"/>
    </row>
    <row r="53" spans="1:53" x14ac:dyDescent="0.3">
      <c r="F53" s="1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s="14"/>
    </row>
    <row r="54" spans="1:53" x14ac:dyDescent="0.3">
      <c r="F54" s="13"/>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s="14"/>
    </row>
    <row r="55" spans="1:53" x14ac:dyDescent="0.3">
      <c r="F55" s="13"/>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s="14"/>
    </row>
    <row r="56" spans="1:53" x14ac:dyDescent="0.3">
      <c r="F56" s="13"/>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s="14"/>
    </row>
    <row r="57" spans="1:53" x14ac:dyDescent="0.3">
      <c r="F57" s="13"/>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s="14"/>
    </row>
    <row r="58" spans="1:53" x14ac:dyDescent="0.3">
      <c r="F58" s="13"/>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s="14"/>
    </row>
    <row r="59" spans="1:53" x14ac:dyDescent="0.3">
      <c r="F59" s="13"/>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s="14"/>
    </row>
    <row r="60" spans="1:53" x14ac:dyDescent="0.3">
      <c r="F60" s="13"/>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s="14"/>
    </row>
    <row r="61" spans="1:53" x14ac:dyDescent="0.3">
      <c r="F61" s="13"/>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s="14"/>
    </row>
    <row r="62" spans="1:53" x14ac:dyDescent="0.3">
      <c r="F62" s="13"/>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s="14"/>
    </row>
    <row r="63" spans="1:53" x14ac:dyDescent="0.3">
      <c r="F63" s="1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s="14"/>
    </row>
    <row r="64" spans="1:53" x14ac:dyDescent="0.3">
      <c r="F64" s="13"/>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s="14"/>
    </row>
    <row r="65" spans="6:53" x14ac:dyDescent="0.3">
      <c r="F65" s="13"/>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s="14"/>
    </row>
    <row r="66" spans="6:53" x14ac:dyDescent="0.3">
      <c r="F66" s="13"/>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s="14"/>
    </row>
    <row r="67" spans="6:53" x14ac:dyDescent="0.3">
      <c r="F67" s="13"/>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s="14"/>
    </row>
    <row r="68" spans="6:53" x14ac:dyDescent="0.3">
      <c r="F68" s="13"/>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s="14"/>
    </row>
    <row r="69" spans="6:53" x14ac:dyDescent="0.3">
      <c r="F69" s="13"/>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s="14"/>
    </row>
    <row r="70" spans="6:53" x14ac:dyDescent="0.3">
      <c r="F70" s="13"/>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s="14"/>
    </row>
    <row r="71" spans="6:53" x14ac:dyDescent="0.3">
      <c r="F71" s="13"/>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s="14"/>
    </row>
    <row r="72" spans="6:53" x14ac:dyDescent="0.3">
      <c r="F72" s="13"/>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s="14"/>
    </row>
    <row r="73" spans="6:53" x14ac:dyDescent="0.3">
      <c r="F73" s="1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s="14"/>
    </row>
    <row r="74" spans="6:53" x14ac:dyDescent="0.3">
      <c r="F74" s="13"/>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s="14"/>
    </row>
    <row r="75" spans="6:53" x14ac:dyDescent="0.3">
      <c r="F75" s="13"/>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s="14"/>
    </row>
    <row r="76" spans="6:53" x14ac:dyDescent="0.3">
      <c r="F76" s="13"/>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s="14"/>
    </row>
    <row r="77" spans="6:53" x14ac:dyDescent="0.3">
      <c r="F77" s="13"/>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s="14"/>
    </row>
    <row r="78" spans="6:53" x14ac:dyDescent="0.3">
      <c r="F78" s="13"/>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s="14"/>
    </row>
    <row r="79" spans="6:53" x14ac:dyDescent="0.3">
      <c r="F79" s="13"/>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s="14"/>
    </row>
    <row r="80" spans="6:53" x14ac:dyDescent="0.3">
      <c r="F80" s="13"/>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s="14"/>
    </row>
    <row r="81" spans="6:53" x14ac:dyDescent="0.3">
      <c r="F81" s="13"/>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s="14"/>
    </row>
    <row r="82" spans="6:53" x14ac:dyDescent="0.3">
      <c r="F82" s="13"/>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s="14"/>
    </row>
    <row r="83" spans="6:53" x14ac:dyDescent="0.3">
      <c r="F83" s="1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s="14"/>
    </row>
    <row r="84" spans="6:53" x14ac:dyDescent="0.3">
      <c r="F84" s="13"/>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s="14"/>
    </row>
    <row r="85" spans="6:53" x14ac:dyDescent="0.3">
      <c r="F85" s="13"/>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s="14"/>
    </row>
    <row r="86" spans="6:53" x14ac:dyDescent="0.3">
      <c r="F86" s="13"/>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s="14"/>
    </row>
    <row r="87" spans="6:53" x14ac:dyDescent="0.3">
      <c r="F87" s="13"/>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s="14"/>
    </row>
    <row r="88" spans="6:53" x14ac:dyDescent="0.3">
      <c r="F88" s="13"/>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s="14"/>
    </row>
    <row r="89" spans="6:53" x14ac:dyDescent="0.3">
      <c r="F89" s="13"/>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s="14"/>
    </row>
    <row r="90" spans="6:53" x14ac:dyDescent="0.3">
      <c r="F90" s="13"/>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s="14"/>
    </row>
    <row r="91" spans="6:53" x14ac:dyDescent="0.3">
      <c r="F91" s="13"/>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s="14"/>
    </row>
    <row r="92" spans="6:53" x14ac:dyDescent="0.3">
      <c r="F92" s="13"/>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s="14"/>
    </row>
    <row r="93" spans="6:53" x14ac:dyDescent="0.3">
      <c r="F93" s="1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s="14"/>
    </row>
    <row r="94" spans="6:53" x14ac:dyDescent="0.3">
      <c r="F94" s="13"/>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s="14"/>
    </row>
    <row r="95" spans="6:53" x14ac:dyDescent="0.3">
      <c r="F95" s="13"/>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s="14"/>
    </row>
    <row r="96" spans="6:53" x14ac:dyDescent="0.3">
      <c r="F96" s="13"/>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s="14"/>
    </row>
    <row r="97" spans="6:53" x14ac:dyDescent="0.3">
      <c r="F97" s="13"/>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s="14"/>
    </row>
    <row r="98" spans="6:53" x14ac:dyDescent="0.3">
      <c r="F98" s="13"/>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s="14"/>
    </row>
    <row r="99" spans="6:53" ht="15" thickBot="1" x14ac:dyDescent="0.35">
      <c r="F99" s="15"/>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7"/>
    </row>
  </sheetData>
  <conditionalFormatting sqref="B20:B49">
    <cfRule type="expression" dxfId="8" priority="1">
      <formula>A20=""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95586-785A-4FD2-A789-DCFA60DB471C}">
  <sheetPr>
    <tabColor theme="9" tint="0.39997558519241921"/>
  </sheetPr>
  <dimension ref="A1:BV112"/>
  <sheetViews>
    <sheetView topLeftCell="A46" workbookViewId="0">
      <selection sqref="A1:XFD1048576"/>
    </sheetView>
  </sheetViews>
  <sheetFormatPr defaultColWidth="9.109375" defaultRowHeight="14.4" x14ac:dyDescent="0.3"/>
  <cols>
    <col min="1" max="1" width="39" style="5" customWidth="1"/>
    <col min="2" max="2" width="35.44140625" style="5" customWidth="1"/>
    <col min="3" max="3" width="35.5546875" style="5" customWidth="1"/>
    <col min="4" max="4" width="30.109375" style="5" customWidth="1"/>
    <col min="5" max="5" width="26.88671875" style="5" customWidth="1"/>
    <col min="6" max="6" width="7.44140625" style="5" customWidth="1"/>
    <col min="7" max="14" width="20.5546875" style="5" customWidth="1"/>
    <col min="15" max="18" width="15.6640625" style="5" customWidth="1"/>
    <col min="19" max="19" width="28.5546875" style="5" customWidth="1"/>
    <col min="20" max="20" width="24.88671875" style="5" customWidth="1"/>
    <col min="21" max="16384" width="9.109375" style="5"/>
  </cols>
  <sheetData>
    <row r="1" spans="1:9" ht="20.399999999999999" thickBot="1" x14ac:dyDescent="0.45">
      <c r="A1" s="93" t="s">
        <v>479</v>
      </c>
      <c r="B1" s="128"/>
      <c r="C1" s="128"/>
      <c r="D1" s="128"/>
      <c r="E1" s="128"/>
      <c r="F1" s="128"/>
    </row>
    <row r="2" spans="1:9" ht="15" thickTop="1" x14ac:dyDescent="0.3">
      <c r="A2" s="146" t="s">
        <v>480</v>
      </c>
      <c r="B2" s="147"/>
      <c r="C2" s="147"/>
      <c r="D2" s="147"/>
      <c r="E2" s="147"/>
      <c r="F2" s="147"/>
      <c r="G2" s="147"/>
      <c r="H2" s="147"/>
      <c r="I2" s="147"/>
    </row>
    <row r="3" spans="1:9" x14ac:dyDescent="0.3">
      <c r="A3" s="146" t="s">
        <v>481</v>
      </c>
      <c r="B3" s="147"/>
      <c r="C3" s="147"/>
      <c r="D3" s="147"/>
    </row>
    <row r="4" spans="1:9" x14ac:dyDescent="0.3">
      <c r="A4" s="146" t="s">
        <v>482</v>
      </c>
      <c r="B4" s="147"/>
      <c r="C4" s="147"/>
    </row>
    <row r="5" spans="1:9" x14ac:dyDescent="0.3">
      <c r="A5" s="146" t="s">
        <v>483</v>
      </c>
      <c r="B5" s="147"/>
      <c r="C5" s="147"/>
      <c r="D5" s="147"/>
      <c r="E5" s="147"/>
    </row>
    <row r="6" spans="1:9" x14ac:dyDescent="0.3">
      <c r="A6" s="5" t="s">
        <v>21</v>
      </c>
    </row>
    <row r="7" spans="1:9" x14ac:dyDescent="0.3">
      <c r="A7" s="94" t="s">
        <v>484</v>
      </c>
    </row>
    <row r="8" spans="1:9" x14ac:dyDescent="0.3">
      <c r="A8" s="113" t="s">
        <v>198</v>
      </c>
      <c r="B8" s="113" t="s">
        <v>79</v>
      </c>
      <c r="C8" s="186"/>
    </row>
    <row r="9" spans="1:9" x14ac:dyDescent="0.3">
      <c r="A9" s="132"/>
      <c r="B9" s="126" t="s">
        <v>485</v>
      </c>
      <c r="C9" s="187"/>
    </row>
    <row r="10" spans="1:9" x14ac:dyDescent="0.3">
      <c r="A10" s="35" t="s">
        <v>204</v>
      </c>
      <c r="B10" s="168" t="s">
        <v>97</v>
      </c>
      <c r="C10" s="188"/>
    </row>
    <row r="11" spans="1:9" x14ac:dyDescent="0.3">
      <c r="A11" s="35" t="s">
        <v>205</v>
      </c>
      <c r="B11" s="168" t="s">
        <v>97</v>
      </c>
      <c r="C11" s="188"/>
    </row>
    <row r="12" spans="1:9" x14ac:dyDescent="0.3">
      <c r="A12" s="35" t="s">
        <v>206</v>
      </c>
      <c r="B12" s="133">
        <f>'Parameter Values'!E233</f>
        <v>1.2999999999999999E-2</v>
      </c>
      <c r="C12" s="188"/>
    </row>
    <row r="13" spans="1:9" x14ac:dyDescent="0.3">
      <c r="A13" s="35" t="s">
        <v>207</v>
      </c>
      <c r="B13" s="168" t="s">
        <v>97</v>
      </c>
      <c r="C13" s="188"/>
    </row>
    <row r="14" spans="1:9" x14ac:dyDescent="0.3">
      <c r="A14" s="35" t="s">
        <v>208</v>
      </c>
      <c r="B14" s="168" t="s">
        <v>97</v>
      </c>
      <c r="C14" s="188"/>
    </row>
    <row r="15" spans="1:9" x14ac:dyDescent="0.3">
      <c r="A15" s="35" t="s">
        <v>209</v>
      </c>
      <c r="B15" s="133">
        <f>'Parameter Values'!E236</f>
        <v>3.7999999999999999E-2</v>
      </c>
      <c r="C15" s="188"/>
    </row>
    <row r="16" spans="1:9" x14ac:dyDescent="0.3">
      <c r="A16" s="35" t="s">
        <v>210</v>
      </c>
      <c r="B16" s="168" t="s">
        <v>97</v>
      </c>
      <c r="C16" s="188"/>
    </row>
    <row r="17" spans="1:74" x14ac:dyDescent="0.3">
      <c r="A17" s="35" t="s">
        <v>211</v>
      </c>
      <c r="B17" s="168" t="s">
        <v>97</v>
      </c>
      <c r="C17" s="188"/>
    </row>
    <row r="18" spans="1:74" x14ac:dyDescent="0.3">
      <c r="A18" s="35" t="s">
        <v>212</v>
      </c>
      <c r="B18" s="133">
        <f>'Parameter Values'!E239</f>
        <v>1.6E-2</v>
      </c>
      <c r="C18" s="188"/>
    </row>
    <row r="19" spans="1:74" x14ac:dyDescent="0.3">
      <c r="A19" s="113" t="s">
        <v>86</v>
      </c>
      <c r="B19" s="113" t="s">
        <v>85</v>
      </c>
      <c r="C19" s="186"/>
    </row>
    <row r="20" spans="1:74" x14ac:dyDescent="0.3">
      <c r="A20" s="125" t="s">
        <v>89</v>
      </c>
      <c r="B20" s="126" t="s">
        <v>485</v>
      </c>
      <c r="C20" s="187"/>
    </row>
    <row r="21" spans="1:74" x14ac:dyDescent="0.3">
      <c r="A21" s="35" t="s">
        <v>90</v>
      </c>
      <c r="B21" s="127">
        <f>'Parameter Values'!C63</f>
        <v>799</v>
      </c>
      <c r="C21" s="189"/>
    </row>
    <row r="22" spans="1:74" x14ac:dyDescent="0.3">
      <c r="A22" s="35" t="s">
        <v>91</v>
      </c>
      <c r="B22" s="127">
        <f>'Parameter Values'!C64</f>
        <v>109</v>
      </c>
      <c r="C22" s="189"/>
    </row>
    <row r="23" spans="1:74" x14ac:dyDescent="0.3">
      <c r="A23" s="35" t="s">
        <v>92</v>
      </c>
      <c r="B23" s="127">
        <f>'Parameter Values'!C65</f>
        <v>109</v>
      </c>
      <c r="C23" s="189"/>
    </row>
    <row r="24" spans="1:74" x14ac:dyDescent="0.3">
      <c r="A24" s="35" t="s">
        <v>93</v>
      </c>
      <c r="B24" s="127">
        <f>'Parameter Values'!C66</f>
        <v>109</v>
      </c>
      <c r="C24" s="189"/>
    </row>
    <row r="25" spans="1:74" x14ac:dyDescent="0.3">
      <c r="A25" s="125" t="s">
        <v>94</v>
      </c>
      <c r="B25" s="126" t="s">
        <v>485</v>
      </c>
      <c r="C25" s="187"/>
    </row>
    <row r="26" spans="1:74" x14ac:dyDescent="0.3">
      <c r="A26" s="35" t="s">
        <v>90</v>
      </c>
      <c r="B26" s="127">
        <f>'Parameter Values'!C68</f>
        <v>2356</v>
      </c>
      <c r="C26" s="189"/>
    </row>
    <row r="27" spans="1:74" x14ac:dyDescent="0.3">
      <c r="A27" s="35" t="s">
        <v>91</v>
      </c>
      <c r="B27" s="127">
        <f>'Parameter Values'!C69</f>
        <v>780</v>
      </c>
      <c r="C27" s="189"/>
    </row>
    <row r="28" spans="1:74" x14ac:dyDescent="0.3">
      <c r="A28" s="35" t="s">
        <v>92</v>
      </c>
      <c r="B28" s="127">
        <f>'Parameter Values'!C70</f>
        <v>780</v>
      </c>
      <c r="C28" s="189"/>
    </row>
    <row r="29" spans="1:74" x14ac:dyDescent="0.3">
      <c r="A29" s="35" t="s">
        <v>93</v>
      </c>
      <c r="B29" s="127">
        <f>'Parameter Values'!C71</f>
        <v>780</v>
      </c>
      <c r="C29" s="189"/>
    </row>
    <row r="30" spans="1:74" x14ac:dyDescent="0.3">
      <c r="A30" s="5" t="s">
        <v>21</v>
      </c>
    </row>
    <row r="31" spans="1:74" ht="15" thickBot="1" x14ac:dyDescent="0.35">
      <c r="A31" s="94" t="s">
        <v>486</v>
      </c>
      <c r="B31" s="129"/>
      <c r="C31" s="129"/>
      <c r="D31" s="129"/>
      <c r="E31" s="129"/>
      <c r="F31" s="129"/>
    </row>
    <row r="32" spans="1:74" ht="15.6" x14ac:dyDescent="0.35">
      <c r="A32" s="104" t="s">
        <v>308</v>
      </c>
      <c r="B32" s="107" t="s">
        <v>487</v>
      </c>
      <c r="C32" s="107" t="s">
        <v>488</v>
      </c>
      <c r="D32" s="107"/>
      <c r="E32" s="107"/>
      <c r="F32" s="107"/>
      <c r="G32" s="107" t="s">
        <v>489</v>
      </c>
      <c r="H32" s="105" t="s">
        <v>490</v>
      </c>
      <c r="I32" s="107" t="s">
        <v>491</v>
      </c>
      <c r="J32" s="105" t="s">
        <v>492</v>
      </c>
      <c r="K32" s="107" t="s">
        <v>493</v>
      </c>
      <c r="L32" s="105" t="s">
        <v>494</v>
      </c>
      <c r="M32" s="107"/>
      <c r="N32" s="105"/>
      <c r="O32" s="108" t="s">
        <v>495</v>
      </c>
      <c r="P32" s="109" t="s">
        <v>496</v>
      </c>
      <c r="Q32" s="109" t="s">
        <v>497</v>
      </c>
      <c r="R32" s="109"/>
      <c r="S32" s="105" t="s">
        <v>461</v>
      </c>
      <c r="T32" s="208"/>
      <c r="AA32" s="10" t="s">
        <v>307</v>
      </c>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2"/>
    </row>
    <row r="33" spans="1:74" x14ac:dyDescent="0.3">
      <c r="A33" s="6">
        <f>'Project Information'!$B$9</f>
        <v>2032</v>
      </c>
      <c r="B33" s="130">
        <v>0</v>
      </c>
      <c r="C33" s="130">
        <v>0</v>
      </c>
      <c r="D33" s="190"/>
      <c r="E33" s="194"/>
      <c r="F33" s="6"/>
      <c r="G33" s="27">
        <v>0</v>
      </c>
      <c r="H33" s="27">
        <v>0</v>
      </c>
      <c r="I33" s="27">
        <v>0</v>
      </c>
      <c r="J33" s="27">
        <v>0</v>
      </c>
      <c r="K33" s="27">
        <v>0</v>
      </c>
      <c r="L33" s="27">
        <v>0</v>
      </c>
      <c r="M33" s="198"/>
      <c r="N33" s="199"/>
      <c r="O33" s="19">
        <f>IFERROR(VLOOKUP($A33,'Parameter Values'!$A$78:$E$107,2,FALSE),'Parameter Values'!B$107)</f>
        <v>23800</v>
      </c>
      <c r="P33" s="19">
        <f>IFERROR(VLOOKUP($A33,'Parameter Values'!$A$78:$E$107,3,FALSE),'Parameter Values'!C$107)</f>
        <v>64500</v>
      </c>
      <c r="Q33" s="19">
        <f>IFERROR(VLOOKUP($A33,'Parameter Values'!$A$78:$E$107,4,FALSE),'Parameter Values'!D$107)</f>
        <v>1140500</v>
      </c>
      <c r="R33" s="204"/>
      <c r="S33" s="205">
        <f>(B33-C33)+((G33-H33)*O33)+((I33-J33)*P33)+((K33-L33)*Q33)</f>
        <v>0</v>
      </c>
      <c r="T33" s="209"/>
      <c r="AA33" s="1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s="14"/>
    </row>
    <row r="34" spans="1:74" x14ac:dyDescent="0.3">
      <c r="A34" s="1">
        <f>IF(A33&lt;'Project Information'!B$11,A33+1,"")</f>
        <v>2033</v>
      </c>
      <c r="B34" s="130">
        <v>0</v>
      </c>
      <c r="C34" s="130">
        <v>0</v>
      </c>
      <c r="D34" s="191"/>
      <c r="E34" s="195"/>
      <c r="F34" s="1"/>
      <c r="G34" s="27">
        <v>0</v>
      </c>
      <c r="H34" s="27">
        <v>0</v>
      </c>
      <c r="I34" s="27">
        <v>0</v>
      </c>
      <c r="J34" s="27">
        <v>0</v>
      </c>
      <c r="K34" s="27">
        <v>0</v>
      </c>
      <c r="L34" s="27">
        <v>0</v>
      </c>
      <c r="M34" s="200"/>
      <c r="N34" s="201"/>
      <c r="O34" s="19">
        <f>IFERROR(VLOOKUP($A34,'Parameter Values'!$A$78:$E$107,2,FALSE),'Parameter Values'!B$107)</f>
        <v>23800</v>
      </c>
      <c r="P34" s="19">
        <f>IFERROR(VLOOKUP($A34,'Parameter Values'!$A$78:$E$107,3,FALSE),'Parameter Values'!C$107)</f>
        <v>64500</v>
      </c>
      <c r="Q34" s="19">
        <f>IFERROR(VLOOKUP($A34,'Parameter Values'!$A$78:$E$107,4,FALSE),'Parameter Values'!D$107)</f>
        <v>1140500</v>
      </c>
      <c r="R34" s="19"/>
      <c r="S34" s="206">
        <f t="shared" ref="S34:S62" si="0">(B34-C34)+((G34-H34)*O34)+((I34-J34)*P34)+((K34-L34)*Q34)</f>
        <v>0</v>
      </c>
      <c r="T34" s="209"/>
      <c r="AA34" s="13"/>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s="14"/>
    </row>
    <row r="35" spans="1:74" x14ac:dyDescent="0.3">
      <c r="A35" s="1">
        <f>IF(A34&lt;'Project Information'!B$11,A34+1,"")</f>
        <v>2034</v>
      </c>
      <c r="B35" s="130">
        <v>0</v>
      </c>
      <c r="C35" s="130">
        <v>0</v>
      </c>
      <c r="D35" s="191"/>
      <c r="E35" s="195"/>
      <c r="F35" s="1"/>
      <c r="G35" s="27">
        <v>0</v>
      </c>
      <c r="H35" s="27">
        <v>0</v>
      </c>
      <c r="I35" s="27">
        <v>0</v>
      </c>
      <c r="J35" s="27">
        <v>0</v>
      </c>
      <c r="K35" s="27">
        <v>0</v>
      </c>
      <c r="L35" s="27">
        <v>0</v>
      </c>
      <c r="M35" s="200"/>
      <c r="N35" s="201"/>
      <c r="O35" s="19">
        <f>IFERROR(VLOOKUP($A35,'Parameter Values'!$A$78:$E$107,2,FALSE),'Parameter Values'!B$107)</f>
        <v>23800</v>
      </c>
      <c r="P35" s="19">
        <f>IFERROR(VLOOKUP($A35,'Parameter Values'!$A$78:$E$107,3,FALSE),'Parameter Values'!C$107)</f>
        <v>64500</v>
      </c>
      <c r="Q35" s="19">
        <f>IFERROR(VLOOKUP($A35,'Parameter Values'!$A$78:$E$107,4,FALSE),'Parameter Values'!D$107)</f>
        <v>1140500</v>
      </c>
      <c r="R35" s="19"/>
      <c r="S35" s="206">
        <f t="shared" si="0"/>
        <v>0</v>
      </c>
      <c r="T35" s="209"/>
      <c r="AA35" s="13"/>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s="14"/>
    </row>
    <row r="36" spans="1:74" x14ac:dyDescent="0.3">
      <c r="A36" s="1">
        <f>IF(A35&lt;'Project Information'!B$11,A35+1,"")</f>
        <v>2035</v>
      </c>
      <c r="B36" s="130">
        <v>0</v>
      </c>
      <c r="C36" s="130">
        <v>0</v>
      </c>
      <c r="D36" s="191"/>
      <c r="E36" s="195"/>
      <c r="F36" s="1"/>
      <c r="G36" s="27">
        <v>0</v>
      </c>
      <c r="H36" s="27">
        <v>0</v>
      </c>
      <c r="I36" s="27">
        <v>0</v>
      </c>
      <c r="J36" s="27">
        <v>0</v>
      </c>
      <c r="K36" s="27">
        <v>0</v>
      </c>
      <c r="L36" s="27">
        <v>0</v>
      </c>
      <c r="M36" s="200"/>
      <c r="N36" s="201"/>
      <c r="O36" s="19">
        <f>IFERROR(VLOOKUP($A36,'Parameter Values'!$A$78:$E$107,2,FALSE),'Parameter Values'!B$107)</f>
        <v>23800</v>
      </c>
      <c r="P36" s="19">
        <f>IFERROR(VLOOKUP($A36,'Parameter Values'!$A$78:$E$107,3,FALSE),'Parameter Values'!C$107)</f>
        <v>64500</v>
      </c>
      <c r="Q36" s="19">
        <f>IFERROR(VLOOKUP($A36,'Parameter Values'!$A$78:$E$107,4,FALSE),'Parameter Values'!D$107)</f>
        <v>1140500</v>
      </c>
      <c r="R36" s="19"/>
      <c r="S36" s="206">
        <f t="shared" si="0"/>
        <v>0</v>
      </c>
      <c r="T36" s="209"/>
      <c r="AA36" s="13"/>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s="14"/>
    </row>
    <row r="37" spans="1:74" x14ac:dyDescent="0.3">
      <c r="A37" s="1">
        <f>IF(A36&lt;'Project Information'!B$11,A36+1,"")</f>
        <v>2036</v>
      </c>
      <c r="B37" s="130">
        <v>0</v>
      </c>
      <c r="C37" s="130">
        <v>0</v>
      </c>
      <c r="D37" s="191"/>
      <c r="E37" s="195"/>
      <c r="F37" s="1"/>
      <c r="G37" s="27">
        <v>0</v>
      </c>
      <c r="H37" s="27">
        <v>0</v>
      </c>
      <c r="I37" s="27">
        <v>0</v>
      </c>
      <c r="J37" s="27">
        <v>0</v>
      </c>
      <c r="K37" s="27">
        <v>0</v>
      </c>
      <c r="L37" s="27">
        <v>0</v>
      </c>
      <c r="M37" s="200"/>
      <c r="N37" s="201"/>
      <c r="O37" s="19">
        <f>IFERROR(VLOOKUP($A37,'Parameter Values'!$A$78:$E$107,2,FALSE),'Parameter Values'!B$107)</f>
        <v>23800</v>
      </c>
      <c r="P37" s="19">
        <f>IFERROR(VLOOKUP($A37,'Parameter Values'!$A$78:$E$107,3,FALSE),'Parameter Values'!C$107)</f>
        <v>64500</v>
      </c>
      <c r="Q37" s="19">
        <f>IFERROR(VLOOKUP($A37,'Parameter Values'!$A$78:$E$107,4,FALSE),'Parameter Values'!D$107)</f>
        <v>1140500</v>
      </c>
      <c r="R37" s="19"/>
      <c r="S37" s="206">
        <f t="shared" si="0"/>
        <v>0</v>
      </c>
      <c r="T37" s="209"/>
      <c r="AA37" s="13"/>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s="14"/>
    </row>
    <row r="38" spans="1:74" x14ac:dyDescent="0.3">
      <c r="A38" s="1">
        <f>IF(A37&lt;'Project Information'!B$11,A37+1,"")</f>
        <v>2037</v>
      </c>
      <c r="B38" s="130">
        <v>0</v>
      </c>
      <c r="C38" s="130">
        <v>0</v>
      </c>
      <c r="D38" s="191"/>
      <c r="E38" s="195"/>
      <c r="F38" s="1"/>
      <c r="G38" s="27">
        <v>0</v>
      </c>
      <c r="H38" s="27">
        <v>0</v>
      </c>
      <c r="I38" s="27">
        <v>0</v>
      </c>
      <c r="J38" s="27">
        <v>0</v>
      </c>
      <c r="K38" s="27">
        <v>0</v>
      </c>
      <c r="L38" s="27">
        <v>0</v>
      </c>
      <c r="M38" s="200"/>
      <c r="N38" s="201"/>
      <c r="O38" s="19">
        <f>IFERROR(VLOOKUP($A38,'Parameter Values'!$A$78:$E$107,2,FALSE),'Parameter Values'!B$107)</f>
        <v>23800</v>
      </c>
      <c r="P38" s="19">
        <f>IFERROR(VLOOKUP($A38,'Parameter Values'!$A$78:$E$107,3,FALSE),'Parameter Values'!C$107)</f>
        <v>64500</v>
      </c>
      <c r="Q38" s="19">
        <f>IFERROR(VLOOKUP($A38,'Parameter Values'!$A$78:$E$107,4,FALSE),'Parameter Values'!D$107)</f>
        <v>1140500</v>
      </c>
      <c r="R38" s="19"/>
      <c r="S38" s="206">
        <f t="shared" si="0"/>
        <v>0</v>
      </c>
      <c r="T38" s="209"/>
      <c r="AA38" s="13"/>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s="14"/>
    </row>
    <row r="39" spans="1:74" x14ac:dyDescent="0.3">
      <c r="A39" s="1">
        <f>IF(A38&lt;'Project Information'!B$11,A38+1,"")</f>
        <v>2038</v>
      </c>
      <c r="B39" s="130">
        <v>0</v>
      </c>
      <c r="C39" s="130">
        <v>0</v>
      </c>
      <c r="D39" s="191"/>
      <c r="E39" s="195"/>
      <c r="F39" s="1"/>
      <c r="G39" s="27">
        <v>0</v>
      </c>
      <c r="H39" s="27">
        <v>0</v>
      </c>
      <c r="I39" s="27">
        <v>0</v>
      </c>
      <c r="J39" s="27">
        <v>0</v>
      </c>
      <c r="K39" s="27">
        <v>0</v>
      </c>
      <c r="L39" s="27">
        <v>0</v>
      </c>
      <c r="M39" s="200"/>
      <c r="N39" s="201"/>
      <c r="O39" s="19">
        <f>IFERROR(VLOOKUP($A39,'Parameter Values'!$A$78:$E$107,2,FALSE),'Parameter Values'!B$107)</f>
        <v>23800</v>
      </c>
      <c r="P39" s="19">
        <f>IFERROR(VLOOKUP($A39,'Parameter Values'!$A$78:$E$107,3,FALSE),'Parameter Values'!C$107)</f>
        <v>64500</v>
      </c>
      <c r="Q39" s="19">
        <f>IFERROR(VLOOKUP($A39,'Parameter Values'!$A$78:$E$107,4,FALSE),'Parameter Values'!D$107)</f>
        <v>1140500</v>
      </c>
      <c r="R39" s="19"/>
      <c r="S39" s="206">
        <f t="shared" si="0"/>
        <v>0</v>
      </c>
      <c r="T39" s="209"/>
      <c r="AA39" s="13"/>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s="14"/>
    </row>
    <row r="40" spans="1:74" x14ac:dyDescent="0.3">
      <c r="A40" s="1">
        <f>IF(A39&lt;'Project Information'!B$11,A39+1,"")</f>
        <v>2039</v>
      </c>
      <c r="B40" s="130">
        <v>0</v>
      </c>
      <c r="C40" s="130">
        <v>0</v>
      </c>
      <c r="D40" s="191"/>
      <c r="E40" s="195"/>
      <c r="F40" s="1"/>
      <c r="G40" s="27">
        <v>0</v>
      </c>
      <c r="H40" s="27">
        <v>0</v>
      </c>
      <c r="I40" s="27">
        <v>0</v>
      </c>
      <c r="J40" s="27">
        <v>0</v>
      </c>
      <c r="K40" s="27">
        <v>0</v>
      </c>
      <c r="L40" s="27">
        <v>0</v>
      </c>
      <c r="M40" s="200"/>
      <c r="N40" s="201"/>
      <c r="O40" s="19">
        <f>IFERROR(VLOOKUP($A40,'Parameter Values'!$A$78:$E$107,2,FALSE),'Parameter Values'!B$107)</f>
        <v>23800</v>
      </c>
      <c r="P40" s="19">
        <f>IFERROR(VLOOKUP($A40,'Parameter Values'!$A$78:$E$107,3,FALSE),'Parameter Values'!C$107)</f>
        <v>64500</v>
      </c>
      <c r="Q40" s="19">
        <f>IFERROR(VLOOKUP($A40,'Parameter Values'!$A$78:$E$107,4,FALSE),'Parameter Values'!D$107)</f>
        <v>1140500</v>
      </c>
      <c r="R40" s="19"/>
      <c r="S40" s="206">
        <f t="shared" si="0"/>
        <v>0</v>
      </c>
      <c r="T40" s="209"/>
      <c r="AA40" s="13"/>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s="14"/>
    </row>
    <row r="41" spans="1:74" x14ac:dyDescent="0.3">
      <c r="A41" s="1">
        <f>IF(A40&lt;'Project Information'!B$11,A40+1,"")</f>
        <v>2040</v>
      </c>
      <c r="B41" s="130">
        <v>0</v>
      </c>
      <c r="C41" s="130">
        <v>0</v>
      </c>
      <c r="D41" s="191"/>
      <c r="E41" s="195"/>
      <c r="F41" s="1"/>
      <c r="G41" s="27">
        <v>0</v>
      </c>
      <c r="H41" s="27">
        <v>0</v>
      </c>
      <c r="I41" s="27">
        <v>0</v>
      </c>
      <c r="J41" s="27">
        <v>0</v>
      </c>
      <c r="K41" s="27">
        <v>0</v>
      </c>
      <c r="L41" s="27">
        <v>0</v>
      </c>
      <c r="M41" s="200"/>
      <c r="N41" s="201"/>
      <c r="O41" s="19">
        <f>IFERROR(VLOOKUP($A41,'Parameter Values'!$A$78:$E$107,2,FALSE),'Parameter Values'!B$107)</f>
        <v>23800</v>
      </c>
      <c r="P41" s="19">
        <f>IFERROR(VLOOKUP($A41,'Parameter Values'!$A$78:$E$107,3,FALSE),'Parameter Values'!C$107)</f>
        <v>64500</v>
      </c>
      <c r="Q41" s="19">
        <f>IFERROR(VLOOKUP($A41,'Parameter Values'!$A$78:$E$107,4,FALSE),'Parameter Values'!D$107)</f>
        <v>1140500</v>
      </c>
      <c r="R41" s="19"/>
      <c r="S41" s="206">
        <f t="shared" si="0"/>
        <v>0</v>
      </c>
      <c r="T41" s="209"/>
      <c r="AA41" s="13"/>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s="14"/>
    </row>
    <row r="42" spans="1:74" x14ac:dyDescent="0.3">
      <c r="A42" s="1">
        <f>IF(A41&lt;'Project Information'!B$11,A41+1,"")</f>
        <v>2041</v>
      </c>
      <c r="B42" s="130">
        <v>0</v>
      </c>
      <c r="C42" s="130">
        <v>0</v>
      </c>
      <c r="D42" s="191"/>
      <c r="E42" s="195"/>
      <c r="F42" s="1"/>
      <c r="G42" s="27">
        <v>0</v>
      </c>
      <c r="H42" s="27">
        <v>0</v>
      </c>
      <c r="I42" s="27">
        <v>0</v>
      </c>
      <c r="J42" s="27">
        <v>0</v>
      </c>
      <c r="K42" s="27">
        <v>0</v>
      </c>
      <c r="L42" s="27">
        <v>0</v>
      </c>
      <c r="M42" s="200"/>
      <c r="N42" s="201"/>
      <c r="O42" s="19">
        <f>IFERROR(VLOOKUP($A42,'Parameter Values'!$A$78:$E$107,2,FALSE),'Parameter Values'!B$107)</f>
        <v>23800</v>
      </c>
      <c r="P42" s="19">
        <f>IFERROR(VLOOKUP($A42,'Parameter Values'!$A$78:$E$107,3,FALSE),'Parameter Values'!C$107)</f>
        <v>64500</v>
      </c>
      <c r="Q42" s="19">
        <f>IFERROR(VLOOKUP($A42,'Parameter Values'!$A$78:$E$107,4,FALSE),'Parameter Values'!D$107)</f>
        <v>1140500</v>
      </c>
      <c r="R42" s="19"/>
      <c r="S42" s="206">
        <f t="shared" si="0"/>
        <v>0</v>
      </c>
      <c r="T42" s="209"/>
      <c r="AA42" s="13"/>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s="14"/>
    </row>
    <row r="43" spans="1:74" x14ac:dyDescent="0.3">
      <c r="A43" s="1">
        <f>IF(A42&lt;'Project Information'!B$11,A42+1,"")</f>
        <v>2042</v>
      </c>
      <c r="B43" s="130">
        <v>0</v>
      </c>
      <c r="C43" s="130">
        <v>0</v>
      </c>
      <c r="D43" s="191"/>
      <c r="E43" s="195"/>
      <c r="F43" s="1"/>
      <c r="G43" s="27">
        <v>0</v>
      </c>
      <c r="H43" s="27">
        <v>0</v>
      </c>
      <c r="I43" s="27">
        <v>0</v>
      </c>
      <c r="J43" s="27">
        <v>0</v>
      </c>
      <c r="K43" s="27">
        <v>0</v>
      </c>
      <c r="L43" s="27">
        <v>0</v>
      </c>
      <c r="M43" s="200"/>
      <c r="N43" s="201"/>
      <c r="O43" s="19">
        <f>IFERROR(VLOOKUP($A43,'Parameter Values'!$A$78:$E$107,2,FALSE),'Parameter Values'!B$107)</f>
        <v>23800</v>
      </c>
      <c r="P43" s="19">
        <f>IFERROR(VLOOKUP($A43,'Parameter Values'!$A$78:$E$107,3,FALSE),'Parameter Values'!C$107)</f>
        <v>64500</v>
      </c>
      <c r="Q43" s="19">
        <f>IFERROR(VLOOKUP($A43,'Parameter Values'!$A$78:$E$107,4,FALSE),'Parameter Values'!D$107)</f>
        <v>1140500</v>
      </c>
      <c r="R43" s="19"/>
      <c r="S43" s="206">
        <f t="shared" si="0"/>
        <v>0</v>
      </c>
      <c r="T43" s="209"/>
      <c r="AA43" s="1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s="14"/>
    </row>
    <row r="44" spans="1:74" x14ac:dyDescent="0.3">
      <c r="A44" s="1">
        <f>IF(A43&lt;'Project Information'!B$11,A43+1,"")</f>
        <v>2043</v>
      </c>
      <c r="B44" s="130">
        <v>0</v>
      </c>
      <c r="C44" s="130">
        <v>0</v>
      </c>
      <c r="D44" s="191"/>
      <c r="E44" s="195"/>
      <c r="F44" s="1"/>
      <c r="G44" s="27">
        <v>0</v>
      </c>
      <c r="H44" s="27">
        <v>0</v>
      </c>
      <c r="I44" s="27">
        <v>0</v>
      </c>
      <c r="J44" s="27">
        <v>0</v>
      </c>
      <c r="K44" s="27">
        <v>0</v>
      </c>
      <c r="L44" s="27">
        <v>0</v>
      </c>
      <c r="M44" s="200"/>
      <c r="N44" s="201"/>
      <c r="O44" s="19">
        <f>IFERROR(VLOOKUP($A44,'Parameter Values'!$A$78:$E$107,2,FALSE),'Parameter Values'!B$107)</f>
        <v>23800</v>
      </c>
      <c r="P44" s="19">
        <f>IFERROR(VLOOKUP($A44,'Parameter Values'!$A$78:$E$107,3,FALSE),'Parameter Values'!C$107)</f>
        <v>64500</v>
      </c>
      <c r="Q44" s="19">
        <f>IFERROR(VLOOKUP($A44,'Parameter Values'!$A$78:$E$107,4,FALSE),'Parameter Values'!D$107)</f>
        <v>1140500</v>
      </c>
      <c r="R44" s="19"/>
      <c r="S44" s="206">
        <f t="shared" si="0"/>
        <v>0</v>
      </c>
      <c r="T44" s="209"/>
      <c r="AA44" s="13"/>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s="14"/>
    </row>
    <row r="45" spans="1:74" x14ac:dyDescent="0.3">
      <c r="A45" s="1">
        <f>IF(A44&lt;'Project Information'!B$11,A44+1,"")</f>
        <v>2044</v>
      </c>
      <c r="B45" s="130">
        <v>0</v>
      </c>
      <c r="C45" s="130">
        <v>0</v>
      </c>
      <c r="D45" s="191"/>
      <c r="E45" s="195"/>
      <c r="F45" s="1"/>
      <c r="G45" s="27">
        <v>0</v>
      </c>
      <c r="H45" s="27">
        <v>0</v>
      </c>
      <c r="I45" s="27">
        <v>0</v>
      </c>
      <c r="J45" s="27">
        <v>0</v>
      </c>
      <c r="K45" s="27">
        <v>0</v>
      </c>
      <c r="L45" s="27">
        <v>0</v>
      </c>
      <c r="M45" s="200"/>
      <c r="N45" s="201"/>
      <c r="O45" s="19">
        <f>IFERROR(VLOOKUP($A45,'Parameter Values'!$A$78:$E$107,2,FALSE),'Parameter Values'!B$107)</f>
        <v>23800</v>
      </c>
      <c r="P45" s="19">
        <f>IFERROR(VLOOKUP($A45,'Parameter Values'!$A$78:$E$107,3,FALSE),'Parameter Values'!C$107)</f>
        <v>64500</v>
      </c>
      <c r="Q45" s="19">
        <f>IFERROR(VLOOKUP($A45,'Parameter Values'!$A$78:$E$107,4,FALSE),'Parameter Values'!D$107)</f>
        <v>1140500</v>
      </c>
      <c r="R45" s="19"/>
      <c r="S45" s="206">
        <f t="shared" si="0"/>
        <v>0</v>
      </c>
      <c r="T45" s="209"/>
      <c r="AA45" s="13"/>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s="14"/>
    </row>
    <row r="46" spans="1:74" x14ac:dyDescent="0.3">
      <c r="A46" s="1">
        <f>IF(A45&lt;'Project Information'!B$11,A45+1,"")</f>
        <v>2045</v>
      </c>
      <c r="B46" s="130">
        <v>0</v>
      </c>
      <c r="C46" s="130">
        <v>0</v>
      </c>
      <c r="D46" s="191"/>
      <c r="E46" s="195"/>
      <c r="F46" s="1"/>
      <c r="G46" s="27">
        <v>0</v>
      </c>
      <c r="H46" s="27">
        <v>0</v>
      </c>
      <c r="I46" s="27">
        <v>0</v>
      </c>
      <c r="J46" s="27">
        <v>0</v>
      </c>
      <c r="K46" s="27">
        <v>0</v>
      </c>
      <c r="L46" s="27">
        <v>0</v>
      </c>
      <c r="M46" s="200"/>
      <c r="N46" s="201"/>
      <c r="O46" s="19">
        <f>IFERROR(VLOOKUP($A46,'Parameter Values'!$A$78:$E$107,2,FALSE),'Parameter Values'!B$107)</f>
        <v>23800</v>
      </c>
      <c r="P46" s="19">
        <f>IFERROR(VLOOKUP($A46,'Parameter Values'!$A$78:$E$107,3,FALSE),'Parameter Values'!C$107)</f>
        <v>64500</v>
      </c>
      <c r="Q46" s="19">
        <f>IFERROR(VLOOKUP($A46,'Parameter Values'!$A$78:$E$107,4,FALSE),'Parameter Values'!D$107)</f>
        <v>1140500</v>
      </c>
      <c r="R46" s="19"/>
      <c r="S46" s="206">
        <f t="shared" si="0"/>
        <v>0</v>
      </c>
      <c r="T46" s="209"/>
      <c r="AA46" s="13"/>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s="14"/>
    </row>
    <row r="47" spans="1:74" x14ac:dyDescent="0.3">
      <c r="A47" s="1">
        <f>IF(A46&lt;'Project Information'!B$11,A46+1,"")</f>
        <v>2046</v>
      </c>
      <c r="B47" s="130">
        <v>0</v>
      </c>
      <c r="C47" s="130">
        <v>0</v>
      </c>
      <c r="D47" s="191"/>
      <c r="E47" s="195"/>
      <c r="F47" s="1"/>
      <c r="G47" s="27">
        <v>0</v>
      </c>
      <c r="H47" s="27">
        <v>0</v>
      </c>
      <c r="I47" s="27">
        <v>0</v>
      </c>
      <c r="J47" s="27">
        <v>0</v>
      </c>
      <c r="K47" s="27">
        <v>0</v>
      </c>
      <c r="L47" s="27">
        <v>0</v>
      </c>
      <c r="M47" s="200"/>
      <c r="N47" s="201"/>
      <c r="O47" s="19">
        <f>IFERROR(VLOOKUP($A47,'Parameter Values'!$A$78:$E$107,2,FALSE),'Parameter Values'!B$107)</f>
        <v>23800</v>
      </c>
      <c r="P47" s="19">
        <f>IFERROR(VLOOKUP($A47,'Parameter Values'!$A$78:$E$107,3,FALSE),'Parameter Values'!C$107)</f>
        <v>64500</v>
      </c>
      <c r="Q47" s="19">
        <f>IFERROR(VLOOKUP($A47,'Parameter Values'!$A$78:$E$107,4,FALSE),'Parameter Values'!D$107)</f>
        <v>1140500</v>
      </c>
      <c r="R47" s="19"/>
      <c r="S47" s="206">
        <f t="shared" si="0"/>
        <v>0</v>
      </c>
      <c r="T47" s="209"/>
      <c r="AA47" s="13"/>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s="14"/>
    </row>
    <row r="48" spans="1:74" x14ac:dyDescent="0.3">
      <c r="A48" s="1">
        <f>IF(A47&lt;'Project Information'!B$11,A47+1,"")</f>
        <v>2047</v>
      </c>
      <c r="B48" s="130">
        <v>0</v>
      </c>
      <c r="C48" s="130">
        <v>0</v>
      </c>
      <c r="D48" s="191"/>
      <c r="E48" s="195"/>
      <c r="F48" s="1"/>
      <c r="G48" s="27">
        <v>0</v>
      </c>
      <c r="H48" s="27">
        <v>0</v>
      </c>
      <c r="I48" s="27">
        <v>0</v>
      </c>
      <c r="J48" s="27">
        <v>0</v>
      </c>
      <c r="K48" s="27">
        <v>0</v>
      </c>
      <c r="L48" s="27">
        <v>0</v>
      </c>
      <c r="M48" s="200"/>
      <c r="N48" s="201"/>
      <c r="O48" s="19">
        <f>IFERROR(VLOOKUP($A48,'Parameter Values'!$A$78:$E$107,2,FALSE),'Parameter Values'!B$107)</f>
        <v>23800</v>
      </c>
      <c r="P48" s="19">
        <f>IFERROR(VLOOKUP($A48,'Parameter Values'!$A$78:$E$107,3,FALSE),'Parameter Values'!C$107)</f>
        <v>64500</v>
      </c>
      <c r="Q48" s="19">
        <f>IFERROR(VLOOKUP($A48,'Parameter Values'!$A$78:$E$107,4,FALSE),'Parameter Values'!D$107)</f>
        <v>1140500</v>
      </c>
      <c r="R48" s="19"/>
      <c r="S48" s="206">
        <f t="shared" si="0"/>
        <v>0</v>
      </c>
      <c r="T48" s="209"/>
      <c r="AA48" s="13"/>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s="14"/>
    </row>
    <row r="49" spans="1:74" x14ac:dyDescent="0.3">
      <c r="A49" s="1">
        <f>IF(A48&lt;'Project Information'!B$11,A48+1,"")</f>
        <v>2048</v>
      </c>
      <c r="B49" s="130">
        <v>0</v>
      </c>
      <c r="C49" s="130">
        <v>0</v>
      </c>
      <c r="D49" s="191"/>
      <c r="E49" s="195"/>
      <c r="F49" s="1"/>
      <c r="G49" s="27">
        <v>0</v>
      </c>
      <c r="H49" s="27">
        <v>0</v>
      </c>
      <c r="I49" s="27">
        <v>0</v>
      </c>
      <c r="J49" s="27">
        <v>0</v>
      </c>
      <c r="K49" s="27">
        <v>0</v>
      </c>
      <c r="L49" s="27">
        <v>0</v>
      </c>
      <c r="M49" s="200"/>
      <c r="N49" s="201"/>
      <c r="O49" s="19">
        <f>IFERROR(VLOOKUP($A49,'Parameter Values'!$A$78:$E$107,2,FALSE),'Parameter Values'!B$107)</f>
        <v>23800</v>
      </c>
      <c r="P49" s="19">
        <f>IFERROR(VLOOKUP($A49,'Parameter Values'!$A$78:$E$107,3,FALSE),'Parameter Values'!C$107)</f>
        <v>64500</v>
      </c>
      <c r="Q49" s="19">
        <f>IFERROR(VLOOKUP($A49,'Parameter Values'!$A$78:$E$107,4,FALSE),'Parameter Values'!D$107)</f>
        <v>1140500</v>
      </c>
      <c r="R49" s="19"/>
      <c r="S49" s="206">
        <f t="shared" si="0"/>
        <v>0</v>
      </c>
      <c r="T49" s="209"/>
      <c r="AA49" s="13"/>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s="14"/>
    </row>
    <row r="50" spans="1:74" x14ac:dyDescent="0.3">
      <c r="A50" s="1">
        <f>IF(A49&lt;'Project Information'!B$11,A49+1,"")</f>
        <v>2049</v>
      </c>
      <c r="B50" s="130">
        <v>0</v>
      </c>
      <c r="C50" s="130">
        <v>0</v>
      </c>
      <c r="D50" s="191"/>
      <c r="E50" s="195"/>
      <c r="F50" s="1"/>
      <c r="G50" s="27">
        <v>0</v>
      </c>
      <c r="H50" s="27">
        <v>0</v>
      </c>
      <c r="I50" s="27">
        <v>0</v>
      </c>
      <c r="J50" s="27">
        <v>0</v>
      </c>
      <c r="K50" s="27">
        <v>0</v>
      </c>
      <c r="L50" s="27">
        <v>0</v>
      </c>
      <c r="M50" s="200"/>
      <c r="N50" s="201"/>
      <c r="O50" s="19">
        <f>IFERROR(VLOOKUP($A50,'Parameter Values'!$A$78:$E$107,2,FALSE),'Parameter Values'!B$107)</f>
        <v>23800</v>
      </c>
      <c r="P50" s="19">
        <f>IFERROR(VLOOKUP($A50,'Parameter Values'!$A$78:$E$107,3,FALSE),'Parameter Values'!C$107)</f>
        <v>64500</v>
      </c>
      <c r="Q50" s="19">
        <f>IFERROR(VLOOKUP($A50,'Parameter Values'!$A$78:$E$107,4,FALSE),'Parameter Values'!D$107)</f>
        <v>1140500</v>
      </c>
      <c r="R50" s="19"/>
      <c r="S50" s="206">
        <f t="shared" si="0"/>
        <v>0</v>
      </c>
      <c r="T50" s="209"/>
      <c r="AA50" s="13"/>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s="14"/>
    </row>
    <row r="51" spans="1:74" x14ac:dyDescent="0.3">
      <c r="A51" s="1">
        <f>IF(A50&lt;'Project Information'!B$11,A50+1,"")</f>
        <v>2050</v>
      </c>
      <c r="B51" s="130">
        <v>0</v>
      </c>
      <c r="C51" s="130">
        <v>0</v>
      </c>
      <c r="D51" s="191"/>
      <c r="E51" s="195"/>
      <c r="F51" s="1"/>
      <c r="G51" s="27">
        <v>0</v>
      </c>
      <c r="H51" s="27">
        <v>0</v>
      </c>
      <c r="I51" s="27">
        <v>0</v>
      </c>
      <c r="J51" s="27">
        <v>0</v>
      </c>
      <c r="K51" s="27">
        <v>0</v>
      </c>
      <c r="L51" s="27">
        <v>0</v>
      </c>
      <c r="M51" s="200"/>
      <c r="N51" s="201"/>
      <c r="O51" s="19">
        <f>IFERROR(VLOOKUP($A51,'Parameter Values'!$A$78:$E$107,2,FALSE),'Parameter Values'!B$107)</f>
        <v>23800</v>
      </c>
      <c r="P51" s="19">
        <f>IFERROR(VLOOKUP($A51,'Parameter Values'!$A$78:$E$107,3,FALSE),'Parameter Values'!C$107)</f>
        <v>64500</v>
      </c>
      <c r="Q51" s="19">
        <f>IFERROR(VLOOKUP($A51,'Parameter Values'!$A$78:$E$107,4,FALSE),'Parameter Values'!D$107)</f>
        <v>1140500</v>
      </c>
      <c r="R51" s="19"/>
      <c r="S51" s="206">
        <f t="shared" si="0"/>
        <v>0</v>
      </c>
      <c r="T51" s="209"/>
      <c r="AA51" s="13"/>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s="14"/>
    </row>
    <row r="52" spans="1:74" x14ac:dyDescent="0.3">
      <c r="A52" s="1">
        <f>IF(A51&lt;'Project Information'!B$11,A51+1,"")</f>
        <v>2051</v>
      </c>
      <c r="B52" s="130">
        <v>0</v>
      </c>
      <c r="C52" s="130">
        <v>0</v>
      </c>
      <c r="D52" s="191"/>
      <c r="E52" s="195"/>
      <c r="F52" s="1"/>
      <c r="G52" s="27">
        <v>0</v>
      </c>
      <c r="H52" s="27">
        <v>0</v>
      </c>
      <c r="I52" s="27">
        <v>0</v>
      </c>
      <c r="J52" s="27">
        <v>0</v>
      </c>
      <c r="K52" s="27">
        <v>0</v>
      </c>
      <c r="L52" s="27">
        <v>0</v>
      </c>
      <c r="M52" s="200"/>
      <c r="N52" s="201"/>
      <c r="O52" s="19">
        <f>IFERROR(VLOOKUP($A52,'Parameter Values'!$A$78:$E$107,2,FALSE),'Parameter Values'!B$107)</f>
        <v>23800</v>
      </c>
      <c r="P52" s="19">
        <f>IFERROR(VLOOKUP($A52,'Parameter Values'!$A$78:$E$107,3,FALSE),'Parameter Values'!C$107)</f>
        <v>64500</v>
      </c>
      <c r="Q52" s="19">
        <f>IFERROR(VLOOKUP($A52,'Parameter Values'!$A$78:$E$107,4,FALSE),'Parameter Values'!D$107)</f>
        <v>1140500</v>
      </c>
      <c r="R52" s="19"/>
      <c r="S52" s="206">
        <f t="shared" si="0"/>
        <v>0</v>
      </c>
      <c r="T52" s="209"/>
      <c r="AA52" s="13"/>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s="14"/>
    </row>
    <row r="53" spans="1:74" x14ac:dyDescent="0.3">
      <c r="A53" s="1" t="str">
        <f>IF(A52&lt;'Project Information'!B$11,A52+1,"")</f>
        <v/>
      </c>
      <c r="B53" s="130">
        <v>0</v>
      </c>
      <c r="C53" s="130">
        <v>0</v>
      </c>
      <c r="D53" s="192"/>
      <c r="E53" s="196"/>
      <c r="F53" s="1"/>
      <c r="G53" s="27">
        <v>0</v>
      </c>
      <c r="H53" s="27">
        <v>0</v>
      </c>
      <c r="I53" s="27">
        <v>0</v>
      </c>
      <c r="J53" s="27">
        <v>0</v>
      </c>
      <c r="K53" s="27">
        <v>0</v>
      </c>
      <c r="L53" s="27">
        <v>0</v>
      </c>
      <c r="M53" s="200"/>
      <c r="N53" s="201"/>
      <c r="O53" s="19">
        <f>IFERROR(VLOOKUP($A53,'Parameter Values'!$A$78:$E$107,2,FALSE),'Parameter Values'!B$107)</f>
        <v>23800</v>
      </c>
      <c r="P53" s="19">
        <f>IFERROR(VLOOKUP($A53,'Parameter Values'!$A$78:$E$107,3,FALSE),'Parameter Values'!C$107)</f>
        <v>64500</v>
      </c>
      <c r="Q53" s="19">
        <f>IFERROR(VLOOKUP($A53,'Parameter Values'!$A$78:$E$107,4,FALSE),'Parameter Values'!D$107)</f>
        <v>1140500</v>
      </c>
      <c r="R53" s="19"/>
      <c r="S53" s="206">
        <f t="shared" si="0"/>
        <v>0</v>
      </c>
      <c r="T53" s="209"/>
      <c r="AA53" s="1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s="14"/>
    </row>
    <row r="54" spans="1:74" x14ac:dyDescent="0.3">
      <c r="A54" s="1" t="str">
        <f>IF(A53&lt;'Project Information'!B$11,A53+1,"")</f>
        <v/>
      </c>
      <c r="B54" s="130">
        <v>0</v>
      </c>
      <c r="C54" s="130">
        <v>0</v>
      </c>
      <c r="D54" s="192"/>
      <c r="E54" s="196"/>
      <c r="F54" s="1"/>
      <c r="G54" s="27">
        <v>0</v>
      </c>
      <c r="H54" s="27">
        <v>0</v>
      </c>
      <c r="I54" s="27">
        <v>0</v>
      </c>
      <c r="J54" s="27">
        <v>0</v>
      </c>
      <c r="K54" s="27">
        <v>0</v>
      </c>
      <c r="L54" s="27">
        <v>0</v>
      </c>
      <c r="M54" s="200"/>
      <c r="N54" s="201"/>
      <c r="O54" s="19">
        <f>IFERROR(VLOOKUP($A54,'Parameter Values'!$A$78:$E$107,2,FALSE),'Parameter Values'!B$107)</f>
        <v>23800</v>
      </c>
      <c r="P54" s="19">
        <f>IFERROR(VLOOKUP($A54,'Parameter Values'!$A$78:$E$107,3,FALSE),'Parameter Values'!C$107)</f>
        <v>64500</v>
      </c>
      <c r="Q54" s="19">
        <f>IFERROR(VLOOKUP($A54,'Parameter Values'!$A$78:$E$107,4,FALSE),'Parameter Values'!D$107)</f>
        <v>1140500</v>
      </c>
      <c r="R54" s="19"/>
      <c r="S54" s="206">
        <f t="shared" si="0"/>
        <v>0</v>
      </c>
      <c r="T54" s="209"/>
      <c r="AA54" s="13"/>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s="14"/>
    </row>
    <row r="55" spans="1:74" x14ac:dyDescent="0.3">
      <c r="A55" s="1" t="str">
        <f>IF(A54&lt;'Project Information'!B$11,A54+1,"")</f>
        <v/>
      </c>
      <c r="B55" s="130">
        <v>0</v>
      </c>
      <c r="C55" s="130">
        <v>0</v>
      </c>
      <c r="D55" s="192"/>
      <c r="E55" s="196"/>
      <c r="F55" s="1"/>
      <c r="G55" s="27">
        <v>0</v>
      </c>
      <c r="H55" s="27">
        <v>0</v>
      </c>
      <c r="I55" s="27">
        <v>0</v>
      </c>
      <c r="J55" s="27">
        <v>0</v>
      </c>
      <c r="K55" s="27">
        <v>0</v>
      </c>
      <c r="L55" s="27">
        <v>0</v>
      </c>
      <c r="M55" s="200"/>
      <c r="N55" s="201"/>
      <c r="O55" s="19">
        <f>IFERROR(VLOOKUP($A55,'Parameter Values'!$A$78:$E$107,2,FALSE),'Parameter Values'!B$107)</f>
        <v>23800</v>
      </c>
      <c r="P55" s="19">
        <f>IFERROR(VLOOKUP($A55,'Parameter Values'!$A$78:$E$107,3,FALSE),'Parameter Values'!C$107)</f>
        <v>64500</v>
      </c>
      <c r="Q55" s="19">
        <f>IFERROR(VLOOKUP($A55,'Parameter Values'!$A$78:$E$107,4,FALSE),'Parameter Values'!D$107)</f>
        <v>1140500</v>
      </c>
      <c r="R55" s="19"/>
      <c r="S55" s="206">
        <f t="shared" si="0"/>
        <v>0</v>
      </c>
      <c r="T55" s="209"/>
      <c r="AA55" s="13"/>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s="14"/>
    </row>
    <row r="56" spans="1:74" x14ac:dyDescent="0.3">
      <c r="A56" s="1" t="str">
        <f>IF(A55&lt;'Project Information'!B$11,A55+1,"")</f>
        <v/>
      </c>
      <c r="B56" s="130">
        <v>0</v>
      </c>
      <c r="C56" s="130">
        <v>0</v>
      </c>
      <c r="D56" s="192"/>
      <c r="E56" s="196"/>
      <c r="F56" s="1"/>
      <c r="G56" s="27">
        <v>0</v>
      </c>
      <c r="H56" s="27">
        <v>0</v>
      </c>
      <c r="I56" s="27">
        <v>0</v>
      </c>
      <c r="J56" s="27">
        <v>0</v>
      </c>
      <c r="K56" s="27">
        <v>0</v>
      </c>
      <c r="L56" s="27">
        <v>0</v>
      </c>
      <c r="M56" s="200"/>
      <c r="N56" s="201"/>
      <c r="O56" s="19">
        <f>IFERROR(VLOOKUP($A56,'Parameter Values'!$A$78:$E$107,2,FALSE),'Parameter Values'!B$107)</f>
        <v>23800</v>
      </c>
      <c r="P56" s="19">
        <f>IFERROR(VLOOKUP($A56,'Parameter Values'!$A$78:$E$107,3,FALSE),'Parameter Values'!C$107)</f>
        <v>64500</v>
      </c>
      <c r="Q56" s="19">
        <f>IFERROR(VLOOKUP($A56,'Parameter Values'!$A$78:$E$107,4,FALSE),'Parameter Values'!D$107)</f>
        <v>1140500</v>
      </c>
      <c r="R56" s="19"/>
      <c r="S56" s="206">
        <f t="shared" si="0"/>
        <v>0</v>
      </c>
      <c r="T56" s="209"/>
      <c r="AA56" s="13"/>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s="14"/>
    </row>
    <row r="57" spans="1:74" x14ac:dyDescent="0.3">
      <c r="A57" s="1" t="str">
        <f>IF(A56&lt;'Project Information'!B$11,A56+1,"")</f>
        <v/>
      </c>
      <c r="B57" s="130">
        <v>0</v>
      </c>
      <c r="C57" s="130">
        <v>0</v>
      </c>
      <c r="D57" s="192"/>
      <c r="E57" s="196"/>
      <c r="F57" s="1"/>
      <c r="G57" s="27">
        <v>0</v>
      </c>
      <c r="H57" s="27">
        <v>0</v>
      </c>
      <c r="I57" s="27">
        <v>0</v>
      </c>
      <c r="J57" s="27">
        <v>0</v>
      </c>
      <c r="K57" s="27">
        <v>0</v>
      </c>
      <c r="L57" s="27">
        <v>0</v>
      </c>
      <c r="M57" s="200"/>
      <c r="N57" s="201"/>
      <c r="O57" s="19">
        <f>IFERROR(VLOOKUP($A57,'Parameter Values'!$A$78:$E$107,2,FALSE),'Parameter Values'!B$107)</f>
        <v>23800</v>
      </c>
      <c r="P57" s="19">
        <f>IFERROR(VLOOKUP($A57,'Parameter Values'!$A$78:$E$107,3,FALSE),'Parameter Values'!C$107)</f>
        <v>64500</v>
      </c>
      <c r="Q57" s="19">
        <f>IFERROR(VLOOKUP($A57,'Parameter Values'!$A$78:$E$107,4,FALSE),'Parameter Values'!D$107)</f>
        <v>1140500</v>
      </c>
      <c r="R57" s="19"/>
      <c r="S57" s="206">
        <f t="shared" si="0"/>
        <v>0</v>
      </c>
      <c r="T57" s="209"/>
      <c r="AA57" s="13"/>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s="14"/>
    </row>
    <row r="58" spans="1:74" x14ac:dyDescent="0.3">
      <c r="A58" s="1" t="str">
        <f>IF(A57&lt;'Project Information'!B$11,A57+1,"")</f>
        <v/>
      </c>
      <c r="B58" s="130">
        <v>0</v>
      </c>
      <c r="C58" s="130">
        <v>0</v>
      </c>
      <c r="D58" s="192"/>
      <c r="E58" s="196"/>
      <c r="F58" s="1"/>
      <c r="G58" s="27">
        <v>0</v>
      </c>
      <c r="H58" s="27">
        <v>0</v>
      </c>
      <c r="I58" s="27">
        <v>0</v>
      </c>
      <c r="J58" s="27">
        <v>0</v>
      </c>
      <c r="K58" s="27">
        <v>0</v>
      </c>
      <c r="L58" s="27">
        <v>0</v>
      </c>
      <c r="M58" s="200"/>
      <c r="N58" s="201"/>
      <c r="O58" s="19">
        <f>IFERROR(VLOOKUP($A58,'Parameter Values'!$A$78:$E$107,2,FALSE),'Parameter Values'!B$107)</f>
        <v>23800</v>
      </c>
      <c r="P58" s="19">
        <f>IFERROR(VLOOKUP($A58,'Parameter Values'!$A$78:$E$107,3,FALSE),'Parameter Values'!C$107)</f>
        <v>64500</v>
      </c>
      <c r="Q58" s="19">
        <f>IFERROR(VLOOKUP($A58,'Parameter Values'!$A$78:$E$107,4,FALSE),'Parameter Values'!D$107)</f>
        <v>1140500</v>
      </c>
      <c r="R58" s="19"/>
      <c r="S58" s="206">
        <f t="shared" si="0"/>
        <v>0</v>
      </c>
      <c r="T58" s="209"/>
      <c r="AA58" s="13"/>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s="14"/>
    </row>
    <row r="59" spans="1:74" x14ac:dyDescent="0.3">
      <c r="A59" s="1" t="str">
        <f>IF(A58&lt;'Project Information'!B$11,A58+1,"")</f>
        <v/>
      </c>
      <c r="B59" s="130">
        <v>0</v>
      </c>
      <c r="C59" s="130">
        <v>0</v>
      </c>
      <c r="D59" s="192"/>
      <c r="E59" s="196"/>
      <c r="F59" s="1"/>
      <c r="G59" s="27">
        <v>0</v>
      </c>
      <c r="H59" s="27">
        <v>0</v>
      </c>
      <c r="I59" s="27">
        <v>0</v>
      </c>
      <c r="J59" s="27">
        <v>0</v>
      </c>
      <c r="K59" s="27">
        <v>0</v>
      </c>
      <c r="L59" s="27">
        <v>0</v>
      </c>
      <c r="M59" s="200"/>
      <c r="N59" s="201"/>
      <c r="O59" s="19">
        <f>IFERROR(VLOOKUP($A59,'Parameter Values'!$A$78:$E$107,2,FALSE),'Parameter Values'!B$107)</f>
        <v>23800</v>
      </c>
      <c r="P59" s="19">
        <f>IFERROR(VLOOKUP($A59,'Parameter Values'!$A$78:$E$107,3,FALSE),'Parameter Values'!C$107)</f>
        <v>64500</v>
      </c>
      <c r="Q59" s="19">
        <f>IFERROR(VLOOKUP($A59,'Parameter Values'!$A$78:$E$107,4,FALSE),'Parameter Values'!D$107)</f>
        <v>1140500</v>
      </c>
      <c r="R59" s="19"/>
      <c r="S59" s="206">
        <f t="shared" si="0"/>
        <v>0</v>
      </c>
      <c r="T59" s="209"/>
      <c r="AA59" s="13"/>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s="14"/>
    </row>
    <row r="60" spans="1:74" x14ac:dyDescent="0.3">
      <c r="A60" s="1" t="str">
        <f>IF(A59&lt;'Project Information'!B$11,A59+1,"")</f>
        <v/>
      </c>
      <c r="B60" s="130">
        <v>0</v>
      </c>
      <c r="C60" s="130">
        <v>0</v>
      </c>
      <c r="D60" s="192"/>
      <c r="E60" s="196"/>
      <c r="F60" s="1"/>
      <c r="G60" s="27">
        <v>0</v>
      </c>
      <c r="H60" s="27">
        <v>0</v>
      </c>
      <c r="I60" s="27">
        <v>0</v>
      </c>
      <c r="J60" s="27">
        <v>0</v>
      </c>
      <c r="K60" s="27">
        <v>0</v>
      </c>
      <c r="L60" s="27">
        <v>0</v>
      </c>
      <c r="M60" s="200"/>
      <c r="N60" s="201"/>
      <c r="O60" s="19">
        <f>IFERROR(VLOOKUP($A60,'Parameter Values'!$A$78:$E$107,2,FALSE),'Parameter Values'!B$107)</f>
        <v>23800</v>
      </c>
      <c r="P60" s="19">
        <f>IFERROR(VLOOKUP($A60,'Parameter Values'!$A$78:$E$107,3,FALSE),'Parameter Values'!C$107)</f>
        <v>64500</v>
      </c>
      <c r="Q60" s="19">
        <f>IFERROR(VLOOKUP($A60,'Parameter Values'!$A$78:$E$107,4,FALSE),'Parameter Values'!D$107)</f>
        <v>1140500</v>
      </c>
      <c r="R60" s="19"/>
      <c r="S60" s="206">
        <f t="shared" si="0"/>
        <v>0</v>
      </c>
      <c r="T60" s="209"/>
      <c r="AA60" s="13"/>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s="14"/>
    </row>
    <row r="61" spans="1:74" x14ac:dyDescent="0.3">
      <c r="A61" s="1" t="str">
        <f>IF(A60&lt;'Project Information'!B$11,A60+1,"")</f>
        <v/>
      </c>
      <c r="B61" s="130">
        <v>0</v>
      </c>
      <c r="C61" s="130">
        <v>0</v>
      </c>
      <c r="D61" s="192"/>
      <c r="E61" s="196"/>
      <c r="F61" s="1"/>
      <c r="G61" s="27">
        <v>0</v>
      </c>
      <c r="H61" s="27">
        <v>0</v>
      </c>
      <c r="I61" s="27">
        <v>0</v>
      </c>
      <c r="J61" s="27">
        <v>0</v>
      </c>
      <c r="K61" s="27">
        <v>0</v>
      </c>
      <c r="L61" s="27">
        <v>0</v>
      </c>
      <c r="M61" s="200"/>
      <c r="N61" s="201"/>
      <c r="O61" s="19">
        <f>IFERROR(VLOOKUP($A61,'Parameter Values'!$A$78:$E$107,2,FALSE),'Parameter Values'!B$107)</f>
        <v>23800</v>
      </c>
      <c r="P61" s="19">
        <f>IFERROR(VLOOKUP($A61,'Parameter Values'!$A$78:$E$107,3,FALSE),'Parameter Values'!C$107)</f>
        <v>64500</v>
      </c>
      <c r="Q61" s="19">
        <f>IFERROR(VLOOKUP($A61,'Parameter Values'!$A$78:$E$107,4,FALSE),'Parameter Values'!D$107)</f>
        <v>1140500</v>
      </c>
      <c r="R61" s="19"/>
      <c r="S61" s="206">
        <f t="shared" si="0"/>
        <v>0</v>
      </c>
      <c r="T61" s="209"/>
      <c r="AA61" s="13"/>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s="14"/>
    </row>
    <row r="62" spans="1:74" x14ac:dyDescent="0.3">
      <c r="A62" s="1" t="str">
        <f>IF(A61&lt;'Project Information'!B$11,A61+1,"")</f>
        <v/>
      </c>
      <c r="B62" s="131">
        <v>0</v>
      </c>
      <c r="C62" s="131">
        <v>0</v>
      </c>
      <c r="D62" s="193"/>
      <c r="E62" s="197"/>
      <c r="F62" s="2"/>
      <c r="G62" s="34">
        <v>0</v>
      </c>
      <c r="H62" s="34">
        <v>0</v>
      </c>
      <c r="I62" s="34">
        <v>0</v>
      </c>
      <c r="J62" s="34">
        <v>0</v>
      </c>
      <c r="K62" s="34">
        <v>0</v>
      </c>
      <c r="L62" s="34">
        <v>0</v>
      </c>
      <c r="M62" s="202"/>
      <c r="N62" s="203"/>
      <c r="O62" s="20">
        <f>IFERROR(VLOOKUP($A62,'Parameter Values'!$A$78:$E$107,2,FALSE),'Parameter Values'!B$107)</f>
        <v>23800</v>
      </c>
      <c r="P62" s="20">
        <f>IFERROR(VLOOKUP($A62,'Parameter Values'!$A$78:$E$107,3,FALSE),'Parameter Values'!C$107)</f>
        <v>64500</v>
      </c>
      <c r="Q62" s="20">
        <f>IFERROR(VLOOKUP($A62,'Parameter Values'!$A$78:$E$107,4,FALSE),'Parameter Values'!D$107)</f>
        <v>1140500</v>
      </c>
      <c r="R62" s="20"/>
      <c r="S62" s="207">
        <f t="shared" si="0"/>
        <v>0</v>
      </c>
      <c r="T62" s="209"/>
      <c r="AA62" s="13"/>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s="14"/>
    </row>
    <row r="63" spans="1:74" x14ac:dyDescent="0.3">
      <c r="AA63" s="1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s="14"/>
    </row>
    <row r="64" spans="1:74" x14ac:dyDescent="0.3">
      <c r="AA64" s="13"/>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s="14"/>
    </row>
    <row r="65" spans="27:74" x14ac:dyDescent="0.3">
      <c r="AA65" s="13"/>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s="14"/>
    </row>
    <row r="66" spans="27:74" x14ac:dyDescent="0.3">
      <c r="AA66" s="13"/>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s="14"/>
    </row>
    <row r="67" spans="27:74" x14ac:dyDescent="0.3">
      <c r="AA67" s="13"/>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s="14"/>
    </row>
    <row r="68" spans="27:74" x14ac:dyDescent="0.3">
      <c r="AA68" s="13"/>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s="14"/>
    </row>
    <row r="69" spans="27:74" x14ac:dyDescent="0.3">
      <c r="AA69" s="13"/>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s="14"/>
    </row>
    <row r="70" spans="27:74" x14ac:dyDescent="0.3">
      <c r="AA70" s="13"/>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s="14"/>
    </row>
    <row r="71" spans="27:74" x14ac:dyDescent="0.3">
      <c r="AA71" s="13"/>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s="14"/>
    </row>
    <row r="72" spans="27:74" x14ac:dyDescent="0.3">
      <c r="AA72" s="13"/>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s="14"/>
    </row>
    <row r="73" spans="27:74" x14ac:dyDescent="0.3">
      <c r="AA73" s="1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s="14"/>
    </row>
    <row r="74" spans="27:74" x14ac:dyDescent="0.3">
      <c r="AA74" s="13"/>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s="14"/>
    </row>
    <row r="75" spans="27:74" x14ac:dyDescent="0.3">
      <c r="AA75" s="13"/>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s="14"/>
    </row>
    <row r="76" spans="27:74" x14ac:dyDescent="0.3">
      <c r="AA76" s="13"/>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s="14"/>
    </row>
    <row r="77" spans="27:74" x14ac:dyDescent="0.3">
      <c r="AA77" s="13"/>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s="14"/>
    </row>
    <row r="78" spans="27:74" x14ac:dyDescent="0.3">
      <c r="AA78" s="13"/>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s="14"/>
    </row>
    <row r="79" spans="27:74" x14ac:dyDescent="0.3">
      <c r="AA79" s="13"/>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s="14"/>
    </row>
    <row r="80" spans="27:74" x14ac:dyDescent="0.3">
      <c r="AA80" s="13"/>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s="14"/>
    </row>
    <row r="81" spans="27:74" x14ac:dyDescent="0.3">
      <c r="AA81" s="13"/>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s="14"/>
    </row>
    <row r="82" spans="27:74" x14ac:dyDescent="0.3">
      <c r="AA82" s="13"/>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s="14"/>
    </row>
    <row r="83" spans="27:74" x14ac:dyDescent="0.3">
      <c r="AA83" s="1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s="14"/>
    </row>
    <row r="84" spans="27:74" x14ac:dyDescent="0.3">
      <c r="AA84" s="13"/>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s="14"/>
    </row>
    <row r="85" spans="27:74" x14ac:dyDescent="0.3">
      <c r="AA85" s="13"/>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s="14"/>
    </row>
    <row r="86" spans="27:74" x14ac:dyDescent="0.3">
      <c r="AA86" s="13"/>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s="14"/>
    </row>
    <row r="87" spans="27:74" x14ac:dyDescent="0.3">
      <c r="AA87" s="13"/>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s="14"/>
    </row>
    <row r="88" spans="27:74" x14ac:dyDescent="0.3">
      <c r="AA88" s="13"/>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s="14"/>
    </row>
    <row r="89" spans="27:74" x14ac:dyDescent="0.3">
      <c r="AA89" s="13"/>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s="14"/>
    </row>
    <row r="90" spans="27:74" x14ac:dyDescent="0.3">
      <c r="AA90" s="13"/>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s="14"/>
    </row>
    <row r="91" spans="27:74" x14ac:dyDescent="0.3">
      <c r="AA91" s="13"/>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s="14"/>
    </row>
    <row r="92" spans="27:74" x14ac:dyDescent="0.3">
      <c r="AA92" s="13"/>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s="14"/>
    </row>
    <row r="93" spans="27:74" x14ac:dyDescent="0.3">
      <c r="AA93" s="1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s="14"/>
    </row>
    <row r="94" spans="27:74" x14ac:dyDescent="0.3">
      <c r="AA94" s="13"/>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s="14"/>
    </row>
    <row r="95" spans="27:74" x14ac:dyDescent="0.3">
      <c r="AA95" s="13"/>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s="14"/>
    </row>
    <row r="96" spans="27:74" x14ac:dyDescent="0.3">
      <c r="AA96" s="13"/>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s="14"/>
    </row>
    <row r="97" spans="27:74" x14ac:dyDescent="0.3">
      <c r="AA97" s="13"/>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s="14"/>
    </row>
    <row r="98" spans="27:74" x14ac:dyDescent="0.3">
      <c r="AA98" s="13"/>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s="14"/>
    </row>
    <row r="99" spans="27:74" x14ac:dyDescent="0.3">
      <c r="AA99" s="13"/>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s="14"/>
    </row>
    <row r="100" spans="27:74" x14ac:dyDescent="0.3">
      <c r="AA100" s="13"/>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s="14"/>
    </row>
    <row r="101" spans="27:74" x14ac:dyDescent="0.3">
      <c r="AA101" s="13"/>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s="14"/>
    </row>
    <row r="102" spans="27:74" x14ac:dyDescent="0.3">
      <c r="AA102" s="13"/>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s="14"/>
    </row>
    <row r="103" spans="27:74" x14ac:dyDescent="0.3">
      <c r="AA103" s="1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s="14"/>
    </row>
    <row r="104" spans="27:74" x14ac:dyDescent="0.3">
      <c r="AA104" s="13"/>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s="14"/>
    </row>
    <row r="105" spans="27:74" x14ac:dyDescent="0.3">
      <c r="AA105" s="13"/>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s="14"/>
    </row>
    <row r="106" spans="27:74" x14ac:dyDescent="0.3">
      <c r="AA106" s="13"/>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s="14"/>
    </row>
    <row r="107" spans="27:74" x14ac:dyDescent="0.3">
      <c r="AA107" s="13"/>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s="14"/>
    </row>
    <row r="108" spans="27:74" x14ac:dyDescent="0.3">
      <c r="AA108" s="13"/>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s="14"/>
    </row>
    <row r="109" spans="27:74" x14ac:dyDescent="0.3">
      <c r="AA109" s="13"/>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s="14"/>
    </row>
    <row r="110" spans="27:74" x14ac:dyDescent="0.3">
      <c r="AA110" s="13"/>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s="14"/>
    </row>
    <row r="111" spans="27:74" x14ac:dyDescent="0.3">
      <c r="AA111" s="13"/>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s="14"/>
    </row>
    <row r="112" spans="27:74" ht="15" thickBot="1" x14ac:dyDescent="0.35">
      <c r="AA112" s="15"/>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7"/>
    </row>
  </sheetData>
  <conditionalFormatting sqref="B33:E62">
    <cfRule type="expression" dxfId="7" priority="1">
      <formula>$A33=""</formula>
    </cfRule>
  </conditionalFormatting>
  <conditionalFormatting sqref="G33:N62">
    <cfRule type="expression" dxfId="6" priority="2">
      <formula>$A33=""</formula>
    </cfRule>
  </conditionalFormatting>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188FB-EB92-4A38-827B-94B87D879DDC}">
  <sheetPr>
    <tabColor theme="9" tint="0.39997558519241921"/>
  </sheetPr>
  <dimension ref="A1:AZ87"/>
  <sheetViews>
    <sheetView workbookViewId="0">
      <selection activeCell="B9" sqref="B9:B28"/>
    </sheetView>
  </sheetViews>
  <sheetFormatPr defaultColWidth="9.109375" defaultRowHeight="14.4" x14ac:dyDescent="0.3"/>
  <cols>
    <col min="1" max="1" width="26.109375" style="5" customWidth="1"/>
    <col min="2" max="2" width="40.6640625" style="5" customWidth="1"/>
    <col min="3" max="8" width="9.109375" style="5"/>
    <col min="9" max="9" width="13.5546875" style="5" customWidth="1"/>
    <col min="10" max="10" width="17.44140625" style="5" customWidth="1"/>
    <col min="11" max="16384" width="9.109375" style="5"/>
  </cols>
  <sheetData>
    <row r="1" spans="1:52" ht="20.399999999999999" thickBot="1" x14ac:dyDescent="0.45">
      <c r="A1" s="93" t="s">
        <v>498</v>
      </c>
    </row>
    <row r="2" spans="1:52" ht="15" thickTop="1" x14ac:dyDescent="0.3">
      <c r="A2" s="144" t="s">
        <v>499</v>
      </c>
      <c r="B2" s="144"/>
      <c r="C2" s="144"/>
      <c r="D2" s="144"/>
    </row>
    <row r="3" spans="1:52" x14ac:dyDescent="0.3">
      <c r="A3" s="5" t="s">
        <v>21</v>
      </c>
    </row>
    <row r="4" spans="1:52" x14ac:dyDescent="0.3">
      <c r="A4" s="145" t="s">
        <v>317</v>
      </c>
      <c r="B4" s="144"/>
      <c r="C4" s="144"/>
      <c r="D4" s="144"/>
      <c r="E4" s="144"/>
      <c r="F4" s="144"/>
      <c r="G4" s="144"/>
      <c r="H4" s="144"/>
      <c r="I4" s="144"/>
      <c r="J4" s="144"/>
      <c r="K4" s="144"/>
      <c r="L4" s="144"/>
      <c r="M4" s="144"/>
    </row>
    <row r="5" spans="1:52" x14ac:dyDescent="0.3">
      <c r="A5" s="5" t="s">
        <v>21</v>
      </c>
    </row>
    <row r="6" spans="1:52" ht="15" thickBot="1" x14ac:dyDescent="0.35">
      <c r="A6" s="94" t="s">
        <v>500</v>
      </c>
    </row>
    <row r="7" spans="1:52" x14ac:dyDescent="0.3">
      <c r="A7" s="104" t="s">
        <v>308</v>
      </c>
      <c r="B7" s="24" t="s">
        <v>498</v>
      </c>
      <c r="C7" s="5" t="s">
        <v>501</v>
      </c>
      <c r="E7" s="10" t="s">
        <v>307</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2"/>
    </row>
    <row r="8" spans="1:52" x14ac:dyDescent="0.3">
      <c r="A8" s="6">
        <f>'Project Information'!$B$9</f>
        <v>2032</v>
      </c>
      <c r="B8" s="254"/>
      <c r="E8" s="13"/>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s="14"/>
    </row>
    <row r="9" spans="1:52" ht="15" x14ac:dyDescent="0.35">
      <c r="A9" s="1">
        <f>IF(A8&lt;'Project Information'!B$11,A8+1,"")</f>
        <v>2033</v>
      </c>
      <c r="B9" s="254"/>
      <c r="E9" s="13"/>
      <c r="F9" s="13"/>
      <c r="G9"/>
      <c r="H9" s="429" t="s">
        <v>502</v>
      </c>
      <c r="I9" s="429"/>
      <c r="J9" s="429"/>
      <c r="K9" s="429"/>
      <c r="L9" s="223">
        <f>'Parameter Values'!B145</f>
        <v>0.22</v>
      </c>
      <c r="M9"/>
      <c r="N9" t="s">
        <v>503</v>
      </c>
      <c r="O9"/>
      <c r="P9" s="224">
        <f>'Parameter Values'!B146</f>
        <v>0.56999999999999995</v>
      </c>
      <c r="Q9"/>
      <c r="R9"/>
      <c r="S9"/>
      <c r="T9"/>
      <c r="U9"/>
      <c r="V9"/>
      <c r="W9"/>
      <c r="X9"/>
      <c r="Y9"/>
      <c r="Z9"/>
      <c r="AA9"/>
      <c r="AB9"/>
      <c r="AC9"/>
      <c r="AD9"/>
      <c r="AE9"/>
      <c r="AF9"/>
      <c r="AG9"/>
      <c r="AH9"/>
      <c r="AI9"/>
      <c r="AJ9"/>
      <c r="AK9"/>
      <c r="AL9"/>
      <c r="AM9"/>
      <c r="AN9"/>
      <c r="AO9"/>
      <c r="AP9"/>
      <c r="AQ9"/>
      <c r="AR9"/>
      <c r="AS9"/>
      <c r="AT9"/>
      <c r="AU9"/>
      <c r="AV9"/>
      <c r="AW9"/>
      <c r="AX9"/>
      <c r="AY9"/>
      <c r="AZ9" s="14"/>
    </row>
    <row r="10" spans="1:52" ht="15" x14ac:dyDescent="0.35">
      <c r="A10" s="1">
        <f>IF(A9&lt;'Project Information'!B$11,A9+1,"")</f>
        <v>2034</v>
      </c>
      <c r="B10" s="254"/>
      <c r="E10" s="13"/>
      <c r="F10" s="13"/>
      <c r="G10" s="225"/>
      <c r="H10" s="430" t="s">
        <v>504</v>
      </c>
      <c r="I10" s="430"/>
      <c r="J10" s="430"/>
      <c r="K10" s="430"/>
      <c r="L10" s="223">
        <f>'Parameter Values'!B139</f>
        <v>0.13</v>
      </c>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s="14"/>
    </row>
    <row r="11" spans="1:52" ht="15" x14ac:dyDescent="0.35">
      <c r="A11" s="1">
        <f>IF(A10&lt;'Project Information'!B$11,A10+1,"")</f>
        <v>2035</v>
      </c>
      <c r="B11" s="254"/>
      <c r="E11" s="13"/>
      <c r="F11" s="13"/>
      <c r="G11" s="392"/>
      <c r="H11" s="226"/>
      <c r="I11" s="227"/>
      <c r="J11" s="228"/>
      <c r="K11" s="392" t="s">
        <v>505</v>
      </c>
      <c r="L11" s="229">
        <v>300</v>
      </c>
      <c r="M11" s="230" t="s">
        <v>506</v>
      </c>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s="14"/>
    </row>
    <row r="12" spans="1:52" ht="15" x14ac:dyDescent="0.35">
      <c r="A12" s="1">
        <f>IF(A11&lt;'Project Information'!B$11,A11+1,"")</f>
        <v>2036</v>
      </c>
      <c r="B12" s="254"/>
      <c r="E12" s="13"/>
      <c r="F12" s="13"/>
      <c r="G12"/>
      <c r="H12"/>
      <c r="I12"/>
      <c r="J12" s="228" t="s">
        <v>507</v>
      </c>
      <c r="K12" s="392"/>
      <c r="L12" s="231">
        <v>120</v>
      </c>
      <c r="M12" t="s">
        <v>508</v>
      </c>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4"/>
    </row>
    <row r="13" spans="1:52" x14ac:dyDescent="0.3">
      <c r="A13" s="1">
        <f>IF(A12&lt;'Project Information'!B$11,A12+1,"")</f>
        <v>2037</v>
      </c>
      <c r="B13" s="254"/>
      <c r="E13" s="13"/>
      <c r="F13" s="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4"/>
    </row>
    <row r="14" spans="1:52" ht="15" thickBot="1" x14ac:dyDescent="0.35">
      <c r="A14" s="1">
        <f>IF(A13&lt;'Project Information'!B$11,A13+1,"")</f>
        <v>2038</v>
      </c>
      <c r="B14" s="254"/>
      <c r="E14" s="13"/>
      <c r="F14" s="13"/>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4"/>
    </row>
    <row r="15" spans="1:52" ht="15" x14ac:dyDescent="0.35">
      <c r="A15" s="1">
        <f>IF(A14&lt;'Project Information'!B$11,A14+1,"")</f>
        <v>2039</v>
      </c>
      <c r="B15" s="254"/>
      <c r="E15" s="13"/>
      <c r="F15" s="13"/>
      <c r="G15"/>
      <c r="H15" s="232" t="s">
        <v>509</v>
      </c>
      <c r="I15" s="233"/>
      <c r="J15" s="234"/>
      <c r="K15"/>
      <c r="L15" s="235"/>
      <c r="M15" s="235"/>
      <c r="N15" s="235"/>
      <c r="O15" s="236"/>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ht="15" x14ac:dyDescent="0.35">
      <c r="A16" s="1">
        <f>IF(A15&lt;'Project Information'!B$11,A15+1,"")</f>
        <v>2040</v>
      </c>
      <c r="B16" s="254"/>
      <c r="E16" s="13"/>
      <c r="F16" s="13"/>
      <c r="G16"/>
      <c r="H16" s="237"/>
      <c r="I16" s="392" t="s">
        <v>510</v>
      </c>
      <c r="J16" s="238">
        <v>5.5</v>
      </c>
      <c r="K16"/>
      <c r="L16" s="236"/>
      <c r="M16" s="236"/>
      <c r="N16" s="236"/>
      <c r="O16" s="23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ht="15" x14ac:dyDescent="0.35">
      <c r="A17" s="1">
        <f>IF(A16&lt;'Project Information'!B$11,A16+1,"")</f>
        <v>2041</v>
      </c>
      <c r="B17" s="254"/>
      <c r="E17" s="13"/>
      <c r="F17" s="13"/>
      <c r="G17"/>
      <c r="H17" s="237"/>
      <c r="I17" s="392" t="s">
        <v>511</v>
      </c>
      <c r="J17" s="238">
        <v>0.86</v>
      </c>
      <c r="K17"/>
      <c r="L17" s="236"/>
      <c r="M17" s="236"/>
      <c r="N17" s="236"/>
      <c r="O17" s="239"/>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ht="15" x14ac:dyDescent="0.35">
      <c r="A18" s="1">
        <f>IF(A17&lt;'Project Information'!B$11,A17+1,"")</f>
        <v>2042</v>
      </c>
      <c r="B18" s="254"/>
      <c r="E18" s="13"/>
      <c r="F18" s="13"/>
      <c r="G18"/>
      <c r="H18" s="237"/>
      <c r="I18" s="240" t="s">
        <v>512</v>
      </c>
      <c r="J18" s="241">
        <f>J16*L10</f>
        <v>0.71500000000000008</v>
      </c>
      <c r="K18"/>
      <c r="L18" s="236"/>
      <c r="M18" s="236"/>
      <c r="N18" s="236"/>
      <c r="O18" s="239"/>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ht="15.6" thickBot="1" x14ac:dyDescent="0.4">
      <c r="A19" s="1">
        <f>IF(A18&lt;'Project Information'!B$11,A18+1,"")</f>
        <v>2043</v>
      </c>
      <c r="B19" s="254"/>
      <c r="E19" s="13"/>
      <c r="F19" s="13"/>
      <c r="G19"/>
      <c r="H19" s="242"/>
      <c r="I19" s="243" t="s">
        <v>513</v>
      </c>
      <c r="J19" s="244">
        <f>J18*J17*L11</f>
        <v>184.47000000000003</v>
      </c>
      <c r="K19"/>
      <c r="L19" s="236"/>
      <c r="M19" s="236"/>
      <c r="N19" s="236"/>
      <c r="O19" s="236"/>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ht="15" x14ac:dyDescent="0.35">
      <c r="A20" s="1">
        <f>IF(A19&lt;'Project Information'!B$11,A19+1,"")</f>
        <v>2044</v>
      </c>
      <c r="B20" s="254"/>
      <c r="E20" s="13"/>
      <c r="F20" s="13"/>
      <c r="G20"/>
      <c r="H20"/>
      <c r="I20"/>
      <c r="J20"/>
      <c r="K20"/>
      <c r="L20" s="236"/>
      <c r="M20" s="236"/>
      <c r="N20" s="236"/>
      <c r="O20" s="236"/>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ht="15.6" thickBot="1" x14ac:dyDescent="0.4">
      <c r="A21" s="1">
        <f>IF(A20&lt;'Project Information'!B$11,A20+1,"")</f>
        <v>2045</v>
      </c>
      <c r="B21" s="254"/>
      <c r="E21" s="13"/>
      <c r="F21" s="13"/>
      <c r="G21"/>
      <c r="H21" s="431"/>
      <c r="I21" s="431"/>
      <c r="J21" s="245"/>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ht="15" x14ac:dyDescent="0.35">
      <c r="A22" s="1">
        <f>IF(A21&lt;'Project Information'!B$11,A21+1,"")</f>
        <v>2046</v>
      </c>
      <c r="B22" s="254"/>
      <c r="E22" s="13"/>
      <c r="F22" s="13"/>
      <c r="G22"/>
      <c r="H22" s="431"/>
      <c r="I22" s="431"/>
      <c r="J22" s="245"/>
      <c r="K22"/>
      <c r="L22" s="246" t="s">
        <v>514</v>
      </c>
      <c r="M22" s="247"/>
      <c r="N22" s="247"/>
      <c r="O22" s="248"/>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ht="15" x14ac:dyDescent="0.35">
      <c r="A23" s="1">
        <f>IF(A22&lt;'Project Information'!B$11,A22+1,"")</f>
        <v>2047</v>
      </c>
      <c r="B23" s="254"/>
      <c r="E23" s="13"/>
      <c r="F23" s="13"/>
      <c r="G23"/>
      <c r="H23"/>
      <c r="I23"/>
      <c r="J23"/>
      <c r="K23"/>
      <c r="L23" s="432" t="s">
        <v>515</v>
      </c>
      <c r="M23" s="429"/>
      <c r="N23" s="429"/>
      <c r="O23" s="249">
        <v>12</v>
      </c>
      <c r="P23" t="s">
        <v>516</v>
      </c>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ht="15" x14ac:dyDescent="0.35">
      <c r="A24" s="1">
        <f>IF(A23&lt;'Project Information'!B$11,A23+1,"")</f>
        <v>2048</v>
      </c>
      <c r="B24" s="254"/>
      <c r="E24" s="13"/>
      <c r="F24" s="13"/>
      <c r="G24"/>
      <c r="H24"/>
      <c r="I24"/>
      <c r="J24"/>
      <c r="K24"/>
      <c r="L24" s="432" t="s">
        <v>517</v>
      </c>
      <c r="M24" s="429"/>
      <c r="N24" s="429"/>
      <c r="O24" s="250">
        <f>O23*P9</f>
        <v>6.84</v>
      </c>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ht="15.6" thickBot="1" x14ac:dyDescent="0.4">
      <c r="A25" s="1">
        <f>IF(A24&lt;'Project Information'!B$11,A24+1,"")</f>
        <v>2049</v>
      </c>
      <c r="B25" s="254"/>
      <c r="E25" s="13"/>
      <c r="F25" s="13"/>
      <c r="G25"/>
      <c r="H25" t="s">
        <v>308</v>
      </c>
      <c r="I25" t="s">
        <v>303</v>
      </c>
      <c r="J25" t="s">
        <v>518</v>
      </c>
      <c r="K25"/>
      <c r="L25" s="427"/>
      <c r="M25" s="428"/>
      <c r="N25" s="428"/>
      <c r="O25" s="251"/>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3">
      <c r="A26" s="1">
        <f>IF(A25&lt;'Project Information'!B$11,A25+1,"")</f>
        <v>2050</v>
      </c>
      <c r="B26" s="254"/>
      <c r="E26" s="13"/>
      <c r="F26" s="13"/>
      <c r="G26"/>
      <c r="H26">
        <v>2031</v>
      </c>
      <c r="I26" s="252">
        <f>L11+(L11*0.2)</f>
        <v>360</v>
      </c>
      <c r="J26" s="253">
        <f>((I26*$J$17*$J$18)+($O$24*I26))*$L$12</f>
        <v>322051.68</v>
      </c>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3">
      <c r="A27" s="1">
        <f>IF(A26&lt;'Project Information'!B$11,A26+1,"")</f>
        <v>2051</v>
      </c>
      <c r="B27" s="254"/>
      <c r="E27" s="13"/>
      <c r="F27" s="13"/>
      <c r="G27"/>
      <c r="H27">
        <v>2032</v>
      </c>
      <c r="I27" s="252">
        <f>I26+(I26*(0.06/30))</f>
        <v>360.72</v>
      </c>
      <c r="J27" s="253">
        <f t="shared" ref="J27:J46" si="0">((I27*$J$17*$J$18)+($O$24*I27))*$L$12</f>
        <v>322695.78336000006</v>
      </c>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3">
      <c r="A28" s="1" t="str">
        <f>IF(A27&lt;'Project Information'!B$11,A27+1,"")</f>
        <v/>
      </c>
      <c r="B28" s="254"/>
      <c r="E28" s="13"/>
      <c r="F28" s="13"/>
      <c r="G28"/>
      <c r="H28">
        <v>2033</v>
      </c>
      <c r="I28" s="252">
        <f t="shared" ref="I28:I46" si="1">I27+(I27*(0.06/30))</f>
        <v>361.44144</v>
      </c>
      <c r="J28" s="253">
        <f t="shared" si="0"/>
        <v>323341.17492672004</v>
      </c>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3">
      <c r="A29" s="1" t="str">
        <f>IF(A28&lt;'Project Information'!B$11,A28+1,"")</f>
        <v/>
      </c>
      <c r="B29" s="254"/>
      <c r="E29" s="13"/>
      <c r="F29" s="13"/>
      <c r="G29"/>
      <c r="H29">
        <v>2034</v>
      </c>
      <c r="I29" s="252">
        <f t="shared" si="1"/>
        <v>362.16432287999999</v>
      </c>
      <c r="J29" s="253">
        <f t="shared" si="0"/>
        <v>323987.85727657343</v>
      </c>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3">
      <c r="A30" s="1" t="str">
        <f>IF(A29&lt;'Project Information'!B$11,A29+1,"")</f>
        <v/>
      </c>
      <c r="B30" s="254"/>
      <c r="E30" s="13"/>
      <c r="F30" s="13"/>
      <c r="G30"/>
      <c r="H30">
        <v>2035</v>
      </c>
      <c r="I30" s="252">
        <f t="shared" si="1"/>
        <v>362.88865152576</v>
      </c>
      <c r="J30" s="253">
        <f t="shared" si="0"/>
        <v>324635.83299112663</v>
      </c>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3">
      <c r="A31" s="1" t="str">
        <f>IF(A30&lt;'Project Information'!B$11,A30+1,"")</f>
        <v/>
      </c>
      <c r="B31" s="254"/>
      <c r="E31" s="13"/>
      <c r="F31" s="13"/>
      <c r="G31"/>
      <c r="H31">
        <v>2036</v>
      </c>
      <c r="I31" s="252">
        <f t="shared" si="1"/>
        <v>363.61442882881153</v>
      </c>
      <c r="J31" s="253">
        <f t="shared" si="0"/>
        <v>325285.1046571089</v>
      </c>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3">
      <c r="A32" s="1" t="str">
        <f>IF(A31&lt;'Project Information'!B$11,A31+1,"")</f>
        <v/>
      </c>
      <c r="B32" s="254"/>
      <c r="E32" s="13"/>
      <c r="F32" s="13"/>
      <c r="G32"/>
      <c r="H32">
        <v>2037</v>
      </c>
      <c r="I32" s="252">
        <f t="shared" si="1"/>
        <v>364.34165768646915</v>
      </c>
      <c r="J32" s="253">
        <f t="shared" si="0"/>
        <v>325935.67486642307</v>
      </c>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3">
      <c r="A33" s="1" t="str">
        <f>IF(A32&lt;'Project Information'!B$11,A32+1,"")</f>
        <v/>
      </c>
      <c r="B33" s="254"/>
      <c r="E33" s="13"/>
      <c r="F33" s="13"/>
      <c r="G33"/>
      <c r="H33">
        <v>2038</v>
      </c>
      <c r="I33" s="252">
        <f t="shared" si="1"/>
        <v>365.07034100184211</v>
      </c>
      <c r="J33" s="253">
        <f t="shared" si="0"/>
        <v>326587.54621615593</v>
      </c>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3">
      <c r="A34" s="1" t="str">
        <f>IF(A33&lt;'Project Information'!B$11,A33+1,"")</f>
        <v/>
      </c>
      <c r="B34" s="254"/>
      <c r="E34" s="13"/>
      <c r="F34" s="13"/>
      <c r="G34"/>
      <c r="H34">
        <v>2039</v>
      </c>
      <c r="I34" s="252">
        <f t="shared" si="1"/>
        <v>365.80048168384582</v>
      </c>
      <c r="J34" s="253">
        <f t="shared" si="0"/>
        <v>327240.72130858822</v>
      </c>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3">
      <c r="A35" s="1" t="str">
        <f>IF(A34&lt;'Project Information'!B$11,A34+1,"")</f>
        <v/>
      </c>
      <c r="B35" s="254"/>
      <c r="E35" s="13"/>
      <c r="F35" s="13"/>
      <c r="G35"/>
      <c r="H35">
        <v>2040</v>
      </c>
      <c r="I35" s="252">
        <f t="shared" si="1"/>
        <v>366.53208264721349</v>
      </c>
      <c r="J35" s="253">
        <f t="shared" si="0"/>
        <v>327895.20275120542</v>
      </c>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3">
      <c r="A36" s="1" t="str">
        <f>IF(A35&lt;'Project Information'!B$11,A35+1,"")</f>
        <v/>
      </c>
      <c r="B36" s="254"/>
      <c r="E36" s="13"/>
      <c r="F36" s="13"/>
      <c r="G36"/>
      <c r="H36">
        <v>2041</v>
      </c>
      <c r="I36" s="252">
        <f t="shared" si="1"/>
        <v>367.26514681250791</v>
      </c>
      <c r="J36" s="253">
        <f t="shared" si="0"/>
        <v>328550.99315670785</v>
      </c>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3">
      <c r="A37" s="2" t="str">
        <f>IF(A36&lt;'Project Information'!B$11,A36+1,"")</f>
        <v/>
      </c>
      <c r="B37" s="254"/>
      <c r="E37" s="13"/>
      <c r="F37" s="13"/>
      <c r="G37"/>
      <c r="H37">
        <v>2042</v>
      </c>
      <c r="I37" s="252">
        <f t="shared" si="1"/>
        <v>367.99967710613294</v>
      </c>
      <c r="J37" s="253">
        <f t="shared" si="0"/>
        <v>329208.09514302126</v>
      </c>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3">
      <c r="E38" s="13"/>
      <c r="F38" s="13"/>
      <c r="G38"/>
      <c r="H38">
        <v>2043</v>
      </c>
      <c r="I38" s="252">
        <f t="shared" si="1"/>
        <v>368.73567646034519</v>
      </c>
      <c r="J38" s="253">
        <f t="shared" si="0"/>
        <v>329866.51133330731</v>
      </c>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3">
      <c r="E39" s="13"/>
      <c r="F39" s="13"/>
      <c r="G39"/>
      <c r="H39">
        <v>2044</v>
      </c>
      <c r="I39" s="252">
        <f t="shared" si="1"/>
        <v>369.47314781326588</v>
      </c>
      <c r="J39" s="253">
        <f t="shared" si="0"/>
        <v>330526.2443559739</v>
      </c>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3">
      <c r="E40" s="13"/>
      <c r="F40" s="13"/>
      <c r="G40"/>
      <c r="H40">
        <v>2045</v>
      </c>
      <c r="I40" s="252">
        <f t="shared" si="1"/>
        <v>370.21209410889242</v>
      </c>
      <c r="J40" s="253">
        <f t="shared" si="0"/>
        <v>331187.29684468586</v>
      </c>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3">
      <c r="E41" s="13"/>
      <c r="F41" s="13"/>
      <c r="G41"/>
      <c r="H41">
        <v>2046</v>
      </c>
      <c r="I41" s="252">
        <f t="shared" si="1"/>
        <v>370.9525182971102</v>
      </c>
      <c r="J41" s="253">
        <f t="shared" si="0"/>
        <v>331849.6714383752</v>
      </c>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3">
      <c r="E42" s="13"/>
      <c r="F42" s="13"/>
      <c r="G42"/>
      <c r="H42">
        <v>2047</v>
      </c>
      <c r="I42" s="252">
        <f t="shared" si="1"/>
        <v>371.69442333370444</v>
      </c>
      <c r="J42" s="253">
        <f t="shared" si="0"/>
        <v>332513.37078125199</v>
      </c>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3">
      <c r="E43" s="13"/>
      <c r="F43" s="13"/>
      <c r="G43"/>
      <c r="H43">
        <v>2048</v>
      </c>
      <c r="I43" s="252">
        <f t="shared" si="1"/>
        <v>372.43781218037185</v>
      </c>
      <c r="J43" s="253">
        <f t="shared" si="0"/>
        <v>333178.39752281451</v>
      </c>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3">
      <c r="E44" s="13"/>
      <c r="F44" s="13"/>
      <c r="G44"/>
      <c r="H44">
        <v>2049</v>
      </c>
      <c r="I44" s="252">
        <f t="shared" si="1"/>
        <v>373.18268780473261</v>
      </c>
      <c r="J44" s="253">
        <f t="shared" si="0"/>
        <v>333844.75431786012</v>
      </c>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3">
      <c r="E45" s="13"/>
      <c r="F45" s="13"/>
      <c r="G45"/>
      <c r="H45">
        <v>2050</v>
      </c>
      <c r="I45" s="252">
        <f t="shared" si="1"/>
        <v>373.92905318034207</v>
      </c>
      <c r="J45" s="253">
        <f t="shared" si="0"/>
        <v>334512.44382649584</v>
      </c>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3">
      <c r="E46" s="13"/>
      <c r="F46" s="13"/>
      <c r="G46"/>
      <c r="H46">
        <v>2051</v>
      </c>
      <c r="I46" s="252">
        <f t="shared" si="1"/>
        <v>374.67691128670276</v>
      </c>
      <c r="J46" s="253">
        <f t="shared" si="0"/>
        <v>335181.46871414885</v>
      </c>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3">
      <c r="E47" s="13"/>
      <c r="F47" s="13"/>
      <c r="G47"/>
      <c r="H47">
        <v>2052</v>
      </c>
      <c r="I47" s="252"/>
      <c r="J47" s="253"/>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3">
      <c r="E48" s="13"/>
      <c r="F48" s="13"/>
      <c r="G48"/>
      <c r="H48">
        <v>2053</v>
      </c>
      <c r="I48" s="252"/>
      <c r="J48" s="253"/>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3">
      <c r="E49" s="13"/>
      <c r="F49" s="13"/>
      <c r="G49"/>
      <c r="H49">
        <v>2054</v>
      </c>
      <c r="I49" s="252"/>
      <c r="J49" s="253"/>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3">
      <c r="E50" s="13"/>
      <c r="F50" s="13"/>
      <c r="G50"/>
      <c r="H50">
        <v>2055</v>
      </c>
      <c r="I50" s="252"/>
      <c r="J50" s="253"/>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3">
      <c r="E51" s="13"/>
      <c r="F51" s="13"/>
      <c r="G51"/>
      <c r="H51">
        <v>2056</v>
      </c>
      <c r="I51" s="252"/>
      <c r="J51" s="253"/>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3">
      <c r="E52" s="13"/>
      <c r="F52" s="13"/>
      <c r="G52"/>
      <c r="H52">
        <v>2057</v>
      </c>
      <c r="I52" s="252"/>
      <c r="J52" s="253"/>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3">
      <c r="E53" s="13"/>
      <c r="F53" s="13"/>
      <c r="G53"/>
      <c r="H53">
        <v>2058</v>
      </c>
      <c r="I53" s="252"/>
      <c r="J53" s="2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3">
      <c r="E54" s="13"/>
      <c r="F54" s="13"/>
      <c r="G54"/>
      <c r="H54">
        <v>2059</v>
      </c>
      <c r="I54" s="252"/>
      <c r="J54" s="253"/>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3">
      <c r="E55" s="13"/>
      <c r="F55" s="13"/>
      <c r="G55"/>
      <c r="H55">
        <v>2060</v>
      </c>
      <c r="I55" s="252"/>
      <c r="J55" s="253"/>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3">
      <c r="E56" s="13"/>
      <c r="F56" s="13"/>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3">
      <c r="E57" s="13"/>
      <c r="F57" s="13"/>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3">
      <c r="E58" s="13"/>
      <c r="F58" s="13"/>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3">
      <c r="E59" s="13"/>
      <c r="F59" s="13"/>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3">
      <c r="E60" s="13"/>
      <c r="F60" s="13"/>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3">
      <c r="E61" s="13"/>
      <c r="F61" s="13"/>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3">
      <c r="E62" s="13"/>
      <c r="F62" s="13"/>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3">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3">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3">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3">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3">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3">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3">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3">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3">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3">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3">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3">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3">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3">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3">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3">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3">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3">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3">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3">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3">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3">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3">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3">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ht="15" thickBot="1" x14ac:dyDescent="0.35">
      <c r="E87" s="15"/>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7"/>
    </row>
  </sheetData>
  <mergeCells count="7">
    <mergeCell ref="L25:N25"/>
    <mergeCell ref="H9:K9"/>
    <mergeCell ref="H10:K10"/>
    <mergeCell ref="H21:I21"/>
    <mergeCell ref="H22:I22"/>
    <mergeCell ref="L23:N23"/>
    <mergeCell ref="L24:N24"/>
  </mergeCells>
  <conditionalFormatting sqref="B8:B37">
    <cfRule type="expression" dxfId="5" priority="1">
      <formula>A8=""</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758C-DD7B-441C-AA2D-42F280A3896C}">
  <sheetPr>
    <tabColor theme="9" tint="0.39997558519241921"/>
  </sheetPr>
  <dimension ref="A1:AZ87"/>
  <sheetViews>
    <sheetView workbookViewId="0">
      <selection activeCell="B8" sqref="B8:B30"/>
    </sheetView>
  </sheetViews>
  <sheetFormatPr defaultColWidth="9.109375" defaultRowHeight="14.4" x14ac:dyDescent="0.3"/>
  <cols>
    <col min="1" max="1" width="26" style="5" customWidth="1"/>
    <col min="2" max="2" width="40.6640625" style="5" customWidth="1"/>
    <col min="3" max="9" width="9.109375" style="5"/>
    <col min="10" max="10" width="18.44140625" style="5" customWidth="1"/>
    <col min="11" max="16384" width="9.109375" style="5"/>
  </cols>
  <sheetData>
    <row r="1" spans="1:52" ht="20.399999999999999" thickBot="1" x14ac:dyDescent="0.45">
      <c r="A1" s="93" t="s">
        <v>519</v>
      </c>
    </row>
    <row r="2" spans="1:52" ht="15" thickTop="1" x14ac:dyDescent="0.3">
      <c r="A2" s="144" t="s">
        <v>499</v>
      </c>
      <c r="B2" s="144"/>
      <c r="C2" s="144"/>
    </row>
    <row r="3" spans="1:52" x14ac:dyDescent="0.3">
      <c r="A3" s="5" t="s">
        <v>21</v>
      </c>
    </row>
    <row r="4" spans="1:52" x14ac:dyDescent="0.3">
      <c r="A4" s="145" t="s">
        <v>317</v>
      </c>
      <c r="B4" s="144"/>
      <c r="C4" s="144"/>
      <c r="D4" s="144"/>
      <c r="E4" s="144"/>
      <c r="F4" s="144"/>
      <c r="G4" s="144"/>
      <c r="H4" s="144"/>
      <c r="I4" s="144"/>
      <c r="J4" s="144"/>
      <c r="K4" s="144"/>
      <c r="L4" s="144"/>
    </row>
    <row r="5" spans="1:52" x14ac:dyDescent="0.3">
      <c r="A5" s="5" t="s">
        <v>21</v>
      </c>
    </row>
    <row r="6" spans="1:52" ht="15" thickBot="1" x14ac:dyDescent="0.35">
      <c r="A6" s="94" t="s">
        <v>500</v>
      </c>
    </row>
    <row r="7" spans="1:52" x14ac:dyDescent="0.3">
      <c r="A7" s="104" t="s">
        <v>308</v>
      </c>
      <c r="B7" s="24" t="s">
        <v>519</v>
      </c>
      <c r="C7" s="5" t="s">
        <v>501</v>
      </c>
      <c r="E7" s="10" t="s">
        <v>307</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2"/>
    </row>
    <row r="8" spans="1:52" ht="15" x14ac:dyDescent="0.35">
      <c r="A8" s="6">
        <f>'Project Information'!$B$9</f>
        <v>2032</v>
      </c>
      <c r="B8" s="254"/>
      <c r="E8" s="13"/>
      <c r="F8"/>
      <c r="G8" s="429" t="s">
        <v>127</v>
      </c>
      <c r="H8" s="429"/>
      <c r="I8" s="429"/>
      <c r="J8" s="429"/>
      <c r="K8" s="274">
        <f>'Parameter Values'!B155</f>
        <v>2.09</v>
      </c>
      <c r="L8"/>
      <c r="M8"/>
      <c r="N8"/>
      <c r="O8"/>
      <c r="P8"/>
      <c r="Q8"/>
      <c r="R8"/>
      <c r="S8"/>
      <c r="T8"/>
      <c r="U8"/>
      <c r="V8"/>
      <c r="W8"/>
      <c r="X8"/>
      <c r="Y8"/>
      <c r="Z8"/>
      <c r="AA8"/>
      <c r="AB8"/>
      <c r="AC8"/>
      <c r="AD8"/>
      <c r="AE8"/>
      <c r="AF8"/>
      <c r="AG8"/>
      <c r="AH8"/>
      <c r="AI8"/>
      <c r="AJ8"/>
      <c r="AK8"/>
      <c r="AL8"/>
      <c r="AM8"/>
      <c r="AN8"/>
      <c r="AO8"/>
      <c r="AP8"/>
      <c r="AQ8"/>
      <c r="AR8"/>
      <c r="AS8"/>
      <c r="AT8"/>
      <c r="AU8"/>
      <c r="AV8"/>
      <c r="AW8"/>
      <c r="AX8"/>
      <c r="AY8"/>
      <c r="AZ8" s="14"/>
    </row>
    <row r="9" spans="1:52" ht="15" x14ac:dyDescent="0.35">
      <c r="A9" s="1">
        <f>IF(A8&lt;'Project Information'!B$11,A8+1,"")</f>
        <v>2033</v>
      </c>
      <c r="B9" s="254"/>
      <c r="E9" s="13"/>
      <c r="F9"/>
      <c r="G9" s="433" t="s">
        <v>520</v>
      </c>
      <c r="H9" s="433"/>
      <c r="I9" s="433"/>
      <c r="J9" s="433"/>
      <c r="K9" s="259">
        <v>50</v>
      </c>
      <c r="L9" s="230" t="s">
        <v>521</v>
      </c>
      <c r="M9"/>
      <c r="N9"/>
      <c r="O9"/>
      <c r="P9"/>
      <c r="Q9"/>
      <c r="R9"/>
      <c r="S9"/>
      <c r="T9"/>
      <c r="U9"/>
      <c r="V9"/>
      <c r="W9"/>
      <c r="X9"/>
      <c r="Y9"/>
      <c r="Z9"/>
      <c r="AA9"/>
      <c r="AB9"/>
      <c r="AC9"/>
      <c r="AD9"/>
      <c r="AE9"/>
      <c r="AF9"/>
      <c r="AG9"/>
      <c r="AH9"/>
      <c r="AI9"/>
      <c r="AJ9"/>
      <c r="AK9"/>
      <c r="AL9"/>
      <c r="AM9"/>
      <c r="AN9"/>
      <c r="AO9"/>
      <c r="AP9"/>
      <c r="AQ9"/>
      <c r="AR9"/>
      <c r="AS9"/>
      <c r="AT9"/>
      <c r="AU9"/>
      <c r="AV9"/>
      <c r="AW9"/>
      <c r="AX9"/>
      <c r="AY9"/>
      <c r="AZ9" s="14"/>
    </row>
    <row r="10" spans="1:52" ht="15" x14ac:dyDescent="0.35">
      <c r="A10" s="1">
        <f>IF(A9&lt;'Project Information'!B$11,A9+1,"")</f>
        <v>2034</v>
      </c>
      <c r="B10" s="254"/>
      <c r="E10" s="13"/>
      <c r="F10"/>
      <c r="G10" s="226"/>
      <c r="H10" s="227"/>
      <c r="I10" s="228" t="s">
        <v>507</v>
      </c>
      <c r="J10" s="392"/>
      <c r="K10" s="260">
        <v>120</v>
      </c>
      <c r="L10" t="s">
        <v>508</v>
      </c>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s="14"/>
    </row>
    <row r="11" spans="1:52" x14ac:dyDescent="0.3">
      <c r="A11" s="1">
        <f>IF(A10&lt;'Project Information'!B$11,A10+1,"")</f>
        <v>2035</v>
      </c>
      <c r="B11" s="254"/>
      <c r="E11" s="13"/>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s="14"/>
    </row>
    <row r="12" spans="1:52" ht="15" x14ac:dyDescent="0.35">
      <c r="A12" s="1">
        <f>IF(A11&lt;'Project Information'!B$11,A11+1,"")</f>
        <v>2036</v>
      </c>
      <c r="B12" s="254"/>
      <c r="E12" s="13"/>
      <c r="F12"/>
      <c r="G12" s="263" t="s">
        <v>522</v>
      </c>
      <c r="H12" s="264"/>
      <c r="I12" s="265"/>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4"/>
    </row>
    <row r="13" spans="1:52" ht="15" x14ac:dyDescent="0.35">
      <c r="A13" s="1">
        <f>IF(A12&lt;'Project Information'!B$11,A12+1,"")</f>
        <v>2037</v>
      </c>
      <c r="B13" s="254"/>
      <c r="E13" s="13"/>
      <c r="F13"/>
      <c r="G13" s="266"/>
      <c r="H13" s="267" t="s">
        <v>523</v>
      </c>
      <c r="I13" s="268">
        <v>5</v>
      </c>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4"/>
    </row>
    <row r="14" spans="1:52" ht="15" x14ac:dyDescent="0.35">
      <c r="A14" s="1">
        <f>IF(A13&lt;'Project Information'!B$11,A13+1,"")</f>
        <v>2038</v>
      </c>
      <c r="B14" s="254"/>
      <c r="E14" s="13"/>
      <c r="F14"/>
      <c r="G14" s="266"/>
      <c r="H14" s="267" t="s">
        <v>524</v>
      </c>
      <c r="I14" s="269">
        <f>K9</f>
        <v>50</v>
      </c>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4"/>
    </row>
    <row r="15" spans="1:52" ht="15" x14ac:dyDescent="0.35">
      <c r="A15" s="1">
        <f>IF(A14&lt;'Project Information'!B$11,A14+1,"")</f>
        <v>2039</v>
      </c>
      <c r="B15" s="254"/>
      <c r="E15" s="13"/>
      <c r="F15"/>
      <c r="G15" s="266"/>
      <c r="H15" s="267" t="s">
        <v>511</v>
      </c>
      <c r="I15" s="270">
        <v>2.38</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ht="15" x14ac:dyDescent="0.35">
      <c r="A16" s="1">
        <f>IF(A15&lt;'Project Information'!B$11,A15+1,"")</f>
        <v>2040</v>
      </c>
      <c r="B16" s="254"/>
      <c r="E16" s="13"/>
      <c r="F16"/>
      <c r="G16" s="271"/>
      <c r="H16" s="272" t="s">
        <v>525</v>
      </c>
      <c r="I16" s="273">
        <f>K8</f>
        <v>2.09</v>
      </c>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ht="15" x14ac:dyDescent="0.35">
      <c r="A17" s="1">
        <f>IF(A16&lt;'Project Information'!B$11,A16+1,"")</f>
        <v>2041</v>
      </c>
      <c r="B17" s="254"/>
      <c r="E17" s="13"/>
      <c r="F17"/>
      <c r="G17" s="228"/>
      <c r="H17" s="392"/>
      <c r="I17" s="255"/>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3">
      <c r="A18" s="1">
        <f>IF(A17&lt;'Project Information'!B$11,A17+1,"")</f>
        <v>2042</v>
      </c>
      <c r="B18" s="254"/>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ht="15" x14ac:dyDescent="0.35">
      <c r="A19" s="1">
        <f>IF(A18&lt;'Project Information'!B$11,A18+1,"")</f>
        <v>2043</v>
      </c>
      <c r="B19" s="254"/>
      <c r="E19" s="13"/>
      <c r="F19"/>
      <c r="G19" s="235"/>
      <c r="H19" s="228"/>
      <c r="I19" s="256"/>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ht="15" x14ac:dyDescent="0.35">
      <c r="A20" s="1">
        <f>IF(A19&lt;'Project Information'!B$11,A19+1,"")</f>
        <v>2044</v>
      </c>
      <c r="B20" s="254"/>
      <c r="E20" s="13"/>
      <c r="F20"/>
      <c r="G20" s="257"/>
      <c r="H20" s="258"/>
      <c r="I20" s="256"/>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3">
      <c r="A21" s="1">
        <f>IF(A20&lt;'Project Information'!B$11,A20+1,"")</f>
        <v>2045</v>
      </c>
      <c r="B21" s="254"/>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3">
      <c r="A22" s="1">
        <f>IF(A21&lt;'Project Information'!B$11,A21+1,"")</f>
        <v>2046</v>
      </c>
      <c r="B22" s="254"/>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3">
      <c r="A23" s="1">
        <f>IF(A22&lt;'Project Information'!B$11,A22+1,"")</f>
        <v>2047</v>
      </c>
      <c r="B23" s="254"/>
      <c r="E23" s="13"/>
      <c r="F23"/>
      <c r="G23"/>
      <c r="H23" t="s">
        <v>308</v>
      </c>
      <c r="I23" t="s">
        <v>526</v>
      </c>
      <c r="J23" t="s">
        <v>518</v>
      </c>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3">
      <c r="A24" s="1">
        <f>IF(A23&lt;'Project Information'!B$11,A23+1,"")</f>
        <v>2048</v>
      </c>
      <c r="B24" s="254"/>
      <c r="E24" s="13"/>
      <c r="F24"/>
      <c r="G24"/>
      <c r="H24" s="260">
        <v>2031</v>
      </c>
      <c r="I24" s="261">
        <f>'User Volumes'!G10/365</f>
        <v>260.38356164383561</v>
      </c>
      <c r="J24" s="262">
        <f>('User Volumes'!J10*$I$15*$I$16)</f>
        <v>53721.359999999993</v>
      </c>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3">
      <c r="A25" s="1">
        <f>IF(A24&lt;'Project Information'!B$11,A24+1,"")</f>
        <v>2049</v>
      </c>
      <c r="B25" s="254"/>
      <c r="E25" s="13"/>
      <c r="F25"/>
      <c r="G25"/>
      <c r="H25" s="260">
        <v>2032</v>
      </c>
      <c r="I25" s="261">
        <f>'User Volumes'!G11/365</f>
        <v>263.37797260273976</v>
      </c>
      <c r="J25" s="262">
        <f>('User Volumes'!J11*$I$15*$I$16)</f>
        <v>54339.155639999997</v>
      </c>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3">
      <c r="A26" s="1">
        <f>IF(A25&lt;'Project Information'!B$11,A25+1,"")</f>
        <v>2050</v>
      </c>
      <c r="B26" s="254"/>
      <c r="E26" s="13"/>
      <c r="F26"/>
      <c r="G26"/>
      <c r="H26" s="260">
        <v>2033</v>
      </c>
      <c r="I26" s="261">
        <f t="shared" ref="I26:I53" si="0">I25+(I25*(0.06/30))</f>
        <v>263.90472854794524</v>
      </c>
      <c r="J26" s="262">
        <f>('User Volumes'!J12*$I$15*$I$16)</f>
        <v>54964.055929859998</v>
      </c>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3">
      <c r="A27" s="1">
        <f>IF(A26&lt;'Project Information'!B$11,A26+1,"")</f>
        <v>2051</v>
      </c>
      <c r="B27" s="254"/>
      <c r="E27" s="13"/>
      <c r="F27"/>
      <c r="G27"/>
      <c r="H27" s="260">
        <v>2034</v>
      </c>
      <c r="I27" s="261">
        <f t="shared" si="0"/>
        <v>264.43253800504112</v>
      </c>
      <c r="J27" s="262">
        <f>('User Volumes'!J13*$I$15*$I$16)</f>
        <v>55596.142573053396</v>
      </c>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3">
      <c r="A28" s="1" t="str">
        <f>IF(A27&lt;'Project Information'!B$11,A27+1,"")</f>
        <v/>
      </c>
      <c r="B28" s="254"/>
      <c r="E28" s="13"/>
      <c r="F28"/>
      <c r="G28"/>
      <c r="H28" s="260">
        <v>2035</v>
      </c>
      <c r="I28" s="261">
        <f t="shared" si="0"/>
        <v>264.96140308105123</v>
      </c>
      <c r="J28" s="262">
        <f>('User Volumes'!J14*$I$15*$I$16)</f>
        <v>56235.498212643513</v>
      </c>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3">
      <c r="A29" s="1" t="str">
        <f>IF(A28&lt;'Project Information'!B$11,A28+1,"")</f>
        <v/>
      </c>
      <c r="B29" s="254"/>
      <c r="E29" s="13"/>
      <c r="F29"/>
      <c r="G29"/>
      <c r="H29" s="260">
        <v>2036</v>
      </c>
      <c r="I29" s="261">
        <f t="shared" si="0"/>
        <v>265.49132588721335</v>
      </c>
      <c r="J29" s="262">
        <f>('User Volumes'!J15*$I$15*$I$16)</f>
        <v>56882.206442088915</v>
      </c>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3">
      <c r="A30" s="1" t="str">
        <f>IF(A29&lt;'Project Information'!B$11,A29+1,"")</f>
        <v/>
      </c>
      <c r="B30" s="254"/>
      <c r="E30" s="13"/>
      <c r="F30"/>
      <c r="G30"/>
      <c r="H30" s="260">
        <v>2037</v>
      </c>
      <c r="I30" s="261">
        <f t="shared" si="0"/>
        <v>266.02230853898777</v>
      </c>
      <c r="J30" s="262">
        <f>('User Volumes'!J16*$I$15*$I$16)</f>
        <v>57536.351816172944</v>
      </c>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3">
      <c r="A31" s="1" t="str">
        <f>IF(A30&lt;'Project Information'!B$11,A30+1,"")</f>
        <v/>
      </c>
      <c r="B31" s="254"/>
      <c r="E31" s="13"/>
      <c r="F31"/>
      <c r="G31"/>
      <c r="H31" s="260">
        <v>2038</v>
      </c>
      <c r="I31" s="261">
        <f t="shared" si="0"/>
        <v>266.55435315606576</v>
      </c>
      <c r="J31" s="262">
        <f>('User Volumes'!J17*$I$15*$I$16)</f>
        <v>58198.019862058929</v>
      </c>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3">
      <c r="A32" s="1" t="str">
        <f>IF(A31&lt;'Project Information'!B$11,A31+1,"")</f>
        <v/>
      </c>
      <c r="B32" s="254"/>
      <c r="E32" s="13"/>
      <c r="F32"/>
      <c r="G32"/>
      <c r="H32" s="260">
        <v>2039</v>
      </c>
      <c r="I32" s="261">
        <f t="shared" si="0"/>
        <v>267.08746186237789</v>
      </c>
      <c r="J32" s="262">
        <f>('User Volumes'!J18*$I$15*$I$16)</f>
        <v>58867.29709047261</v>
      </c>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3">
      <c r="A33" s="1" t="str">
        <f>IF(A32&lt;'Project Information'!B$11,A32+1,"")</f>
        <v/>
      </c>
      <c r="B33" s="254"/>
      <c r="E33" s="13"/>
      <c r="F33"/>
      <c r="G33"/>
      <c r="H33" s="260">
        <v>2040</v>
      </c>
      <c r="I33" s="261">
        <f t="shared" si="0"/>
        <v>267.62163678610267</v>
      </c>
      <c r="J33" s="262">
        <f>('User Volumes'!J19*$I$15*$I$16)</f>
        <v>59544.271007013049</v>
      </c>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3">
      <c r="A34" s="1" t="str">
        <f>IF(A33&lt;'Project Information'!B$11,A33+1,"")</f>
        <v/>
      </c>
      <c r="B34" s="254"/>
      <c r="E34" s="13"/>
      <c r="F34"/>
      <c r="G34"/>
      <c r="H34" s="260">
        <v>2041</v>
      </c>
      <c r="I34" s="261">
        <f t="shared" si="0"/>
        <v>268.15688005967485</v>
      </c>
      <c r="J34" s="262">
        <f>('User Volumes'!J20*$I$15*$I$16)</f>
        <v>60229.0301235937</v>
      </c>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3">
      <c r="A35" s="1" t="str">
        <f>IF(A34&lt;'Project Information'!B$11,A34+1,"")</f>
        <v/>
      </c>
      <c r="B35" s="254"/>
      <c r="E35" s="13"/>
      <c r="F35"/>
      <c r="G35"/>
      <c r="H35" s="260">
        <v>2042</v>
      </c>
      <c r="I35" s="261">
        <f t="shared" si="0"/>
        <v>268.6931938197942</v>
      </c>
      <c r="J35" s="262">
        <f>('User Volumes'!J21*$I$15*$I$16)</f>
        <v>60921.663970015041</v>
      </c>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3">
      <c r="A36" s="1" t="str">
        <f>IF(A35&lt;'Project Information'!B$11,A35+1,"")</f>
        <v/>
      </c>
      <c r="B36" s="254"/>
      <c r="E36" s="13"/>
      <c r="F36"/>
      <c r="G36"/>
      <c r="H36" s="260">
        <v>2043</v>
      </c>
      <c r="I36" s="261">
        <f t="shared" si="0"/>
        <v>269.23058020743377</v>
      </c>
      <c r="J36" s="262">
        <f>('User Volumes'!J22*$I$15*$I$16)</f>
        <v>61622.263105670208</v>
      </c>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3">
      <c r="A37" s="2" t="str">
        <f>IF(A36&lt;'Project Information'!B$11,A36+1,"")</f>
        <v/>
      </c>
      <c r="B37" s="254"/>
      <c r="E37" s="13"/>
      <c r="F37"/>
      <c r="G37"/>
      <c r="H37" s="260">
        <v>2044</v>
      </c>
      <c r="I37" s="261">
        <f t="shared" si="0"/>
        <v>269.76904136784862</v>
      </c>
      <c r="J37" s="262">
        <f>('User Volumes'!J23*$I$15*$I$16)</f>
        <v>62330.919131385424</v>
      </c>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3">
      <c r="E38" s="13"/>
      <c r="F38"/>
      <c r="G38"/>
      <c r="H38" s="260">
        <v>2045</v>
      </c>
      <c r="I38" s="261">
        <f t="shared" si="0"/>
        <v>270.30857945058432</v>
      </c>
      <c r="J38" s="262">
        <f>('User Volumes'!J24*$I$15*$I$16)</f>
        <v>63047.724701396357</v>
      </c>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3">
      <c r="E39" s="13"/>
      <c r="F39"/>
      <c r="G39"/>
      <c r="H39" s="260">
        <v>2046</v>
      </c>
      <c r="I39" s="261">
        <f t="shared" si="0"/>
        <v>270.84919660948549</v>
      </c>
      <c r="J39" s="262">
        <f>('User Volumes'!J25*$I$15*$I$16)</f>
        <v>63772.773535462424</v>
      </c>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3">
      <c r="E40" s="13"/>
      <c r="F40"/>
      <c r="G40"/>
      <c r="H40" s="260">
        <v>2047</v>
      </c>
      <c r="I40" s="261">
        <f t="shared" si="0"/>
        <v>271.39089500270444</v>
      </c>
      <c r="J40" s="262">
        <f>('User Volumes'!J26*$I$15*$I$16)</f>
        <v>64506.160431120239</v>
      </c>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3">
      <c r="E41" s="13"/>
      <c r="F41"/>
      <c r="G41"/>
      <c r="H41" s="260">
        <v>2048</v>
      </c>
      <c r="I41" s="261">
        <f t="shared" si="0"/>
        <v>271.93367679270983</v>
      </c>
      <c r="J41" s="262">
        <f>('User Volumes'!J27*$I$15*$I$16)</f>
        <v>65247.981276078128</v>
      </c>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3">
      <c r="E42" s="13"/>
      <c r="F42"/>
      <c r="G42"/>
      <c r="H42" s="260">
        <v>2049</v>
      </c>
      <c r="I42" s="261">
        <f t="shared" si="0"/>
        <v>272.47754414629526</v>
      </c>
      <c r="J42" s="262">
        <f>('User Volumes'!J28*$I$15*$I$16)</f>
        <v>65998.333060753022</v>
      </c>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3">
      <c r="E43" s="13"/>
      <c r="F43"/>
      <c r="G43"/>
      <c r="H43" s="260">
        <v>2050</v>
      </c>
      <c r="I43" s="261">
        <f t="shared" si="0"/>
        <v>273.02249923458783</v>
      </c>
      <c r="J43" s="262">
        <f>('User Volumes'!J29*$I$15*$I$16)</f>
        <v>66757.313890951686</v>
      </c>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3">
      <c r="E44" s="13"/>
      <c r="F44"/>
      <c r="G44"/>
      <c r="H44" s="260">
        <v>2051</v>
      </c>
      <c r="I44" s="261"/>
      <c r="J44" s="262">
        <f>('User Volumes'!J30*$I$15*$I$16)</f>
        <v>0</v>
      </c>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3">
      <c r="E45" s="13"/>
      <c r="F45"/>
      <c r="G45"/>
      <c r="H45" s="260">
        <v>2052</v>
      </c>
      <c r="I45" s="261"/>
      <c r="J45" s="262">
        <f>('User Volumes'!J31*$I$15*$I$16)</f>
        <v>0</v>
      </c>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3">
      <c r="E46" s="13"/>
      <c r="F46"/>
      <c r="G46"/>
      <c r="H46" s="260">
        <v>2053</v>
      </c>
      <c r="I46" s="261">
        <f t="shared" si="0"/>
        <v>0</v>
      </c>
      <c r="J46" s="262">
        <f>('User Volumes'!J32*$I$15*$I$16)</f>
        <v>0</v>
      </c>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3">
      <c r="E47" s="13"/>
      <c r="F47"/>
      <c r="G47"/>
      <c r="H47" s="260">
        <v>2054</v>
      </c>
      <c r="I47" s="261">
        <f t="shared" si="0"/>
        <v>0</v>
      </c>
      <c r="J47" s="262">
        <f>('User Volumes'!J33*$I$15*$I$16)</f>
        <v>0</v>
      </c>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3">
      <c r="E48" s="13"/>
      <c r="F48"/>
      <c r="G48"/>
      <c r="H48" s="260">
        <v>2055</v>
      </c>
      <c r="I48" s="261">
        <f t="shared" si="0"/>
        <v>0</v>
      </c>
      <c r="J48" s="262">
        <f>('User Volumes'!J34*$I$15*$I$16)</f>
        <v>0</v>
      </c>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3">
      <c r="E49" s="13"/>
      <c r="F49"/>
      <c r="G49"/>
      <c r="H49" s="260">
        <v>2056</v>
      </c>
      <c r="I49" s="261">
        <f t="shared" si="0"/>
        <v>0</v>
      </c>
      <c r="J49" s="262">
        <f>('User Volumes'!J35*$I$15*$I$16)</f>
        <v>0</v>
      </c>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3">
      <c r="E50" s="13"/>
      <c r="F50"/>
      <c r="G50"/>
      <c r="H50" s="260">
        <v>2057</v>
      </c>
      <c r="I50" s="261">
        <f t="shared" si="0"/>
        <v>0</v>
      </c>
      <c r="J50" s="262">
        <f>('User Volumes'!J36*$I$15*$I$16)</f>
        <v>0</v>
      </c>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3">
      <c r="E51" s="13"/>
      <c r="F51"/>
      <c r="G51"/>
      <c r="H51" s="260">
        <v>2058</v>
      </c>
      <c r="I51" s="261">
        <f t="shared" si="0"/>
        <v>0</v>
      </c>
      <c r="J51" s="262">
        <f>('User Volumes'!J37*$I$15*$I$16)</f>
        <v>0</v>
      </c>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3">
      <c r="E52" s="13"/>
      <c r="F52"/>
      <c r="G52"/>
      <c r="H52" s="260">
        <v>2059</v>
      </c>
      <c r="I52" s="261">
        <f t="shared" si="0"/>
        <v>0</v>
      </c>
      <c r="J52" s="262">
        <f>('User Volumes'!J38*$I$15*$I$16)</f>
        <v>0</v>
      </c>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3">
      <c r="E53" s="13"/>
      <c r="F53"/>
      <c r="G53"/>
      <c r="H53" s="260">
        <v>2060</v>
      </c>
      <c r="I53" s="261">
        <f t="shared" si="0"/>
        <v>0</v>
      </c>
      <c r="J53" s="262">
        <f>('User Volumes'!J39*$I$15*$I$16)</f>
        <v>0</v>
      </c>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3">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3">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3">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3">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3">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3">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3">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3">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3">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3">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3">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3">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3">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3">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3">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3">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3">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3">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3">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3">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3">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3">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3">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3">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3">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3">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3">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3">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3">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3">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3">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3">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3">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ht="15" thickBot="1" x14ac:dyDescent="0.35">
      <c r="E87" s="15"/>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7"/>
    </row>
  </sheetData>
  <mergeCells count="2">
    <mergeCell ref="G8:J8"/>
    <mergeCell ref="G9:J9"/>
  </mergeCells>
  <conditionalFormatting sqref="B8:B37">
    <cfRule type="expression" dxfId="4" priority="1">
      <formula>A8=""</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F9DC5-C9C2-4023-B877-38772BB6BEA7}">
  <sheetPr>
    <tabColor theme="9" tint="0.39997558519241921"/>
  </sheetPr>
  <dimension ref="A1:E11"/>
  <sheetViews>
    <sheetView workbookViewId="0">
      <selection activeCell="D12" sqref="D12"/>
    </sheetView>
  </sheetViews>
  <sheetFormatPr defaultColWidth="8.6640625" defaultRowHeight="14.4" x14ac:dyDescent="0.3"/>
  <cols>
    <col min="1" max="1" width="56.33203125" style="5" customWidth="1"/>
    <col min="2" max="16384" width="8.6640625" style="5"/>
  </cols>
  <sheetData>
    <row r="1" spans="1:5" ht="20.399999999999999" thickBot="1" x14ac:dyDescent="0.45">
      <c r="A1" s="93" t="s">
        <v>19</v>
      </c>
    </row>
    <row r="2" spans="1:5" ht="15" thickTop="1" x14ac:dyDescent="0.3">
      <c r="A2" s="144" t="s">
        <v>20</v>
      </c>
      <c r="B2" s="144"/>
      <c r="C2" s="144"/>
      <c r="D2" s="144"/>
      <c r="E2" s="144"/>
    </row>
    <row r="3" spans="1:5" x14ac:dyDescent="0.3">
      <c r="A3" s="5" t="s">
        <v>21</v>
      </c>
    </row>
    <row r="4" spans="1:5" x14ac:dyDescent="0.3">
      <c r="A4" s="94" t="s">
        <v>22</v>
      </c>
    </row>
    <row r="5" spans="1:5" x14ac:dyDescent="0.3">
      <c r="A5" s="97" t="s">
        <v>23</v>
      </c>
      <c r="B5" s="98" t="s">
        <v>24</v>
      </c>
    </row>
    <row r="6" spans="1:5" x14ac:dyDescent="0.3">
      <c r="A6" s="43" t="s">
        <v>17</v>
      </c>
      <c r="B6" s="95">
        <v>2024</v>
      </c>
    </row>
    <row r="7" spans="1:5" x14ac:dyDescent="0.3">
      <c r="A7" s="43" t="s">
        <v>25</v>
      </c>
      <c r="B7" s="23">
        <v>2026</v>
      </c>
      <c r="C7" s="5" t="s">
        <v>26</v>
      </c>
    </row>
    <row r="8" spans="1:5" x14ac:dyDescent="0.3">
      <c r="A8" s="43" t="s">
        <v>27</v>
      </c>
      <c r="B8" s="23">
        <v>6</v>
      </c>
      <c r="C8" s="5" t="s">
        <v>28</v>
      </c>
    </row>
    <row r="9" spans="1:5" x14ac:dyDescent="0.3">
      <c r="A9" s="43" t="s">
        <v>29</v>
      </c>
      <c r="B9" s="95">
        <f>B7+B8</f>
        <v>2032</v>
      </c>
    </row>
    <row r="10" spans="1:5" x14ac:dyDescent="0.3">
      <c r="A10" s="43" t="s">
        <v>30</v>
      </c>
      <c r="B10" s="23">
        <v>20</v>
      </c>
      <c r="C10" s="5" t="s">
        <v>31</v>
      </c>
    </row>
    <row r="11" spans="1:5" x14ac:dyDescent="0.3">
      <c r="A11" s="43" t="s">
        <v>32</v>
      </c>
      <c r="B11" s="96">
        <f>B7+B8+B10-1</f>
        <v>2051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E6E43-6B22-4737-8E2E-57A059E7E54E}">
  <sheetPr>
    <tabColor theme="9" tint="0.39997558519241921"/>
  </sheetPr>
  <dimension ref="A1:AZ87"/>
  <sheetViews>
    <sheetView workbookViewId="0"/>
  </sheetViews>
  <sheetFormatPr defaultColWidth="9.109375" defaultRowHeight="14.4" x14ac:dyDescent="0.3"/>
  <cols>
    <col min="1" max="1" width="25.88671875" style="5" customWidth="1"/>
    <col min="2" max="2" width="40.6640625" style="5" customWidth="1"/>
    <col min="3" max="16384" width="9.109375" style="5"/>
  </cols>
  <sheetData>
    <row r="1" spans="1:52" ht="20.399999999999999" thickBot="1" x14ac:dyDescent="0.45">
      <c r="A1" s="93" t="s">
        <v>527</v>
      </c>
    </row>
    <row r="2" spans="1:52" ht="15" thickTop="1" x14ac:dyDescent="0.3">
      <c r="A2" s="144" t="s">
        <v>499</v>
      </c>
      <c r="B2" s="144"/>
      <c r="C2" s="144"/>
    </row>
    <row r="3" spans="1:52" x14ac:dyDescent="0.3">
      <c r="A3" s="5" t="s">
        <v>21</v>
      </c>
    </row>
    <row r="4" spans="1:52" x14ac:dyDescent="0.3">
      <c r="A4" s="145" t="s">
        <v>317</v>
      </c>
      <c r="B4" s="144"/>
      <c r="C4" s="144"/>
      <c r="D4" s="144"/>
      <c r="E4" s="144"/>
      <c r="F4" s="144"/>
      <c r="G4" s="144"/>
      <c r="H4" s="144"/>
      <c r="I4" s="144"/>
      <c r="J4" s="144"/>
      <c r="K4" s="144"/>
      <c r="L4" s="144"/>
    </row>
    <row r="5" spans="1:52" x14ac:dyDescent="0.3">
      <c r="A5" s="5" t="s">
        <v>21</v>
      </c>
    </row>
    <row r="6" spans="1:52" ht="15" thickBot="1" x14ac:dyDescent="0.35">
      <c r="A6" s="94" t="s">
        <v>500</v>
      </c>
    </row>
    <row r="7" spans="1:52" x14ac:dyDescent="0.3">
      <c r="A7" s="104" t="s">
        <v>308</v>
      </c>
      <c r="B7" s="24" t="s">
        <v>527</v>
      </c>
      <c r="C7" s="5" t="s">
        <v>501</v>
      </c>
      <c r="E7" s="10" t="s">
        <v>307</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2"/>
    </row>
    <row r="8" spans="1:52" x14ac:dyDescent="0.3">
      <c r="A8" s="6">
        <f>'Project Information'!$B$9</f>
        <v>2032</v>
      </c>
      <c r="B8" s="156">
        <v>0</v>
      </c>
      <c r="E8" s="13"/>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s="14"/>
    </row>
    <row r="9" spans="1:52" x14ac:dyDescent="0.3">
      <c r="A9" s="1">
        <f>IF(A8&lt;'Project Information'!B$11,A8+1,"")</f>
        <v>2033</v>
      </c>
      <c r="B9" s="156">
        <v>0</v>
      </c>
      <c r="E9" s="13"/>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s="14"/>
    </row>
    <row r="10" spans="1:52" x14ac:dyDescent="0.3">
      <c r="A10" s="1">
        <f>IF(A9&lt;'Project Information'!B$11,A9+1,"")</f>
        <v>2034</v>
      </c>
      <c r="B10" s="156">
        <v>0</v>
      </c>
      <c r="E10" s="13"/>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s="14"/>
    </row>
    <row r="11" spans="1:52" x14ac:dyDescent="0.3">
      <c r="A11" s="1">
        <f>IF(A10&lt;'Project Information'!B$11,A10+1,"")</f>
        <v>2035</v>
      </c>
      <c r="B11" s="156">
        <v>0</v>
      </c>
      <c r="E11" s="13"/>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s="14"/>
    </row>
    <row r="12" spans="1:52" x14ac:dyDescent="0.3">
      <c r="A12" s="1">
        <f>IF(A11&lt;'Project Information'!B$11,A11+1,"")</f>
        <v>2036</v>
      </c>
      <c r="B12" s="156">
        <v>0</v>
      </c>
      <c r="E12" s="13"/>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4"/>
    </row>
    <row r="13" spans="1:52" x14ac:dyDescent="0.3">
      <c r="A13" s="1">
        <f>IF(A12&lt;'Project Information'!B$11,A12+1,"")</f>
        <v>2037</v>
      </c>
      <c r="B13" s="156">
        <v>0</v>
      </c>
      <c r="E13" s="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4"/>
    </row>
    <row r="14" spans="1:52" x14ac:dyDescent="0.3">
      <c r="A14" s="1">
        <f>IF(A13&lt;'Project Information'!B$11,A13+1,"")</f>
        <v>2038</v>
      </c>
      <c r="B14" s="156">
        <v>0</v>
      </c>
      <c r="E14" s="13"/>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4"/>
    </row>
    <row r="15" spans="1:52" x14ac:dyDescent="0.3">
      <c r="A15" s="1">
        <f>IF(A14&lt;'Project Information'!B$11,A14+1,"")</f>
        <v>2039</v>
      </c>
      <c r="B15" s="156">
        <v>0</v>
      </c>
      <c r="E15" s="1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3">
      <c r="A16" s="1">
        <f>IF(A15&lt;'Project Information'!B$11,A15+1,"")</f>
        <v>2040</v>
      </c>
      <c r="B16" s="156">
        <v>0</v>
      </c>
      <c r="E16" s="1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3">
      <c r="A17" s="1">
        <f>IF(A16&lt;'Project Information'!B$11,A16+1,"")</f>
        <v>2041</v>
      </c>
      <c r="B17" s="156">
        <v>0</v>
      </c>
      <c r="E17" s="13"/>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3">
      <c r="A18" s="1">
        <f>IF(A17&lt;'Project Information'!B$11,A17+1,"")</f>
        <v>2042</v>
      </c>
      <c r="B18" s="156">
        <v>0</v>
      </c>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3">
      <c r="A19" s="1">
        <f>IF(A18&lt;'Project Information'!B$11,A18+1,"")</f>
        <v>2043</v>
      </c>
      <c r="B19" s="156">
        <v>0</v>
      </c>
      <c r="E19" s="13"/>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3">
      <c r="A20" s="1">
        <f>IF(A19&lt;'Project Information'!B$11,A19+1,"")</f>
        <v>2044</v>
      </c>
      <c r="B20" s="156">
        <v>0</v>
      </c>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3">
      <c r="A21" s="1">
        <f>IF(A20&lt;'Project Information'!B$11,A20+1,"")</f>
        <v>2045</v>
      </c>
      <c r="B21" s="156">
        <v>0</v>
      </c>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3">
      <c r="A22" s="1">
        <f>IF(A21&lt;'Project Information'!B$11,A21+1,"")</f>
        <v>2046</v>
      </c>
      <c r="B22" s="156">
        <v>0</v>
      </c>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3">
      <c r="A23" s="1">
        <f>IF(A22&lt;'Project Information'!B$11,A22+1,"")</f>
        <v>2047</v>
      </c>
      <c r="B23" s="156">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3">
      <c r="A24" s="1">
        <f>IF(A23&lt;'Project Information'!B$11,A23+1,"")</f>
        <v>2048</v>
      </c>
      <c r="B24" s="156">
        <v>0</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3">
      <c r="A25" s="1">
        <f>IF(A24&lt;'Project Information'!B$11,A24+1,"")</f>
        <v>2049</v>
      </c>
      <c r="B25" s="156">
        <v>0</v>
      </c>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3">
      <c r="A26" s="1">
        <f>IF(A25&lt;'Project Information'!B$11,A25+1,"")</f>
        <v>2050</v>
      </c>
      <c r="B26" s="156">
        <v>0</v>
      </c>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3">
      <c r="A27" s="1">
        <f>IF(A26&lt;'Project Information'!B$11,A26+1,"")</f>
        <v>2051</v>
      </c>
      <c r="B27" s="156">
        <v>0</v>
      </c>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3">
      <c r="A28" s="1" t="str">
        <f>IF(A27&lt;'Project Information'!B$11,A27+1,"")</f>
        <v/>
      </c>
      <c r="B28" s="156">
        <v>0</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3">
      <c r="A29" s="1" t="str">
        <f>IF(A28&lt;'Project Information'!B$11,A28+1,"")</f>
        <v/>
      </c>
      <c r="B29" s="156">
        <v>0</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3">
      <c r="A30" s="1" t="str">
        <f>IF(A29&lt;'Project Information'!B$11,A29+1,"")</f>
        <v/>
      </c>
      <c r="B30" s="156">
        <v>0</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3">
      <c r="A31" s="1" t="str">
        <f>IF(A30&lt;'Project Information'!B$11,A30+1,"")</f>
        <v/>
      </c>
      <c r="B31" s="156">
        <v>0</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3">
      <c r="A32" s="1" t="str">
        <f>IF(A31&lt;'Project Information'!B$11,A31+1,"")</f>
        <v/>
      </c>
      <c r="B32" s="156">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3">
      <c r="A33" s="1" t="str">
        <f>IF(A32&lt;'Project Information'!B$11,A32+1,"")</f>
        <v/>
      </c>
      <c r="B33" s="156">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3">
      <c r="A34" s="1" t="str">
        <f>IF(A33&lt;'Project Information'!B$11,A33+1,"")</f>
        <v/>
      </c>
      <c r="B34" s="156">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3">
      <c r="A35" s="1" t="str">
        <f>IF(A34&lt;'Project Information'!B$11,A34+1,"")</f>
        <v/>
      </c>
      <c r="B35" s="156">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3">
      <c r="A36" s="1" t="str">
        <f>IF(A35&lt;'Project Information'!B$11,A35+1,"")</f>
        <v/>
      </c>
      <c r="B36" s="156">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3">
      <c r="A37" s="2" t="str">
        <f>IF(A36&lt;'Project Information'!B$11,A36+1,"")</f>
        <v/>
      </c>
      <c r="B37" s="117">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3">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3">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3">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3">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3">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3">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3">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3">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3">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3">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3">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3">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3">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3">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3">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3">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3">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3">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3">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3">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3">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3">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3">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3">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3">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3">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3">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3">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3">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3">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3">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3">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3">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3">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3">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3">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3">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3">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3">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3">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3">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3">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3">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3">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3">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3">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3">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3">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3">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ht="15" thickBot="1" x14ac:dyDescent="0.35">
      <c r="E87" s="15"/>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7"/>
    </row>
  </sheetData>
  <conditionalFormatting sqref="B8:B37">
    <cfRule type="expression" dxfId="3" priority="1">
      <formula>A8=""</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1C50E-A8C3-41A1-9AAA-104E7953FC32}">
  <sheetPr>
    <tabColor theme="9" tint="0.39997558519241921"/>
  </sheetPr>
  <dimension ref="A1:AZ91"/>
  <sheetViews>
    <sheetView zoomScaleNormal="100" workbookViewId="0"/>
  </sheetViews>
  <sheetFormatPr defaultColWidth="9.109375" defaultRowHeight="14.4" x14ac:dyDescent="0.3"/>
  <cols>
    <col min="1" max="1" width="40.88671875" style="5" customWidth="1"/>
    <col min="2" max="2" width="40.6640625" style="5" customWidth="1"/>
    <col min="3" max="16384" width="9.109375" style="5"/>
  </cols>
  <sheetData>
    <row r="1" spans="1:52" ht="20.399999999999999" thickBot="1" x14ac:dyDescent="0.45">
      <c r="A1" s="93" t="s">
        <v>528</v>
      </c>
    </row>
    <row r="2" spans="1:52" ht="15" thickTop="1" x14ac:dyDescent="0.3">
      <c r="A2" s="144" t="s">
        <v>529</v>
      </c>
      <c r="B2" s="144"/>
      <c r="C2" s="144"/>
      <c r="D2" s="144"/>
      <c r="E2" s="144"/>
      <c r="F2" s="144"/>
      <c r="G2" s="144"/>
    </row>
    <row r="3" spans="1:52" x14ac:dyDescent="0.3">
      <c r="A3" s="144" t="s">
        <v>530</v>
      </c>
      <c r="B3" s="144"/>
      <c r="C3" s="144"/>
    </row>
    <row r="4" spans="1:52" x14ac:dyDescent="0.3">
      <c r="A4" s="144" t="s">
        <v>531</v>
      </c>
      <c r="B4" s="144"/>
      <c r="C4" s="144"/>
      <c r="D4" s="144"/>
      <c r="E4" s="144"/>
      <c r="F4" s="144"/>
    </row>
    <row r="5" spans="1:52" x14ac:dyDescent="0.3">
      <c r="A5" s="5" t="s">
        <v>21</v>
      </c>
    </row>
    <row r="6" spans="1:52" x14ac:dyDescent="0.3">
      <c r="A6" s="144" t="s">
        <v>499</v>
      </c>
      <c r="B6" s="144"/>
    </row>
    <row r="7" spans="1:52" x14ac:dyDescent="0.3">
      <c r="A7" s="5" t="s">
        <v>21</v>
      </c>
    </row>
    <row r="8" spans="1:52" x14ac:dyDescent="0.3">
      <c r="A8" s="145" t="s">
        <v>317</v>
      </c>
      <c r="B8" s="144"/>
      <c r="C8" s="144"/>
      <c r="D8" s="144"/>
      <c r="E8" s="144"/>
      <c r="F8" s="144"/>
      <c r="G8" s="144"/>
      <c r="H8" s="144"/>
      <c r="I8" s="144"/>
      <c r="J8" s="144"/>
      <c r="K8" s="144"/>
    </row>
    <row r="9" spans="1:52" x14ac:dyDescent="0.3">
      <c r="A9" s="38" t="s">
        <v>21</v>
      </c>
    </row>
    <row r="10" spans="1:52" ht="15" thickBot="1" x14ac:dyDescent="0.35">
      <c r="A10" s="94" t="s">
        <v>500</v>
      </c>
    </row>
    <row r="11" spans="1:52" x14ac:dyDescent="0.3">
      <c r="A11" s="106" t="s">
        <v>308</v>
      </c>
      <c r="B11" s="24" t="s">
        <v>528</v>
      </c>
      <c r="C11" s="5" t="s">
        <v>501</v>
      </c>
      <c r="E11" s="10" t="s">
        <v>307</v>
      </c>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2"/>
    </row>
    <row r="12" spans="1:52" x14ac:dyDescent="0.3">
      <c r="A12" s="6">
        <f>'Project Information'!$B$9</f>
        <v>2032</v>
      </c>
      <c r="B12" s="156">
        <v>0</v>
      </c>
      <c r="E12" s="13"/>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4"/>
    </row>
    <row r="13" spans="1:52" x14ac:dyDescent="0.3">
      <c r="A13" s="1">
        <f>IF(A12&lt;'Project Information'!B$11,A12+1,"")</f>
        <v>2033</v>
      </c>
      <c r="B13" s="156">
        <v>0</v>
      </c>
      <c r="E13" s="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4"/>
    </row>
    <row r="14" spans="1:52" x14ac:dyDescent="0.3">
      <c r="A14" s="1">
        <f>IF(A13&lt;'Project Information'!B$11,A13+1,"")</f>
        <v>2034</v>
      </c>
      <c r="B14" s="156">
        <v>0</v>
      </c>
      <c r="E14" s="13"/>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4"/>
    </row>
    <row r="15" spans="1:52" x14ac:dyDescent="0.3">
      <c r="A15" s="1">
        <f>IF(A14&lt;'Project Information'!B$11,A14+1,"")</f>
        <v>2035</v>
      </c>
      <c r="B15" s="156">
        <v>0</v>
      </c>
      <c r="E15" s="1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3">
      <c r="A16" s="1">
        <f>IF(A15&lt;'Project Information'!B$11,A15+1,"")</f>
        <v>2036</v>
      </c>
      <c r="B16" s="156">
        <v>0</v>
      </c>
      <c r="E16" s="1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3">
      <c r="A17" s="1">
        <f>IF(A16&lt;'Project Information'!B$11,A16+1,"")</f>
        <v>2037</v>
      </c>
      <c r="B17" s="156">
        <v>0</v>
      </c>
      <c r="E17" s="13"/>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3">
      <c r="A18" s="1">
        <f>IF(A17&lt;'Project Information'!B$11,A17+1,"")</f>
        <v>2038</v>
      </c>
      <c r="B18" s="156">
        <v>0</v>
      </c>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3">
      <c r="A19" s="1">
        <f>IF(A18&lt;'Project Information'!B$11,A18+1,"")</f>
        <v>2039</v>
      </c>
      <c r="B19" s="156">
        <v>0</v>
      </c>
      <c r="E19" s="13"/>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3">
      <c r="A20" s="1">
        <f>IF(A19&lt;'Project Information'!B$11,A19+1,"")</f>
        <v>2040</v>
      </c>
      <c r="B20" s="156">
        <v>0</v>
      </c>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3">
      <c r="A21" s="1">
        <f>IF(A20&lt;'Project Information'!B$11,A20+1,"")</f>
        <v>2041</v>
      </c>
      <c r="B21" s="156">
        <v>0</v>
      </c>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3">
      <c r="A22" s="1">
        <f>IF(A21&lt;'Project Information'!B$11,A21+1,"")</f>
        <v>2042</v>
      </c>
      <c r="B22" s="156">
        <v>0</v>
      </c>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3">
      <c r="A23" s="1">
        <f>IF(A22&lt;'Project Information'!B$11,A22+1,"")</f>
        <v>2043</v>
      </c>
      <c r="B23" s="156">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3">
      <c r="A24" s="1">
        <f>IF(A23&lt;'Project Information'!B$11,A23+1,"")</f>
        <v>2044</v>
      </c>
      <c r="B24" s="156">
        <v>0</v>
      </c>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3">
      <c r="A25" s="1">
        <f>IF(A24&lt;'Project Information'!B$11,A24+1,"")</f>
        <v>2045</v>
      </c>
      <c r="B25" s="156">
        <v>0</v>
      </c>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3">
      <c r="A26" s="1">
        <f>IF(A25&lt;'Project Information'!B$11,A25+1,"")</f>
        <v>2046</v>
      </c>
      <c r="B26" s="156">
        <v>0</v>
      </c>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3">
      <c r="A27" s="1">
        <f>IF(A26&lt;'Project Information'!B$11,A26+1,"")</f>
        <v>2047</v>
      </c>
      <c r="B27" s="156">
        <v>0</v>
      </c>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3">
      <c r="A28" s="1">
        <f>IF(A27&lt;'Project Information'!B$11,A27+1,"")</f>
        <v>2048</v>
      </c>
      <c r="B28" s="156">
        <v>0</v>
      </c>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3">
      <c r="A29" s="1">
        <f>IF(A28&lt;'Project Information'!B$11,A28+1,"")</f>
        <v>2049</v>
      </c>
      <c r="B29" s="156">
        <v>0</v>
      </c>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3">
      <c r="A30" s="1">
        <f>IF(A29&lt;'Project Information'!B$11,A29+1,"")</f>
        <v>2050</v>
      </c>
      <c r="B30" s="156">
        <v>0</v>
      </c>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3">
      <c r="A31" s="1">
        <f>IF(A30&lt;'Project Information'!B$11,A30+1,"")</f>
        <v>2051</v>
      </c>
      <c r="B31" s="156">
        <v>0</v>
      </c>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3">
      <c r="A32" s="1" t="str">
        <f>IF(A31&lt;'Project Information'!B$11,A31+1,"")</f>
        <v/>
      </c>
      <c r="B32" s="156">
        <v>0</v>
      </c>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1:52" x14ac:dyDescent="0.3">
      <c r="A33" s="1" t="str">
        <f>IF(A32&lt;'Project Information'!B$11,A32+1,"")</f>
        <v/>
      </c>
      <c r="B33" s="156">
        <v>0</v>
      </c>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1:52" x14ac:dyDescent="0.3">
      <c r="A34" s="1" t="str">
        <f>IF(A33&lt;'Project Information'!B$11,A33+1,"")</f>
        <v/>
      </c>
      <c r="B34" s="156">
        <v>0</v>
      </c>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1:52" x14ac:dyDescent="0.3">
      <c r="A35" s="1" t="str">
        <f>IF(A34&lt;'Project Information'!B$11,A34+1,"")</f>
        <v/>
      </c>
      <c r="B35" s="156">
        <v>0</v>
      </c>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1:52" x14ac:dyDescent="0.3">
      <c r="A36" s="1" t="str">
        <f>IF(A35&lt;'Project Information'!B$11,A35+1,"")</f>
        <v/>
      </c>
      <c r="B36" s="156">
        <v>0</v>
      </c>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1:52" x14ac:dyDescent="0.3">
      <c r="A37" s="1" t="str">
        <f>IF(A36&lt;'Project Information'!B$11,A36+1,"")</f>
        <v/>
      </c>
      <c r="B37" s="156">
        <v>0</v>
      </c>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1:52" x14ac:dyDescent="0.3">
      <c r="A38" s="1" t="str">
        <f>IF(A37&lt;'Project Information'!B$11,A37+1,"")</f>
        <v/>
      </c>
      <c r="B38" s="156">
        <v>0</v>
      </c>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1:52" x14ac:dyDescent="0.3">
      <c r="A39" s="1" t="str">
        <f>IF(A38&lt;'Project Information'!B$11,A38+1,"")</f>
        <v/>
      </c>
      <c r="B39" s="156">
        <v>0</v>
      </c>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1:52" x14ac:dyDescent="0.3">
      <c r="A40" s="1" t="str">
        <f>IF(A39&lt;'Project Information'!B$11,A39+1,"")</f>
        <v/>
      </c>
      <c r="B40" s="156">
        <v>0</v>
      </c>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1:52" x14ac:dyDescent="0.3">
      <c r="A41" s="2" t="str">
        <f>IF(A40&lt;'Project Information'!B$11,A40+1,"")</f>
        <v/>
      </c>
      <c r="B41" s="117">
        <v>0</v>
      </c>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1:52" x14ac:dyDescent="0.3">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1:52" x14ac:dyDescent="0.3">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1:52" x14ac:dyDescent="0.3">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1:52" x14ac:dyDescent="0.3">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1:52" x14ac:dyDescent="0.3">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1:52" x14ac:dyDescent="0.3">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1:52" x14ac:dyDescent="0.3">
      <c r="E48" s="1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4"/>
    </row>
    <row r="49" spans="5:52" x14ac:dyDescent="0.3">
      <c r="E49" s="13"/>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4"/>
    </row>
    <row r="50" spans="5:52" x14ac:dyDescent="0.3">
      <c r="E50" s="13"/>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4"/>
    </row>
    <row r="51" spans="5:52" x14ac:dyDescent="0.3">
      <c r="E51" s="13"/>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4"/>
    </row>
    <row r="52" spans="5:52" x14ac:dyDescent="0.3">
      <c r="E52" s="13"/>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4"/>
    </row>
    <row r="53" spans="5:52" x14ac:dyDescent="0.3">
      <c r="E53" s="1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4"/>
    </row>
    <row r="54" spans="5:52" x14ac:dyDescent="0.3">
      <c r="E54" s="1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4"/>
    </row>
    <row r="55" spans="5:52" x14ac:dyDescent="0.3">
      <c r="E55" s="13"/>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4"/>
    </row>
    <row r="56" spans="5:52" x14ac:dyDescent="0.3">
      <c r="E56" s="13"/>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4"/>
    </row>
    <row r="57" spans="5:52" x14ac:dyDescent="0.3">
      <c r="E57" s="13"/>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4"/>
    </row>
    <row r="58" spans="5:52" x14ac:dyDescent="0.3">
      <c r="E58" s="13"/>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4"/>
    </row>
    <row r="59" spans="5:52" x14ac:dyDescent="0.3">
      <c r="E59" s="13"/>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4"/>
    </row>
    <row r="60" spans="5:52" x14ac:dyDescent="0.3">
      <c r="E60" s="1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4"/>
    </row>
    <row r="61" spans="5:52" x14ac:dyDescent="0.3">
      <c r="E61" s="13"/>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4"/>
    </row>
    <row r="62" spans="5:52" x14ac:dyDescent="0.3">
      <c r="E62" s="13"/>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4"/>
    </row>
    <row r="63" spans="5:52" x14ac:dyDescent="0.3">
      <c r="E63" s="1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4"/>
    </row>
    <row r="64" spans="5:52" x14ac:dyDescent="0.3">
      <c r="E64" s="13"/>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4"/>
    </row>
    <row r="65" spans="5:52" x14ac:dyDescent="0.3">
      <c r="E65" s="13"/>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4"/>
    </row>
    <row r="66" spans="5:52" x14ac:dyDescent="0.3">
      <c r="E66" s="13"/>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4"/>
    </row>
    <row r="67" spans="5:52" x14ac:dyDescent="0.3">
      <c r="E67" s="1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4"/>
    </row>
    <row r="68" spans="5:52" x14ac:dyDescent="0.3">
      <c r="E68" s="13"/>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4"/>
    </row>
    <row r="69" spans="5:52" x14ac:dyDescent="0.3">
      <c r="E69" s="13"/>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4"/>
    </row>
    <row r="70" spans="5:52" x14ac:dyDescent="0.3">
      <c r="E70" s="13"/>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4"/>
    </row>
    <row r="71" spans="5:52" x14ac:dyDescent="0.3">
      <c r="E71" s="13"/>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4"/>
    </row>
    <row r="72" spans="5:52" x14ac:dyDescent="0.3">
      <c r="E72" s="13"/>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4"/>
    </row>
    <row r="73" spans="5:52" x14ac:dyDescent="0.3">
      <c r="E73" s="1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4"/>
    </row>
    <row r="74" spans="5:52" x14ac:dyDescent="0.3">
      <c r="E74" s="13"/>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4"/>
    </row>
    <row r="75" spans="5:52" x14ac:dyDescent="0.3">
      <c r="E75" s="13"/>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4"/>
    </row>
    <row r="76" spans="5:52" x14ac:dyDescent="0.3">
      <c r="E76" s="13"/>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4"/>
    </row>
    <row r="77" spans="5:52" x14ac:dyDescent="0.3">
      <c r="E77" s="1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4"/>
    </row>
    <row r="78" spans="5:52" x14ac:dyDescent="0.3">
      <c r="E78" s="13"/>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4"/>
    </row>
    <row r="79" spans="5:52" x14ac:dyDescent="0.3">
      <c r="E79" s="13"/>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4"/>
    </row>
    <row r="80" spans="5:52" x14ac:dyDescent="0.3">
      <c r="E80" s="13"/>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4"/>
    </row>
    <row r="81" spans="5:52" x14ac:dyDescent="0.3">
      <c r="E81" s="13"/>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4"/>
    </row>
    <row r="82" spans="5:52" x14ac:dyDescent="0.3">
      <c r="E82" s="13"/>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4"/>
    </row>
    <row r="83" spans="5:52" x14ac:dyDescent="0.3">
      <c r="E83" s="1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4"/>
    </row>
    <row r="84" spans="5:52" x14ac:dyDescent="0.3">
      <c r="E84" s="1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4"/>
    </row>
    <row r="85" spans="5:52" x14ac:dyDescent="0.3">
      <c r="E85" s="13"/>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4"/>
    </row>
    <row r="86" spans="5:52" x14ac:dyDescent="0.3">
      <c r="E86" s="13"/>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4"/>
    </row>
    <row r="87" spans="5:52" x14ac:dyDescent="0.3">
      <c r="E87" s="13"/>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s="14"/>
    </row>
    <row r="88" spans="5:52" x14ac:dyDescent="0.3">
      <c r="E88" s="13"/>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s="14"/>
    </row>
    <row r="89" spans="5:52" x14ac:dyDescent="0.3">
      <c r="E89" s="13"/>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s="14"/>
    </row>
    <row r="90" spans="5:52" x14ac:dyDescent="0.3">
      <c r="E90" s="13"/>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s="14"/>
    </row>
    <row r="91" spans="5:52" ht="15" thickBot="1" x14ac:dyDescent="0.35">
      <c r="E91" s="15"/>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7"/>
    </row>
  </sheetData>
  <conditionalFormatting sqref="B12:B41">
    <cfRule type="expression" dxfId="2" priority="1">
      <formula>A12=""</formula>
    </cfRule>
  </conditionalFormatting>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ED953-AF08-43EF-9881-0B9B5BDB7205}">
  <sheetPr>
    <tabColor theme="9" tint="0.39997558519241921"/>
  </sheetPr>
  <dimension ref="A1:BB115"/>
  <sheetViews>
    <sheetView topLeftCell="A22" workbookViewId="0">
      <selection activeCell="I33" sqref="I33"/>
    </sheetView>
  </sheetViews>
  <sheetFormatPr defaultColWidth="9.109375" defaultRowHeight="14.4" x14ac:dyDescent="0.3"/>
  <cols>
    <col min="1" max="1" width="28.5546875" style="5" customWidth="1"/>
    <col min="2" max="2" width="35.109375" style="5" customWidth="1"/>
    <col min="3" max="3" width="30.6640625" style="5" customWidth="1"/>
    <col min="4" max="4" width="29.109375" style="5" customWidth="1"/>
    <col min="5" max="16384" width="9.109375" style="5"/>
  </cols>
  <sheetData>
    <row r="1" spans="1:9" ht="20.399999999999999" thickBot="1" x14ac:dyDescent="0.45">
      <c r="A1" s="93" t="s">
        <v>532</v>
      </c>
    </row>
    <row r="2" spans="1:9" ht="15" thickTop="1" x14ac:dyDescent="0.3">
      <c r="A2" s="144" t="s">
        <v>334</v>
      </c>
      <c r="B2" s="144"/>
      <c r="C2" s="144"/>
      <c r="D2" s="144"/>
      <c r="E2" s="144"/>
      <c r="F2" s="144"/>
    </row>
    <row r="3" spans="1:9" x14ac:dyDescent="0.3">
      <c r="A3" s="5" t="s">
        <v>21</v>
      </c>
    </row>
    <row r="4" spans="1:9" x14ac:dyDescent="0.3">
      <c r="A4" s="145" t="s">
        <v>317</v>
      </c>
      <c r="B4" s="144"/>
      <c r="C4" s="144"/>
      <c r="D4" s="144"/>
      <c r="E4" s="144"/>
      <c r="F4" s="144"/>
      <c r="G4" s="144"/>
      <c r="H4" s="144"/>
      <c r="I4" s="144"/>
    </row>
    <row r="5" spans="1:9" x14ac:dyDescent="0.3">
      <c r="A5" s="38" t="s">
        <v>21</v>
      </c>
    </row>
    <row r="6" spans="1:9" x14ac:dyDescent="0.3">
      <c r="A6" s="94" t="s">
        <v>335</v>
      </c>
    </row>
    <row r="7" spans="1:9" x14ac:dyDescent="0.3">
      <c r="A7" s="113" t="s">
        <v>71</v>
      </c>
      <c r="B7" s="113" t="s">
        <v>79</v>
      </c>
    </row>
    <row r="8" spans="1:9" x14ac:dyDescent="0.3">
      <c r="A8" s="35" t="s">
        <v>533</v>
      </c>
      <c r="B8" s="42">
        <f>'Parameter Values'!B53</f>
        <v>0.56000000000000005</v>
      </c>
    </row>
    <row r="9" spans="1:9" x14ac:dyDescent="0.3">
      <c r="A9" s="35" t="s">
        <v>534</v>
      </c>
      <c r="B9" s="42">
        <f>'Parameter Values'!B54</f>
        <v>1.23</v>
      </c>
    </row>
    <row r="10" spans="1:9" x14ac:dyDescent="0.3">
      <c r="A10" s="113" t="s">
        <v>86</v>
      </c>
      <c r="B10" s="113" t="s">
        <v>85</v>
      </c>
    </row>
    <row r="11" spans="1:9" x14ac:dyDescent="0.3">
      <c r="A11" s="125" t="s">
        <v>89</v>
      </c>
      <c r="B11" s="126" t="s">
        <v>535</v>
      </c>
    </row>
    <row r="12" spans="1:9" x14ac:dyDescent="0.3">
      <c r="A12" s="35" t="s">
        <v>90</v>
      </c>
      <c r="B12" s="127">
        <f>'Parameter Values'!B63</f>
        <v>259</v>
      </c>
    </row>
    <row r="13" spans="1:9" x14ac:dyDescent="0.3">
      <c r="A13" s="35" t="s">
        <v>91</v>
      </c>
      <c r="B13" s="127">
        <f>'Parameter Values'!B64</f>
        <v>281</v>
      </c>
    </row>
    <row r="14" spans="1:9" x14ac:dyDescent="0.3">
      <c r="A14" s="35" t="s">
        <v>92</v>
      </c>
      <c r="B14" s="127">
        <f>'Parameter Values'!B65</f>
        <v>723</v>
      </c>
    </row>
    <row r="15" spans="1:9" x14ac:dyDescent="0.3">
      <c r="A15" s="35" t="s">
        <v>93</v>
      </c>
      <c r="B15" s="127">
        <f>'Parameter Values'!B66</f>
        <v>327</v>
      </c>
    </row>
    <row r="16" spans="1:9" x14ac:dyDescent="0.3">
      <c r="A16" s="125" t="s">
        <v>94</v>
      </c>
      <c r="B16" s="126" t="s">
        <v>535</v>
      </c>
    </row>
    <row r="17" spans="1:54" x14ac:dyDescent="0.3">
      <c r="A17" s="35" t="s">
        <v>90</v>
      </c>
      <c r="B17" s="127">
        <f>'Parameter Values'!B68</f>
        <v>655</v>
      </c>
    </row>
    <row r="18" spans="1:54" x14ac:dyDescent="0.3">
      <c r="A18" s="35" t="s">
        <v>91</v>
      </c>
      <c r="B18" s="127">
        <f>'Parameter Values'!B69</f>
        <v>642</v>
      </c>
    </row>
    <row r="19" spans="1:54" x14ac:dyDescent="0.3">
      <c r="A19" s="35" t="s">
        <v>92</v>
      </c>
      <c r="B19" s="127">
        <f>'Parameter Values'!B70</f>
        <v>1084</v>
      </c>
    </row>
    <row r="20" spans="1:54" x14ac:dyDescent="0.3">
      <c r="A20" s="35" t="s">
        <v>93</v>
      </c>
      <c r="B20" s="127">
        <f>'Parameter Values'!B71</f>
        <v>688</v>
      </c>
    </row>
    <row r="21" spans="1:54" x14ac:dyDescent="0.3">
      <c r="A21" s="125" t="s">
        <v>95</v>
      </c>
      <c r="B21" s="126" t="s">
        <v>535</v>
      </c>
    </row>
    <row r="22" spans="1:54" x14ac:dyDescent="0.3">
      <c r="A22" s="35" t="s">
        <v>96</v>
      </c>
      <c r="B22" s="42">
        <f>'Parameter Values'!B73</f>
        <v>1.0900000000000001</v>
      </c>
    </row>
    <row r="23" spans="1:54" x14ac:dyDescent="0.3">
      <c r="A23" s="38" t="s">
        <v>21</v>
      </c>
      <c r="B23" s="38"/>
    </row>
    <row r="24" spans="1:54" ht="15" thickBot="1" x14ac:dyDescent="0.35">
      <c r="A24" s="94" t="s">
        <v>536</v>
      </c>
    </row>
    <row r="25" spans="1:54" x14ac:dyDescent="0.3">
      <c r="A25" s="104" t="s">
        <v>308</v>
      </c>
      <c r="B25" s="105" t="s">
        <v>537</v>
      </c>
      <c r="C25" s="105" t="s">
        <v>538</v>
      </c>
      <c r="D25" s="111" t="s">
        <v>286</v>
      </c>
      <c r="G25" s="10" t="s">
        <v>307</v>
      </c>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2"/>
    </row>
    <row r="26" spans="1:54" x14ac:dyDescent="0.3">
      <c r="A26" s="6">
        <f>'Project Information'!$B$9</f>
        <v>2032</v>
      </c>
      <c r="B26" s="22">
        <v>0</v>
      </c>
      <c r="C26" s="22">
        <v>0</v>
      </c>
      <c r="D26" s="26">
        <f>B26-C26</f>
        <v>0</v>
      </c>
      <c r="G26" s="13"/>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s="14"/>
    </row>
    <row r="27" spans="1:54" x14ac:dyDescent="0.3">
      <c r="A27" s="1">
        <f>IF(A26&lt;'Project Information'!B$11,A26+1,"")</f>
        <v>2033</v>
      </c>
      <c r="B27" s="22">
        <v>0</v>
      </c>
      <c r="C27" s="22">
        <v>0</v>
      </c>
      <c r="D27" s="8">
        <f t="shared" ref="D27:D55" si="0">B27-C27</f>
        <v>0</v>
      </c>
      <c r="G27" s="13"/>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s="14"/>
    </row>
    <row r="28" spans="1:54" x14ac:dyDescent="0.3">
      <c r="A28" s="1">
        <f>IF(A27&lt;'Project Information'!B$11,A27+1,"")</f>
        <v>2034</v>
      </c>
      <c r="B28" s="22">
        <v>0</v>
      </c>
      <c r="C28" s="22">
        <v>0</v>
      </c>
      <c r="D28" s="8">
        <f t="shared" si="0"/>
        <v>0</v>
      </c>
      <c r="G28" s="13"/>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s="14"/>
    </row>
    <row r="29" spans="1:54" x14ac:dyDescent="0.3">
      <c r="A29" s="1">
        <f>IF(A28&lt;'Project Information'!B$11,A28+1,"")</f>
        <v>2035</v>
      </c>
      <c r="B29" s="22">
        <v>0</v>
      </c>
      <c r="C29" s="22">
        <v>0</v>
      </c>
      <c r="D29" s="8">
        <f t="shared" si="0"/>
        <v>0</v>
      </c>
      <c r="G29" s="13"/>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s="14"/>
    </row>
    <row r="30" spans="1:54" x14ac:dyDescent="0.3">
      <c r="A30" s="1">
        <f>IF(A29&lt;'Project Information'!B$11,A29+1,"")</f>
        <v>2036</v>
      </c>
      <c r="B30" s="22">
        <v>0</v>
      </c>
      <c r="C30" s="22">
        <v>0</v>
      </c>
      <c r="D30" s="8">
        <f t="shared" si="0"/>
        <v>0</v>
      </c>
      <c r="G30" s="13"/>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s="14"/>
    </row>
    <row r="31" spans="1:54" x14ac:dyDescent="0.3">
      <c r="A31" s="1">
        <f>IF(A30&lt;'Project Information'!B$11,A30+1,"")</f>
        <v>2037</v>
      </c>
      <c r="B31" s="22">
        <v>0</v>
      </c>
      <c r="C31" s="22">
        <v>0</v>
      </c>
      <c r="D31" s="8">
        <f t="shared" si="0"/>
        <v>0</v>
      </c>
      <c r="G31" s="13"/>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s="14"/>
    </row>
    <row r="32" spans="1:54" x14ac:dyDescent="0.3">
      <c r="A32" s="1">
        <f>IF(A31&lt;'Project Information'!B$11,A31+1,"")</f>
        <v>2038</v>
      </c>
      <c r="B32" s="22">
        <v>0</v>
      </c>
      <c r="C32" s="22">
        <v>0</v>
      </c>
      <c r="D32" s="8">
        <f t="shared" si="0"/>
        <v>0</v>
      </c>
      <c r="G32" s="13"/>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s="14"/>
    </row>
    <row r="33" spans="1:54" x14ac:dyDescent="0.3">
      <c r="A33" s="1">
        <f>IF(A32&lt;'Project Information'!B$11,A32+1,"")</f>
        <v>2039</v>
      </c>
      <c r="B33" s="22">
        <v>0</v>
      </c>
      <c r="C33" s="22">
        <v>0</v>
      </c>
      <c r="D33" s="8">
        <f t="shared" si="0"/>
        <v>0</v>
      </c>
      <c r="G33" s="1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s="14"/>
    </row>
    <row r="34" spans="1:54" x14ac:dyDescent="0.3">
      <c r="A34" s="1">
        <f>IF(A33&lt;'Project Information'!B$11,A33+1,"")</f>
        <v>2040</v>
      </c>
      <c r="B34" s="22">
        <v>0</v>
      </c>
      <c r="C34" s="22">
        <v>0</v>
      </c>
      <c r="D34" s="8">
        <f t="shared" si="0"/>
        <v>0</v>
      </c>
      <c r="G34" s="13"/>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s="14"/>
    </row>
    <row r="35" spans="1:54" x14ac:dyDescent="0.3">
      <c r="A35" s="1">
        <f>IF(A34&lt;'Project Information'!B$11,A34+1,"")</f>
        <v>2041</v>
      </c>
      <c r="B35" s="22">
        <v>0</v>
      </c>
      <c r="C35" s="22">
        <v>0</v>
      </c>
      <c r="D35" s="8">
        <f t="shared" si="0"/>
        <v>0</v>
      </c>
      <c r="G35" s="13"/>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s="14"/>
    </row>
    <row r="36" spans="1:54" x14ac:dyDescent="0.3">
      <c r="A36" s="1">
        <f>IF(A35&lt;'Project Information'!B$11,A35+1,"")</f>
        <v>2042</v>
      </c>
      <c r="B36" s="22">
        <v>0</v>
      </c>
      <c r="C36" s="22">
        <v>0</v>
      </c>
      <c r="D36" s="8">
        <f t="shared" si="0"/>
        <v>0</v>
      </c>
      <c r="G36" s="13"/>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s="14"/>
    </row>
    <row r="37" spans="1:54" x14ac:dyDescent="0.3">
      <c r="A37" s="1">
        <f>IF(A36&lt;'Project Information'!B$11,A36+1,"")</f>
        <v>2043</v>
      </c>
      <c r="B37" s="22">
        <v>0</v>
      </c>
      <c r="C37" s="22">
        <v>0</v>
      </c>
      <c r="D37" s="8">
        <f t="shared" si="0"/>
        <v>0</v>
      </c>
      <c r="G37" s="13"/>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s="14"/>
    </row>
    <row r="38" spans="1:54" x14ac:dyDescent="0.3">
      <c r="A38" s="1">
        <f>IF(A37&lt;'Project Information'!B$11,A37+1,"")</f>
        <v>2044</v>
      </c>
      <c r="B38" s="22">
        <v>0</v>
      </c>
      <c r="C38" s="22">
        <v>0</v>
      </c>
      <c r="D38" s="8">
        <f t="shared" si="0"/>
        <v>0</v>
      </c>
      <c r="G38" s="13"/>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s="14"/>
    </row>
    <row r="39" spans="1:54" x14ac:dyDescent="0.3">
      <c r="A39" s="1">
        <f>IF(A38&lt;'Project Information'!B$11,A38+1,"")</f>
        <v>2045</v>
      </c>
      <c r="B39" s="22">
        <v>0</v>
      </c>
      <c r="C39" s="22">
        <v>0</v>
      </c>
      <c r="D39" s="8">
        <f t="shared" si="0"/>
        <v>0</v>
      </c>
      <c r="G39" s="13"/>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s="14"/>
    </row>
    <row r="40" spans="1:54" x14ac:dyDescent="0.3">
      <c r="A40" s="1">
        <f>IF(A39&lt;'Project Information'!B$11,A39+1,"")</f>
        <v>2046</v>
      </c>
      <c r="B40" s="22">
        <v>0</v>
      </c>
      <c r="C40" s="22">
        <v>0</v>
      </c>
      <c r="D40" s="8">
        <f t="shared" si="0"/>
        <v>0</v>
      </c>
      <c r="G40" s="13"/>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s="14"/>
    </row>
    <row r="41" spans="1:54" x14ac:dyDescent="0.3">
      <c r="A41" s="1">
        <f>IF(A40&lt;'Project Information'!B$11,A40+1,"")</f>
        <v>2047</v>
      </c>
      <c r="B41" s="22">
        <v>0</v>
      </c>
      <c r="C41" s="22">
        <v>0</v>
      </c>
      <c r="D41" s="8">
        <f t="shared" si="0"/>
        <v>0</v>
      </c>
      <c r="G41" s="13"/>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s="14"/>
    </row>
    <row r="42" spans="1:54" x14ac:dyDescent="0.3">
      <c r="A42" s="1">
        <f>IF(A41&lt;'Project Information'!B$11,A41+1,"")</f>
        <v>2048</v>
      </c>
      <c r="B42" s="22">
        <v>0</v>
      </c>
      <c r="C42" s="22">
        <v>0</v>
      </c>
      <c r="D42" s="8">
        <f t="shared" si="0"/>
        <v>0</v>
      </c>
      <c r="G42" s="13"/>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s="14"/>
    </row>
    <row r="43" spans="1:54" x14ac:dyDescent="0.3">
      <c r="A43" s="1">
        <f>IF(A42&lt;'Project Information'!B$11,A42+1,"")</f>
        <v>2049</v>
      </c>
      <c r="B43" s="22">
        <v>0</v>
      </c>
      <c r="C43" s="22">
        <v>0</v>
      </c>
      <c r="D43" s="8">
        <f t="shared" si="0"/>
        <v>0</v>
      </c>
      <c r="G43" s="1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s="14"/>
    </row>
    <row r="44" spans="1:54" x14ac:dyDescent="0.3">
      <c r="A44" s="1">
        <f>IF(A43&lt;'Project Information'!B$11,A43+1,"")</f>
        <v>2050</v>
      </c>
      <c r="B44" s="22">
        <v>0</v>
      </c>
      <c r="C44" s="22">
        <v>0</v>
      </c>
      <c r="D44" s="8">
        <f t="shared" si="0"/>
        <v>0</v>
      </c>
      <c r="G44" s="13"/>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s="14"/>
    </row>
    <row r="45" spans="1:54" x14ac:dyDescent="0.3">
      <c r="A45" s="1">
        <f>IF(A44&lt;'Project Information'!B$11,A44+1,"")</f>
        <v>2051</v>
      </c>
      <c r="B45" s="22">
        <v>0</v>
      </c>
      <c r="C45" s="22">
        <v>0</v>
      </c>
      <c r="D45" s="8">
        <f t="shared" si="0"/>
        <v>0</v>
      </c>
      <c r="G45" s="13"/>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s="14"/>
    </row>
    <row r="46" spans="1:54" x14ac:dyDescent="0.3">
      <c r="A46" s="1" t="str">
        <f>IF(A45&lt;'Project Information'!B$11,A45+1,"")</f>
        <v/>
      </c>
      <c r="B46" s="22">
        <v>0</v>
      </c>
      <c r="C46" s="22">
        <v>0</v>
      </c>
      <c r="D46" s="8">
        <f t="shared" si="0"/>
        <v>0</v>
      </c>
      <c r="G46" s="13"/>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s="14"/>
    </row>
    <row r="47" spans="1:54" x14ac:dyDescent="0.3">
      <c r="A47" s="1" t="str">
        <f>IF(A46&lt;'Project Information'!B$11,A46+1,"")</f>
        <v/>
      </c>
      <c r="B47" s="22">
        <v>0</v>
      </c>
      <c r="C47" s="22">
        <v>0</v>
      </c>
      <c r="D47" s="8">
        <f t="shared" si="0"/>
        <v>0</v>
      </c>
      <c r="G47" s="13"/>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s="14"/>
    </row>
    <row r="48" spans="1:54" x14ac:dyDescent="0.3">
      <c r="A48" s="1" t="str">
        <f>IF(A47&lt;'Project Information'!B$11,A47+1,"")</f>
        <v/>
      </c>
      <c r="B48" s="22">
        <v>0</v>
      </c>
      <c r="C48" s="22">
        <v>0</v>
      </c>
      <c r="D48" s="8">
        <f t="shared" si="0"/>
        <v>0</v>
      </c>
      <c r="G48" s="13"/>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s="14"/>
    </row>
    <row r="49" spans="1:54" x14ac:dyDescent="0.3">
      <c r="A49" s="1" t="str">
        <f>IF(A48&lt;'Project Information'!B$11,A48+1,"")</f>
        <v/>
      </c>
      <c r="B49" s="22">
        <v>0</v>
      </c>
      <c r="C49" s="22">
        <v>0</v>
      </c>
      <c r="D49" s="8">
        <f t="shared" si="0"/>
        <v>0</v>
      </c>
      <c r="G49" s="13"/>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s="14"/>
    </row>
    <row r="50" spans="1:54" x14ac:dyDescent="0.3">
      <c r="A50" s="1" t="str">
        <f>IF(A49&lt;'Project Information'!B$11,A49+1,"")</f>
        <v/>
      </c>
      <c r="B50" s="22">
        <v>0</v>
      </c>
      <c r="C50" s="22">
        <v>0</v>
      </c>
      <c r="D50" s="8">
        <f t="shared" si="0"/>
        <v>0</v>
      </c>
      <c r="G50" s="13"/>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s="14"/>
    </row>
    <row r="51" spans="1:54" x14ac:dyDescent="0.3">
      <c r="A51" s="1" t="str">
        <f>IF(A50&lt;'Project Information'!B$11,A50+1,"")</f>
        <v/>
      </c>
      <c r="B51" s="22">
        <v>0</v>
      </c>
      <c r="C51" s="22">
        <v>0</v>
      </c>
      <c r="D51" s="8">
        <f t="shared" si="0"/>
        <v>0</v>
      </c>
      <c r="G51" s="13"/>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s="14"/>
    </row>
    <row r="52" spans="1:54" x14ac:dyDescent="0.3">
      <c r="A52" s="1" t="str">
        <f>IF(A51&lt;'Project Information'!B$11,A51+1,"")</f>
        <v/>
      </c>
      <c r="B52" s="22">
        <v>0</v>
      </c>
      <c r="C52" s="22">
        <v>0</v>
      </c>
      <c r="D52" s="8">
        <f t="shared" si="0"/>
        <v>0</v>
      </c>
      <c r="G52" s="13"/>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s="14"/>
    </row>
    <row r="53" spans="1:54" x14ac:dyDescent="0.3">
      <c r="A53" s="1" t="str">
        <f>IF(A52&lt;'Project Information'!B$11,A52+1,"")</f>
        <v/>
      </c>
      <c r="B53" s="22">
        <v>0</v>
      </c>
      <c r="C53" s="22">
        <v>0</v>
      </c>
      <c r="D53" s="8">
        <f t="shared" si="0"/>
        <v>0</v>
      </c>
      <c r="G53" s="1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s="14"/>
    </row>
    <row r="54" spans="1:54" x14ac:dyDescent="0.3">
      <c r="A54" s="1" t="str">
        <f>IF(A53&lt;'Project Information'!B$11,A53+1,"")</f>
        <v/>
      </c>
      <c r="B54" s="22">
        <v>0</v>
      </c>
      <c r="C54" s="22">
        <v>0</v>
      </c>
      <c r="D54" s="8">
        <f t="shared" si="0"/>
        <v>0</v>
      </c>
      <c r="G54" s="13"/>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s="14"/>
    </row>
    <row r="55" spans="1:54" x14ac:dyDescent="0.3">
      <c r="A55" s="1" t="str">
        <f>IF(A54&lt;'Project Information'!B$11,A54+1,"")</f>
        <v/>
      </c>
      <c r="B55" s="22">
        <v>0</v>
      </c>
      <c r="C55" s="22">
        <v>0</v>
      </c>
      <c r="D55" s="9">
        <f t="shared" si="0"/>
        <v>0</v>
      </c>
      <c r="G55" s="13"/>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s="14"/>
    </row>
    <row r="56" spans="1:54" x14ac:dyDescent="0.3">
      <c r="A56" s="31"/>
      <c r="B56" s="32"/>
      <c r="C56" s="32"/>
      <c r="D56" s="29"/>
      <c r="G56" s="13"/>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s="14"/>
    </row>
    <row r="57" spans="1:54" x14ac:dyDescent="0.3">
      <c r="B57" s="28"/>
      <c r="C57" s="28"/>
      <c r="D57" s="29"/>
      <c r="G57" s="13"/>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s="14"/>
    </row>
    <row r="58" spans="1:54" x14ac:dyDescent="0.3">
      <c r="B58" s="28"/>
      <c r="C58" s="28"/>
      <c r="D58" s="29"/>
      <c r="G58" s="13"/>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s="14"/>
    </row>
    <row r="59" spans="1:54" x14ac:dyDescent="0.3">
      <c r="B59" s="28"/>
      <c r="C59" s="28"/>
      <c r="D59" s="29"/>
      <c r="G59" s="13"/>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s="14"/>
    </row>
    <row r="60" spans="1:54" x14ac:dyDescent="0.3">
      <c r="B60" s="28"/>
      <c r="C60" s="28"/>
      <c r="D60" s="29"/>
      <c r="G60" s="13"/>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s="14"/>
    </row>
    <row r="61" spans="1:54" x14ac:dyDescent="0.3">
      <c r="B61" s="28"/>
      <c r="C61" s="28"/>
      <c r="D61" s="29"/>
      <c r="G61" s="13"/>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s="14"/>
    </row>
    <row r="62" spans="1:54" x14ac:dyDescent="0.3">
      <c r="B62" s="28"/>
      <c r="C62" s="28"/>
      <c r="D62" s="29"/>
      <c r="G62" s="13"/>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s="14"/>
    </row>
    <row r="63" spans="1:54" x14ac:dyDescent="0.3">
      <c r="B63" s="28"/>
      <c r="C63" s="28"/>
      <c r="D63" s="29"/>
      <c r="G63" s="1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s="14"/>
    </row>
    <row r="64" spans="1:54" x14ac:dyDescent="0.3">
      <c r="B64" s="28"/>
      <c r="C64" s="28"/>
      <c r="D64" s="29"/>
      <c r="G64" s="13"/>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s="14"/>
    </row>
    <row r="65" spans="2:54" x14ac:dyDescent="0.3">
      <c r="B65" s="28"/>
      <c r="C65" s="28"/>
      <c r="D65" s="29"/>
      <c r="G65" s="13"/>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s="14"/>
    </row>
    <row r="66" spans="2:54" x14ac:dyDescent="0.3">
      <c r="G66" s="13"/>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s="14"/>
    </row>
    <row r="67" spans="2:54" x14ac:dyDescent="0.3">
      <c r="G67" s="13"/>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s="14"/>
    </row>
    <row r="68" spans="2:54" x14ac:dyDescent="0.3">
      <c r="G68" s="13"/>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s="14"/>
    </row>
    <row r="69" spans="2:54" x14ac:dyDescent="0.3">
      <c r="G69" s="13"/>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s="14"/>
    </row>
    <row r="70" spans="2:54" x14ac:dyDescent="0.3">
      <c r="G70" s="13"/>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s="14"/>
    </row>
    <row r="71" spans="2:54" x14ac:dyDescent="0.3">
      <c r="G71" s="13"/>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s="14"/>
    </row>
    <row r="72" spans="2:54" x14ac:dyDescent="0.3">
      <c r="G72" s="13"/>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s="14"/>
    </row>
    <row r="73" spans="2:54" x14ac:dyDescent="0.3">
      <c r="G73" s="1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s="14"/>
    </row>
    <row r="74" spans="2:54" x14ac:dyDescent="0.3">
      <c r="G74" s="13"/>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s="14"/>
    </row>
    <row r="75" spans="2:54" x14ac:dyDescent="0.3">
      <c r="G75" s="13"/>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s="14"/>
    </row>
    <row r="76" spans="2:54" x14ac:dyDescent="0.3">
      <c r="G76" s="13"/>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s="14"/>
    </row>
    <row r="77" spans="2:54" x14ac:dyDescent="0.3">
      <c r="G77" s="13"/>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s="14"/>
    </row>
    <row r="78" spans="2:54" x14ac:dyDescent="0.3">
      <c r="G78" s="13"/>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s="14"/>
    </row>
    <row r="79" spans="2:54" x14ac:dyDescent="0.3">
      <c r="G79" s="13"/>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s="14"/>
    </row>
    <row r="80" spans="2:54" x14ac:dyDescent="0.3">
      <c r="G80" s="13"/>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s="14"/>
    </row>
    <row r="81" spans="7:54" x14ac:dyDescent="0.3">
      <c r="G81" s="13"/>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s="14"/>
    </row>
    <row r="82" spans="7:54" x14ac:dyDescent="0.3">
      <c r="G82" s="13"/>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s="14"/>
    </row>
    <row r="83" spans="7:54" x14ac:dyDescent="0.3">
      <c r="G83" s="1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s="14"/>
    </row>
    <row r="84" spans="7:54" x14ac:dyDescent="0.3">
      <c r="G84" s="13"/>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s="14"/>
    </row>
    <row r="85" spans="7:54" x14ac:dyDescent="0.3">
      <c r="G85" s="13"/>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s="14"/>
    </row>
    <row r="86" spans="7:54" x14ac:dyDescent="0.3">
      <c r="G86" s="13"/>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s="14"/>
    </row>
    <row r="87" spans="7:54" x14ac:dyDescent="0.3">
      <c r="G87" s="13"/>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s="14"/>
    </row>
    <row r="88" spans="7:54" x14ac:dyDescent="0.3">
      <c r="G88" s="13"/>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s="14"/>
    </row>
    <row r="89" spans="7:54" x14ac:dyDescent="0.3">
      <c r="G89" s="13"/>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s="14"/>
    </row>
    <row r="90" spans="7:54" x14ac:dyDescent="0.3">
      <c r="G90" s="13"/>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s="14"/>
    </row>
    <row r="91" spans="7:54" x14ac:dyDescent="0.3">
      <c r="G91" s="13"/>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s="14"/>
    </row>
    <row r="92" spans="7:54" x14ac:dyDescent="0.3">
      <c r="G92" s="13"/>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s="14"/>
    </row>
    <row r="93" spans="7:54" x14ac:dyDescent="0.3">
      <c r="G93" s="1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s="14"/>
    </row>
    <row r="94" spans="7:54" x14ac:dyDescent="0.3">
      <c r="G94" s="13"/>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s="14"/>
    </row>
    <row r="95" spans="7:54" x14ac:dyDescent="0.3">
      <c r="G95" s="13"/>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s="14"/>
    </row>
    <row r="96" spans="7:54" x14ac:dyDescent="0.3">
      <c r="G96" s="13"/>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s="14"/>
    </row>
    <row r="97" spans="7:54" x14ac:dyDescent="0.3">
      <c r="G97" s="13"/>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s="14"/>
    </row>
    <row r="98" spans="7:54" x14ac:dyDescent="0.3">
      <c r="G98" s="13"/>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s="14"/>
    </row>
    <row r="99" spans="7:54" x14ac:dyDescent="0.3">
      <c r="G99" s="13"/>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s="14"/>
    </row>
    <row r="100" spans="7:54" x14ac:dyDescent="0.3">
      <c r="G100" s="13"/>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s="14"/>
    </row>
    <row r="101" spans="7:54" x14ac:dyDescent="0.3">
      <c r="G101" s="13"/>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s="14"/>
    </row>
    <row r="102" spans="7:54" x14ac:dyDescent="0.3">
      <c r="G102" s="13"/>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s="14"/>
    </row>
    <row r="103" spans="7:54" x14ac:dyDescent="0.3">
      <c r="G103" s="1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s="14"/>
    </row>
    <row r="104" spans="7:54" x14ac:dyDescent="0.3">
      <c r="G104" s="13"/>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s="14"/>
    </row>
    <row r="105" spans="7:54" x14ac:dyDescent="0.3">
      <c r="G105" s="13"/>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s="14"/>
    </row>
    <row r="106" spans="7:54" x14ac:dyDescent="0.3">
      <c r="G106" s="13"/>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s="14"/>
    </row>
    <row r="107" spans="7:54" x14ac:dyDescent="0.3">
      <c r="G107" s="13"/>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s="14"/>
    </row>
    <row r="108" spans="7:54" x14ac:dyDescent="0.3">
      <c r="G108" s="13"/>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s="14"/>
    </row>
    <row r="109" spans="7:54" x14ac:dyDescent="0.3">
      <c r="G109" s="13"/>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s="14"/>
    </row>
    <row r="110" spans="7:54" x14ac:dyDescent="0.3">
      <c r="G110" s="13"/>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s="14"/>
    </row>
    <row r="111" spans="7:54" x14ac:dyDescent="0.3">
      <c r="G111" s="13"/>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s="14"/>
    </row>
    <row r="112" spans="7:54" x14ac:dyDescent="0.3">
      <c r="G112" s="13"/>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s="14"/>
    </row>
    <row r="113" spans="7:54" x14ac:dyDescent="0.3">
      <c r="G113" s="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s="14"/>
    </row>
    <row r="114" spans="7:54" x14ac:dyDescent="0.3">
      <c r="G114" s="13"/>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s="14"/>
    </row>
    <row r="115" spans="7:54" ht="15" thickBot="1" x14ac:dyDescent="0.35">
      <c r="G115" s="15"/>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7"/>
    </row>
  </sheetData>
  <conditionalFormatting sqref="B26:B55">
    <cfRule type="expression" dxfId="1" priority="2">
      <formula>A26=""</formula>
    </cfRule>
  </conditionalFormatting>
  <conditionalFormatting sqref="C26:C55">
    <cfRule type="expression" dxfId="0" priority="1">
      <formula>A26=""</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762AA-A4A0-4AEE-A83B-E1DACDC73A36}">
  <sheetPr>
    <tabColor theme="0" tint="-0.249977111117893"/>
  </sheetPr>
  <dimension ref="A1:F242"/>
  <sheetViews>
    <sheetView topLeftCell="A11" zoomScaleNormal="100" workbookViewId="0">
      <selection activeCell="A146" sqref="A146"/>
    </sheetView>
  </sheetViews>
  <sheetFormatPr defaultRowHeight="14.4" x14ac:dyDescent="0.3"/>
  <cols>
    <col min="1" max="1" width="48.88671875" customWidth="1"/>
    <col min="2" max="2" width="27.33203125" customWidth="1"/>
    <col min="3" max="3" width="22.5546875" customWidth="1"/>
    <col min="4" max="4" width="19" customWidth="1"/>
    <col min="5" max="5" width="13.5546875" customWidth="1"/>
    <col min="6" max="6" width="12" customWidth="1"/>
  </cols>
  <sheetData>
    <row r="1" spans="1:6" ht="21" x14ac:dyDescent="0.4">
      <c r="A1" s="56" t="s">
        <v>33</v>
      </c>
      <c r="B1" s="57"/>
      <c r="C1" s="57"/>
      <c r="D1" s="57"/>
      <c r="E1" s="71"/>
      <c r="F1" s="71"/>
    </row>
    <row r="2" spans="1:6" x14ac:dyDescent="0.3">
      <c r="A2" s="144" t="s">
        <v>34</v>
      </c>
      <c r="B2" s="144"/>
      <c r="C2" s="144"/>
      <c r="D2" s="144"/>
      <c r="E2" s="144"/>
      <c r="F2" s="60"/>
    </row>
    <row r="3" spans="1:6" x14ac:dyDescent="0.3">
      <c r="A3" s="61" t="s">
        <v>35</v>
      </c>
      <c r="F3" s="60"/>
    </row>
    <row r="4" spans="1:6" x14ac:dyDescent="0.3">
      <c r="A4" s="62" t="s">
        <v>21</v>
      </c>
      <c r="F4" s="60"/>
    </row>
    <row r="5" spans="1:6" x14ac:dyDescent="0.3">
      <c r="A5" s="63" t="s">
        <v>36</v>
      </c>
      <c r="B5" s="64"/>
      <c r="C5" s="64"/>
      <c r="D5" s="64"/>
      <c r="E5" s="64"/>
      <c r="F5" s="60"/>
    </row>
    <row r="6" spans="1:6" ht="17.25" customHeight="1" x14ac:dyDescent="0.3">
      <c r="A6" s="66" t="s">
        <v>37</v>
      </c>
      <c r="B6" s="66" t="s">
        <v>38</v>
      </c>
      <c r="C6" s="64"/>
      <c r="D6" s="64"/>
      <c r="E6" s="64"/>
      <c r="F6" s="60"/>
    </row>
    <row r="7" spans="1:6" x14ac:dyDescent="0.3">
      <c r="A7" s="67" t="s">
        <v>39</v>
      </c>
      <c r="B7" s="68">
        <v>5500</v>
      </c>
      <c r="C7" s="64"/>
      <c r="D7" s="64"/>
      <c r="E7" s="64"/>
      <c r="F7" s="60"/>
    </row>
    <row r="8" spans="1:6" x14ac:dyDescent="0.3">
      <c r="A8" s="67" t="s">
        <v>40</v>
      </c>
      <c r="B8" s="68">
        <v>122400</v>
      </c>
      <c r="C8" s="64"/>
      <c r="D8" s="64"/>
      <c r="E8" s="64"/>
      <c r="F8" s="60"/>
    </row>
    <row r="9" spans="1:6" x14ac:dyDescent="0.3">
      <c r="A9" s="67" t="s">
        <v>41</v>
      </c>
      <c r="B9" s="68">
        <v>256300</v>
      </c>
      <c r="C9" s="64"/>
      <c r="D9" s="64"/>
      <c r="E9" s="64"/>
      <c r="F9" s="60"/>
    </row>
    <row r="10" spans="1:6" x14ac:dyDescent="0.3">
      <c r="A10" s="67" t="s">
        <v>42</v>
      </c>
      <c r="B10" s="68">
        <v>1302300</v>
      </c>
      <c r="C10" s="64"/>
      <c r="D10" s="64"/>
      <c r="E10" s="64"/>
      <c r="F10" s="60"/>
    </row>
    <row r="11" spans="1:6" x14ac:dyDescent="0.3">
      <c r="A11" s="67" t="s">
        <v>43</v>
      </c>
      <c r="B11" s="68">
        <v>13700000</v>
      </c>
      <c r="C11" s="64"/>
      <c r="D11" s="64"/>
      <c r="E11" s="64"/>
      <c r="F11" s="60"/>
    </row>
    <row r="12" spans="1:6" x14ac:dyDescent="0.3">
      <c r="A12" s="67" t="s">
        <v>44</v>
      </c>
      <c r="B12" s="68">
        <v>238500</v>
      </c>
      <c r="C12" s="64"/>
      <c r="D12" s="64"/>
      <c r="E12" s="64"/>
      <c r="F12" s="60"/>
    </row>
    <row r="13" spans="1:6" x14ac:dyDescent="0.3">
      <c r="A13" s="63" t="s">
        <v>45</v>
      </c>
      <c r="B13" s="64"/>
      <c r="C13" s="64"/>
      <c r="D13" s="64"/>
      <c r="E13" s="64"/>
      <c r="F13" s="60"/>
    </row>
    <row r="14" spans="1:6" x14ac:dyDescent="0.3">
      <c r="A14" s="66" t="s">
        <v>46</v>
      </c>
      <c r="B14" s="66" t="s">
        <v>38</v>
      </c>
      <c r="C14" s="64"/>
      <c r="D14" s="64"/>
      <c r="E14" s="64"/>
      <c r="F14" s="60"/>
    </row>
    <row r="15" spans="1:6" x14ac:dyDescent="0.3">
      <c r="A15" s="67" t="s">
        <v>47</v>
      </c>
      <c r="B15" s="68">
        <v>9700</v>
      </c>
      <c r="C15" s="64"/>
      <c r="D15" s="64"/>
      <c r="E15" s="64"/>
      <c r="F15" s="60"/>
    </row>
    <row r="16" spans="1:6" x14ac:dyDescent="0.3">
      <c r="A16" s="67" t="s">
        <v>48</v>
      </c>
      <c r="B16" s="68">
        <v>342400</v>
      </c>
      <c r="C16" s="64"/>
      <c r="D16" s="64"/>
      <c r="E16" s="64"/>
      <c r="F16" s="60"/>
    </row>
    <row r="17" spans="1:6" x14ac:dyDescent="0.3">
      <c r="A17" s="67" t="s">
        <v>49</v>
      </c>
      <c r="B17" s="68">
        <v>15366900</v>
      </c>
      <c r="C17" s="64"/>
      <c r="D17" s="64"/>
      <c r="E17" s="64"/>
      <c r="F17" s="60"/>
    </row>
    <row r="18" spans="1:6" x14ac:dyDescent="0.3">
      <c r="A18" s="65" t="s">
        <v>21</v>
      </c>
      <c r="B18" s="64"/>
      <c r="C18" s="64"/>
      <c r="D18" s="64"/>
      <c r="E18" s="64"/>
      <c r="F18" s="60"/>
    </row>
    <row r="19" spans="1:6" x14ac:dyDescent="0.3">
      <c r="A19" s="63" t="s">
        <v>50</v>
      </c>
      <c r="B19" s="64"/>
      <c r="C19" s="64"/>
      <c r="D19" s="64"/>
      <c r="E19" s="64"/>
      <c r="F19" s="60"/>
    </row>
    <row r="20" spans="1:6" ht="15" customHeight="1" x14ac:dyDescent="0.3">
      <c r="A20" s="394" t="s">
        <v>51</v>
      </c>
      <c r="B20" s="394"/>
      <c r="C20" s="64"/>
      <c r="D20" s="64"/>
      <c r="E20" s="64"/>
      <c r="F20" s="60"/>
    </row>
    <row r="21" spans="1:6" x14ac:dyDescent="0.3">
      <c r="A21" s="394" t="s">
        <v>52</v>
      </c>
      <c r="B21" s="394"/>
      <c r="C21" s="64"/>
      <c r="D21" s="64"/>
      <c r="E21" s="64"/>
      <c r="F21" s="60"/>
    </row>
    <row r="22" spans="1:6" x14ac:dyDescent="0.3">
      <c r="A22" s="66" t="s">
        <v>53</v>
      </c>
      <c r="B22" s="66" t="s">
        <v>54</v>
      </c>
      <c r="C22" s="64"/>
      <c r="D22" s="64"/>
      <c r="E22" s="64"/>
      <c r="F22" s="60"/>
    </row>
    <row r="23" spans="1:6" x14ac:dyDescent="0.3">
      <c r="A23" s="67" t="s">
        <v>55</v>
      </c>
      <c r="B23" s="69"/>
      <c r="C23" s="64"/>
      <c r="D23" s="64"/>
      <c r="E23" s="64"/>
      <c r="F23" s="60"/>
    </row>
    <row r="24" spans="1:6" ht="16.8" x14ac:dyDescent="0.3">
      <c r="A24" s="67" t="s">
        <v>56</v>
      </c>
      <c r="B24" s="70">
        <v>20.100000000000001</v>
      </c>
      <c r="C24" s="64"/>
      <c r="D24" s="64"/>
      <c r="E24" s="64"/>
      <c r="F24" s="60"/>
    </row>
    <row r="25" spans="1:6" ht="16.8" x14ac:dyDescent="0.3">
      <c r="A25" s="67" t="s">
        <v>57</v>
      </c>
      <c r="B25" s="70">
        <v>34.6</v>
      </c>
      <c r="C25" s="64"/>
      <c r="D25" s="64"/>
      <c r="E25" s="64"/>
      <c r="F25" s="60"/>
    </row>
    <row r="26" spans="1:6" ht="16.8" x14ac:dyDescent="0.3">
      <c r="A26" s="67" t="s">
        <v>58</v>
      </c>
      <c r="B26" s="70">
        <v>21.8</v>
      </c>
      <c r="C26" s="64"/>
      <c r="D26" s="64"/>
      <c r="E26" s="64"/>
      <c r="F26" s="60"/>
    </row>
    <row r="27" spans="1:6" x14ac:dyDescent="0.3">
      <c r="A27" s="67"/>
      <c r="B27" s="70"/>
      <c r="C27" s="64"/>
      <c r="D27" s="64"/>
      <c r="E27" s="64"/>
      <c r="F27" s="60"/>
    </row>
    <row r="28" spans="1:6" ht="16.8" x14ac:dyDescent="0.3">
      <c r="A28" s="67" t="s">
        <v>59</v>
      </c>
      <c r="B28" s="70">
        <v>40.200000000000003</v>
      </c>
      <c r="C28" s="64"/>
      <c r="D28" s="64"/>
      <c r="E28" s="64"/>
      <c r="F28" s="60"/>
    </row>
    <row r="29" spans="1:6" x14ac:dyDescent="0.3">
      <c r="A29" s="69"/>
      <c r="B29" s="70"/>
      <c r="C29" s="64"/>
      <c r="D29" s="64"/>
      <c r="E29" s="64"/>
      <c r="F29" s="60"/>
    </row>
    <row r="30" spans="1:6" ht="16.8" x14ac:dyDescent="0.3">
      <c r="A30" s="67" t="s">
        <v>60</v>
      </c>
      <c r="B30" s="70"/>
      <c r="C30" s="64"/>
      <c r="D30" s="64"/>
      <c r="E30" s="64"/>
      <c r="F30" s="60"/>
    </row>
    <row r="31" spans="1:6" x14ac:dyDescent="0.3">
      <c r="A31" s="67" t="s">
        <v>61</v>
      </c>
      <c r="B31" s="70">
        <v>37.200000000000003</v>
      </c>
      <c r="C31" s="64"/>
      <c r="D31" s="64"/>
      <c r="E31" s="64"/>
      <c r="F31" s="60"/>
    </row>
    <row r="32" spans="1:6" x14ac:dyDescent="0.3">
      <c r="A32" s="67" t="s">
        <v>62</v>
      </c>
      <c r="B32" s="70">
        <v>40.299999999999997</v>
      </c>
      <c r="C32" s="64"/>
      <c r="D32" s="64"/>
      <c r="E32" s="64"/>
      <c r="F32" s="60"/>
    </row>
    <row r="33" spans="1:6" x14ac:dyDescent="0.3">
      <c r="A33" s="67" t="s">
        <v>63</v>
      </c>
      <c r="B33" s="70">
        <v>59.5</v>
      </c>
      <c r="C33" s="64"/>
      <c r="D33" s="64"/>
      <c r="E33" s="64"/>
      <c r="F33" s="60"/>
    </row>
    <row r="34" spans="1:6" x14ac:dyDescent="0.3">
      <c r="A34" s="67" t="s">
        <v>64</v>
      </c>
      <c r="B34" s="70">
        <v>54.2</v>
      </c>
      <c r="C34" s="64"/>
      <c r="D34" s="64"/>
      <c r="E34" s="64"/>
      <c r="F34" s="60"/>
    </row>
    <row r="35" spans="1:6" x14ac:dyDescent="0.3">
      <c r="A35" s="73"/>
      <c r="B35" s="74"/>
      <c r="C35" s="64"/>
      <c r="D35" s="64"/>
      <c r="E35" s="64"/>
      <c r="F35" s="60"/>
    </row>
    <row r="36" spans="1:6" ht="83.25" customHeight="1" x14ac:dyDescent="0.3">
      <c r="A36" s="395" t="s">
        <v>65</v>
      </c>
      <c r="B36" s="396"/>
      <c r="C36" s="64"/>
      <c r="D36" s="64"/>
      <c r="E36" s="64"/>
      <c r="F36" s="60"/>
    </row>
    <row r="37" spans="1:6" ht="54" customHeight="1" x14ac:dyDescent="0.3">
      <c r="A37" s="395" t="s">
        <v>66</v>
      </c>
      <c r="B37" s="396"/>
      <c r="C37" s="64"/>
      <c r="D37" s="64"/>
      <c r="E37" s="64"/>
      <c r="F37" s="60"/>
    </row>
    <row r="38" spans="1:6" ht="58.5" customHeight="1" x14ac:dyDescent="0.3">
      <c r="A38" s="395" t="s">
        <v>67</v>
      </c>
      <c r="B38" s="396"/>
      <c r="C38" s="64"/>
      <c r="D38" s="64"/>
      <c r="E38" s="64"/>
      <c r="F38" s="60"/>
    </row>
    <row r="39" spans="1:6" ht="25.5" customHeight="1" x14ac:dyDescent="0.3">
      <c r="A39" s="399" t="s">
        <v>68</v>
      </c>
      <c r="B39" s="400"/>
      <c r="C39" s="64"/>
      <c r="D39" s="64"/>
      <c r="E39" s="64"/>
      <c r="F39" s="60"/>
    </row>
    <row r="40" spans="1:6" ht="23.25" customHeight="1" x14ac:dyDescent="0.3">
      <c r="A40" s="401" t="s">
        <v>69</v>
      </c>
      <c r="B40" s="402"/>
      <c r="C40" s="64"/>
      <c r="D40" s="64"/>
      <c r="E40" s="64"/>
      <c r="F40" s="60"/>
    </row>
    <row r="41" spans="1:6" x14ac:dyDescent="0.3">
      <c r="A41" s="5" t="s">
        <v>21</v>
      </c>
      <c r="B41" s="64"/>
      <c r="C41" s="64"/>
      <c r="D41" s="64"/>
      <c r="E41" s="64"/>
      <c r="F41" s="60"/>
    </row>
    <row r="42" spans="1:6" x14ac:dyDescent="0.3">
      <c r="A42" s="63" t="s">
        <v>70</v>
      </c>
      <c r="B42" s="64"/>
      <c r="C42" s="64"/>
      <c r="D42" s="64"/>
      <c r="E42" s="64"/>
      <c r="F42" s="60"/>
    </row>
    <row r="43" spans="1:6" x14ac:dyDescent="0.3">
      <c r="A43" s="391" t="s">
        <v>71</v>
      </c>
      <c r="B43" s="75" t="s">
        <v>72</v>
      </c>
      <c r="C43" s="64"/>
      <c r="D43" s="64"/>
      <c r="E43" s="64"/>
      <c r="F43" s="60"/>
    </row>
    <row r="44" spans="1:6" ht="16.8" x14ac:dyDescent="0.3">
      <c r="A44" s="67" t="s">
        <v>73</v>
      </c>
      <c r="B44" s="76">
        <v>1.34</v>
      </c>
      <c r="C44" s="64"/>
      <c r="D44" s="64"/>
      <c r="E44" s="64"/>
      <c r="F44" s="60"/>
    </row>
    <row r="45" spans="1:6" x14ac:dyDescent="0.3">
      <c r="A45" s="67" t="s">
        <v>74</v>
      </c>
      <c r="B45" s="76">
        <v>1.41</v>
      </c>
      <c r="C45" s="64"/>
      <c r="D45" s="64"/>
      <c r="E45" s="64"/>
      <c r="F45" s="60"/>
    </row>
    <row r="46" spans="1:6" x14ac:dyDescent="0.3">
      <c r="A46" s="67" t="s">
        <v>75</v>
      </c>
      <c r="B46" s="76">
        <v>1.81</v>
      </c>
      <c r="C46" s="64"/>
      <c r="D46" s="64"/>
      <c r="E46" s="64"/>
      <c r="F46" s="60"/>
    </row>
    <row r="47" spans="1:6" x14ac:dyDescent="0.3">
      <c r="A47" s="67" t="s">
        <v>76</v>
      </c>
      <c r="B47" s="76">
        <v>1.52</v>
      </c>
      <c r="C47" s="64"/>
      <c r="D47" s="64"/>
      <c r="E47" s="64"/>
      <c r="F47" s="60"/>
    </row>
    <row r="48" spans="1:6" x14ac:dyDescent="0.3">
      <c r="A48" s="65"/>
      <c r="B48" s="72"/>
      <c r="C48" s="64"/>
      <c r="D48" s="64"/>
      <c r="E48" s="64"/>
      <c r="F48" s="60"/>
    </row>
    <row r="49" spans="1:6" ht="45" customHeight="1" x14ac:dyDescent="0.3">
      <c r="A49" s="397" t="s">
        <v>77</v>
      </c>
      <c r="B49" s="398"/>
      <c r="C49" s="64"/>
      <c r="D49" s="64"/>
      <c r="E49" s="64"/>
      <c r="F49" s="60"/>
    </row>
    <row r="50" spans="1:6" x14ac:dyDescent="0.3">
      <c r="A50" s="5" t="s">
        <v>21</v>
      </c>
      <c r="B50" s="64"/>
      <c r="C50" s="64"/>
      <c r="D50" s="64"/>
      <c r="E50" s="64"/>
      <c r="F50" s="60"/>
    </row>
    <row r="51" spans="1:6" x14ac:dyDescent="0.3">
      <c r="A51" s="63" t="s">
        <v>78</v>
      </c>
      <c r="B51" s="64"/>
      <c r="C51" s="64"/>
      <c r="D51" s="64"/>
      <c r="E51" s="64"/>
      <c r="F51" s="60"/>
    </row>
    <row r="52" spans="1:6" ht="30" customHeight="1" x14ac:dyDescent="0.3">
      <c r="A52" s="391" t="s">
        <v>71</v>
      </c>
      <c r="B52" s="75" t="s">
        <v>79</v>
      </c>
      <c r="C52" s="64"/>
      <c r="D52" s="64"/>
      <c r="E52" s="64"/>
      <c r="F52" s="60"/>
    </row>
    <row r="53" spans="1:6" ht="16.8" x14ac:dyDescent="0.3">
      <c r="A53" s="67" t="s">
        <v>80</v>
      </c>
      <c r="B53" s="77">
        <v>0.56000000000000005</v>
      </c>
      <c r="C53" s="64"/>
      <c r="D53" s="64"/>
      <c r="E53" s="64"/>
      <c r="F53" s="60"/>
    </row>
    <row r="54" spans="1:6" ht="16.8" x14ac:dyDescent="0.3">
      <c r="A54" s="67" t="s">
        <v>81</v>
      </c>
      <c r="B54" s="77">
        <v>1.23</v>
      </c>
      <c r="C54" s="64"/>
      <c r="D54" s="64"/>
      <c r="E54" s="64"/>
      <c r="F54" s="60"/>
    </row>
    <row r="55" spans="1:6" x14ac:dyDescent="0.3">
      <c r="A55" s="65"/>
      <c r="B55" s="72"/>
      <c r="C55" s="64"/>
      <c r="D55" s="64"/>
      <c r="E55" s="64"/>
      <c r="F55" s="60"/>
    </row>
    <row r="56" spans="1:6" ht="68.25" customHeight="1" x14ac:dyDescent="0.3">
      <c r="A56" s="395" t="s">
        <v>82</v>
      </c>
      <c r="B56" s="396"/>
      <c r="C56" s="64"/>
      <c r="D56" s="64"/>
      <c r="E56" s="64"/>
      <c r="F56" s="60"/>
    </row>
    <row r="57" spans="1:6" ht="72" customHeight="1" x14ac:dyDescent="0.3">
      <c r="A57" s="397" t="s">
        <v>83</v>
      </c>
      <c r="B57" s="398"/>
      <c r="C57" s="64"/>
      <c r="D57" s="64"/>
      <c r="E57" s="64"/>
      <c r="F57" s="60"/>
    </row>
    <row r="58" spans="1:6" x14ac:dyDescent="0.3">
      <c r="A58" s="5" t="s">
        <v>21</v>
      </c>
      <c r="B58" s="64"/>
      <c r="C58" s="64"/>
      <c r="D58" s="64"/>
      <c r="E58" s="64"/>
      <c r="F58" s="60"/>
    </row>
    <row r="59" spans="1:6" x14ac:dyDescent="0.3">
      <c r="A59" s="63" t="s">
        <v>84</v>
      </c>
      <c r="B59" s="64"/>
      <c r="C59" s="64"/>
      <c r="D59" s="64"/>
      <c r="E59" s="64"/>
      <c r="F59" s="60"/>
    </row>
    <row r="60" spans="1:6" x14ac:dyDescent="0.3">
      <c r="A60" s="78"/>
      <c r="B60" s="403" t="s">
        <v>85</v>
      </c>
      <c r="C60" s="404"/>
      <c r="D60" s="170"/>
      <c r="E60" s="64"/>
      <c r="F60" s="60"/>
    </row>
    <row r="61" spans="1:6" ht="16.8" x14ac:dyDescent="0.3">
      <c r="A61" s="78" t="s">
        <v>86</v>
      </c>
      <c r="B61" s="78" t="s">
        <v>87</v>
      </c>
      <c r="C61" s="78" t="s">
        <v>88</v>
      </c>
      <c r="D61" s="170"/>
      <c r="E61" s="64"/>
      <c r="F61" s="60"/>
    </row>
    <row r="62" spans="1:6" x14ac:dyDescent="0.3">
      <c r="A62" s="122" t="s">
        <v>89</v>
      </c>
      <c r="B62" s="122"/>
      <c r="C62" s="169"/>
      <c r="D62" s="65"/>
      <c r="E62" s="64"/>
      <c r="F62" s="60"/>
    </row>
    <row r="63" spans="1:6" x14ac:dyDescent="0.3">
      <c r="A63" s="67" t="s">
        <v>90</v>
      </c>
      <c r="B63" s="120">
        <v>259</v>
      </c>
      <c r="C63" s="120">
        <v>799</v>
      </c>
      <c r="D63" s="171"/>
      <c r="E63" s="64"/>
      <c r="F63" s="60"/>
    </row>
    <row r="64" spans="1:6" x14ac:dyDescent="0.3">
      <c r="A64" s="67" t="s">
        <v>91</v>
      </c>
      <c r="B64" s="120">
        <v>281</v>
      </c>
      <c r="C64" s="120">
        <v>109</v>
      </c>
      <c r="D64" s="171"/>
      <c r="E64" s="64"/>
      <c r="F64" s="60"/>
    </row>
    <row r="65" spans="1:6" x14ac:dyDescent="0.3">
      <c r="A65" s="67" t="s">
        <v>92</v>
      </c>
      <c r="B65" s="120">
        <v>723</v>
      </c>
      <c r="C65" s="120">
        <v>109</v>
      </c>
      <c r="D65" s="171"/>
      <c r="E65" s="64"/>
      <c r="F65" s="60"/>
    </row>
    <row r="66" spans="1:6" x14ac:dyDescent="0.3">
      <c r="A66" s="67" t="s">
        <v>93</v>
      </c>
      <c r="B66" s="120">
        <v>327</v>
      </c>
      <c r="C66" s="120">
        <v>109</v>
      </c>
      <c r="D66" s="171"/>
      <c r="E66" s="64"/>
      <c r="F66" s="60"/>
    </row>
    <row r="67" spans="1:6" x14ac:dyDescent="0.3">
      <c r="A67" s="122" t="s">
        <v>94</v>
      </c>
      <c r="B67" s="122"/>
      <c r="C67" s="169"/>
      <c r="D67" s="65"/>
      <c r="E67" s="64"/>
      <c r="F67" s="60"/>
    </row>
    <row r="68" spans="1:6" x14ac:dyDescent="0.3">
      <c r="A68" s="67" t="s">
        <v>90</v>
      </c>
      <c r="B68" s="120">
        <v>655</v>
      </c>
      <c r="C68" s="120">
        <v>2356</v>
      </c>
      <c r="D68" s="171"/>
      <c r="E68" s="64"/>
      <c r="F68" s="60"/>
    </row>
    <row r="69" spans="1:6" x14ac:dyDescent="0.3">
      <c r="A69" s="67" t="s">
        <v>91</v>
      </c>
      <c r="B69" s="120">
        <v>642</v>
      </c>
      <c r="C69" s="120">
        <v>780</v>
      </c>
      <c r="D69" s="171"/>
      <c r="E69" s="64"/>
      <c r="F69" s="60"/>
    </row>
    <row r="70" spans="1:6" x14ac:dyDescent="0.3">
      <c r="A70" s="67" t="s">
        <v>92</v>
      </c>
      <c r="B70" s="120">
        <v>1084</v>
      </c>
      <c r="C70" s="120">
        <v>780</v>
      </c>
      <c r="D70" s="171"/>
      <c r="E70" s="64"/>
      <c r="F70" s="60"/>
    </row>
    <row r="71" spans="1:6" x14ac:dyDescent="0.3">
      <c r="A71" s="67" t="s">
        <v>93</v>
      </c>
      <c r="B71" s="120">
        <v>688</v>
      </c>
      <c r="C71" s="120">
        <v>780</v>
      </c>
      <c r="D71" s="171"/>
      <c r="E71" s="64"/>
      <c r="F71" s="60"/>
    </row>
    <row r="72" spans="1:6" x14ac:dyDescent="0.3">
      <c r="A72" s="122" t="s">
        <v>95</v>
      </c>
      <c r="B72" s="122"/>
      <c r="C72" s="169"/>
      <c r="D72" s="65"/>
      <c r="E72" s="64"/>
      <c r="F72" s="60"/>
    </row>
    <row r="73" spans="1:6" x14ac:dyDescent="0.3">
      <c r="A73" s="67" t="s">
        <v>96</v>
      </c>
      <c r="B73" s="70">
        <v>1.0900000000000001</v>
      </c>
      <c r="C73" s="121" t="s">
        <v>97</v>
      </c>
      <c r="D73" s="172"/>
      <c r="E73" s="64"/>
      <c r="F73" s="60"/>
    </row>
    <row r="74" spans="1:6" ht="27.9" customHeight="1" x14ac:dyDescent="0.3">
      <c r="A74" s="405" t="s">
        <v>98</v>
      </c>
      <c r="B74" s="405"/>
      <c r="C74" s="406"/>
      <c r="D74" s="173"/>
      <c r="E74" s="64"/>
      <c r="F74" s="60"/>
    </row>
    <row r="75" spans="1:6" ht="66.75" customHeight="1" x14ac:dyDescent="0.3">
      <c r="A75" s="407" t="s">
        <v>99</v>
      </c>
      <c r="B75" s="407"/>
      <c r="C75" s="398"/>
      <c r="D75" s="173"/>
      <c r="E75" s="64"/>
      <c r="F75" s="60"/>
    </row>
    <row r="76" spans="1:6" x14ac:dyDescent="0.3">
      <c r="A76" s="5" t="s">
        <v>21</v>
      </c>
      <c r="B76" s="64"/>
      <c r="C76" s="64"/>
      <c r="D76" s="64"/>
      <c r="E76" s="64"/>
      <c r="F76" s="60"/>
    </row>
    <row r="77" spans="1:6" x14ac:dyDescent="0.3">
      <c r="A77" s="63" t="s">
        <v>100</v>
      </c>
      <c r="B77" s="64"/>
      <c r="C77" s="64"/>
      <c r="D77" s="64"/>
      <c r="E77" s="64"/>
      <c r="F77" s="60"/>
    </row>
    <row r="78" spans="1:6" ht="16.2" x14ac:dyDescent="0.3">
      <c r="A78" s="78" t="s">
        <v>101</v>
      </c>
      <c r="B78" s="75" t="s">
        <v>102</v>
      </c>
      <c r="C78" s="75" t="s">
        <v>103</v>
      </c>
      <c r="D78" s="75" t="s">
        <v>104</v>
      </c>
      <c r="E78" s="174"/>
      <c r="F78" s="60"/>
    </row>
    <row r="79" spans="1:6" x14ac:dyDescent="0.3">
      <c r="A79" s="67">
        <v>2025</v>
      </c>
      <c r="B79" s="68">
        <v>21600</v>
      </c>
      <c r="C79" s="68">
        <v>59000</v>
      </c>
      <c r="D79" s="68">
        <v>1054000</v>
      </c>
      <c r="E79" s="175"/>
      <c r="F79" s="60"/>
    </row>
    <row r="80" spans="1:6" x14ac:dyDescent="0.3">
      <c r="A80" s="67">
        <v>2026</v>
      </c>
      <c r="B80" s="68">
        <v>22000</v>
      </c>
      <c r="C80" s="68">
        <v>60100</v>
      </c>
      <c r="D80" s="68">
        <v>1070700</v>
      </c>
      <c r="E80" s="175"/>
      <c r="F80" s="60"/>
    </row>
    <row r="81" spans="1:6" x14ac:dyDescent="0.3">
      <c r="A81" s="67">
        <v>2027</v>
      </c>
      <c r="B81" s="68">
        <v>22500</v>
      </c>
      <c r="C81" s="68">
        <v>61100</v>
      </c>
      <c r="D81" s="68">
        <v>1087800</v>
      </c>
      <c r="E81" s="175"/>
      <c r="F81" s="60"/>
    </row>
    <row r="82" spans="1:6" x14ac:dyDescent="0.3">
      <c r="A82" s="67">
        <v>2028</v>
      </c>
      <c r="B82" s="68">
        <v>22900</v>
      </c>
      <c r="C82" s="68">
        <v>62200</v>
      </c>
      <c r="D82" s="68">
        <v>1105100</v>
      </c>
      <c r="E82" s="175"/>
      <c r="F82" s="60"/>
    </row>
    <row r="83" spans="1:6" x14ac:dyDescent="0.3">
      <c r="A83" s="67">
        <v>2029</v>
      </c>
      <c r="B83" s="68">
        <v>23300</v>
      </c>
      <c r="C83" s="68">
        <v>63400</v>
      </c>
      <c r="D83" s="68">
        <v>1122600</v>
      </c>
      <c r="E83" s="175"/>
      <c r="F83" s="60"/>
    </row>
    <row r="84" spans="1:6" x14ac:dyDescent="0.3">
      <c r="A84" s="67">
        <v>2030</v>
      </c>
      <c r="B84" s="68">
        <v>23800</v>
      </c>
      <c r="C84" s="68">
        <v>64500</v>
      </c>
      <c r="D84" s="68">
        <v>1140500</v>
      </c>
      <c r="E84" s="175"/>
      <c r="F84" s="60"/>
    </row>
    <row r="85" spans="1:6" x14ac:dyDescent="0.3">
      <c r="A85" s="67">
        <v>2031</v>
      </c>
      <c r="B85" s="68">
        <v>23800</v>
      </c>
      <c r="C85" s="68">
        <v>64500</v>
      </c>
      <c r="D85" s="68">
        <v>1140500</v>
      </c>
      <c r="E85" s="175"/>
      <c r="F85" s="60"/>
    </row>
    <row r="86" spans="1:6" x14ac:dyDescent="0.3">
      <c r="A86" s="67">
        <v>2032</v>
      </c>
      <c r="B86" s="68">
        <v>23800</v>
      </c>
      <c r="C86" s="68">
        <v>64500</v>
      </c>
      <c r="D86" s="68">
        <v>1140500</v>
      </c>
      <c r="E86" s="175"/>
      <c r="F86" s="60"/>
    </row>
    <row r="87" spans="1:6" x14ac:dyDescent="0.3">
      <c r="A87" s="67">
        <v>2033</v>
      </c>
      <c r="B87" s="68">
        <v>23800</v>
      </c>
      <c r="C87" s="68">
        <v>64500</v>
      </c>
      <c r="D87" s="68">
        <v>1140500</v>
      </c>
      <c r="E87" s="175"/>
      <c r="F87" s="60"/>
    </row>
    <row r="88" spans="1:6" x14ac:dyDescent="0.3">
      <c r="A88" s="67">
        <v>2034</v>
      </c>
      <c r="B88" s="68">
        <v>23800</v>
      </c>
      <c r="C88" s="68">
        <v>64500</v>
      </c>
      <c r="D88" s="68">
        <v>1140500</v>
      </c>
      <c r="E88" s="175"/>
      <c r="F88" s="60"/>
    </row>
    <row r="89" spans="1:6" x14ac:dyDescent="0.3">
      <c r="A89" s="67">
        <v>2035</v>
      </c>
      <c r="B89" s="68">
        <v>23800</v>
      </c>
      <c r="C89" s="68">
        <v>64500</v>
      </c>
      <c r="D89" s="68">
        <v>1140500</v>
      </c>
      <c r="E89" s="175"/>
      <c r="F89" s="60"/>
    </row>
    <row r="90" spans="1:6" x14ac:dyDescent="0.3">
      <c r="A90" s="67">
        <v>2036</v>
      </c>
      <c r="B90" s="68">
        <v>23800</v>
      </c>
      <c r="C90" s="68">
        <v>64500</v>
      </c>
      <c r="D90" s="68">
        <v>1140500</v>
      </c>
      <c r="E90" s="175"/>
      <c r="F90" s="60"/>
    </row>
    <row r="91" spans="1:6" x14ac:dyDescent="0.3">
      <c r="A91" s="67">
        <v>2037</v>
      </c>
      <c r="B91" s="68">
        <v>23800</v>
      </c>
      <c r="C91" s="68">
        <v>64500</v>
      </c>
      <c r="D91" s="68">
        <v>1140500</v>
      </c>
      <c r="E91" s="175"/>
      <c r="F91" s="60"/>
    </row>
    <row r="92" spans="1:6" x14ac:dyDescent="0.3">
      <c r="A92" s="67">
        <v>2038</v>
      </c>
      <c r="B92" s="68">
        <v>23800</v>
      </c>
      <c r="C92" s="68">
        <v>64500</v>
      </c>
      <c r="D92" s="68">
        <v>1140500</v>
      </c>
      <c r="E92" s="175"/>
      <c r="F92" s="60"/>
    </row>
    <row r="93" spans="1:6" x14ac:dyDescent="0.3">
      <c r="A93" s="67">
        <v>2039</v>
      </c>
      <c r="B93" s="68">
        <v>23800</v>
      </c>
      <c r="C93" s="68">
        <v>64500</v>
      </c>
      <c r="D93" s="68">
        <v>1140500</v>
      </c>
      <c r="E93" s="175"/>
      <c r="F93" s="60"/>
    </row>
    <row r="94" spans="1:6" x14ac:dyDescent="0.3">
      <c r="A94" s="67">
        <v>2040</v>
      </c>
      <c r="B94" s="68">
        <v>23800</v>
      </c>
      <c r="C94" s="68">
        <v>64500</v>
      </c>
      <c r="D94" s="68">
        <v>1140500</v>
      </c>
      <c r="E94" s="175"/>
      <c r="F94" s="60"/>
    </row>
    <row r="95" spans="1:6" x14ac:dyDescent="0.3">
      <c r="A95" s="67">
        <v>2041</v>
      </c>
      <c r="B95" s="68">
        <v>23800</v>
      </c>
      <c r="C95" s="68">
        <v>64500</v>
      </c>
      <c r="D95" s="68">
        <v>1140500</v>
      </c>
      <c r="E95" s="175"/>
      <c r="F95" s="60"/>
    </row>
    <row r="96" spans="1:6" x14ac:dyDescent="0.3">
      <c r="A96" s="67">
        <v>2042</v>
      </c>
      <c r="B96" s="68">
        <v>23800</v>
      </c>
      <c r="C96" s="68">
        <v>64500</v>
      </c>
      <c r="D96" s="68">
        <v>1140500</v>
      </c>
      <c r="E96" s="175"/>
      <c r="F96" s="60"/>
    </row>
    <row r="97" spans="1:6" x14ac:dyDescent="0.3">
      <c r="A97" s="67">
        <v>2043</v>
      </c>
      <c r="B97" s="68">
        <v>23800</v>
      </c>
      <c r="C97" s="68">
        <v>64500</v>
      </c>
      <c r="D97" s="68">
        <v>1140500</v>
      </c>
      <c r="E97" s="175"/>
      <c r="F97" s="60"/>
    </row>
    <row r="98" spans="1:6" x14ac:dyDescent="0.3">
      <c r="A98" s="67">
        <v>2044</v>
      </c>
      <c r="B98" s="68">
        <v>23800</v>
      </c>
      <c r="C98" s="68">
        <v>64500</v>
      </c>
      <c r="D98" s="68">
        <v>1140500</v>
      </c>
      <c r="E98" s="175"/>
      <c r="F98" s="60"/>
    </row>
    <row r="99" spans="1:6" x14ac:dyDescent="0.3">
      <c r="A99" s="67">
        <v>2045</v>
      </c>
      <c r="B99" s="68">
        <v>23800</v>
      </c>
      <c r="C99" s="68">
        <v>64500</v>
      </c>
      <c r="D99" s="68">
        <v>1140500</v>
      </c>
      <c r="E99" s="175"/>
      <c r="F99" s="60"/>
    </row>
    <row r="100" spans="1:6" x14ac:dyDescent="0.3">
      <c r="A100" s="67">
        <v>2046</v>
      </c>
      <c r="B100" s="68">
        <v>23800</v>
      </c>
      <c r="C100" s="68">
        <v>64500</v>
      </c>
      <c r="D100" s="68">
        <v>1140500</v>
      </c>
      <c r="E100" s="175"/>
      <c r="F100" s="60"/>
    </row>
    <row r="101" spans="1:6" x14ac:dyDescent="0.3">
      <c r="A101" s="67">
        <v>2047</v>
      </c>
      <c r="B101" s="68">
        <v>23800</v>
      </c>
      <c r="C101" s="68">
        <v>64500</v>
      </c>
      <c r="D101" s="68">
        <v>1140500</v>
      </c>
      <c r="E101" s="175"/>
      <c r="F101" s="60"/>
    </row>
    <row r="102" spans="1:6" x14ac:dyDescent="0.3">
      <c r="A102" s="67">
        <v>2048</v>
      </c>
      <c r="B102" s="68">
        <v>23800</v>
      </c>
      <c r="C102" s="68">
        <v>64500</v>
      </c>
      <c r="D102" s="68">
        <v>1140500</v>
      </c>
      <c r="E102" s="175"/>
      <c r="F102" s="60"/>
    </row>
    <row r="103" spans="1:6" x14ac:dyDescent="0.3">
      <c r="A103" s="67">
        <v>2049</v>
      </c>
      <c r="B103" s="68">
        <v>23800</v>
      </c>
      <c r="C103" s="68">
        <v>64500</v>
      </c>
      <c r="D103" s="68">
        <v>1140500</v>
      </c>
      <c r="E103" s="175"/>
      <c r="F103" s="60"/>
    </row>
    <row r="104" spans="1:6" x14ac:dyDescent="0.3">
      <c r="A104" s="67">
        <v>2050</v>
      </c>
      <c r="B104" s="68">
        <v>23800</v>
      </c>
      <c r="C104" s="68">
        <v>64500</v>
      </c>
      <c r="D104" s="68">
        <v>1140500</v>
      </c>
      <c r="E104" s="175"/>
      <c r="F104" s="60"/>
    </row>
    <row r="105" spans="1:6" x14ac:dyDescent="0.3">
      <c r="A105" s="67">
        <v>2051</v>
      </c>
      <c r="B105" s="68">
        <v>23800</v>
      </c>
      <c r="C105" s="68">
        <v>64500</v>
      </c>
      <c r="D105" s="68">
        <v>1140500</v>
      </c>
      <c r="E105" s="175"/>
      <c r="F105" s="60"/>
    </row>
    <row r="106" spans="1:6" x14ac:dyDescent="0.3">
      <c r="A106" s="67">
        <v>2052</v>
      </c>
      <c r="B106" s="68">
        <v>23800</v>
      </c>
      <c r="C106" s="68">
        <v>64500</v>
      </c>
      <c r="D106" s="68">
        <v>1140500</v>
      </c>
      <c r="E106" s="175"/>
      <c r="F106" s="60"/>
    </row>
    <row r="107" spans="1:6" x14ac:dyDescent="0.3">
      <c r="A107" s="67">
        <v>2053</v>
      </c>
      <c r="B107" s="68">
        <v>23800</v>
      </c>
      <c r="C107" s="68">
        <v>64500</v>
      </c>
      <c r="D107" s="68">
        <v>1140500</v>
      </c>
      <c r="E107" s="175"/>
      <c r="F107" s="60"/>
    </row>
    <row r="108" spans="1:6" x14ac:dyDescent="0.3">
      <c r="A108" s="67">
        <v>2054</v>
      </c>
      <c r="B108" s="68">
        <v>23800</v>
      </c>
      <c r="C108" s="68">
        <v>64500</v>
      </c>
      <c r="D108" s="68">
        <v>1140500</v>
      </c>
      <c r="E108" s="175"/>
      <c r="F108" s="60"/>
    </row>
    <row r="109" spans="1:6" x14ac:dyDescent="0.3">
      <c r="A109" s="67">
        <v>2055</v>
      </c>
      <c r="B109" s="68">
        <v>23800</v>
      </c>
      <c r="C109" s="68">
        <v>64500</v>
      </c>
      <c r="D109" s="68">
        <v>1140500</v>
      </c>
      <c r="E109" s="175"/>
      <c r="F109" s="60"/>
    </row>
    <row r="110" spans="1:6" x14ac:dyDescent="0.3">
      <c r="A110" s="79"/>
      <c r="B110" s="80"/>
      <c r="C110" s="80"/>
      <c r="D110" s="81"/>
      <c r="E110" s="175"/>
      <c r="F110" s="60"/>
    </row>
    <row r="111" spans="1:6" ht="27.75" customHeight="1" x14ac:dyDescent="0.3">
      <c r="A111" s="395" t="s">
        <v>105</v>
      </c>
      <c r="B111" s="408"/>
      <c r="C111" s="408"/>
      <c r="D111" s="396"/>
      <c r="E111" s="176"/>
      <c r="F111" s="60"/>
    </row>
    <row r="112" spans="1:6" ht="16.2" x14ac:dyDescent="0.3">
      <c r="A112" s="409" t="s">
        <v>106</v>
      </c>
      <c r="B112" s="410"/>
      <c r="C112" s="410"/>
      <c r="D112" s="411"/>
      <c r="E112" s="176"/>
      <c r="F112" s="60"/>
    </row>
    <row r="113" spans="1:6" x14ac:dyDescent="0.3">
      <c r="A113" s="5" t="s">
        <v>21</v>
      </c>
      <c r="B113" s="64"/>
      <c r="C113" s="64"/>
      <c r="D113" s="64"/>
      <c r="E113" s="64"/>
      <c r="F113" s="60"/>
    </row>
    <row r="114" spans="1:6" x14ac:dyDescent="0.3">
      <c r="A114" s="63" t="s">
        <v>107</v>
      </c>
      <c r="B114" s="64"/>
      <c r="C114" s="64"/>
      <c r="D114" s="64"/>
      <c r="E114" s="64"/>
      <c r="F114" s="60"/>
    </row>
    <row r="115" spans="1:6" ht="34.5" customHeight="1" x14ac:dyDescent="0.3">
      <c r="A115" s="391" t="s">
        <v>108</v>
      </c>
      <c r="B115" s="75" t="s">
        <v>109</v>
      </c>
      <c r="C115" s="64"/>
      <c r="D115" s="64"/>
      <c r="E115" s="64"/>
      <c r="F115" s="60"/>
    </row>
    <row r="116" spans="1:6" x14ac:dyDescent="0.3">
      <c r="A116" s="82">
        <v>2005</v>
      </c>
      <c r="B116" s="76">
        <v>1.54</v>
      </c>
      <c r="C116" s="64"/>
      <c r="D116" s="64"/>
      <c r="E116" s="64"/>
      <c r="F116" s="60"/>
    </row>
    <row r="117" spans="1:6" x14ac:dyDescent="0.3">
      <c r="A117" s="82">
        <v>2006</v>
      </c>
      <c r="B117" s="76">
        <v>1.49</v>
      </c>
      <c r="C117" s="64"/>
      <c r="D117" s="64"/>
      <c r="E117" s="64"/>
      <c r="F117" s="60"/>
    </row>
    <row r="118" spans="1:6" x14ac:dyDescent="0.3">
      <c r="A118" s="82">
        <v>2007</v>
      </c>
      <c r="B118" s="76">
        <v>1.45</v>
      </c>
      <c r="C118" s="64"/>
      <c r="D118" s="64"/>
      <c r="E118" s="64"/>
      <c r="F118" s="60"/>
    </row>
    <row r="119" spans="1:6" x14ac:dyDescent="0.3">
      <c r="A119" s="82">
        <v>2008</v>
      </c>
      <c r="B119" s="76">
        <v>1.43</v>
      </c>
      <c r="C119" s="64"/>
      <c r="D119" s="64"/>
      <c r="E119" s="64"/>
      <c r="F119" s="60"/>
    </row>
    <row r="120" spans="1:6" x14ac:dyDescent="0.3">
      <c r="A120" s="82">
        <v>2009</v>
      </c>
      <c r="B120" s="76">
        <v>1.42</v>
      </c>
      <c r="C120" s="64"/>
      <c r="D120" s="64"/>
      <c r="E120" s="64"/>
      <c r="F120" s="60"/>
    </row>
    <row r="121" spans="1:6" x14ac:dyDescent="0.3">
      <c r="A121" s="82">
        <v>2010</v>
      </c>
      <c r="B121" s="76">
        <v>1.4</v>
      </c>
      <c r="C121" s="64"/>
      <c r="D121" s="64"/>
      <c r="E121" s="64"/>
      <c r="F121" s="60"/>
    </row>
    <row r="122" spans="1:6" x14ac:dyDescent="0.3">
      <c r="A122" s="82">
        <v>2011</v>
      </c>
      <c r="B122" s="76">
        <v>1.37</v>
      </c>
      <c r="C122" s="64"/>
      <c r="D122" s="64"/>
      <c r="E122" s="64"/>
      <c r="F122" s="60"/>
    </row>
    <row r="123" spans="1:6" x14ac:dyDescent="0.3">
      <c r="A123" s="82">
        <v>2012</v>
      </c>
      <c r="B123" s="76">
        <v>1.35</v>
      </c>
      <c r="C123" s="64"/>
      <c r="D123" s="64"/>
      <c r="E123" s="64"/>
      <c r="F123" s="60"/>
    </row>
    <row r="124" spans="1:6" x14ac:dyDescent="0.3">
      <c r="A124" s="82">
        <v>2013</v>
      </c>
      <c r="B124" s="76">
        <v>1.32</v>
      </c>
      <c r="C124" s="64"/>
      <c r="D124" s="64"/>
      <c r="E124" s="64"/>
      <c r="F124" s="60"/>
    </row>
    <row r="125" spans="1:6" x14ac:dyDescent="0.3">
      <c r="A125" s="82">
        <v>2014</v>
      </c>
      <c r="B125" s="76">
        <v>1.3</v>
      </c>
      <c r="C125" s="64"/>
      <c r="D125" s="64"/>
      <c r="E125" s="64"/>
      <c r="F125" s="60"/>
    </row>
    <row r="126" spans="1:6" x14ac:dyDescent="0.3">
      <c r="A126" s="82">
        <v>2015</v>
      </c>
      <c r="B126" s="76">
        <v>1.29</v>
      </c>
      <c r="C126" s="64"/>
      <c r="D126" s="64"/>
      <c r="E126" s="64"/>
      <c r="F126" s="60"/>
    </row>
    <row r="127" spans="1:6" x14ac:dyDescent="0.3">
      <c r="A127" s="82">
        <v>2016</v>
      </c>
      <c r="B127" s="76">
        <v>1.28</v>
      </c>
      <c r="C127" s="64"/>
      <c r="D127" s="64"/>
      <c r="E127" s="64"/>
      <c r="F127" s="60"/>
    </row>
    <row r="128" spans="1:6" x14ac:dyDescent="0.3">
      <c r="A128" s="82">
        <v>2017</v>
      </c>
      <c r="B128" s="76">
        <v>1.25</v>
      </c>
      <c r="C128" s="64"/>
      <c r="D128" s="64"/>
      <c r="E128" s="64"/>
      <c r="F128" s="60"/>
    </row>
    <row r="129" spans="1:6" x14ac:dyDescent="0.3">
      <c r="A129" s="82">
        <v>2018</v>
      </c>
      <c r="B129" s="76">
        <v>1.23</v>
      </c>
      <c r="C129" s="64"/>
      <c r="D129" s="64"/>
      <c r="E129" s="64"/>
      <c r="F129" s="60"/>
    </row>
    <row r="130" spans="1:6" x14ac:dyDescent="0.3">
      <c r="A130" s="82">
        <v>2019</v>
      </c>
      <c r="B130" s="76">
        <v>1.21</v>
      </c>
      <c r="C130" s="64"/>
      <c r="D130" s="64"/>
      <c r="E130" s="64"/>
      <c r="F130" s="60"/>
    </row>
    <row r="131" spans="1:6" x14ac:dyDescent="0.3">
      <c r="A131" s="82">
        <v>2020</v>
      </c>
      <c r="B131" s="76">
        <v>1.19</v>
      </c>
      <c r="C131" s="64"/>
      <c r="D131" s="64"/>
      <c r="E131" s="64"/>
      <c r="F131" s="60"/>
    </row>
    <row r="132" spans="1:6" x14ac:dyDescent="0.3">
      <c r="A132" s="82">
        <v>2021</v>
      </c>
      <c r="B132" s="76">
        <v>1.1399999999999999</v>
      </c>
      <c r="C132" s="64"/>
      <c r="D132" s="64"/>
      <c r="E132" s="64"/>
      <c r="F132" s="60"/>
    </row>
    <row r="133" spans="1:6" x14ac:dyDescent="0.3">
      <c r="A133" s="82">
        <v>2022</v>
      </c>
      <c r="B133" s="76">
        <v>1.06</v>
      </c>
      <c r="C133" s="64"/>
      <c r="D133" s="64"/>
      <c r="E133" s="64"/>
      <c r="F133" s="60"/>
    </row>
    <row r="134" spans="1:6" x14ac:dyDescent="0.3">
      <c r="A134" s="82">
        <v>2023</v>
      </c>
      <c r="B134" s="76">
        <v>1.02</v>
      </c>
      <c r="C134" s="64"/>
      <c r="D134" s="64"/>
      <c r="E134" s="64"/>
      <c r="F134" s="60"/>
    </row>
    <row r="135" spans="1:6" x14ac:dyDescent="0.3">
      <c r="A135" s="82">
        <v>2024</v>
      </c>
      <c r="B135" s="76">
        <v>1</v>
      </c>
      <c r="C135" s="64"/>
      <c r="D135" s="64"/>
      <c r="E135" s="64"/>
      <c r="F135" s="60"/>
    </row>
    <row r="136" spans="1:6" x14ac:dyDescent="0.3">
      <c r="A136" s="5" t="s">
        <v>21</v>
      </c>
      <c r="B136" s="64"/>
      <c r="C136" s="64"/>
      <c r="D136" s="64"/>
      <c r="E136" s="64"/>
      <c r="F136" s="60"/>
    </row>
    <row r="137" spans="1:6" x14ac:dyDescent="0.3">
      <c r="A137" s="63" t="s">
        <v>110</v>
      </c>
      <c r="B137" s="64"/>
      <c r="C137" s="64"/>
      <c r="D137" s="64"/>
      <c r="E137" s="64"/>
      <c r="F137" s="60"/>
    </row>
    <row r="138" spans="1:6" ht="51.75" customHeight="1" x14ac:dyDescent="0.3">
      <c r="A138" s="391" t="s">
        <v>111</v>
      </c>
      <c r="B138" s="75" t="s">
        <v>112</v>
      </c>
      <c r="C138" s="64"/>
      <c r="D138" s="64"/>
      <c r="E138" s="64"/>
      <c r="F138" s="60"/>
    </row>
    <row r="139" spans="1:6" ht="16.8" x14ac:dyDescent="0.3">
      <c r="A139" s="83" t="s">
        <v>113</v>
      </c>
      <c r="B139" s="70">
        <v>0.13</v>
      </c>
      <c r="C139" s="64"/>
      <c r="D139" s="64"/>
      <c r="E139" s="64"/>
      <c r="F139" s="60"/>
    </row>
    <row r="140" spans="1:6" x14ac:dyDescent="0.3">
      <c r="A140" s="83" t="s">
        <v>114</v>
      </c>
      <c r="B140" s="70">
        <v>1.24</v>
      </c>
      <c r="C140" s="64"/>
      <c r="D140" s="64"/>
      <c r="E140" s="64"/>
      <c r="F140" s="60"/>
    </row>
    <row r="141" spans="1:6" x14ac:dyDescent="0.3">
      <c r="A141" s="83" t="s">
        <v>115</v>
      </c>
      <c r="B141" s="70">
        <v>0.1</v>
      </c>
      <c r="C141" s="64"/>
      <c r="D141" s="64"/>
      <c r="E141" s="64"/>
      <c r="F141" s="60"/>
    </row>
    <row r="142" spans="1:6" ht="30" customHeight="1" x14ac:dyDescent="0.3">
      <c r="A142" s="84" t="s">
        <v>116</v>
      </c>
      <c r="B142" s="85">
        <v>1.1000000000000001E-3</v>
      </c>
      <c r="C142" s="64"/>
      <c r="D142" s="64"/>
      <c r="E142" s="64"/>
      <c r="F142" s="60"/>
    </row>
    <row r="143" spans="1:6" x14ac:dyDescent="0.3">
      <c r="A143" s="5" t="s">
        <v>21</v>
      </c>
      <c r="B143" s="4"/>
      <c r="C143" s="64"/>
      <c r="D143" s="64"/>
      <c r="E143" s="64"/>
      <c r="F143" s="60"/>
    </row>
    <row r="144" spans="1:6" ht="30.6" x14ac:dyDescent="0.3">
      <c r="A144" s="391" t="s">
        <v>111</v>
      </c>
      <c r="B144" s="75" t="s">
        <v>117</v>
      </c>
      <c r="C144" s="64"/>
      <c r="D144" s="64"/>
      <c r="E144" s="64"/>
      <c r="F144" s="60"/>
    </row>
    <row r="145" spans="1:6" ht="34.5" customHeight="1" x14ac:dyDescent="0.3">
      <c r="A145" s="84" t="s">
        <v>118</v>
      </c>
      <c r="B145" s="70">
        <v>0.22</v>
      </c>
      <c r="C145" s="64"/>
      <c r="D145" s="64"/>
      <c r="E145" s="64"/>
      <c r="F145" s="60"/>
    </row>
    <row r="146" spans="1:6" ht="35.25" customHeight="1" x14ac:dyDescent="0.3">
      <c r="A146" s="84" t="s">
        <v>119</v>
      </c>
      <c r="B146" s="70">
        <v>0.56999999999999995</v>
      </c>
      <c r="C146" s="64"/>
      <c r="D146" s="64"/>
      <c r="E146" s="64"/>
      <c r="F146" s="60"/>
    </row>
    <row r="147" spans="1:6" x14ac:dyDescent="0.3">
      <c r="A147" s="184"/>
      <c r="B147" s="185"/>
      <c r="C147" s="64"/>
      <c r="D147" s="64"/>
      <c r="E147" s="64"/>
      <c r="F147" s="60"/>
    </row>
    <row r="148" spans="1:6" ht="111" customHeight="1" x14ac:dyDescent="0.3">
      <c r="A148" s="395" t="s">
        <v>120</v>
      </c>
      <c r="B148" s="396"/>
      <c r="C148" s="64"/>
      <c r="D148" s="64"/>
      <c r="E148" s="64"/>
      <c r="F148" s="60"/>
    </row>
    <row r="149" spans="1:6" ht="36" customHeight="1" x14ac:dyDescent="0.3">
      <c r="A149" s="397" t="s">
        <v>121</v>
      </c>
      <c r="B149" s="398"/>
      <c r="C149" s="64"/>
      <c r="D149" s="64"/>
      <c r="E149" s="64"/>
      <c r="F149" s="60"/>
    </row>
    <row r="150" spans="1:6" x14ac:dyDescent="0.3">
      <c r="A150" s="5" t="s">
        <v>21</v>
      </c>
      <c r="B150" s="64"/>
      <c r="C150" s="64"/>
      <c r="D150" s="64"/>
      <c r="E150" s="64"/>
      <c r="F150" s="60"/>
    </row>
    <row r="151" spans="1:6" x14ac:dyDescent="0.3">
      <c r="A151" s="63" t="s">
        <v>122</v>
      </c>
      <c r="B151" s="64"/>
      <c r="C151" s="64"/>
      <c r="D151" s="64"/>
      <c r="E151" s="64"/>
      <c r="F151" s="60"/>
    </row>
    <row r="152" spans="1:6" ht="36.75" customHeight="1" x14ac:dyDescent="0.3">
      <c r="A152" s="391" t="s">
        <v>123</v>
      </c>
      <c r="B152" s="75" t="s">
        <v>124</v>
      </c>
      <c r="C152" s="64"/>
      <c r="D152" s="64"/>
      <c r="E152" s="64"/>
      <c r="F152" s="60"/>
    </row>
    <row r="153" spans="1:6" x14ac:dyDescent="0.3">
      <c r="A153" s="67" t="s">
        <v>125</v>
      </c>
      <c r="B153" s="77">
        <v>1.76</v>
      </c>
      <c r="C153" s="64"/>
      <c r="D153" s="64"/>
      <c r="E153" s="64"/>
      <c r="F153" s="60"/>
    </row>
    <row r="154" spans="1:6" ht="16.8" x14ac:dyDescent="0.3">
      <c r="A154" s="67" t="s">
        <v>126</v>
      </c>
      <c r="B154" s="77">
        <v>2.21</v>
      </c>
      <c r="C154" s="64"/>
      <c r="D154" s="64"/>
      <c r="E154" s="64"/>
      <c r="F154" s="60"/>
    </row>
    <row r="155" spans="1:6" x14ac:dyDescent="0.3">
      <c r="A155" s="67" t="s">
        <v>127</v>
      </c>
      <c r="B155" s="77">
        <v>2.09</v>
      </c>
      <c r="C155" s="64"/>
      <c r="D155" s="64"/>
      <c r="E155" s="64"/>
      <c r="F155" s="60"/>
    </row>
    <row r="156" spans="1:6" x14ac:dyDescent="0.3">
      <c r="A156" s="67" t="s">
        <v>128</v>
      </c>
      <c r="B156" s="77">
        <v>0.33</v>
      </c>
      <c r="C156" s="64"/>
      <c r="D156" s="64"/>
      <c r="E156" s="64"/>
      <c r="F156" s="60"/>
    </row>
    <row r="157" spans="1:6" x14ac:dyDescent="0.3">
      <c r="A157" s="67" t="s">
        <v>129</v>
      </c>
      <c r="B157" s="77">
        <v>2.09</v>
      </c>
      <c r="C157" s="64"/>
      <c r="D157" s="64"/>
      <c r="E157" s="64"/>
      <c r="F157" s="60"/>
    </row>
    <row r="158" spans="1:6" x14ac:dyDescent="0.3">
      <c r="A158" s="73"/>
      <c r="B158" s="74"/>
      <c r="C158" s="64"/>
      <c r="D158" s="64"/>
      <c r="E158" s="64"/>
      <c r="F158" s="60"/>
    </row>
    <row r="159" spans="1:6" ht="153.75" customHeight="1" x14ac:dyDescent="0.3">
      <c r="A159" s="395" t="s">
        <v>130</v>
      </c>
      <c r="B159" s="396"/>
      <c r="C159" s="64"/>
      <c r="D159" s="64"/>
      <c r="E159" s="64"/>
      <c r="F159" s="60"/>
    </row>
    <row r="160" spans="1:6" ht="50.25" customHeight="1" x14ac:dyDescent="0.3">
      <c r="A160" s="397" t="s">
        <v>131</v>
      </c>
      <c r="B160" s="398"/>
      <c r="C160" s="64"/>
      <c r="D160" s="64"/>
      <c r="E160" s="64"/>
      <c r="F160" s="60"/>
    </row>
    <row r="161" spans="1:6" x14ac:dyDescent="0.3">
      <c r="A161" s="5" t="s">
        <v>21</v>
      </c>
      <c r="F161" s="60"/>
    </row>
    <row r="162" spans="1:6" x14ac:dyDescent="0.3">
      <c r="A162" s="63" t="s">
        <v>132</v>
      </c>
      <c r="F162" s="60"/>
    </row>
    <row r="163" spans="1:6" ht="15.75" customHeight="1" x14ac:dyDescent="0.3">
      <c r="A163" s="415" t="s">
        <v>133</v>
      </c>
      <c r="B163" s="414" t="s">
        <v>134</v>
      </c>
      <c r="C163" s="414"/>
      <c r="D163" s="414"/>
      <c r="F163" s="60"/>
    </row>
    <row r="164" spans="1:6" ht="37.5" customHeight="1" x14ac:dyDescent="0.3">
      <c r="A164" s="415"/>
      <c r="B164" s="75" t="s">
        <v>135</v>
      </c>
      <c r="C164" s="75" t="s">
        <v>136</v>
      </c>
      <c r="D164" s="75" t="s">
        <v>137</v>
      </c>
      <c r="F164" s="60"/>
    </row>
    <row r="165" spans="1:6" x14ac:dyDescent="0.3">
      <c r="A165" s="86" t="s">
        <v>138</v>
      </c>
      <c r="B165" s="87">
        <v>0.04</v>
      </c>
      <c r="C165" s="87">
        <v>0.04</v>
      </c>
      <c r="D165" s="87">
        <v>7.0000000000000007E-2</v>
      </c>
      <c r="F165" s="60"/>
    </row>
    <row r="166" spans="1:6" x14ac:dyDescent="0.3">
      <c r="A166" s="86" t="s">
        <v>139</v>
      </c>
      <c r="B166" s="87">
        <v>0.36</v>
      </c>
      <c r="C166" s="87">
        <v>0.17</v>
      </c>
      <c r="D166" s="87">
        <v>1</v>
      </c>
      <c r="F166" s="60"/>
    </row>
    <row r="167" spans="1:6" x14ac:dyDescent="0.3">
      <c r="A167" s="86" t="s">
        <v>140</v>
      </c>
      <c r="B167" s="87">
        <v>0.27</v>
      </c>
      <c r="C167" s="87">
        <v>0.27</v>
      </c>
      <c r="D167" s="87">
        <v>0.13</v>
      </c>
      <c r="F167" s="60"/>
    </row>
    <row r="168" spans="1:6" x14ac:dyDescent="0.3">
      <c r="A168" s="86" t="s">
        <v>141</v>
      </c>
      <c r="B168" s="87">
        <v>0.36</v>
      </c>
      <c r="C168" s="87">
        <v>0.06</v>
      </c>
      <c r="D168" s="87">
        <v>0.12</v>
      </c>
      <c r="F168" s="60"/>
    </row>
    <row r="169" spans="1:6" ht="16.8" x14ac:dyDescent="0.3">
      <c r="A169" s="86" t="s">
        <v>142</v>
      </c>
      <c r="B169" s="87">
        <v>0.22</v>
      </c>
      <c r="C169" s="87">
        <v>0.16</v>
      </c>
      <c r="D169" s="87">
        <v>0.15</v>
      </c>
      <c r="F169" s="60"/>
    </row>
    <row r="170" spans="1:6" ht="16.8" x14ac:dyDescent="0.3">
      <c r="A170" s="86" t="s">
        <v>143</v>
      </c>
      <c r="B170" s="87">
        <v>0.28999999999999998</v>
      </c>
      <c r="C170" s="87">
        <v>0.19</v>
      </c>
      <c r="D170" s="87">
        <v>0.15</v>
      </c>
      <c r="F170" s="60"/>
    </row>
    <row r="171" spans="1:6" x14ac:dyDescent="0.3">
      <c r="A171" s="86" t="s">
        <v>144</v>
      </c>
      <c r="B171" s="87">
        <v>0.17</v>
      </c>
      <c r="C171" s="87">
        <v>0.17</v>
      </c>
      <c r="D171" s="87">
        <v>0.12</v>
      </c>
      <c r="F171" s="60"/>
    </row>
    <row r="172" spans="1:6" x14ac:dyDescent="0.3">
      <c r="A172" s="86" t="s">
        <v>145</v>
      </c>
      <c r="B172" s="87">
        <v>0.13</v>
      </c>
      <c r="C172" s="87">
        <v>0.13</v>
      </c>
      <c r="D172" s="87">
        <v>7.0000000000000007E-2</v>
      </c>
      <c r="F172" s="60"/>
    </row>
    <row r="173" spans="1:6" x14ac:dyDescent="0.3">
      <c r="A173" s="86" t="s">
        <v>146</v>
      </c>
      <c r="B173" s="87">
        <v>0.09</v>
      </c>
      <c r="C173" s="87">
        <v>0.03</v>
      </c>
      <c r="D173" s="87">
        <v>0.21</v>
      </c>
      <c r="F173" s="60"/>
    </row>
    <row r="174" spans="1:6" x14ac:dyDescent="0.3">
      <c r="A174" s="86" t="s">
        <v>147</v>
      </c>
      <c r="B174" s="87">
        <v>0.37</v>
      </c>
      <c r="C174" s="87">
        <v>0.37</v>
      </c>
      <c r="D174" s="87">
        <v>0.23</v>
      </c>
      <c r="F174" s="60"/>
    </row>
    <row r="175" spans="1:6" x14ac:dyDescent="0.3">
      <c r="A175" s="86" t="s">
        <v>148</v>
      </c>
      <c r="B175" s="87">
        <v>0.48</v>
      </c>
      <c r="C175" s="87">
        <v>0.09</v>
      </c>
      <c r="D175" s="87">
        <v>0.08</v>
      </c>
      <c r="F175" s="60"/>
    </row>
    <row r="176" spans="1:6" x14ac:dyDescent="0.3">
      <c r="A176" s="86" t="s">
        <v>149</v>
      </c>
      <c r="B176" s="87">
        <v>0.36</v>
      </c>
      <c r="C176" s="87">
        <v>0.36</v>
      </c>
      <c r="D176" s="87">
        <v>0.37</v>
      </c>
      <c r="F176" s="60"/>
    </row>
    <row r="177" spans="1:6" ht="16.8" x14ac:dyDescent="0.3">
      <c r="A177" s="86" t="s">
        <v>150</v>
      </c>
      <c r="B177" s="87">
        <v>0.72</v>
      </c>
      <c r="C177" s="87">
        <v>0.72</v>
      </c>
      <c r="D177" s="87">
        <v>0.72</v>
      </c>
      <c r="F177" s="60"/>
    </row>
    <row r="178" spans="1:6" x14ac:dyDescent="0.3">
      <c r="A178" s="86" t="s">
        <v>151</v>
      </c>
      <c r="B178" s="87">
        <v>0.12</v>
      </c>
      <c r="C178" s="87">
        <v>0.12</v>
      </c>
      <c r="D178" s="87">
        <v>0.08</v>
      </c>
      <c r="F178" s="60"/>
    </row>
    <row r="179" spans="1:6" x14ac:dyDescent="0.3">
      <c r="A179" s="86" t="s">
        <v>152</v>
      </c>
      <c r="B179" s="87">
        <v>0.27</v>
      </c>
      <c r="C179" s="87">
        <v>0.11</v>
      </c>
      <c r="D179" s="87">
        <v>0.55000000000000004</v>
      </c>
      <c r="F179" s="60"/>
    </row>
    <row r="180" spans="1:6" x14ac:dyDescent="0.3">
      <c r="A180" s="86" t="s">
        <v>153</v>
      </c>
      <c r="B180" s="88" t="s">
        <v>97</v>
      </c>
      <c r="C180" s="88" t="s">
        <v>97</v>
      </c>
      <c r="D180" s="87">
        <v>0.11</v>
      </c>
      <c r="F180" s="60"/>
    </row>
    <row r="181" spans="1:6" x14ac:dyDescent="0.3">
      <c r="A181" s="86" t="s">
        <v>154</v>
      </c>
      <c r="B181" s="88" t="s">
        <v>97</v>
      </c>
      <c r="C181" s="88" t="s">
        <v>97</v>
      </c>
      <c r="D181" s="87">
        <v>0.13</v>
      </c>
      <c r="F181" s="60"/>
    </row>
    <row r="182" spans="1:6" x14ac:dyDescent="0.3">
      <c r="A182" s="86" t="s">
        <v>155</v>
      </c>
      <c r="B182" s="88" t="s">
        <v>97</v>
      </c>
      <c r="C182" s="88" t="s">
        <v>97</v>
      </c>
      <c r="D182" s="87">
        <v>0.08</v>
      </c>
      <c r="F182" s="60"/>
    </row>
    <row r="183" spans="1:6" x14ac:dyDescent="0.3">
      <c r="A183" s="86" t="s">
        <v>156</v>
      </c>
      <c r="B183" s="88" t="s">
        <v>97</v>
      </c>
      <c r="C183" s="88" t="s">
        <v>97</v>
      </c>
      <c r="D183" s="87">
        <v>0.04</v>
      </c>
      <c r="F183" s="60"/>
    </row>
    <row r="184" spans="1:6" x14ac:dyDescent="0.3">
      <c r="A184" s="86" t="s">
        <v>157</v>
      </c>
      <c r="B184" s="88" t="s">
        <v>97</v>
      </c>
      <c r="C184" s="88" t="s">
        <v>97</v>
      </c>
      <c r="D184" s="87">
        <v>0.11</v>
      </c>
      <c r="F184" s="60"/>
    </row>
    <row r="185" spans="1:6" x14ac:dyDescent="0.3">
      <c r="A185" s="86" t="s">
        <v>158</v>
      </c>
      <c r="B185" s="88" t="s">
        <v>97</v>
      </c>
      <c r="C185" s="88" t="s">
        <v>97</v>
      </c>
      <c r="D185" s="87">
        <v>0.06</v>
      </c>
      <c r="F185" s="60"/>
    </row>
    <row r="186" spans="1:6" ht="16.8" x14ac:dyDescent="0.3">
      <c r="A186" s="86" t="s">
        <v>159</v>
      </c>
      <c r="B186" s="88" t="s">
        <v>97</v>
      </c>
      <c r="C186" s="88" t="s">
        <v>97</v>
      </c>
      <c r="D186" s="87">
        <v>0.23</v>
      </c>
      <c r="F186" s="60"/>
    </row>
    <row r="187" spans="1:6" x14ac:dyDescent="0.3">
      <c r="A187" s="89"/>
      <c r="B187" s="58"/>
      <c r="C187" s="58"/>
      <c r="D187" s="59"/>
      <c r="F187" s="60"/>
    </row>
    <row r="188" spans="1:6" ht="63.75" customHeight="1" x14ac:dyDescent="0.3">
      <c r="A188" s="397" t="s">
        <v>160</v>
      </c>
      <c r="B188" s="407"/>
      <c r="C188" s="407"/>
      <c r="D188" s="398"/>
      <c r="F188" s="60"/>
    </row>
    <row r="189" spans="1:6" x14ac:dyDescent="0.3">
      <c r="A189" s="5" t="s">
        <v>21</v>
      </c>
      <c r="F189" s="60"/>
    </row>
    <row r="190" spans="1:6" x14ac:dyDescent="0.3">
      <c r="A190" s="63" t="s">
        <v>161</v>
      </c>
      <c r="F190" s="60"/>
    </row>
    <row r="191" spans="1:6" ht="15" customHeight="1" x14ac:dyDescent="0.3">
      <c r="A191" s="415" t="s">
        <v>133</v>
      </c>
      <c r="B191" s="414" t="s">
        <v>134</v>
      </c>
      <c r="C191" s="414"/>
      <c r="D191" s="414"/>
      <c r="F191" s="60"/>
    </row>
    <row r="192" spans="1:6" x14ac:dyDescent="0.3">
      <c r="A192" s="415"/>
      <c r="B192" s="75" t="s">
        <v>162</v>
      </c>
      <c r="C192" s="75" t="s">
        <v>163</v>
      </c>
      <c r="D192" s="75" t="s">
        <v>164</v>
      </c>
      <c r="F192" s="60"/>
    </row>
    <row r="193" spans="1:6" x14ac:dyDescent="0.3">
      <c r="A193" s="86" t="s">
        <v>139</v>
      </c>
      <c r="B193" s="87">
        <v>0.25</v>
      </c>
      <c r="C193" s="87">
        <v>0.25</v>
      </c>
      <c r="D193" s="87">
        <v>0.25</v>
      </c>
      <c r="F193" s="60"/>
    </row>
    <row r="194" spans="1:6" x14ac:dyDescent="0.3">
      <c r="A194" s="86" t="s">
        <v>165</v>
      </c>
      <c r="B194" s="87">
        <v>0.15</v>
      </c>
      <c r="C194" s="87">
        <v>0.15</v>
      </c>
      <c r="D194" s="87">
        <v>0.36</v>
      </c>
      <c r="F194" s="60"/>
    </row>
    <row r="195" spans="1:6" x14ac:dyDescent="0.3">
      <c r="A195" s="86" t="s">
        <v>166</v>
      </c>
      <c r="B195" s="87">
        <v>0.1</v>
      </c>
      <c r="C195" s="87">
        <v>0.1</v>
      </c>
      <c r="D195" s="87">
        <v>0.1</v>
      </c>
      <c r="F195" s="60"/>
    </row>
    <row r="196" spans="1:6" x14ac:dyDescent="0.3">
      <c r="A196" s="86" t="s">
        <v>141</v>
      </c>
      <c r="B196" s="87">
        <v>0.44</v>
      </c>
      <c r="C196" s="87">
        <v>0.44</v>
      </c>
      <c r="D196" s="87">
        <v>0.45</v>
      </c>
      <c r="F196" s="60"/>
    </row>
    <row r="197" spans="1:6" x14ac:dyDescent="0.3">
      <c r="A197" s="86" t="s">
        <v>149</v>
      </c>
      <c r="B197" s="87">
        <v>0.25</v>
      </c>
      <c r="C197" s="87">
        <v>0.25</v>
      </c>
      <c r="D197" s="87">
        <v>0.73</v>
      </c>
      <c r="F197" s="60"/>
    </row>
    <row r="198" spans="1:6" x14ac:dyDescent="0.3">
      <c r="A198" s="86" t="s">
        <v>167</v>
      </c>
      <c r="B198" s="87">
        <v>0.36</v>
      </c>
      <c r="C198" s="87">
        <v>0.14000000000000001</v>
      </c>
      <c r="D198" s="87">
        <v>0.55000000000000004</v>
      </c>
      <c r="F198" s="60"/>
    </row>
    <row r="199" spans="1:6" x14ac:dyDescent="0.3">
      <c r="A199" s="86" t="s">
        <v>168</v>
      </c>
      <c r="B199" s="87">
        <v>0.05</v>
      </c>
      <c r="C199" s="87">
        <v>0.05</v>
      </c>
      <c r="D199" s="87">
        <v>0.05</v>
      </c>
      <c r="F199" s="60"/>
    </row>
    <row r="200" spans="1:6" x14ac:dyDescent="0.3">
      <c r="A200" s="86" t="s">
        <v>169</v>
      </c>
      <c r="B200" s="88" t="s">
        <v>97</v>
      </c>
      <c r="C200" s="88" t="s">
        <v>97</v>
      </c>
      <c r="D200" s="87">
        <v>0.03</v>
      </c>
      <c r="F200" s="60"/>
    </row>
    <row r="201" spans="1:6" x14ac:dyDescent="0.3">
      <c r="A201" s="86" t="s">
        <v>144</v>
      </c>
      <c r="B201" s="88" t="s">
        <v>97</v>
      </c>
      <c r="C201" s="88" t="s">
        <v>97</v>
      </c>
      <c r="D201" s="87">
        <v>0.22</v>
      </c>
      <c r="F201" s="60"/>
    </row>
    <row r="202" spans="1:6" x14ac:dyDescent="0.3">
      <c r="A202" s="5" t="s">
        <v>21</v>
      </c>
      <c r="F202" s="60"/>
    </row>
    <row r="203" spans="1:6" x14ac:dyDescent="0.3">
      <c r="A203" s="63" t="s">
        <v>170</v>
      </c>
      <c r="F203" s="60"/>
    </row>
    <row r="204" spans="1:6" ht="43.8" x14ac:dyDescent="0.3">
      <c r="A204" s="391" t="s">
        <v>171</v>
      </c>
      <c r="B204" s="90" t="s">
        <v>172</v>
      </c>
      <c r="C204" s="90" t="s">
        <v>173</v>
      </c>
      <c r="F204" s="60"/>
    </row>
    <row r="205" spans="1:6" ht="16.2" x14ac:dyDescent="0.3">
      <c r="A205" s="86" t="s">
        <v>174</v>
      </c>
      <c r="B205" s="87">
        <v>0.36</v>
      </c>
      <c r="C205" s="87">
        <v>0.44</v>
      </c>
      <c r="F205" s="60"/>
    </row>
    <row r="206" spans="1:6" ht="16.2" x14ac:dyDescent="0.3">
      <c r="A206" s="86" t="s">
        <v>175</v>
      </c>
      <c r="B206" s="87">
        <v>0.73</v>
      </c>
      <c r="C206" s="87">
        <v>0.87</v>
      </c>
      <c r="F206" s="60"/>
    </row>
    <row r="207" spans="1:6" ht="16.2" x14ac:dyDescent="0.3">
      <c r="A207" s="86" t="s">
        <v>176</v>
      </c>
      <c r="B207" s="87">
        <v>1.82</v>
      </c>
      <c r="C207" s="87">
        <v>1.74</v>
      </c>
      <c r="F207" s="60"/>
    </row>
    <row r="208" spans="1:6" x14ac:dyDescent="0.3">
      <c r="A208" s="86" t="s">
        <v>177</v>
      </c>
      <c r="B208" s="87">
        <v>2.1800000000000002</v>
      </c>
      <c r="C208" s="87">
        <v>2.1800000000000002</v>
      </c>
      <c r="F208" s="60"/>
    </row>
    <row r="209" spans="1:6" x14ac:dyDescent="0.3">
      <c r="A209" s="86" t="s">
        <v>178</v>
      </c>
      <c r="B209" s="87">
        <v>3.63</v>
      </c>
      <c r="C209" s="87">
        <v>3.92</v>
      </c>
      <c r="F209" s="60"/>
    </row>
    <row r="210" spans="1:6" x14ac:dyDescent="0.3">
      <c r="A210" s="86" t="s">
        <v>179</v>
      </c>
      <c r="B210" s="87">
        <v>4</v>
      </c>
      <c r="C210" s="87">
        <v>4.3600000000000003</v>
      </c>
      <c r="F210" s="60"/>
    </row>
    <row r="211" spans="1:6" x14ac:dyDescent="0.3">
      <c r="A211" s="86" t="s">
        <v>180</v>
      </c>
      <c r="B211" s="87">
        <v>5.81</v>
      </c>
      <c r="C211" s="87">
        <v>4.3600000000000003</v>
      </c>
      <c r="F211" s="60"/>
    </row>
    <row r="212" spans="1:6" ht="16.2" x14ac:dyDescent="0.3">
      <c r="A212" s="86" t="s">
        <v>181</v>
      </c>
      <c r="B212" s="87">
        <v>4</v>
      </c>
      <c r="C212" s="87">
        <v>4.3600000000000003</v>
      </c>
      <c r="F212" s="60"/>
    </row>
    <row r="213" spans="1:6" x14ac:dyDescent="0.3">
      <c r="A213" s="89"/>
      <c r="B213" s="58"/>
      <c r="C213" s="59"/>
      <c r="F213" s="60"/>
    </row>
    <row r="214" spans="1:6" ht="48.75" customHeight="1" x14ac:dyDescent="0.3">
      <c r="A214" s="395" t="s">
        <v>182</v>
      </c>
      <c r="B214" s="408"/>
      <c r="C214" s="396"/>
      <c r="F214" s="60"/>
    </row>
    <row r="215" spans="1:6" ht="96.75" customHeight="1" x14ac:dyDescent="0.3">
      <c r="A215" s="395" t="s">
        <v>183</v>
      </c>
      <c r="B215" s="408"/>
      <c r="C215" s="396"/>
      <c r="F215" s="60"/>
    </row>
    <row r="216" spans="1:6" ht="66.75" customHeight="1" x14ac:dyDescent="0.3">
      <c r="A216" s="397" t="s">
        <v>184</v>
      </c>
      <c r="B216" s="407"/>
      <c r="C216" s="398"/>
      <c r="F216" s="60"/>
    </row>
    <row r="217" spans="1:6" x14ac:dyDescent="0.3">
      <c r="A217" s="5" t="s">
        <v>21</v>
      </c>
      <c r="F217" s="60"/>
    </row>
    <row r="218" spans="1:6" x14ac:dyDescent="0.3">
      <c r="A218" s="63" t="s">
        <v>185</v>
      </c>
      <c r="F218" s="60"/>
    </row>
    <row r="219" spans="1:6" ht="30" x14ac:dyDescent="0.3">
      <c r="A219" s="391" t="s">
        <v>186</v>
      </c>
      <c r="B219" s="90" t="s">
        <v>187</v>
      </c>
      <c r="C219" s="90" t="s">
        <v>188</v>
      </c>
      <c r="F219" s="60"/>
    </row>
    <row r="220" spans="1:6" ht="16.2" x14ac:dyDescent="0.3">
      <c r="A220" s="86" t="s">
        <v>189</v>
      </c>
      <c r="B220" s="88" t="s">
        <v>190</v>
      </c>
      <c r="C220" s="87">
        <v>8.36</v>
      </c>
      <c r="F220" s="60"/>
    </row>
    <row r="221" spans="1:6" ht="16.2" x14ac:dyDescent="0.3">
      <c r="A221" s="86" t="s">
        <v>191</v>
      </c>
      <c r="B221" s="88" t="s">
        <v>192</v>
      </c>
      <c r="C221" s="87">
        <v>7.45</v>
      </c>
      <c r="F221" s="60"/>
    </row>
    <row r="222" spans="1:6" x14ac:dyDescent="0.3">
      <c r="A222" s="89"/>
      <c r="B222" s="58"/>
      <c r="C222" s="59"/>
      <c r="F222" s="60"/>
    </row>
    <row r="223" spans="1:6" ht="50.25" customHeight="1" x14ac:dyDescent="0.3">
      <c r="A223" s="395" t="s">
        <v>193</v>
      </c>
      <c r="B223" s="408"/>
      <c r="C223" s="396"/>
      <c r="F223" s="60"/>
    </row>
    <row r="224" spans="1:6" ht="51" customHeight="1" x14ac:dyDescent="0.3">
      <c r="A224" s="395" t="s">
        <v>194</v>
      </c>
      <c r="B224" s="408"/>
      <c r="C224" s="396"/>
      <c r="F224" s="60"/>
    </row>
    <row r="225" spans="1:6" ht="49.5" customHeight="1" x14ac:dyDescent="0.3">
      <c r="A225" s="395" t="s">
        <v>195</v>
      </c>
      <c r="B225" s="408"/>
      <c r="C225" s="396"/>
      <c r="F225" s="60"/>
    </row>
    <row r="226" spans="1:6" ht="80.25" customHeight="1" x14ac:dyDescent="0.3">
      <c r="A226" s="397" t="s">
        <v>196</v>
      </c>
      <c r="B226" s="407"/>
      <c r="C226" s="398"/>
      <c r="F226" s="60"/>
    </row>
    <row r="227" spans="1:6" x14ac:dyDescent="0.3">
      <c r="A227" s="5" t="s">
        <v>21</v>
      </c>
      <c r="F227" s="60"/>
    </row>
    <row r="228" spans="1:6" x14ac:dyDescent="0.3">
      <c r="A228" s="63" t="s">
        <v>197</v>
      </c>
      <c r="F228" s="60"/>
    </row>
    <row r="229" spans="1:6" ht="15.75" customHeight="1" x14ac:dyDescent="0.3">
      <c r="A229" s="415" t="s">
        <v>198</v>
      </c>
      <c r="B229" s="416" t="s">
        <v>199</v>
      </c>
      <c r="C229" s="417"/>
      <c r="D229" s="417"/>
      <c r="E229" s="418"/>
      <c r="F229" s="178"/>
    </row>
    <row r="230" spans="1:6" ht="16.8" x14ac:dyDescent="0.3">
      <c r="A230" s="415"/>
      <c r="B230" s="75" t="s">
        <v>200</v>
      </c>
      <c r="C230" s="75" t="s">
        <v>201</v>
      </c>
      <c r="D230" s="75" t="s">
        <v>202</v>
      </c>
      <c r="E230" s="75" t="s">
        <v>203</v>
      </c>
      <c r="F230" s="179"/>
    </row>
    <row r="231" spans="1:6" x14ac:dyDescent="0.3">
      <c r="A231" s="86" t="s">
        <v>204</v>
      </c>
      <c r="B231" s="91">
        <v>0.14699999999999999</v>
      </c>
      <c r="C231" s="92">
        <v>2.0999999999999999E-3</v>
      </c>
      <c r="D231" s="91">
        <v>1.9E-2</v>
      </c>
      <c r="E231" s="91" t="s">
        <v>97</v>
      </c>
      <c r="F231" s="180"/>
    </row>
    <row r="232" spans="1:6" x14ac:dyDescent="0.3">
      <c r="A232" s="86" t="s">
        <v>205</v>
      </c>
      <c r="B232" s="91">
        <v>3.1E-2</v>
      </c>
      <c r="C232" s="92">
        <v>2.0000000000000001E-4</v>
      </c>
      <c r="D232" s="91">
        <v>0.105</v>
      </c>
      <c r="E232" s="91" t="s">
        <v>97</v>
      </c>
      <c r="F232" s="180"/>
    </row>
    <row r="233" spans="1:6" x14ac:dyDescent="0.3">
      <c r="A233" s="86" t="s">
        <v>206</v>
      </c>
      <c r="B233" s="91">
        <v>0.124</v>
      </c>
      <c r="C233" s="92">
        <v>1.1000000000000001E-3</v>
      </c>
      <c r="D233" s="91">
        <v>4.2999999999999997E-2</v>
      </c>
      <c r="E233" s="91">
        <v>1.2999999999999999E-2</v>
      </c>
      <c r="F233" s="180"/>
    </row>
    <row r="234" spans="1:6" x14ac:dyDescent="0.3">
      <c r="A234" s="86" t="s">
        <v>207</v>
      </c>
      <c r="B234" s="91">
        <v>0.36699999999999999</v>
      </c>
      <c r="C234" s="92">
        <v>4.65E-2</v>
      </c>
      <c r="D234" s="91">
        <v>1.7000000000000001E-2</v>
      </c>
      <c r="E234" s="91" t="s">
        <v>97</v>
      </c>
      <c r="F234" s="180"/>
    </row>
    <row r="235" spans="1:6" x14ac:dyDescent="0.3">
      <c r="A235" s="86" t="s">
        <v>208</v>
      </c>
      <c r="B235" s="91">
        <v>0.08</v>
      </c>
      <c r="C235" s="92">
        <v>3.8999999999999998E-3</v>
      </c>
      <c r="D235" s="91">
        <v>0.03</v>
      </c>
      <c r="E235" s="91" t="s">
        <v>97</v>
      </c>
      <c r="F235" s="180"/>
    </row>
    <row r="236" spans="1:6" x14ac:dyDescent="0.3">
      <c r="A236" s="86" t="s">
        <v>209</v>
      </c>
      <c r="B236" s="91">
        <v>0.251</v>
      </c>
      <c r="C236" s="92">
        <v>2.3400000000000001E-2</v>
      </c>
      <c r="D236" s="91">
        <v>2.3E-2</v>
      </c>
      <c r="E236" s="91">
        <v>3.7999999999999999E-2</v>
      </c>
      <c r="F236" s="180"/>
    </row>
    <row r="237" spans="1:6" x14ac:dyDescent="0.3">
      <c r="A237" s="86" t="s">
        <v>210</v>
      </c>
      <c r="B237" s="91">
        <v>0.16300000000000001</v>
      </c>
      <c r="C237" s="92">
        <v>5.4000000000000003E-3</v>
      </c>
      <c r="D237" s="91">
        <v>1.9E-2</v>
      </c>
      <c r="E237" s="91" t="s">
        <v>97</v>
      </c>
      <c r="F237" s="180"/>
    </row>
    <row r="238" spans="1:6" x14ac:dyDescent="0.3">
      <c r="A238" s="86" t="s">
        <v>211</v>
      </c>
      <c r="B238" s="91">
        <v>3.7999999999999999E-2</v>
      </c>
      <c r="C238" s="92">
        <v>6.9999999999999999E-4</v>
      </c>
      <c r="D238" s="91">
        <v>9.4E-2</v>
      </c>
      <c r="E238" s="91" t="s">
        <v>97</v>
      </c>
      <c r="F238" s="180"/>
    </row>
    <row r="239" spans="1:6" x14ac:dyDescent="0.3">
      <c r="A239" s="86" t="s">
        <v>212</v>
      </c>
      <c r="B239" s="91">
        <v>0.13600000000000001</v>
      </c>
      <c r="C239" s="92">
        <v>3.3E-3</v>
      </c>
      <c r="D239" s="91">
        <v>4.1000000000000002E-2</v>
      </c>
      <c r="E239" s="91">
        <v>1.6E-2</v>
      </c>
      <c r="F239" s="180"/>
    </row>
    <row r="240" spans="1:6" x14ac:dyDescent="0.3">
      <c r="A240" s="89"/>
      <c r="B240" s="58"/>
      <c r="C240" s="58"/>
      <c r="D240" s="59"/>
      <c r="E240" s="177"/>
      <c r="F240" s="181"/>
    </row>
    <row r="241" spans="1:6" ht="45.75" customHeight="1" x14ac:dyDescent="0.3">
      <c r="A241" s="395" t="s">
        <v>213</v>
      </c>
      <c r="B241" s="408"/>
      <c r="C241" s="408"/>
      <c r="D241" s="408"/>
      <c r="E241" s="396"/>
      <c r="F241" s="182"/>
    </row>
    <row r="242" spans="1:6" ht="32.4" customHeight="1" x14ac:dyDescent="0.3">
      <c r="A242" s="412" t="s">
        <v>214</v>
      </c>
      <c r="B242" s="412"/>
      <c r="C242" s="412"/>
      <c r="D242" s="412"/>
      <c r="E242" s="413"/>
      <c r="F242" s="183"/>
    </row>
  </sheetData>
  <mergeCells count="35">
    <mergeCell ref="A148:B148"/>
    <mergeCell ref="A149:B149"/>
    <mergeCell ref="A159:B159"/>
    <mergeCell ref="A226:C226"/>
    <mergeCell ref="A229:A230"/>
    <mergeCell ref="A214:C214"/>
    <mergeCell ref="A215:C215"/>
    <mergeCell ref="A216:C216"/>
    <mergeCell ref="B229:E229"/>
    <mergeCell ref="A241:E241"/>
    <mergeCell ref="A242:E242"/>
    <mergeCell ref="A225:C225"/>
    <mergeCell ref="B163:D163"/>
    <mergeCell ref="A163:A164"/>
    <mergeCell ref="A223:C223"/>
    <mergeCell ref="A224:C224"/>
    <mergeCell ref="A188:D188"/>
    <mergeCell ref="A191:A192"/>
    <mergeCell ref="B191:D191"/>
    <mergeCell ref="A20:B20"/>
    <mergeCell ref="A21:B21"/>
    <mergeCell ref="A36:B36"/>
    <mergeCell ref="A37:B37"/>
    <mergeCell ref="A160:B160"/>
    <mergeCell ref="A38:B38"/>
    <mergeCell ref="A39:B39"/>
    <mergeCell ref="A40:B40"/>
    <mergeCell ref="A49:B49"/>
    <mergeCell ref="A56:B56"/>
    <mergeCell ref="A57:B57"/>
    <mergeCell ref="B60:C60"/>
    <mergeCell ref="A74:C74"/>
    <mergeCell ref="A75:C75"/>
    <mergeCell ref="A111:D111"/>
    <mergeCell ref="A112:D112"/>
  </mergeCells>
  <hyperlinks>
    <hyperlink ref="A3" r:id="rId1" display="Tables A-1 through A-4 come from USDOT BCA Guidance (March 2022, Revised)" xr:uid="{EEC7DA2A-2F4B-4A45-B8BB-0EB246DE662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DA22F-D262-4739-AF63-C624F3D98C4A}">
  <sheetPr>
    <tabColor rgb="FF0070C0"/>
  </sheetPr>
  <dimension ref="B2:AO37"/>
  <sheetViews>
    <sheetView workbookViewId="0">
      <selection activeCell="X20" sqref="X20"/>
    </sheetView>
  </sheetViews>
  <sheetFormatPr defaultRowHeight="14.4" outlineLevelCol="1" x14ac:dyDescent="0.3"/>
  <cols>
    <col min="1" max="1" width="2.5546875" customWidth="1"/>
    <col min="2" max="2" width="70.44140625" bestFit="1" customWidth="1"/>
    <col min="3" max="22" width="15.5546875" hidden="1" customWidth="1" outlineLevel="1"/>
    <col min="23" max="23" width="2.6640625" customWidth="1" collapsed="1"/>
    <col min="24" max="24" width="24" customWidth="1"/>
    <col min="25" max="25" width="26" customWidth="1"/>
    <col min="26" max="26" width="2.6640625" customWidth="1"/>
    <col min="27" max="27" width="64" customWidth="1"/>
  </cols>
  <sheetData>
    <row r="2" spans="2:41" x14ac:dyDescent="0.3">
      <c r="B2" s="275" t="s">
        <v>215</v>
      </c>
      <c r="X2" s="276" t="s">
        <v>216</v>
      </c>
      <c r="Y2" s="277" t="s">
        <v>217</v>
      </c>
      <c r="AA2" s="275" t="s">
        <v>218</v>
      </c>
      <c r="AB2" s="275"/>
      <c r="AC2" s="275"/>
      <c r="AD2" s="275"/>
      <c r="AE2" s="275"/>
      <c r="AF2" s="275"/>
      <c r="AG2" s="275"/>
      <c r="AH2" s="275"/>
      <c r="AI2" s="275"/>
      <c r="AJ2" s="275"/>
      <c r="AK2" s="275"/>
      <c r="AL2" s="275"/>
      <c r="AM2" s="275"/>
      <c r="AN2" s="275"/>
      <c r="AO2" s="275"/>
    </row>
    <row r="3" spans="2:41" x14ac:dyDescent="0.3">
      <c r="B3" t="s">
        <v>219</v>
      </c>
      <c r="X3" s="370">
        <v>11733</v>
      </c>
      <c r="Y3" s="370">
        <v>11733</v>
      </c>
    </row>
    <row r="4" spans="2:41" x14ac:dyDescent="0.3">
      <c r="B4" t="s">
        <v>220</v>
      </c>
      <c r="X4" s="371">
        <v>14488</v>
      </c>
      <c r="Y4" s="371">
        <v>14488</v>
      </c>
      <c r="AA4" t="s">
        <v>221</v>
      </c>
    </row>
    <row r="5" spans="2:41" x14ac:dyDescent="0.3">
      <c r="B5" t="s">
        <v>222</v>
      </c>
      <c r="X5" s="372">
        <f>(X4-X3)/X3</f>
        <v>0.23480780703997273</v>
      </c>
      <c r="Y5" s="372">
        <f>(Y4-Y3)/Y3</f>
        <v>0.23480780703997273</v>
      </c>
      <c r="AA5" t="s">
        <v>223</v>
      </c>
    </row>
    <row r="6" spans="2:41" x14ac:dyDescent="0.3">
      <c r="B6" t="s">
        <v>224</v>
      </c>
      <c r="X6" s="373" t="s">
        <v>225</v>
      </c>
      <c r="Y6" s="374">
        <v>0</v>
      </c>
      <c r="AA6" t="s">
        <v>226</v>
      </c>
    </row>
    <row r="7" spans="2:41" x14ac:dyDescent="0.3">
      <c r="B7" t="s">
        <v>227</v>
      </c>
      <c r="X7" s="373" t="s">
        <v>225</v>
      </c>
      <c r="Y7" s="374">
        <v>0.2</v>
      </c>
      <c r="AA7" t="s">
        <v>228</v>
      </c>
    </row>
    <row r="8" spans="2:41" x14ac:dyDescent="0.3">
      <c r="B8" t="s">
        <v>229</v>
      </c>
      <c r="X8" s="373" t="s">
        <v>225</v>
      </c>
      <c r="Y8" s="374">
        <v>0.2</v>
      </c>
      <c r="AA8" t="s">
        <v>230</v>
      </c>
    </row>
    <row r="9" spans="2:41" x14ac:dyDescent="0.3">
      <c r="B9" t="s">
        <v>231</v>
      </c>
      <c r="X9" s="373">
        <v>0.1</v>
      </c>
      <c r="Y9" s="374">
        <v>0.1</v>
      </c>
      <c r="AA9" t="s">
        <v>232</v>
      </c>
    </row>
    <row r="10" spans="2:41" x14ac:dyDescent="0.3">
      <c r="B10" t="s">
        <v>233</v>
      </c>
      <c r="X10" s="373">
        <v>0.23</v>
      </c>
      <c r="Y10" s="374">
        <v>0.23</v>
      </c>
      <c r="AA10" t="s">
        <v>234</v>
      </c>
    </row>
    <row r="11" spans="2:41" x14ac:dyDescent="0.3">
      <c r="B11" t="s">
        <v>235</v>
      </c>
      <c r="X11" s="373">
        <v>0.23</v>
      </c>
      <c r="Y11" s="374">
        <v>0.23</v>
      </c>
      <c r="AA11" t="s">
        <v>236</v>
      </c>
    </row>
    <row r="12" spans="2:41" x14ac:dyDescent="0.3">
      <c r="X12" s="291"/>
      <c r="Y12" s="291"/>
    </row>
    <row r="13" spans="2:41" x14ac:dyDescent="0.3">
      <c r="B13" s="293" t="s">
        <v>237</v>
      </c>
      <c r="C13" s="286"/>
      <c r="D13" s="287"/>
      <c r="E13" s="292"/>
      <c r="F13" s="287"/>
      <c r="G13" s="292"/>
      <c r="H13" s="287"/>
      <c r="I13" s="292"/>
      <c r="J13" s="287"/>
      <c r="K13" s="292"/>
      <c r="L13" s="287"/>
      <c r="M13" s="292"/>
      <c r="N13" s="287"/>
      <c r="O13" s="292"/>
      <c r="P13" s="287"/>
      <c r="Q13" s="292"/>
      <c r="R13" s="287"/>
      <c r="S13" s="292"/>
      <c r="T13" s="287"/>
      <c r="U13" s="292"/>
      <c r="V13" s="287"/>
      <c r="X13" s="276" t="s">
        <v>216</v>
      </c>
      <c r="Y13" s="277" t="s">
        <v>217</v>
      </c>
      <c r="AA13" s="300"/>
    </row>
    <row r="14" spans="2:41" x14ac:dyDescent="0.3">
      <c r="B14" s="285" t="s">
        <v>238</v>
      </c>
      <c r="C14" s="288"/>
      <c r="D14" s="294"/>
      <c r="E14" s="288"/>
      <c r="F14" s="294"/>
      <c r="G14" s="288"/>
      <c r="H14" s="294"/>
      <c r="I14" s="288"/>
      <c r="J14" s="294"/>
      <c r="K14" s="288"/>
      <c r="L14" s="294"/>
      <c r="M14" s="288"/>
      <c r="N14" s="294"/>
      <c r="O14" s="288"/>
      <c r="P14" s="294"/>
      <c r="Q14" s="288"/>
      <c r="R14" s="294"/>
      <c r="S14" s="288"/>
      <c r="T14" s="294"/>
      <c r="U14" s="289"/>
      <c r="V14" s="294"/>
      <c r="X14" s="375">
        <v>14000</v>
      </c>
      <c r="Y14" s="290">
        <f>X14*(1+Y6)</f>
        <v>14000</v>
      </c>
      <c r="AA14" s="369" t="s">
        <v>239</v>
      </c>
    </row>
    <row r="15" spans="2:41" x14ac:dyDescent="0.3">
      <c r="B15" s="285" t="s">
        <v>240</v>
      </c>
      <c r="C15" s="288"/>
      <c r="D15" s="294"/>
      <c r="E15" s="288"/>
      <c r="F15" s="294"/>
      <c r="G15" s="288"/>
      <c r="H15" s="294"/>
      <c r="I15" s="288"/>
      <c r="J15" s="294"/>
      <c r="K15" s="288"/>
      <c r="L15" s="294"/>
      <c r="M15" s="288"/>
      <c r="N15" s="294"/>
      <c r="O15" s="288"/>
      <c r="P15" s="294"/>
      <c r="Q15" s="288"/>
      <c r="R15" s="294"/>
      <c r="S15" s="288"/>
      <c r="T15" s="294"/>
      <c r="U15" s="289"/>
      <c r="V15" s="294"/>
      <c r="X15" s="375">
        <v>440</v>
      </c>
      <c r="Y15" s="290">
        <f>X15*(1+Y7)</f>
        <v>528</v>
      </c>
      <c r="AA15" s="369" t="s">
        <v>241</v>
      </c>
    </row>
    <row r="16" spans="2:41" x14ac:dyDescent="0.3">
      <c r="B16" s="285" t="s">
        <v>242</v>
      </c>
      <c r="C16" s="288"/>
      <c r="D16" s="294"/>
      <c r="E16" s="288"/>
      <c r="F16" s="294"/>
      <c r="G16" s="288"/>
      <c r="H16" s="294"/>
      <c r="I16" s="288"/>
      <c r="J16" s="294"/>
      <c r="K16" s="288"/>
      <c r="L16" s="294"/>
      <c r="M16" s="288"/>
      <c r="N16" s="294"/>
      <c r="O16" s="288"/>
      <c r="P16" s="294"/>
      <c r="Q16" s="288"/>
      <c r="R16" s="294"/>
      <c r="S16" s="288"/>
      <c r="T16" s="294"/>
      <c r="U16" s="289"/>
      <c r="V16" s="294"/>
      <c r="X16" s="375">
        <v>50</v>
      </c>
      <c r="Y16" s="290">
        <f>X16*(1+Y8)</f>
        <v>60</v>
      </c>
      <c r="AA16" s="369" t="s">
        <v>243</v>
      </c>
    </row>
    <row r="17" spans="2:27" x14ac:dyDescent="0.3">
      <c r="B17" s="285" t="s">
        <v>244</v>
      </c>
      <c r="C17" s="288"/>
      <c r="D17" s="294"/>
      <c r="E17" s="289"/>
      <c r="F17" s="294"/>
      <c r="G17" s="289"/>
      <c r="H17" s="294"/>
      <c r="I17" s="289"/>
      <c r="J17" s="294"/>
      <c r="K17" s="289"/>
      <c r="L17" s="294"/>
      <c r="M17" s="289"/>
      <c r="N17" s="294"/>
      <c r="O17" s="289"/>
      <c r="P17" s="294"/>
      <c r="Q17" s="289"/>
      <c r="R17" s="294"/>
      <c r="S17" s="289"/>
      <c r="T17" s="294"/>
      <c r="U17" s="289"/>
      <c r="V17" s="294"/>
      <c r="X17" s="375">
        <v>180</v>
      </c>
      <c r="Y17" s="290">
        <v>180</v>
      </c>
      <c r="AA17" s="369" t="s">
        <v>245</v>
      </c>
    </row>
    <row r="19" spans="2:27" x14ac:dyDescent="0.3">
      <c r="B19" s="275" t="s">
        <v>246</v>
      </c>
      <c r="X19" s="276" t="s">
        <v>216</v>
      </c>
      <c r="Y19" s="277" t="s">
        <v>217</v>
      </c>
    </row>
    <row r="20" spans="2:27" x14ac:dyDescent="0.3">
      <c r="B20" s="285" t="s">
        <v>247</v>
      </c>
      <c r="C20" s="283"/>
      <c r="D20" s="283"/>
      <c r="E20" s="283"/>
      <c r="F20" s="283"/>
      <c r="G20" s="283"/>
      <c r="H20" s="283"/>
      <c r="I20" s="283"/>
      <c r="J20" s="283"/>
      <c r="K20" s="283"/>
      <c r="L20" s="283"/>
      <c r="M20" s="283"/>
      <c r="N20" s="283"/>
      <c r="O20" s="283"/>
      <c r="P20" s="283"/>
      <c r="Q20" s="283"/>
      <c r="R20" s="283"/>
      <c r="S20" s="283"/>
      <c r="T20" s="283"/>
      <c r="U20" s="283"/>
      <c r="V20" s="283"/>
      <c r="W20" s="283"/>
      <c r="X20" s="376">
        <v>5.5</v>
      </c>
      <c r="Y20" s="377">
        <v>5.5</v>
      </c>
      <c r="AA20" s="369" t="s">
        <v>248</v>
      </c>
    </row>
    <row r="21" spans="2:27" x14ac:dyDescent="0.3">
      <c r="B21" s="285" t="s">
        <v>249</v>
      </c>
      <c r="C21" s="283"/>
      <c r="D21" s="283"/>
      <c r="E21" s="283"/>
      <c r="F21" s="283"/>
      <c r="G21" s="283"/>
      <c r="H21" s="283"/>
      <c r="I21" s="283"/>
      <c r="J21" s="283"/>
      <c r="K21" s="283"/>
      <c r="L21" s="283"/>
      <c r="M21" s="283"/>
      <c r="N21" s="283"/>
      <c r="O21" s="283"/>
      <c r="P21" s="283"/>
      <c r="Q21" s="283"/>
      <c r="R21" s="283"/>
      <c r="S21" s="283"/>
      <c r="T21" s="283"/>
      <c r="U21" s="283"/>
      <c r="V21" s="283"/>
      <c r="W21" s="283"/>
      <c r="X21" s="378">
        <v>0.86</v>
      </c>
      <c r="Y21" s="377">
        <v>0.86</v>
      </c>
      <c r="AA21" s="369" t="s">
        <v>250</v>
      </c>
    </row>
    <row r="22" spans="2:27" x14ac:dyDescent="0.3">
      <c r="B22" s="285" t="s">
        <v>251</v>
      </c>
      <c r="C22" s="283"/>
      <c r="D22" s="283"/>
      <c r="E22" s="283"/>
      <c r="F22" s="283"/>
      <c r="G22" s="283"/>
      <c r="H22" s="283"/>
      <c r="I22" s="283"/>
      <c r="J22" s="283"/>
      <c r="K22" s="283"/>
      <c r="L22" s="283"/>
      <c r="M22" s="283"/>
      <c r="N22" s="283"/>
      <c r="O22" s="283"/>
      <c r="P22" s="283"/>
      <c r="Q22" s="283"/>
      <c r="R22" s="283"/>
      <c r="S22" s="283"/>
      <c r="T22" s="283"/>
      <c r="U22" s="283"/>
      <c r="V22" s="283"/>
      <c r="W22" s="283"/>
      <c r="X22" s="378">
        <v>2.38</v>
      </c>
      <c r="Y22" s="377">
        <v>2.38</v>
      </c>
      <c r="Z22" s="339"/>
      <c r="AA22" s="369" t="s">
        <v>252</v>
      </c>
    </row>
    <row r="23" spans="2:27" x14ac:dyDescent="0.3">
      <c r="C23" s="278" t="s">
        <v>253</v>
      </c>
      <c r="D23" s="279"/>
      <c r="E23" s="278" t="s">
        <v>254</v>
      </c>
      <c r="F23" s="279"/>
      <c r="G23" s="278" t="s">
        <v>255</v>
      </c>
      <c r="H23" s="279"/>
      <c r="I23" s="278" t="s">
        <v>256</v>
      </c>
      <c r="J23" s="279"/>
      <c r="K23" s="278" t="s">
        <v>257</v>
      </c>
      <c r="L23" s="279"/>
      <c r="M23" s="278" t="s">
        <v>258</v>
      </c>
      <c r="N23" s="279"/>
      <c r="O23" s="278" t="s">
        <v>259</v>
      </c>
      <c r="P23" s="279"/>
      <c r="Q23" s="278" t="s">
        <v>260</v>
      </c>
      <c r="R23" s="279"/>
      <c r="S23" s="278" t="s">
        <v>261</v>
      </c>
      <c r="T23" s="279"/>
      <c r="U23" s="278" t="s">
        <v>262</v>
      </c>
      <c r="V23" s="279"/>
    </row>
    <row r="24" spans="2:27" x14ac:dyDescent="0.3">
      <c r="B24" s="293" t="s">
        <v>263</v>
      </c>
      <c r="C24" s="280" t="s">
        <v>216</v>
      </c>
      <c r="D24" s="281" t="s">
        <v>217</v>
      </c>
      <c r="E24" s="280" t="s">
        <v>216</v>
      </c>
      <c r="F24" s="281" t="s">
        <v>217</v>
      </c>
      <c r="G24" s="280" t="s">
        <v>216</v>
      </c>
      <c r="H24" s="281" t="s">
        <v>217</v>
      </c>
      <c r="I24" s="280" t="s">
        <v>216</v>
      </c>
      <c r="J24" s="281" t="s">
        <v>217</v>
      </c>
      <c r="K24" s="280" t="s">
        <v>216</v>
      </c>
      <c r="L24" s="281" t="s">
        <v>217</v>
      </c>
      <c r="M24" s="280" t="s">
        <v>216</v>
      </c>
      <c r="N24" s="281" t="s">
        <v>217</v>
      </c>
      <c r="O24" s="280" t="s">
        <v>216</v>
      </c>
      <c r="P24" s="281" t="s">
        <v>217</v>
      </c>
      <c r="Q24" s="280" t="s">
        <v>216</v>
      </c>
      <c r="R24" s="281" t="s">
        <v>217</v>
      </c>
      <c r="S24" s="280" t="s">
        <v>216</v>
      </c>
      <c r="T24" s="281" t="s">
        <v>217</v>
      </c>
      <c r="U24" s="280" t="s">
        <v>216</v>
      </c>
      <c r="V24" s="281" t="s">
        <v>217</v>
      </c>
      <c r="W24" s="282"/>
      <c r="X24" s="276" t="s">
        <v>216</v>
      </c>
      <c r="Y24" s="277" t="s">
        <v>217</v>
      </c>
    </row>
    <row r="25" spans="2:27" x14ac:dyDescent="0.3">
      <c r="B25" s="285" t="s">
        <v>264</v>
      </c>
      <c r="C25" s="286" t="s">
        <v>225</v>
      </c>
      <c r="D25" s="287">
        <v>2029</v>
      </c>
      <c r="E25" s="286" t="s">
        <v>225</v>
      </c>
      <c r="F25" s="287">
        <v>2029</v>
      </c>
      <c r="G25" s="286" t="s">
        <v>225</v>
      </c>
      <c r="H25" s="287">
        <v>2029</v>
      </c>
      <c r="I25" s="286" t="s">
        <v>225</v>
      </c>
      <c r="J25" s="287">
        <v>2029</v>
      </c>
      <c r="K25" s="286" t="s">
        <v>225</v>
      </c>
      <c r="L25" s="287">
        <v>2029</v>
      </c>
      <c r="M25" s="286" t="s">
        <v>225</v>
      </c>
      <c r="N25" s="287">
        <v>2029</v>
      </c>
      <c r="O25" s="286" t="s">
        <v>225</v>
      </c>
      <c r="P25" s="287">
        <v>2029</v>
      </c>
      <c r="Q25" s="286" t="s">
        <v>225</v>
      </c>
      <c r="R25" s="287">
        <v>2029</v>
      </c>
      <c r="S25" s="286" t="s">
        <v>225</v>
      </c>
      <c r="T25" s="287">
        <v>2029</v>
      </c>
      <c r="U25" s="286" t="s">
        <v>225</v>
      </c>
      <c r="V25" s="287">
        <v>2029</v>
      </c>
      <c r="X25" s="378" t="s">
        <v>225</v>
      </c>
      <c r="Y25" s="379">
        <v>2026</v>
      </c>
      <c r="AA25" s="369" t="s">
        <v>265</v>
      </c>
    </row>
    <row r="26" spans="2:27" x14ac:dyDescent="0.3">
      <c r="B26" s="285" t="s">
        <v>266</v>
      </c>
      <c r="C26" s="286" t="s">
        <v>225</v>
      </c>
      <c r="D26" s="287">
        <v>2032</v>
      </c>
      <c r="E26" s="286" t="s">
        <v>225</v>
      </c>
      <c r="F26" s="287">
        <v>2032</v>
      </c>
      <c r="G26" s="286" t="s">
        <v>225</v>
      </c>
      <c r="H26" s="287">
        <v>2032</v>
      </c>
      <c r="I26" s="286" t="s">
        <v>225</v>
      </c>
      <c r="J26" s="287">
        <v>2032</v>
      </c>
      <c r="K26" s="286" t="s">
        <v>225</v>
      </c>
      <c r="L26" s="287">
        <v>2032</v>
      </c>
      <c r="M26" s="286" t="s">
        <v>225</v>
      </c>
      <c r="N26" s="287">
        <v>2032</v>
      </c>
      <c r="O26" s="286" t="s">
        <v>225</v>
      </c>
      <c r="P26" s="287">
        <v>2032</v>
      </c>
      <c r="Q26" s="286" t="s">
        <v>225</v>
      </c>
      <c r="R26" s="287">
        <v>2032</v>
      </c>
      <c r="S26" s="286" t="s">
        <v>225</v>
      </c>
      <c r="T26" s="287">
        <v>2032</v>
      </c>
      <c r="U26" s="286" t="s">
        <v>225</v>
      </c>
      <c r="V26" s="287">
        <v>2032</v>
      </c>
      <c r="X26" s="378" t="s">
        <v>225</v>
      </c>
      <c r="Y26" s="379">
        <v>2031</v>
      </c>
      <c r="AA26" s="369" t="s">
        <v>267</v>
      </c>
    </row>
    <row r="27" spans="2:27" x14ac:dyDescent="0.3">
      <c r="B27" s="293" t="s">
        <v>268</v>
      </c>
      <c r="C27" s="286"/>
      <c r="D27" s="287"/>
      <c r="E27" s="286"/>
      <c r="F27" s="287"/>
      <c r="G27" s="286"/>
      <c r="H27" s="287"/>
      <c r="I27" s="286"/>
      <c r="J27" s="287"/>
      <c r="K27" s="286"/>
      <c r="L27" s="287"/>
      <c r="M27" s="286"/>
      <c r="N27" s="287"/>
      <c r="O27" s="286"/>
      <c r="P27" s="287"/>
      <c r="Q27" s="286"/>
      <c r="R27" s="287"/>
      <c r="S27" s="286"/>
      <c r="T27" s="287"/>
      <c r="U27" s="286"/>
      <c r="V27" s="287"/>
      <c r="X27" s="378"/>
      <c r="Y27" s="380"/>
      <c r="AA27" s="369"/>
    </row>
    <row r="28" spans="2:27" x14ac:dyDescent="0.3">
      <c r="B28" s="285" t="s">
        <v>269</v>
      </c>
      <c r="C28" s="286" t="s">
        <v>225</v>
      </c>
      <c r="D28" s="295">
        <f>D$34*0.25</f>
        <v>425000</v>
      </c>
      <c r="E28" s="286" t="s">
        <v>225</v>
      </c>
      <c r="F28" s="295">
        <f>F$34*0.25</f>
        <v>800000</v>
      </c>
      <c r="G28" s="286" t="s">
        <v>225</v>
      </c>
      <c r="H28" s="295">
        <f>H$34*0.25</f>
        <v>2050000</v>
      </c>
      <c r="I28" s="286" t="s">
        <v>225</v>
      </c>
      <c r="J28" s="295">
        <f>J$34*0.25</f>
        <v>650000</v>
      </c>
      <c r="K28" s="286" t="s">
        <v>225</v>
      </c>
      <c r="L28" s="295">
        <f>L$34*0.25</f>
        <v>700000</v>
      </c>
      <c r="M28" s="286" t="s">
        <v>225</v>
      </c>
      <c r="N28" s="295">
        <f>N$34*0.25</f>
        <v>300000</v>
      </c>
      <c r="O28" s="286" t="s">
        <v>225</v>
      </c>
      <c r="P28" s="295">
        <f>P$34*0.25</f>
        <v>75000</v>
      </c>
      <c r="Q28" s="286" t="s">
        <v>225</v>
      </c>
      <c r="R28" s="295">
        <f>R$34*0.25</f>
        <v>250000</v>
      </c>
      <c r="S28" s="286" t="s">
        <v>225</v>
      </c>
      <c r="T28" s="295">
        <f>T$34*0.25</f>
        <v>1475000</v>
      </c>
      <c r="U28" s="286" t="s">
        <v>225</v>
      </c>
      <c r="V28" s="295">
        <f>V$34*0.25</f>
        <v>950000</v>
      </c>
      <c r="X28" s="296" t="s">
        <v>225</v>
      </c>
      <c r="Y28" s="311">
        <v>442732</v>
      </c>
      <c r="AA28" t="s">
        <v>270</v>
      </c>
    </row>
    <row r="29" spans="2:27" x14ac:dyDescent="0.3">
      <c r="B29" s="285" t="s">
        <v>271</v>
      </c>
      <c r="C29" s="286" t="s">
        <v>225</v>
      </c>
      <c r="D29" s="295">
        <f>D$34*0.5</f>
        <v>850000</v>
      </c>
      <c r="E29" s="286" t="s">
        <v>225</v>
      </c>
      <c r="F29" s="295">
        <f>F$34*0.5</f>
        <v>1600000</v>
      </c>
      <c r="G29" s="286" t="s">
        <v>225</v>
      </c>
      <c r="H29" s="295">
        <f>H$34*0.5</f>
        <v>4100000</v>
      </c>
      <c r="I29" s="286" t="s">
        <v>225</v>
      </c>
      <c r="J29" s="295">
        <f>J$34*0.5</f>
        <v>1300000</v>
      </c>
      <c r="K29" s="286" t="s">
        <v>225</v>
      </c>
      <c r="L29" s="295">
        <f>L$34*0.5</f>
        <v>1400000</v>
      </c>
      <c r="M29" s="286" t="s">
        <v>225</v>
      </c>
      <c r="N29" s="295">
        <f>N$34*0.5</f>
        <v>600000</v>
      </c>
      <c r="O29" s="286" t="s">
        <v>225</v>
      </c>
      <c r="P29" s="295">
        <f>P$34*0.5</f>
        <v>150000</v>
      </c>
      <c r="Q29" s="286" t="s">
        <v>225</v>
      </c>
      <c r="R29" s="295">
        <f>R$34*0.5</f>
        <v>500000</v>
      </c>
      <c r="S29" s="286" t="s">
        <v>225</v>
      </c>
      <c r="T29" s="295">
        <f>T$34*0.5</f>
        <v>2950000</v>
      </c>
      <c r="U29" s="286" t="s">
        <v>225</v>
      </c>
      <c r="V29" s="295">
        <f>V$34*0.5</f>
        <v>1900000</v>
      </c>
      <c r="X29" s="296" t="s">
        <v>225</v>
      </c>
      <c r="Y29" s="311">
        <v>885464</v>
      </c>
      <c r="AA29" t="s">
        <v>270</v>
      </c>
    </row>
    <row r="30" spans="2:27" x14ac:dyDescent="0.3">
      <c r="B30" s="285" t="s">
        <v>272</v>
      </c>
      <c r="C30" s="286" t="s">
        <v>225</v>
      </c>
      <c r="D30" s="295">
        <f>D$34*0.25</f>
        <v>425000</v>
      </c>
      <c r="E30" s="286" t="s">
        <v>225</v>
      </c>
      <c r="F30" s="295">
        <f>F$34*0.25</f>
        <v>800000</v>
      </c>
      <c r="G30" s="286" t="s">
        <v>225</v>
      </c>
      <c r="H30" s="295">
        <f>H$34*0.25</f>
        <v>2050000</v>
      </c>
      <c r="I30" s="286" t="s">
        <v>225</v>
      </c>
      <c r="J30" s="295">
        <f>J$34*0.25</f>
        <v>650000</v>
      </c>
      <c r="K30" s="286" t="s">
        <v>225</v>
      </c>
      <c r="L30" s="295">
        <f>L$34*0.25</f>
        <v>700000</v>
      </c>
      <c r="M30" s="286" t="s">
        <v>225</v>
      </c>
      <c r="N30" s="295">
        <f>N$34*0.25</f>
        <v>300000</v>
      </c>
      <c r="O30" s="286" t="s">
        <v>225</v>
      </c>
      <c r="P30" s="295">
        <f>P$34*0.25</f>
        <v>75000</v>
      </c>
      <c r="Q30" s="286" t="s">
        <v>225</v>
      </c>
      <c r="R30" s="295">
        <f>R$34*0.25</f>
        <v>250000</v>
      </c>
      <c r="S30" s="286" t="s">
        <v>225</v>
      </c>
      <c r="T30" s="295">
        <f>T$34*0.25</f>
        <v>1475000</v>
      </c>
      <c r="U30" s="286" t="s">
        <v>225</v>
      </c>
      <c r="V30" s="295">
        <f>V$34*0.25</f>
        <v>950000</v>
      </c>
      <c r="X30" s="296" t="s">
        <v>225</v>
      </c>
      <c r="Y30" s="311">
        <v>885464</v>
      </c>
      <c r="AA30" t="s">
        <v>270</v>
      </c>
    </row>
    <row r="31" spans="2:27" x14ac:dyDescent="0.3">
      <c r="B31" s="285" t="s">
        <v>273</v>
      </c>
      <c r="C31" s="286" t="s">
        <v>225</v>
      </c>
      <c r="D31" s="295">
        <f>D$34*0.25</f>
        <v>425000</v>
      </c>
      <c r="E31" s="286" t="s">
        <v>225</v>
      </c>
      <c r="F31" s="295">
        <f>F$34*0.25</f>
        <v>800000</v>
      </c>
      <c r="G31" s="286" t="s">
        <v>225</v>
      </c>
      <c r="H31" s="295">
        <f>H$34*0.25</f>
        <v>2050000</v>
      </c>
      <c r="I31" s="286" t="s">
        <v>225</v>
      </c>
      <c r="J31" s="295">
        <f>J$34*0.25</f>
        <v>650000</v>
      </c>
      <c r="K31" s="286" t="s">
        <v>225</v>
      </c>
      <c r="L31" s="295">
        <f>L$34*0.25</f>
        <v>700000</v>
      </c>
      <c r="M31" s="286" t="s">
        <v>225</v>
      </c>
      <c r="N31" s="295">
        <f>N$34*0.25</f>
        <v>300000</v>
      </c>
      <c r="O31" s="286" t="s">
        <v>225</v>
      </c>
      <c r="P31" s="295">
        <f>P$34*0.25</f>
        <v>75000</v>
      </c>
      <c r="Q31" s="286" t="s">
        <v>225</v>
      </c>
      <c r="R31" s="295">
        <f>R$34*0.25</f>
        <v>250000</v>
      </c>
      <c r="S31" s="286" t="s">
        <v>225</v>
      </c>
      <c r="T31" s="295">
        <f>T$34*0.25</f>
        <v>1475000</v>
      </c>
      <c r="U31" s="286" t="s">
        <v>225</v>
      </c>
      <c r="V31" s="295">
        <f>V$34*0.25</f>
        <v>950000</v>
      </c>
      <c r="X31" s="296" t="s">
        <v>225</v>
      </c>
      <c r="Y31" s="311">
        <v>6552436</v>
      </c>
      <c r="AA31" t="s">
        <v>270</v>
      </c>
    </row>
    <row r="32" spans="2:27" x14ac:dyDescent="0.3">
      <c r="B32" s="285" t="s">
        <v>274</v>
      </c>
      <c r="C32" s="286" t="s">
        <v>225</v>
      </c>
      <c r="D32" s="295">
        <f>D$34*0.5</f>
        <v>850000</v>
      </c>
      <c r="E32" s="286" t="s">
        <v>225</v>
      </c>
      <c r="F32" s="295">
        <f>F$34*0.5</f>
        <v>1600000</v>
      </c>
      <c r="G32" s="286" t="s">
        <v>225</v>
      </c>
      <c r="H32" s="295">
        <f>H$34*0.5</f>
        <v>4100000</v>
      </c>
      <c r="I32" s="286" t="s">
        <v>225</v>
      </c>
      <c r="J32" s="295">
        <f>J$34*0.5</f>
        <v>1300000</v>
      </c>
      <c r="K32" s="286" t="s">
        <v>225</v>
      </c>
      <c r="L32" s="295">
        <f>L$34*0.5</f>
        <v>1400000</v>
      </c>
      <c r="M32" s="286" t="s">
        <v>225</v>
      </c>
      <c r="N32" s="295">
        <f>N$34*0.5</f>
        <v>600000</v>
      </c>
      <c r="O32" s="286" t="s">
        <v>225</v>
      </c>
      <c r="P32" s="295">
        <f>P$34*0.5</f>
        <v>150000</v>
      </c>
      <c r="Q32" s="286" t="s">
        <v>225</v>
      </c>
      <c r="R32" s="295">
        <f>R$34*0.5</f>
        <v>500000</v>
      </c>
      <c r="S32" s="286" t="s">
        <v>225</v>
      </c>
      <c r="T32" s="295">
        <f>T$34*0.5</f>
        <v>2950000</v>
      </c>
      <c r="U32" s="286" t="s">
        <v>225</v>
      </c>
      <c r="V32" s="295">
        <f>V$34*0.5</f>
        <v>1900000</v>
      </c>
      <c r="X32" s="296" t="s">
        <v>225</v>
      </c>
      <c r="Y32" s="311">
        <v>12219408</v>
      </c>
      <c r="AA32" t="s">
        <v>270</v>
      </c>
    </row>
    <row r="33" spans="2:27" x14ac:dyDescent="0.3">
      <c r="B33" s="285" t="s">
        <v>275</v>
      </c>
      <c r="C33" s="286" t="s">
        <v>225</v>
      </c>
      <c r="D33" s="295">
        <f>D$34*0.25</f>
        <v>425000</v>
      </c>
      <c r="E33" s="286" t="s">
        <v>225</v>
      </c>
      <c r="F33" s="295">
        <f>F$34*0.25</f>
        <v>800000</v>
      </c>
      <c r="G33" s="286" t="s">
        <v>225</v>
      </c>
      <c r="H33" s="295">
        <f>H$34*0.25</f>
        <v>2050000</v>
      </c>
      <c r="I33" s="286" t="s">
        <v>225</v>
      </c>
      <c r="J33" s="295">
        <f>J$34*0.25</f>
        <v>650000</v>
      </c>
      <c r="K33" s="286" t="s">
        <v>225</v>
      </c>
      <c r="L33" s="295">
        <f>L$34*0.25</f>
        <v>700000</v>
      </c>
      <c r="M33" s="286" t="s">
        <v>225</v>
      </c>
      <c r="N33" s="295">
        <f>N$34*0.25</f>
        <v>300000</v>
      </c>
      <c r="O33" s="286" t="s">
        <v>225</v>
      </c>
      <c r="P33" s="295">
        <f>P$34*0.25</f>
        <v>75000</v>
      </c>
      <c r="Q33" s="286" t="s">
        <v>225</v>
      </c>
      <c r="R33" s="295">
        <f>R$34*0.25</f>
        <v>250000</v>
      </c>
      <c r="S33" s="286" t="s">
        <v>225</v>
      </c>
      <c r="T33" s="295">
        <f>T$34*0.25</f>
        <v>1475000</v>
      </c>
      <c r="U33" s="286" t="s">
        <v>225</v>
      </c>
      <c r="V33" s="295">
        <f>V$34*0.25</f>
        <v>950000</v>
      </c>
      <c r="X33" s="296" t="s">
        <v>225</v>
      </c>
      <c r="Y33" s="311">
        <v>12219408</v>
      </c>
      <c r="AA33" t="s">
        <v>270</v>
      </c>
    </row>
    <row r="34" spans="2:27" x14ac:dyDescent="0.3">
      <c r="B34" s="381" t="s">
        <v>276</v>
      </c>
      <c r="C34" s="382" t="s">
        <v>225</v>
      </c>
      <c r="D34" s="383">
        <v>1700000</v>
      </c>
      <c r="E34" s="382" t="s">
        <v>225</v>
      </c>
      <c r="F34" s="383">
        <v>3200000</v>
      </c>
      <c r="G34" s="382" t="s">
        <v>225</v>
      </c>
      <c r="H34" s="383">
        <v>8200000</v>
      </c>
      <c r="I34" s="382" t="s">
        <v>225</v>
      </c>
      <c r="J34" s="383">
        <v>2600000</v>
      </c>
      <c r="K34" s="382" t="s">
        <v>225</v>
      </c>
      <c r="L34" s="383">
        <v>2800000</v>
      </c>
      <c r="M34" s="382" t="s">
        <v>225</v>
      </c>
      <c r="N34" s="383">
        <v>1200000</v>
      </c>
      <c r="O34" s="382" t="s">
        <v>225</v>
      </c>
      <c r="P34" s="383">
        <v>300000</v>
      </c>
      <c r="Q34" s="382" t="s">
        <v>225</v>
      </c>
      <c r="R34" s="383">
        <v>1000000</v>
      </c>
      <c r="S34" s="382" t="s">
        <v>225</v>
      </c>
      <c r="T34" s="383">
        <v>5900000</v>
      </c>
      <c r="U34" s="382" t="s">
        <v>225</v>
      </c>
      <c r="V34" s="383">
        <v>3800000</v>
      </c>
      <c r="W34" s="283"/>
      <c r="X34" s="384" t="s">
        <v>225</v>
      </c>
      <c r="Y34" s="385">
        <f>SUM(Y31:Y33)</f>
        <v>30991252</v>
      </c>
      <c r="Z34" s="283"/>
      <c r="AA34" s="283" t="s">
        <v>277</v>
      </c>
    </row>
    <row r="35" spans="2:27" x14ac:dyDescent="0.3">
      <c r="B35" s="285"/>
      <c r="C35" s="297"/>
      <c r="D35" s="298"/>
      <c r="E35" s="297"/>
      <c r="F35" s="298"/>
      <c r="G35" s="297"/>
      <c r="H35" s="298"/>
      <c r="I35" s="297"/>
      <c r="J35" s="298"/>
      <c r="K35" s="297"/>
      <c r="L35" s="298"/>
      <c r="M35" s="297"/>
      <c r="N35" s="298"/>
      <c r="O35" s="297"/>
      <c r="P35" s="298"/>
      <c r="Q35" s="297"/>
      <c r="R35" s="298"/>
      <c r="S35" s="297"/>
      <c r="T35" s="298"/>
      <c r="U35" s="297"/>
      <c r="V35" s="298"/>
    </row>
    <row r="37" spans="2:27" x14ac:dyDescent="0.3">
      <c r="X37" s="291"/>
      <c r="Y37" s="291"/>
    </row>
  </sheetData>
  <phoneticPr fontId="38" type="noConversion"/>
  <conditionalFormatting sqref="X6:Y11 C13:V22 X14:Y18 X20:Y22 X25:Y34 C25:V35">
    <cfRule type="expression" dxfId="21" priority="2">
      <formula>MOD(ROW(),2)</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8DD98-F092-4137-8AD9-58EE06767119}">
  <sheetPr>
    <tabColor rgb="FFFFFF00"/>
  </sheetPr>
  <dimension ref="B2:G16"/>
  <sheetViews>
    <sheetView workbookViewId="0">
      <selection activeCell="K13" sqref="K13"/>
    </sheetView>
  </sheetViews>
  <sheetFormatPr defaultRowHeight="14.4" x14ac:dyDescent="0.3"/>
  <cols>
    <col min="1" max="1" width="2.5546875" customWidth="1"/>
    <col min="2" max="2" width="29.88671875" customWidth="1"/>
    <col min="3" max="5" width="15.5546875" customWidth="1"/>
  </cols>
  <sheetData>
    <row r="2" spans="2:7" ht="15" thickBot="1" x14ac:dyDescent="0.35">
      <c r="B2" s="340" t="s">
        <v>278</v>
      </c>
      <c r="C2" s="341"/>
      <c r="D2" s="341"/>
      <c r="E2" s="342"/>
    </row>
    <row r="3" spans="2:7" x14ac:dyDescent="0.3">
      <c r="B3" s="343"/>
      <c r="C3" s="343" t="s">
        <v>279</v>
      </c>
      <c r="D3" s="344" t="s">
        <v>280</v>
      </c>
      <c r="E3" s="344" t="s">
        <v>281</v>
      </c>
    </row>
    <row r="4" spans="2:7" x14ac:dyDescent="0.3">
      <c r="B4" s="345" t="s">
        <v>282</v>
      </c>
      <c r="C4" s="346">
        <f>-Summary!B56</f>
        <v>-22208754.892724626</v>
      </c>
      <c r="D4" s="347"/>
      <c r="E4" s="346">
        <f>-Summary!C56</f>
        <v>-14938514.870279251</v>
      </c>
    </row>
    <row r="5" spans="2:7" x14ac:dyDescent="0.3">
      <c r="B5" s="348" t="s">
        <v>283</v>
      </c>
      <c r="C5" s="43"/>
      <c r="D5" s="349">
        <f>-Summary!B36</f>
        <v>5500000</v>
      </c>
      <c r="E5" s="349">
        <f>-Summary!B37</f>
        <v>1078286.4386752825</v>
      </c>
      <c r="G5" s="230"/>
    </row>
    <row r="6" spans="2:7" x14ac:dyDescent="0.3">
      <c r="B6" s="350" t="s">
        <v>284</v>
      </c>
      <c r="C6" s="351"/>
      <c r="D6" s="352">
        <f>Summary!C36</f>
        <v>9130834.3999999966</v>
      </c>
      <c r="E6" s="352">
        <f>Summary!C37</f>
        <v>3011997.3085998022</v>
      </c>
      <c r="G6" s="230"/>
    </row>
    <row r="7" spans="2:7" x14ac:dyDescent="0.3">
      <c r="B7" s="350" t="s">
        <v>285</v>
      </c>
      <c r="C7" s="351"/>
      <c r="D7" s="352">
        <f>Summary!D36</f>
        <v>71045757.645280272</v>
      </c>
      <c r="E7" s="352">
        <f>Summary!D37</f>
        <v>23181289.895521097</v>
      </c>
      <c r="G7" s="230"/>
    </row>
    <row r="8" spans="2:7" x14ac:dyDescent="0.3">
      <c r="B8" s="350" t="s">
        <v>286</v>
      </c>
      <c r="C8" s="351"/>
      <c r="D8" s="352">
        <f>Summary!E36</f>
        <v>0</v>
      </c>
      <c r="E8" s="352">
        <f>Summary!E37</f>
        <v>0</v>
      </c>
      <c r="G8" s="230"/>
    </row>
    <row r="9" spans="2:7" x14ac:dyDescent="0.3">
      <c r="B9" s="350" t="s">
        <v>287</v>
      </c>
      <c r="C9" s="351"/>
      <c r="D9" s="352">
        <f>Summary!F36+Summary!G36</f>
        <v>0</v>
      </c>
      <c r="E9" s="352">
        <f>Summary!F37+Summary!G37</f>
        <v>0</v>
      </c>
      <c r="G9" s="230"/>
    </row>
    <row r="10" spans="2:7" x14ac:dyDescent="0.3">
      <c r="B10" s="350" t="s">
        <v>288</v>
      </c>
      <c r="C10" s="351"/>
      <c r="D10" s="352">
        <f>Summary!I36</f>
        <v>19483967.343711026</v>
      </c>
      <c r="E10" s="352">
        <f>Summary!I37</f>
        <v>6267659.8549860902</v>
      </c>
      <c r="G10" s="230"/>
    </row>
    <row r="11" spans="2:7" x14ac:dyDescent="0.3">
      <c r="B11" s="345" t="s">
        <v>289</v>
      </c>
      <c r="C11" s="351"/>
      <c r="D11" s="352">
        <f>Summary!J36</f>
        <v>1947979.7767952469</v>
      </c>
      <c r="E11" s="352">
        <f>Summary!J37</f>
        <v>626631.85736067279</v>
      </c>
      <c r="G11" s="230"/>
    </row>
    <row r="12" spans="2:7" x14ac:dyDescent="0.3">
      <c r="B12" s="348" t="s">
        <v>290</v>
      </c>
      <c r="C12" s="351"/>
      <c r="D12" s="352">
        <f>Summary!K36</f>
        <v>12338197.162624793</v>
      </c>
      <c r="E12" s="352">
        <f>Summary!K37</f>
        <v>1985590.6012060838</v>
      </c>
      <c r="G12" s="230"/>
    </row>
    <row r="13" spans="2:7" x14ac:dyDescent="0.3">
      <c r="B13" s="348" t="s">
        <v>291</v>
      </c>
      <c r="C13" s="353">
        <f>SUM(C4:C11)</f>
        <v>-22208754.892724626</v>
      </c>
      <c r="D13" s="353">
        <f>SUM(D4:D12)</f>
        <v>119446736.32841134</v>
      </c>
      <c r="E13" s="353">
        <f>SUM(E4:E12)</f>
        <v>21212941.086069778</v>
      </c>
    </row>
    <row r="14" spans="2:7" x14ac:dyDescent="0.3">
      <c r="B14" s="283"/>
      <c r="C14" s="304"/>
      <c r="D14" s="304"/>
      <c r="E14" s="304"/>
    </row>
    <row r="15" spans="2:7" x14ac:dyDescent="0.3">
      <c r="B15" s="354" t="s">
        <v>292</v>
      </c>
      <c r="C15" s="355">
        <f>'Final Results'!B7</f>
        <v>21212941.086069785</v>
      </c>
      <c r="D15" s="356"/>
      <c r="E15" s="357"/>
    </row>
    <row r="16" spans="2:7" x14ac:dyDescent="0.3">
      <c r="B16" s="358" t="s">
        <v>293</v>
      </c>
      <c r="C16" s="359">
        <f>'Final Results'!B8</f>
        <v>2.4200167332747213</v>
      </c>
      <c r="D16" s="359"/>
      <c r="E16" s="36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52AF6-D5FB-40DE-935F-B23E8B0B3C6A}">
  <sheetPr>
    <tabColor theme="9" tint="0.39997558519241921"/>
  </sheetPr>
  <dimension ref="A1:BZ246"/>
  <sheetViews>
    <sheetView workbookViewId="0">
      <selection activeCell="F10" sqref="F10"/>
    </sheetView>
  </sheetViews>
  <sheetFormatPr defaultRowHeight="14.4" x14ac:dyDescent="0.3"/>
  <cols>
    <col min="1" max="1" width="30.109375" customWidth="1"/>
    <col min="2" max="5" width="20.6640625" customWidth="1"/>
    <col min="6" max="6" width="16.5546875" customWidth="1"/>
    <col min="7" max="8" width="17.44140625" customWidth="1"/>
    <col min="9" max="9" width="21.109375" customWidth="1"/>
    <col min="10" max="11" width="16.109375" customWidth="1"/>
    <col min="12" max="12" width="16.88671875" customWidth="1"/>
    <col min="13" max="13" width="17.33203125" customWidth="1"/>
    <col min="14" max="14" width="16.88671875" customWidth="1"/>
    <col min="15" max="15" width="17.33203125" customWidth="1"/>
    <col min="16" max="78" width="9.109375" style="5"/>
  </cols>
  <sheetData>
    <row r="1" spans="1:64" ht="20.399999999999999" thickBot="1" x14ac:dyDescent="0.45">
      <c r="A1" s="93" t="s">
        <v>237</v>
      </c>
      <c r="B1" s="5"/>
      <c r="C1" s="5"/>
      <c r="D1" s="5"/>
      <c r="E1" s="5"/>
      <c r="F1" s="5"/>
      <c r="G1" s="5"/>
      <c r="H1" s="5"/>
      <c r="I1" s="5"/>
      <c r="J1" s="5"/>
      <c r="K1" s="5"/>
      <c r="L1" s="5"/>
      <c r="M1" s="5"/>
      <c r="N1" s="5"/>
      <c r="O1" s="5"/>
    </row>
    <row r="2" spans="1:64" ht="15" thickTop="1" x14ac:dyDescent="0.3">
      <c r="A2" s="144" t="s">
        <v>294</v>
      </c>
      <c r="B2" s="144"/>
      <c r="C2" s="144"/>
      <c r="D2" s="144"/>
      <c r="E2" s="144"/>
      <c r="F2" s="144"/>
      <c r="G2" s="144"/>
      <c r="H2" s="144"/>
      <c r="I2" s="144"/>
      <c r="J2" s="5"/>
      <c r="K2" s="5"/>
      <c r="L2" s="5"/>
      <c r="M2" s="5"/>
      <c r="N2" s="5"/>
      <c r="O2" s="5"/>
    </row>
    <row r="3" spans="1:64" x14ac:dyDescent="0.3">
      <c r="A3" s="144" t="s">
        <v>295</v>
      </c>
      <c r="B3" s="144"/>
      <c r="C3" s="144"/>
      <c r="D3" s="144"/>
      <c r="E3" s="144"/>
      <c r="F3" s="144"/>
      <c r="G3" s="144"/>
      <c r="H3" s="144"/>
      <c r="I3" s="144"/>
      <c r="J3" s="5"/>
      <c r="K3" s="5"/>
      <c r="L3" s="5"/>
      <c r="M3" s="5"/>
      <c r="N3" s="5"/>
      <c r="O3" s="5"/>
    </row>
    <row r="4" spans="1:64" x14ac:dyDescent="0.3">
      <c r="A4" s="144" t="s">
        <v>296</v>
      </c>
      <c r="B4" s="144"/>
      <c r="C4" s="144"/>
      <c r="D4" s="144"/>
      <c r="E4" s="144"/>
      <c r="F4" s="5"/>
      <c r="G4" s="5"/>
      <c r="H4" s="5"/>
      <c r="I4" s="5"/>
      <c r="J4" s="5"/>
      <c r="K4" s="5"/>
      <c r="L4" s="5"/>
      <c r="M4" s="5"/>
      <c r="N4" s="5"/>
      <c r="O4" s="5"/>
    </row>
    <row r="5" spans="1:64" x14ac:dyDescent="0.3">
      <c r="A5" s="144" t="s">
        <v>297</v>
      </c>
      <c r="B5" s="144"/>
      <c r="C5" s="144"/>
      <c r="D5" s="144"/>
      <c r="E5" s="5"/>
      <c r="F5" s="5"/>
      <c r="G5" s="5"/>
      <c r="H5" s="5"/>
      <c r="I5" s="5"/>
      <c r="J5" s="5"/>
      <c r="K5" s="5"/>
      <c r="L5" s="5"/>
      <c r="M5" s="5"/>
      <c r="N5" s="5"/>
      <c r="O5" s="5"/>
    </row>
    <row r="6" spans="1:64" x14ac:dyDescent="0.3">
      <c r="A6" s="5" t="s">
        <v>21</v>
      </c>
      <c r="B6" s="5"/>
      <c r="C6" s="5"/>
      <c r="D6" s="5"/>
      <c r="E6" s="5"/>
      <c r="F6" s="5"/>
      <c r="G6" s="5"/>
      <c r="H6" s="5"/>
      <c r="I6" s="5"/>
      <c r="J6" s="5"/>
      <c r="K6" s="5"/>
      <c r="L6" s="5"/>
      <c r="M6" s="5"/>
      <c r="N6" s="5"/>
      <c r="O6" s="5"/>
    </row>
    <row r="7" spans="1:64" ht="15" thickBot="1" x14ac:dyDescent="0.35">
      <c r="A7" s="138" t="s">
        <v>298</v>
      </c>
      <c r="B7" s="314" t="s">
        <v>299</v>
      </c>
      <c r="C7" s="314" t="s">
        <v>299</v>
      </c>
      <c r="D7" s="5"/>
      <c r="E7" s="5"/>
      <c r="F7" s="314" t="s">
        <v>299</v>
      </c>
      <c r="G7" s="314" t="s">
        <v>299</v>
      </c>
      <c r="H7" s="314" t="s">
        <v>300</v>
      </c>
      <c r="I7" s="314" t="s">
        <v>299</v>
      </c>
      <c r="J7" s="314" t="s">
        <v>299</v>
      </c>
      <c r="K7" s="314" t="s">
        <v>300</v>
      </c>
      <c r="L7" s="5"/>
      <c r="M7" s="5"/>
      <c r="N7" s="5"/>
      <c r="O7" s="5"/>
    </row>
    <row r="8" spans="1:64" x14ac:dyDescent="0.3">
      <c r="A8" s="5"/>
      <c r="B8" s="421" t="s">
        <v>301</v>
      </c>
      <c r="C8" s="420"/>
      <c r="D8" s="419" t="s">
        <v>302</v>
      </c>
      <c r="E8" s="420"/>
      <c r="F8" s="421" t="s">
        <v>303</v>
      </c>
      <c r="G8" s="419"/>
      <c r="H8" s="419"/>
      <c r="I8" s="419" t="s">
        <v>304</v>
      </c>
      <c r="J8" s="419"/>
      <c r="K8" s="419"/>
      <c r="L8" s="419" t="s">
        <v>305</v>
      </c>
      <c r="M8" s="420"/>
      <c r="N8" s="419" t="s">
        <v>306</v>
      </c>
      <c r="O8" s="420"/>
      <c r="Q8" s="10" t="s">
        <v>307</v>
      </c>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2"/>
    </row>
    <row r="9" spans="1:64" x14ac:dyDescent="0.3">
      <c r="A9" s="99" t="s">
        <v>308</v>
      </c>
      <c r="B9" s="100" t="s">
        <v>216</v>
      </c>
      <c r="C9" s="100" t="s">
        <v>217</v>
      </c>
      <c r="D9" s="100" t="s">
        <v>216</v>
      </c>
      <c r="E9" s="100" t="s">
        <v>217</v>
      </c>
      <c r="F9" s="100" t="s">
        <v>216</v>
      </c>
      <c r="G9" s="100" t="s">
        <v>217</v>
      </c>
      <c r="H9" s="100" t="s">
        <v>309</v>
      </c>
      <c r="I9" s="100" t="s">
        <v>216</v>
      </c>
      <c r="J9" s="100" t="s">
        <v>217</v>
      </c>
      <c r="K9" s="100" t="s">
        <v>309</v>
      </c>
      <c r="L9" s="100" t="s">
        <v>216</v>
      </c>
      <c r="M9" s="100" t="s">
        <v>217</v>
      </c>
      <c r="N9" s="100" t="s">
        <v>216</v>
      </c>
      <c r="O9" s="100" t="s">
        <v>217</v>
      </c>
      <c r="Q9" s="13"/>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s="14"/>
    </row>
    <row r="10" spans="1:64" x14ac:dyDescent="0.3">
      <c r="A10" s="6">
        <f>'Project Information'!$B$9</f>
        <v>2032</v>
      </c>
      <c r="B10" s="315">
        <f>(Inputs!X$14*365)</f>
        <v>5110000</v>
      </c>
      <c r="C10" s="315">
        <f>(Inputs!Y$14*365)</f>
        <v>5110000</v>
      </c>
      <c r="D10" s="316">
        <v>0</v>
      </c>
      <c r="E10" s="316">
        <v>0</v>
      </c>
      <c r="F10" s="315">
        <f>(Inputs!X$15*Inputs!X17)</f>
        <v>79200</v>
      </c>
      <c r="G10" s="315">
        <f>(Inputs!Y$15*Inputs!Y17)</f>
        <v>95040</v>
      </c>
      <c r="H10" s="315">
        <f>G10-F10</f>
        <v>15840</v>
      </c>
      <c r="I10" s="315">
        <f>(Inputs!X$16*Inputs!X17)</f>
        <v>9000</v>
      </c>
      <c r="J10" s="315">
        <f>(Inputs!Y$16*Inputs!Y17)</f>
        <v>10800</v>
      </c>
      <c r="K10" s="315">
        <f>J10-I10</f>
        <v>1800</v>
      </c>
      <c r="L10" s="41">
        <v>0</v>
      </c>
      <c r="M10" s="41">
        <v>0</v>
      </c>
      <c r="N10" s="41">
        <v>0</v>
      </c>
      <c r="O10" s="41">
        <v>0</v>
      </c>
      <c r="Q10" s="13"/>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s="14"/>
    </row>
    <row r="11" spans="1:64" x14ac:dyDescent="0.3">
      <c r="A11" s="1">
        <f>IF(A10&lt;'Project Information'!B$11,A10+1,"")</f>
        <v>2033</v>
      </c>
      <c r="B11" s="315">
        <f>B10*(1+(Inputs!X$9/20))</f>
        <v>5135549.9999999991</v>
      </c>
      <c r="C11" s="315">
        <f>C10*(1+(Inputs!Y$9/20))</f>
        <v>5135549.9999999991</v>
      </c>
      <c r="D11" s="316">
        <v>0</v>
      </c>
      <c r="E11" s="316">
        <v>0</v>
      </c>
      <c r="F11" s="315">
        <f>F10*(1+(Inputs!X$10/20))</f>
        <v>80110.8</v>
      </c>
      <c r="G11" s="315">
        <f>G10*(1+(Inputs!Y$10/20))</f>
        <v>96132.96</v>
      </c>
      <c r="H11" s="315">
        <f t="shared" ref="H11:H29" si="0">G11-F11</f>
        <v>16022.160000000003</v>
      </c>
      <c r="I11" s="315">
        <f>I10*(1+(Inputs!X$11/20))</f>
        <v>9103.5</v>
      </c>
      <c r="J11" s="315">
        <f>J10*(1+(Inputs!Y$11/20))</f>
        <v>10924.2</v>
      </c>
      <c r="K11" s="315">
        <f t="shared" ref="K11:K29" si="1">J11-I11</f>
        <v>1820.7000000000007</v>
      </c>
      <c r="L11" s="41">
        <v>0</v>
      </c>
      <c r="M11" s="41">
        <v>0</v>
      </c>
      <c r="N11" s="41">
        <v>0</v>
      </c>
      <c r="O11" s="41">
        <v>0</v>
      </c>
      <c r="Q11" s="13"/>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s="14"/>
    </row>
    <row r="12" spans="1:64" x14ac:dyDescent="0.3">
      <c r="A12" s="1">
        <f>IF(A11&lt;'Project Information'!B$11,A11+1,"")</f>
        <v>2034</v>
      </c>
      <c r="B12" s="315">
        <f>B11*(1+(Inputs!X$9/20))</f>
        <v>5161227.7499999981</v>
      </c>
      <c r="C12" s="315">
        <f>C11*(1+(Inputs!Y$9/20))</f>
        <v>5161227.7499999981</v>
      </c>
      <c r="D12" s="316">
        <v>0</v>
      </c>
      <c r="E12" s="316">
        <v>0</v>
      </c>
      <c r="F12" s="315">
        <f>F11*(1+(Inputs!X$10/20))</f>
        <v>81032.074200000003</v>
      </c>
      <c r="G12" s="315">
        <f>G11*(1+(Inputs!Y$10/20))</f>
        <v>97238.489040000015</v>
      </c>
      <c r="H12" s="315">
        <f t="shared" si="0"/>
        <v>16206.414840000012</v>
      </c>
      <c r="I12" s="315">
        <f>I11*(1+(Inputs!X$11/20))</f>
        <v>9208.1902500000015</v>
      </c>
      <c r="J12" s="315">
        <f>J11*(1+(Inputs!Y$11/20))</f>
        <v>11049.828300000001</v>
      </c>
      <c r="K12" s="315">
        <f t="shared" si="1"/>
        <v>1841.6380499999996</v>
      </c>
      <c r="L12" s="41">
        <v>0</v>
      </c>
      <c r="M12" s="41">
        <v>0</v>
      </c>
      <c r="N12" s="41">
        <v>0</v>
      </c>
      <c r="O12" s="41">
        <v>0</v>
      </c>
      <c r="Q12" s="13"/>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s="14"/>
    </row>
    <row r="13" spans="1:64" x14ac:dyDescent="0.3">
      <c r="A13" s="1">
        <f>IF(A12&lt;'Project Information'!B$11,A12+1,"")</f>
        <v>2035</v>
      </c>
      <c r="B13" s="315">
        <f>B12*(1+(Inputs!X$9/20))</f>
        <v>5187033.8887499971</v>
      </c>
      <c r="C13" s="315">
        <f>C12*(1+(Inputs!Y$9/20))</f>
        <v>5187033.8887499971</v>
      </c>
      <c r="D13" s="316">
        <v>0</v>
      </c>
      <c r="E13" s="316">
        <v>0</v>
      </c>
      <c r="F13" s="315">
        <f>F12*(1+(Inputs!X$10/20))</f>
        <v>81963.943053300012</v>
      </c>
      <c r="G13" s="315">
        <f>G12*(1+(Inputs!Y$10/20))</f>
        <v>98356.731663960018</v>
      </c>
      <c r="H13" s="315">
        <f t="shared" si="0"/>
        <v>16392.788610660005</v>
      </c>
      <c r="I13" s="315">
        <f>I12*(1+(Inputs!X$11/20))</f>
        <v>9314.0844378750025</v>
      </c>
      <c r="J13" s="315">
        <f>J12*(1+(Inputs!Y$11/20))</f>
        <v>11176.901325450002</v>
      </c>
      <c r="K13" s="315">
        <f t="shared" si="1"/>
        <v>1862.8168875749998</v>
      </c>
      <c r="L13" s="41">
        <v>0</v>
      </c>
      <c r="M13" s="41">
        <v>0</v>
      </c>
      <c r="N13" s="41">
        <v>0</v>
      </c>
      <c r="O13" s="41">
        <v>0</v>
      </c>
      <c r="Q13" s="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s="14"/>
    </row>
    <row r="14" spans="1:64" x14ac:dyDescent="0.3">
      <c r="A14" s="1">
        <f>IF(A13&lt;'Project Information'!B$11,A13+1,"")</f>
        <v>2036</v>
      </c>
      <c r="B14" s="315">
        <f>B13*(1+(Inputs!X$9/20))</f>
        <v>5212969.058193747</v>
      </c>
      <c r="C14" s="315">
        <f>C13*(1+(Inputs!Y$9/20))</f>
        <v>5212969.058193747</v>
      </c>
      <c r="D14" s="316">
        <v>0</v>
      </c>
      <c r="E14" s="316">
        <v>0</v>
      </c>
      <c r="F14" s="315">
        <f>F13*(1+(Inputs!X$10/20))</f>
        <v>82906.528398412964</v>
      </c>
      <c r="G14" s="315">
        <f>G13*(1+(Inputs!Y$10/20))</f>
        <v>99487.834078095562</v>
      </c>
      <c r="H14" s="315">
        <f t="shared" si="0"/>
        <v>16581.305679682599</v>
      </c>
      <c r="I14" s="315">
        <f>I13*(1+(Inputs!X$11/20))</f>
        <v>9421.1964089105659</v>
      </c>
      <c r="J14" s="315">
        <f>J13*(1+(Inputs!Y$11/20))</f>
        <v>11305.435690692679</v>
      </c>
      <c r="K14" s="315">
        <f t="shared" si="1"/>
        <v>1884.2392817821128</v>
      </c>
      <c r="L14" s="41">
        <v>0</v>
      </c>
      <c r="M14" s="41">
        <v>0</v>
      </c>
      <c r="N14" s="41">
        <v>0</v>
      </c>
      <c r="O14" s="41">
        <v>0</v>
      </c>
      <c r="Q14" s="13"/>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s="14"/>
    </row>
    <row r="15" spans="1:64" x14ac:dyDescent="0.3">
      <c r="A15" s="1">
        <f>IF(A14&lt;'Project Information'!B$11,A14+1,"")</f>
        <v>2037</v>
      </c>
      <c r="B15" s="315">
        <f>B14*(1+(Inputs!X$9/20))</f>
        <v>5239033.9034847151</v>
      </c>
      <c r="C15" s="315">
        <f>C14*(1+(Inputs!Y$9/20))</f>
        <v>5239033.9034847151</v>
      </c>
      <c r="D15" s="316">
        <v>0</v>
      </c>
      <c r="E15" s="316">
        <v>0</v>
      </c>
      <c r="F15" s="315">
        <f>F14*(1+(Inputs!X$10/20))</f>
        <v>83859.95347499472</v>
      </c>
      <c r="G15" s="315">
        <f>G14*(1+(Inputs!Y$10/20))</f>
        <v>100631.94416999367</v>
      </c>
      <c r="H15" s="315">
        <f t="shared" si="0"/>
        <v>16771.990694998953</v>
      </c>
      <c r="I15" s="315">
        <f>I14*(1+(Inputs!X$11/20))</f>
        <v>9529.5401676130386</v>
      </c>
      <c r="J15" s="315">
        <f>J14*(1+(Inputs!Y$11/20))</f>
        <v>11435.448201135645</v>
      </c>
      <c r="K15" s="315">
        <f t="shared" si="1"/>
        <v>1905.9080335226063</v>
      </c>
      <c r="L15" s="41">
        <v>0</v>
      </c>
      <c r="M15" s="41">
        <v>0</v>
      </c>
      <c r="N15" s="41">
        <v>0</v>
      </c>
      <c r="O15" s="41">
        <v>0</v>
      </c>
      <c r="Q15" s="13"/>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s="14"/>
    </row>
    <row r="16" spans="1:64" x14ac:dyDescent="0.3">
      <c r="A16" s="1">
        <f>IF(A15&lt;'Project Information'!B$11,A15+1,"")</f>
        <v>2038</v>
      </c>
      <c r="B16" s="315">
        <f>B15*(1+(Inputs!X$9/20))</f>
        <v>5265229.0730021382</v>
      </c>
      <c r="C16" s="315">
        <f>C15*(1+(Inputs!Y$9/20))</f>
        <v>5265229.0730021382</v>
      </c>
      <c r="D16" s="316">
        <v>0</v>
      </c>
      <c r="E16" s="316">
        <v>0</v>
      </c>
      <c r="F16" s="315">
        <f>F15*(1+(Inputs!X$10/20))</f>
        <v>84824.342939957161</v>
      </c>
      <c r="G16" s="315">
        <f>G15*(1+(Inputs!Y$10/20))</f>
        <v>101789.2115279486</v>
      </c>
      <c r="H16" s="315">
        <f t="shared" si="0"/>
        <v>16964.868587991441</v>
      </c>
      <c r="I16" s="315">
        <f>I15*(1+(Inputs!X$11/20))</f>
        <v>9639.1298795405892</v>
      </c>
      <c r="J16" s="315">
        <f>J15*(1+(Inputs!Y$11/20))</f>
        <v>11566.955855448705</v>
      </c>
      <c r="K16" s="315">
        <f t="shared" si="1"/>
        <v>1927.8259759081157</v>
      </c>
      <c r="L16" s="41">
        <v>0</v>
      </c>
      <c r="M16" s="41">
        <v>0</v>
      </c>
      <c r="N16" s="41">
        <v>0</v>
      </c>
      <c r="O16" s="41">
        <v>0</v>
      </c>
      <c r="Q16" s="13"/>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s="14"/>
    </row>
    <row r="17" spans="1:64" x14ac:dyDescent="0.3">
      <c r="A17" s="1">
        <f>IF(A16&lt;'Project Information'!B$11,A16+1,"")</f>
        <v>2039</v>
      </c>
      <c r="B17" s="315">
        <f>B16*(1+(Inputs!X$9/20))</f>
        <v>5291555.2183671482</v>
      </c>
      <c r="C17" s="315">
        <f>C16*(1+(Inputs!Y$9/20))</f>
        <v>5291555.2183671482</v>
      </c>
      <c r="D17" s="316">
        <v>0</v>
      </c>
      <c r="E17" s="316">
        <v>0</v>
      </c>
      <c r="F17" s="315">
        <f>F16*(1+(Inputs!X$10/20))</f>
        <v>85799.822883766668</v>
      </c>
      <c r="G17" s="315">
        <f>G16*(1+(Inputs!Y$10/20))</f>
        <v>102959.78746052002</v>
      </c>
      <c r="H17" s="315">
        <f t="shared" si="0"/>
        <v>17159.964576753351</v>
      </c>
      <c r="I17" s="315">
        <f>I16*(1+(Inputs!X$11/20))</f>
        <v>9749.9798731553074</v>
      </c>
      <c r="J17" s="315">
        <f>J16*(1+(Inputs!Y$11/20))</f>
        <v>11699.975847786365</v>
      </c>
      <c r="K17" s="315">
        <f t="shared" si="1"/>
        <v>1949.9959746310578</v>
      </c>
      <c r="L17" s="41">
        <v>0</v>
      </c>
      <c r="M17" s="41">
        <v>0</v>
      </c>
      <c r="N17" s="41">
        <v>0</v>
      </c>
      <c r="O17" s="41">
        <v>0</v>
      </c>
      <c r="Q17" s="13"/>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s="14"/>
    </row>
    <row r="18" spans="1:64" x14ac:dyDescent="0.3">
      <c r="A18" s="1">
        <f>IF(A17&lt;'Project Information'!B$11,A17+1,"")</f>
        <v>2040</v>
      </c>
      <c r="B18" s="315">
        <f>B17*(1+(Inputs!X$9/20))</f>
        <v>5318012.9944589837</v>
      </c>
      <c r="C18" s="315">
        <f>C17*(1+(Inputs!Y$9/20))</f>
        <v>5318012.9944589837</v>
      </c>
      <c r="D18" s="316">
        <v>0</v>
      </c>
      <c r="E18" s="316">
        <v>0</v>
      </c>
      <c r="F18" s="315">
        <f>F17*(1+(Inputs!X$10/20))</f>
        <v>86786.520846929998</v>
      </c>
      <c r="G18" s="315">
        <f>G17*(1+(Inputs!Y$10/20))</f>
        <v>104143.82501631601</v>
      </c>
      <c r="H18" s="315">
        <f t="shared" si="0"/>
        <v>17357.304169386014</v>
      </c>
      <c r="I18" s="315">
        <f>I17*(1+(Inputs!X$11/20))</f>
        <v>9862.1046416965946</v>
      </c>
      <c r="J18" s="315">
        <f>J17*(1+(Inputs!Y$11/20))</f>
        <v>11834.525570035908</v>
      </c>
      <c r="K18" s="315">
        <f t="shared" si="1"/>
        <v>1972.4209283393138</v>
      </c>
      <c r="L18" s="41">
        <v>0</v>
      </c>
      <c r="M18" s="41">
        <v>0</v>
      </c>
      <c r="N18" s="41">
        <v>0</v>
      </c>
      <c r="O18" s="41">
        <v>0</v>
      </c>
      <c r="Q18" s="13"/>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s="14"/>
    </row>
    <row r="19" spans="1:64" x14ac:dyDescent="0.3">
      <c r="A19" s="1">
        <f>IF(A18&lt;'Project Information'!B$11,A18+1,"")</f>
        <v>2041</v>
      </c>
      <c r="B19" s="315">
        <f>B18*(1+(Inputs!X$9/20))</f>
        <v>5344603.0594312781</v>
      </c>
      <c r="C19" s="315">
        <f>C18*(1+(Inputs!Y$9/20))</f>
        <v>5344603.0594312781</v>
      </c>
      <c r="D19" s="316">
        <v>0</v>
      </c>
      <c r="E19" s="316">
        <v>0</v>
      </c>
      <c r="F19" s="315">
        <f>F18*(1+(Inputs!X$10/20))</f>
        <v>87784.565836669703</v>
      </c>
      <c r="G19" s="315">
        <f>G18*(1+(Inputs!Y$10/20))</f>
        <v>105341.47900400365</v>
      </c>
      <c r="H19" s="315">
        <f t="shared" si="0"/>
        <v>17556.913167333943</v>
      </c>
      <c r="I19" s="315">
        <f>I18*(1+(Inputs!X$11/20))</f>
        <v>9975.5188450761052</v>
      </c>
      <c r="J19" s="315">
        <f>J18*(1+(Inputs!Y$11/20))</f>
        <v>11970.622614091322</v>
      </c>
      <c r="K19" s="315">
        <f t="shared" si="1"/>
        <v>1995.103769015217</v>
      </c>
      <c r="L19" s="41">
        <v>0</v>
      </c>
      <c r="M19" s="41">
        <v>0</v>
      </c>
      <c r="N19" s="41">
        <v>0</v>
      </c>
      <c r="O19" s="41">
        <v>0</v>
      </c>
      <c r="Q19" s="13"/>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s="14"/>
    </row>
    <row r="20" spans="1:64" x14ac:dyDescent="0.3">
      <c r="A20" s="1">
        <f>IF(A19&lt;'Project Information'!B$11,A19+1,"")</f>
        <v>2042</v>
      </c>
      <c r="B20" s="315">
        <f>B19*(1+(Inputs!X$9/20))</f>
        <v>5371326.074728434</v>
      </c>
      <c r="C20" s="315">
        <f>C19*(1+(Inputs!Y$9/20))</f>
        <v>5371326.074728434</v>
      </c>
      <c r="D20" s="316">
        <v>0</v>
      </c>
      <c r="E20" s="316">
        <v>0</v>
      </c>
      <c r="F20" s="315">
        <f>F19*(1+(Inputs!X$10/20))</f>
        <v>88794.088343791416</v>
      </c>
      <c r="G20" s="315">
        <f>G19*(1+(Inputs!Y$10/20))</f>
        <v>106552.90601254969</v>
      </c>
      <c r="H20" s="315">
        <f t="shared" si="0"/>
        <v>17758.817668758275</v>
      </c>
      <c r="I20" s="315">
        <f>I19*(1+(Inputs!X$11/20))</f>
        <v>10090.237311794481</v>
      </c>
      <c r="J20" s="315">
        <f>J19*(1+(Inputs!Y$11/20))</f>
        <v>12108.284774153373</v>
      </c>
      <c r="K20" s="315">
        <f t="shared" si="1"/>
        <v>2018.0474623588925</v>
      </c>
      <c r="L20" s="41">
        <v>0</v>
      </c>
      <c r="M20" s="41">
        <v>0</v>
      </c>
      <c r="N20" s="41">
        <v>0</v>
      </c>
      <c r="O20" s="41">
        <v>0</v>
      </c>
      <c r="Q20" s="13"/>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s="14"/>
    </row>
    <row r="21" spans="1:64" x14ac:dyDescent="0.3">
      <c r="A21" s="1">
        <f>IF(A20&lt;'Project Information'!B$11,A20+1,"")</f>
        <v>2043</v>
      </c>
      <c r="B21" s="315">
        <f>B20*(1+(Inputs!X$9/20))</f>
        <v>5398182.7051020758</v>
      </c>
      <c r="C21" s="315">
        <f>C20*(1+(Inputs!Y$9/20))</f>
        <v>5398182.7051020758</v>
      </c>
      <c r="D21" s="316">
        <v>0</v>
      </c>
      <c r="E21" s="316">
        <v>0</v>
      </c>
      <c r="F21" s="315">
        <f>F20*(1+(Inputs!X$10/20))</f>
        <v>89815.220359745028</v>
      </c>
      <c r="G21" s="315">
        <f>G20*(1+(Inputs!Y$10/20))</f>
        <v>107778.26443169401</v>
      </c>
      <c r="H21" s="315">
        <f t="shared" si="0"/>
        <v>17963.044071948985</v>
      </c>
      <c r="I21" s="315">
        <f>I20*(1+(Inputs!X$11/20))</f>
        <v>10206.275040880118</v>
      </c>
      <c r="J21" s="315">
        <f>J20*(1+(Inputs!Y$11/20))</f>
        <v>12247.530049056139</v>
      </c>
      <c r="K21" s="315">
        <f t="shared" si="1"/>
        <v>2041.2550081760201</v>
      </c>
      <c r="L21" s="41">
        <v>0</v>
      </c>
      <c r="M21" s="41">
        <v>0</v>
      </c>
      <c r="N21" s="41">
        <v>0</v>
      </c>
      <c r="O21" s="41">
        <v>0</v>
      </c>
      <c r="Q21" s="13"/>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s="14"/>
    </row>
    <row r="22" spans="1:64" x14ac:dyDescent="0.3">
      <c r="A22" s="1">
        <f>IF(A21&lt;'Project Information'!B$11,A21+1,"")</f>
        <v>2044</v>
      </c>
      <c r="B22" s="315">
        <f>B21*(1+(Inputs!X$9/20))</f>
        <v>5425173.6186275855</v>
      </c>
      <c r="C22" s="315">
        <f>C21*(1+(Inputs!Y$9/20))</f>
        <v>5425173.6186275855</v>
      </c>
      <c r="D22" s="316">
        <v>0</v>
      </c>
      <c r="E22" s="316">
        <v>0</v>
      </c>
      <c r="F22" s="315">
        <f>F21*(1+(Inputs!X$10/20))</f>
        <v>90848.095393882104</v>
      </c>
      <c r="G22" s="315">
        <f>G21*(1+(Inputs!Y$10/20))</f>
        <v>109017.7144726585</v>
      </c>
      <c r="H22" s="315">
        <f t="shared" si="0"/>
        <v>18169.619078776392</v>
      </c>
      <c r="I22" s="315">
        <f>I21*(1+(Inputs!X$11/20))</f>
        <v>10323.64720385024</v>
      </c>
      <c r="J22" s="315">
        <f>J21*(1+(Inputs!Y$11/20))</f>
        <v>12388.376644620284</v>
      </c>
      <c r="K22" s="315">
        <f t="shared" si="1"/>
        <v>2064.7294407700447</v>
      </c>
      <c r="L22" s="41">
        <v>0</v>
      </c>
      <c r="M22" s="41">
        <v>0</v>
      </c>
      <c r="N22" s="41">
        <v>0</v>
      </c>
      <c r="O22" s="41">
        <v>0</v>
      </c>
      <c r="Q22" s="13"/>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s="14"/>
    </row>
    <row r="23" spans="1:64" x14ac:dyDescent="0.3">
      <c r="A23" s="1">
        <f>IF(A22&lt;'Project Information'!B$11,A22+1,"")</f>
        <v>2045</v>
      </c>
      <c r="B23" s="315">
        <f>B22*(1+(Inputs!X$9/20))</f>
        <v>5452299.4867207231</v>
      </c>
      <c r="C23" s="315">
        <f>C22*(1+(Inputs!Y$9/20))</f>
        <v>5452299.4867207231</v>
      </c>
      <c r="D23" s="316">
        <v>0</v>
      </c>
      <c r="E23" s="316">
        <v>0</v>
      </c>
      <c r="F23" s="315">
        <f>F22*(1+(Inputs!X$10/20))</f>
        <v>91892.848490911754</v>
      </c>
      <c r="G23" s="315">
        <f>G22*(1+(Inputs!Y$10/20))</f>
        <v>110271.41818909408</v>
      </c>
      <c r="H23" s="315">
        <f t="shared" si="0"/>
        <v>18378.569698182328</v>
      </c>
      <c r="I23" s="315">
        <f>I22*(1+(Inputs!X$11/20))</f>
        <v>10442.369146694518</v>
      </c>
      <c r="J23" s="315">
        <f>J22*(1+(Inputs!Y$11/20))</f>
        <v>12530.842976033418</v>
      </c>
      <c r="K23" s="315">
        <f t="shared" si="1"/>
        <v>2088.4738293389</v>
      </c>
      <c r="L23" s="41">
        <v>0</v>
      </c>
      <c r="M23" s="41">
        <v>0</v>
      </c>
      <c r="N23" s="41">
        <v>0</v>
      </c>
      <c r="O23" s="41">
        <v>0</v>
      </c>
      <c r="Q23" s="1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s="14"/>
    </row>
    <row r="24" spans="1:64" x14ac:dyDescent="0.3">
      <c r="A24" s="1">
        <f>IF(A23&lt;'Project Information'!B$11,A23+1,"")</f>
        <v>2046</v>
      </c>
      <c r="B24" s="315">
        <f>B23*(1+(Inputs!X$9/20))</f>
        <v>5479560.9841543259</v>
      </c>
      <c r="C24" s="315">
        <f>C23*(1+(Inputs!Y$9/20))</f>
        <v>5479560.9841543259</v>
      </c>
      <c r="D24" s="316">
        <v>0</v>
      </c>
      <c r="E24" s="316">
        <v>0</v>
      </c>
      <c r="F24" s="315">
        <f>F23*(1+(Inputs!X$10/20))</f>
        <v>92949.616248557242</v>
      </c>
      <c r="G24" s="315">
        <f>G23*(1+(Inputs!Y$10/20))</f>
        <v>111539.53949826867</v>
      </c>
      <c r="H24" s="315">
        <f t="shared" si="0"/>
        <v>18589.923249711428</v>
      </c>
      <c r="I24" s="315">
        <f>I23*(1+(Inputs!X$11/20))</f>
        <v>10562.456391881506</v>
      </c>
      <c r="J24" s="315">
        <f>J23*(1+(Inputs!Y$11/20))</f>
        <v>12674.947670257803</v>
      </c>
      <c r="K24" s="315">
        <f t="shared" si="1"/>
        <v>2112.4912783762975</v>
      </c>
      <c r="L24" s="41">
        <v>0</v>
      </c>
      <c r="M24" s="41">
        <v>0</v>
      </c>
      <c r="N24" s="41">
        <v>0</v>
      </c>
      <c r="O24" s="41">
        <v>0</v>
      </c>
      <c r="Q24" s="13"/>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s="14"/>
    </row>
    <row r="25" spans="1:64" x14ac:dyDescent="0.3">
      <c r="A25" s="1">
        <f>IF(A24&lt;'Project Information'!B$11,A24+1,"")</f>
        <v>2047</v>
      </c>
      <c r="B25" s="315">
        <f>B24*(1+(Inputs!X$9/20))</f>
        <v>5506958.7890750971</v>
      </c>
      <c r="C25" s="315">
        <f>C24*(1+(Inputs!Y$9/20))</f>
        <v>5506958.7890750971</v>
      </c>
      <c r="D25" s="316">
        <v>0</v>
      </c>
      <c r="E25" s="316">
        <v>0</v>
      </c>
      <c r="F25" s="315">
        <f>F24*(1+(Inputs!X$10/20))</f>
        <v>94018.536835415653</v>
      </c>
      <c r="G25" s="315">
        <f>G24*(1+(Inputs!Y$10/20))</f>
        <v>112822.24420249877</v>
      </c>
      <c r="H25" s="315">
        <f t="shared" si="0"/>
        <v>18803.707367083116</v>
      </c>
      <c r="I25" s="315">
        <f>I24*(1+(Inputs!X$11/20))</f>
        <v>10683.924640388144</v>
      </c>
      <c r="J25" s="315">
        <f>J24*(1+(Inputs!Y$11/20))</f>
        <v>12820.709568465769</v>
      </c>
      <c r="K25" s="315">
        <f t="shared" si="1"/>
        <v>2136.7849280776245</v>
      </c>
      <c r="L25" s="41">
        <v>0</v>
      </c>
      <c r="M25" s="41">
        <v>0</v>
      </c>
      <c r="N25" s="41">
        <v>0</v>
      </c>
      <c r="O25" s="41">
        <v>0</v>
      </c>
      <c r="Q25" s="13"/>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s="14"/>
    </row>
    <row r="26" spans="1:64" x14ac:dyDescent="0.3">
      <c r="A26" s="1">
        <f>IF(A25&lt;'Project Information'!B$11,A25+1,"")</f>
        <v>2048</v>
      </c>
      <c r="B26" s="315">
        <f>B25*(1+(Inputs!X$9/20))</f>
        <v>5534493.583020472</v>
      </c>
      <c r="C26" s="315">
        <f>C25*(1+(Inputs!Y$9/20))</f>
        <v>5534493.583020472</v>
      </c>
      <c r="D26" s="316">
        <v>0</v>
      </c>
      <c r="E26" s="316">
        <v>0</v>
      </c>
      <c r="F26" s="315">
        <f>F25*(1+(Inputs!X$10/20))</f>
        <v>95099.750009022944</v>
      </c>
      <c r="G26" s="315">
        <f>G25*(1+(Inputs!Y$10/20))</f>
        <v>114119.70001082751</v>
      </c>
      <c r="H26" s="315">
        <f t="shared" si="0"/>
        <v>19019.950001804566</v>
      </c>
      <c r="I26" s="315">
        <f>I25*(1+(Inputs!X$11/20))</f>
        <v>10806.789773752609</v>
      </c>
      <c r="J26" s="315">
        <f>J25*(1+(Inputs!Y$11/20))</f>
        <v>12968.147728503125</v>
      </c>
      <c r="K26" s="315">
        <f t="shared" si="1"/>
        <v>2161.357954750516</v>
      </c>
      <c r="L26" s="41">
        <v>0</v>
      </c>
      <c r="M26" s="41">
        <v>0</v>
      </c>
      <c r="N26" s="41">
        <v>0</v>
      </c>
      <c r="O26" s="41">
        <v>0</v>
      </c>
      <c r="Q26" s="13"/>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s="14"/>
    </row>
    <row r="27" spans="1:64" x14ac:dyDescent="0.3">
      <c r="A27" s="1">
        <f>IF(A26&lt;'Project Information'!B$11,A26+1,"")</f>
        <v>2049</v>
      </c>
      <c r="B27" s="315">
        <f>B26*(1+(Inputs!X$9/20))</f>
        <v>5562166.0509355739</v>
      </c>
      <c r="C27" s="315">
        <f>C26*(1+(Inputs!Y$9/20))</f>
        <v>5562166.0509355739</v>
      </c>
      <c r="D27" s="316">
        <v>0</v>
      </c>
      <c r="E27" s="316">
        <v>0</v>
      </c>
      <c r="F27" s="315">
        <f>F26*(1+(Inputs!X$10/20))</f>
        <v>96193.397134126717</v>
      </c>
      <c r="G27" s="315">
        <f>G26*(1+(Inputs!Y$10/20))</f>
        <v>115432.07656095203</v>
      </c>
      <c r="H27" s="315">
        <f t="shared" si="0"/>
        <v>19238.679426825314</v>
      </c>
      <c r="I27" s="315">
        <f>I26*(1+(Inputs!X$11/20))</f>
        <v>10931.067856150765</v>
      </c>
      <c r="J27" s="315">
        <f>J26*(1+(Inputs!Y$11/20))</f>
        <v>13117.281427380913</v>
      </c>
      <c r="K27" s="315">
        <f t="shared" si="1"/>
        <v>2186.2135712301479</v>
      </c>
      <c r="L27" s="41">
        <v>0</v>
      </c>
      <c r="M27" s="41">
        <v>0</v>
      </c>
      <c r="N27" s="41">
        <v>0</v>
      </c>
      <c r="O27" s="41">
        <v>0</v>
      </c>
      <c r="Q27" s="13"/>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s="14"/>
    </row>
    <row r="28" spans="1:64" x14ac:dyDescent="0.3">
      <c r="A28" s="1">
        <f>IF(A27&lt;'Project Information'!B$11,A27+1,"")</f>
        <v>2050</v>
      </c>
      <c r="B28" s="315">
        <f>B27*(1+(Inputs!X$9/20))</f>
        <v>5589976.8811902516</v>
      </c>
      <c r="C28" s="315">
        <f>C27*(1+(Inputs!Y$9/20))</f>
        <v>5589976.8811902516</v>
      </c>
      <c r="D28" s="316">
        <v>0</v>
      </c>
      <c r="E28" s="316">
        <v>0</v>
      </c>
      <c r="F28" s="315">
        <f>F27*(1+(Inputs!X$10/20))</f>
        <v>97299.621201169182</v>
      </c>
      <c r="G28" s="315">
        <f>G27*(1+(Inputs!Y$10/20))</f>
        <v>116759.54544140298</v>
      </c>
      <c r="H28" s="315">
        <f t="shared" si="0"/>
        <v>19459.924240233799</v>
      </c>
      <c r="I28" s="315">
        <f>I27*(1+(Inputs!X$11/20))</f>
        <v>11056.775136496499</v>
      </c>
      <c r="J28" s="315">
        <f>J27*(1+(Inputs!Y$11/20))</f>
        <v>13268.130163795793</v>
      </c>
      <c r="K28" s="315">
        <f t="shared" si="1"/>
        <v>2211.3550272992943</v>
      </c>
      <c r="L28" s="41">
        <v>0</v>
      </c>
      <c r="M28" s="41">
        <v>0</v>
      </c>
      <c r="N28" s="41">
        <v>0</v>
      </c>
      <c r="O28" s="41">
        <v>0</v>
      </c>
      <c r="Q28" s="13"/>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s="14"/>
    </row>
    <row r="29" spans="1:64" x14ac:dyDescent="0.3">
      <c r="A29" s="1">
        <f>IF(A28&lt;'Project Information'!B$11,A28+1,"")</f>
        <v>2051</v>
      </c>
      <c r="B29" s="315">
        <f>B28*(1+(Inputs!X$9/20))</f>
        <v>5617926.7655962026</v>
      </c>
      <c r="C29" s="315">
        <f>C28*(1+(Inputs!Y$9/20))</f>
        <v>5617926.7655962026</v>
      </c>
      <c r="D29" s="316">
        <v>0</v>
      </c>
      <c r="E29" s="316">
        <v>0</v>
      </c>
      <c r="F29" s="315">
        <f>F28*(1+(Inputs!X$10/20))</f>
        <v>98418.566844982633</v>
      </c>
      <c r="G29" s="315">
        <f>G28*(1+(Inputs!Y$10/20))</f>
        <v>118102.28021397912</v>
      </c>
      <c r="H29" s="315">
        <f t="shared" si="0"/>
        <v>19683.713368996483</v>
      </c>
      <c r="I29" s="315">
        <f>I28*(1+(Inputs!X$11/20))</f>
        <v>11183.92805056621</v>
      </c>
      <c r="J29" s="315">
        <f>J28*(1+(Inputs!Y$11/20))</f>
        <v>13420.713660679445</v>
      </c>
      <c r="K29" s="315">
        <f t="shared" si="1"/>
        <v>2236.7856101132347</v>
      </c>
      <c r="L29" s="41">
        <v>0</v>
      </c>
      <c r="M29" s="41">
        <v>0</v>
      </c>
      <c r="N29" s="41">
        <v>0</v>
      </c>
      <c r="O29" s="41">
        <v>0</v>
      </c>
      <c r="Q29" s="13"/>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s="14"/>
    </row>
    <row r="30" spans="1:64" s="1" customFormat="1" x14ac:dyDescent="0.3">
      <c r="A30" s="1" t="str">
        <f>IF(A29&lt;'Project Information'!B$11,A29+1,"")</f>
        <v/>
      </c>
      <c r="B30" s="315"/>
      <c r="C30" s="315"/>
      <c r="D30" s="316"/>
      <c r="E30" s="316"/>
      <c r="F30" s="315"/>
      <c r="G30" s="315"/>
      <c r="H30" s="315"/>
      <c r="I30" s="315"/>
      <c r="J30" s="315"/>
      <c r="K30" s="315"/>
      <c r="L30" s="41"/>
      <c r="M30" s="41"/>
      <c r="N30" s="41"/>
      <c r="O30" s="41"/>
      <c r="Q30" s="312"/>
      <c r="BL30" s="313"/>
    </row>
    <row r="31" spans="1:64" s="1" customFormat="1" x14ac:dyDescent="0.3">
      <c r="A31" s="1" t="str">
        <f>IF(A30&lt;'Project Information'!B$11,A30+1,"")</f>
        <v/>
      </c>
      <c r="B31" s="315"/>
      <c r="C31" s="315"/>
      <c r="D31" s="316"/>
      <c r="E31" s="316"/>
      <c r="F31" s="315"/>
      <c r="G31" s="315"/>
      <c r="H31" s="315"/>
      <c r="I31" s="315"/>
      <c r="J31" s="315"/>
      <c r="K31" s="315"/>
      <c r="L31" s="41"/>
      <c r="M31" s="41"/>
      <c r="N31" s="41"/>
      <c r="O31" s="41"/>
      <c r="Q31" s="312"/>
      <c r="BL31" s="313"/>
    </row>
    <row r="32" spans="1:64" s="1" customFormat="1" x14ac:dyDescent="0.3">
      <c r="A32" s="1" t="str">
        <f>IF(A31&lt;'Project Information'!B$11,A31+1,"")</f>
        <v/>
      </c>
      <c r="B32" s="315"/>
      <c r="C32" s="315"/>
      <c r="D32" s="316"/>
      <c r="E32" s="316"/>
      <c r="F32" s="315"/>
      <c r="G32" s="315"/>
      <c r="H32" s="315"/>
      <c r="I32" s="315"/>
      <c r="J32" s="315"/>
      <c r="K32" s="315"/>
      <c r="L32" s="41"/>
      <c r="M32" s="41"/>
      <c r="N32" s="41"/>
      <c r="O32" s="41"/>
      <c r="Q32" s="312"/>
      <c r="BL32" s="313"/>
    </row>
    <row r="33" spans="1:64" s="1" customFormat="1" x14ac:dyDescent="0.3">
      <c r="A33" s="1" t="str">
        <f>IF(A32&lt;'Project Information'!B$11,A32+1,"")</f>
        <v/>
      </c>
      <c r="B33" s="315"/>
      <c r="C33" s="315"/>
      <c r="D33" s="316"/>
      <c r="E33" s="316"/>
      <c r="F33" s="315"/>
      <c r="G33" s="315"/>
      <c r="H33" s="315"/>
      <c r="I33" s="315"/>
      <c r="J33" s="315"/>
      <c r="K33" s="315"/>
      <c r="L33" s="41"/>
      <c r="M33" s="41"/>
      <c r="N33" s="41"/>
      <c r="O33" s="41"/>
      <c r="Q33" s="312"/>
      <c r="BL33" s="313"/>
    </row>
    <row r="34" spans="1:64" s="1" customFormat="1" x14ac:dyDescent="0.3">
      <c r="A34" s="1" t="str">
        <f>IF(A33&lt;'Project Information'!B$11,A33+1,"")</f>
        <v/>
      </c>
      <c r="B34" s="315"/>
      <c r="C34" s="315"/>
      <c r="D34" s="316"/>
      <c r="E34" s="316"/>
      <c r="F34" s="315"/>
      <c r="G34" s="315"/>
      <c r="H34" s="315"/>
      <c r="I34" s="315"/>
      <c r="J34" s="315"/>
      <c r="K34" s="315"/>
      <c r="L34" s="41"/>
      <c r="M34" s="41"/>
      <c r="N34" s="41"/>
      <c r="O34" s="41"/>
      <c r="Q34" s="312"/>
      <c r="BL34" s="313"/>
    </row>
    <row r="35" spans="1:64" s="1" customFormat="1" x14ac:dyDescent="0.3">
      <c r="A35" s="1" t="str">
        <f>IF(A34&lt;'Project Information'!B$11,A34+1,"")</f>
        <v/>
      </c>
      <c r="B35" s="315"/>
      <c r="C35" s="315"/>
      <c r="D35" s="316"/>
      <c r="E35" s="316"/>
      <c r="F35" s="315"/>
      <c r="G35" s="315"/>
      <c r="H35" s="315"/>
      <c r="I35" s="315"/>
      <c r="J35" s="315"/>
      <c r="K35" s="315"/>
      <c r="L35" s="41"/>
      <c r="M35" s="41"/>
      <c r="N35" s="41"/>
      <c r="O35" s="41"/>
      <c r="Q35" s="312"/>
      <c r="BL35" s="313"/>
    </row>
    <row r="36" spans="1:64" s="1" customFormat="1" x14ac:dyDescent="0.3">
      <c r="A36" s="1" t="str">
        <f>IF(A35&lt;'Project Information'!B$11,A35+1,"")</f>
        <v/>
      </c>
      <c r="B36" s="315"/>
      <c r="C36" s="315"/>
      <c r="D36" s="316"/>
      <c r="E36" s="316"/>
      <c r="F36" s="315"/>
      <c r="G36" s="315"/>
      <c r="H36" s="315"/>
      <c r="I36" s="315"/>
      <c r="J36" s="315"/>
      <c r="K36" s="315"/>
      <c r="L36" s="41"/>
      <c r="M36" s="41"/>
      <c r="N36" s="41"/>
      <c r="O36" s="41"/>
      <c r="Q36" s="312"/>
      <c r="BL36" s="313"/>
    </row>
    <row r="37" spans="1:64" s="1" customFormat="1" x14ac:dyDescent="0.3">
      <c r="A37" s="1" t="str">
        <f>IF(A36&lt;'Project Information'!B$11,A36+1,"")</f>
        <v/>
      </c>
      <c r="B37" s="315"/>
      <c r="C37" s="315"/>
      <c r="D37" s="316"/>
      <c r="E37" s="316"/>
      <c r="F37" s="315"/>
      <c r="G37" s="315"/>
      <c r="H37" s="315"/>
      <c r="I37" s="315"/>
      <c r="J37" s="315"/>
      <c r="K37" s="315"/>
      <c r="L37" s="41"/>
      <c r="M37" s="41"/>
      <c r="N37" s="41"/>
      <c r="O37" s="41"/>
      <c r="Q37" s="312"/>
      <c r="BL37" s="313"/>
    </row>
    <row r="38" spans="1:64" s="1" customFormat="1" x14ac:dyDescent="0.3">
      <c r="A38" s="1" t="str">
        <f>IF(A37&lt;'Project Information'!B$11,A37+1,"")</f>
        <v/>
      </c>
      <c r="B38" s="315"/>
      <c r="C38" s="315"/>
      <c r="D38" s="316"/>
      <c r="E38" s="316"/>
      <c r="F38" s="315"/>
      <c r="G38" s="315"/>
      <c r="H38" s="315"/>
      <c r="I38" s="315"/>
      <c r="J38" s="315"/>
      <c r="K38" s="315"/>
      <c r="L38" s="41"/>
      <c r="M38" s="41"/>
      <c r="N38" s="41"/>
      <c r="O38" s="41"/>
      <c r="Q38" s="312"/>
      <c r="BL38" s="313"/>
    </row>
    <row r="39" spans="1:64" s="1" customFormat="1" x14ac:dyDescent="0.3">
      <c r="A39" s="1" t="str">
        <f>IF(A38&lt;'Project Information'!B$11,A38+1,"")</f>
        <v/>
      </c>
      <c r="B39" s="315"/>
      <c r="C39" s="315"/>
      <c r="D39" s="316"/>
      <c r="E39" s="316"/>
      <c r="F39" s="315"/>
      <c r="G39" s="315"/>
      <c r="H39" s="315"/>
      <c r="I39" s="315"/>
      <c r="J39" s="315"/>
      <c r="K39" s="315"/>
      <c r="L39" s="41"/>
      <c r="M39" s="41"/>
      <c r="N39" s="41"/>
      <c r="O39" s="41"/>
      <c r="Q39" s="312"/>
      <c r="BL39" s="313"/>
    </row>
    <row r="40" spans="1:64" s="5" customFormat="1" x14ac:dyDescent="0.3">
      <c r="Q40" s="139"/>
      <c r="BL40" s="140"/>
    </row>
    <row r="41" spans="1:64" s="5" customFormat="1" x14ac:dyDescent="0.3">
      <c r="Q41" s="139"/>
      <c r="BL41" s="140"/>
    </row>
    <row r="42" spans="1:64" s="5" customFormat="1" x14ac:dyDescent="0.3">
      <c r="Q42" s="139"/>
      <c r="BL42" s="140"/>
    </row>
    <row r="43" spans="1:64" s="5" customFormat="1" x14ac:dyDescent="0.3">
      <c r="Q43" s="139"/>
      <c r="BL43" s="140"/>
    </row>
    <row r="44" spans="1:64" s="5" customFormat="1" x14ac:dyDescent="0.3">
      <c r="Q44" s="139"/>
      <c r="BL44" s="140"/>
    </row>
    <row r="45" spans="1:64" s="5" customFormat="1" x14ac:dyDescent="0.3">
      <c r="Q45" s="139"/>
      <c r="BL45" s="140"/>
    </row>
    <row r="46" spans="1:64" s="5" customFormat="1" x14ac:dyDescent="0.3">
      <c r="Q46" s="139"/>
      <c r="BL46" s="140"/>
    </row>
    <row r="47" spans="1:64" s="5" customFormat="1" x14ac:dyDescent="0.3">
      <c r="Q47" s="139"/>
      <c r="BL47" s="140"/>
    </row>
    <row r="48" spans="1:64" s="5" customFormat="1" ht="15" thickBot="1" x14ac:dyDescent="0.35">
      <c r="Q48" s="141"/>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3"/>
    </row>
    <row r="49" s="5" customFormat="1" x14ac:dyDescent="0.3"/>
    <row r="50" s="5" customFormat="1" x14ac:dyDescent="0.3"/>
    <row r="51" s="5" customFormat="1" x14ac:dyDescent="0.3"/>
    <row r="52" s="5" customFormat="1" x14ac:dyDescent="0.3"/>
    <row r="53" s="5" customFormat="1" x14ac:dyDescent="0.3"/>
    <row r="54" s="5" customFormat="1" x14ac:dyDescent="0.3"/>
    <row r="55" s="5" customFormat="1" x14ac:dyDescent="0.3"/>
    <row r="56" s="5" customFormat="1" x14ac:dyDescent="0.3"/>
    <row r="57" s="5" customFormat="1" x14ac:dyDescent="0.3"/>
    <row r="58" s="5" customFormat="1" x14ac:dyDescent="0.3"/>
    <row r="59" s="5" customFormat="1" x14ac:dyDescent="0.3"/>
    <row r="60" s="5" customFormat="1" x14ac:dyDescent="0.3"/>
    <row r="61" s="5" customFormat="1" x14ac:dyDescent="0.3"/>
    <row r="62" s="5" customFormat="1" x14ac:dyDescent="0.3"/>
    <row r="63" s="5" customFormat="1" x14ac:dyDescent="0.3"/>
    <row r="64" s="5" customFormat="1" x14ac:dyDescent="0.3"/>
    <row r="65" s="5" customFormat="1" x14ac:dyDescent="0.3"/>
    <row r="66" s="5" customFormat="1" x14ac:dyDescent="0.3"/>
    <row r="67" s="5" customFormat="1" x14ac:dyDescent="0.3"/>
    <row r="68" s="5" customFormat="1" x14ac:dyDescent="0.3"/>
    <row r="69" s="5" customFormat="1" x14ac:dyDescent="0.3"/>
    <row r="70" s="5" customFormat="1" x14ac:dyDescent="0.3"/>
    <row r="71" s="5" customFormat="1" x14ac:dyDescent="0.3"/>
    <row r="72" s="5" customFormat="1" x14ac:dyDescent="0.3"/>
    <row r="73" s="5" customFormat="1" x14ac:dyDescent="0.3"/>
    <row r="74" s="5" customFormat="1" x14ac:dyDescent="0.3"/>
    <row r="75" s="5" customFormat="1" x14ac:dyDescent="0.3"/>
    <row r="76" s="5" customFormat="1" x14ac:dyDescent="0.3"/>
    <row r="77" s="5" customFormat="1" x14ac:dyDescent="0.3"/>
    <row r="78" s="5" customFormat="1" x14ac:dyDescent="0.3"/>
    <row r="79" s="5" customFormat="1" x14ac:dyDescent="0.3"/>
    <row r="80" s="5" customFormat="1" x14ac:dyDescent="0.3"/>
    <row r="81" s="5" customFormat="1" x14ac:dyDescent="0.3"/>
    <row r="82" s="5" customFormat="1" x14ac:dyDescent="0.3"/>
    <row r="83" s="5" customFormat="1" x14ac:dyDescent="0.3"/>
    <row r="84" s="5" customFormat="1" x14ac:dyDescent="0.3"/>
    <row r="85" s="5" customFormat="1" x14ac:dyDescent="0.3"/>
    <row r="86" s="5" customFormat="1" x14ac:dyDescent="0.3"/>
    <row r="87" s="5" customFormat="1" x14ac:dyDescent="0.3"/>
    <row r="88" s="5" customFormat="1" x14ac:dyDescent="0.3"/>
    <row r="89" s="5" customFormat="1" x14ac:dyDescent="0.3"/>
    <row r="90" s="5" customFormat="1" x14ac:dyDescent="0.3"/>
    <row r="91" s="5" customFormat="1" x14ac:dyDescent="0.3"/>
    <row r="92" s="5" customFormat="1" x14ac:dyDescent="0.3"/>
    <row r="93" s="5" customFormat="1" x14ac:dyDescent="0.3"/>
    <row r="94" s="5" customFormat="1" x14ac:dyDescent="0.3"/>
    <row r="95" s="5" customFormat="1" x14ac:dyDescent="0.3"/>
    <row r="96" s="5" customFormat="1" x14ac:dyDescent="0.3"/>
    <row r="97" s="5" customFormat="1" x14ac:dyDescent="0.3"/>
    <row r="98" s="5" customFormat="1" x14ac:dyDescent="0.3"/>
    <row r="99" s="5" customFormat="1" x14ac:dyDescent="0.3"/>
    <row r="100" s="5" customFormat="1" x14ac:dyDescent="0.3"/>
    <row r="101" s="5" customFormat="1" x14ac:dyDescent="0.3"/>
    <row r="102" s="5" customFormat="1" x14ac:dyDescent="0.3"/>
    <row r="103" s="5" customFormat="1" x14ac:dyDescent="0.3"/>
    <row r="104" s="5" customFormat="1" x14ac:dyDescent="0.3"/>
    <row r="105" s="5" customFormat="1" x14ac:dyDescent="0.3"/>
    <row r="106" s="5" customFormat="1" x14ac:dyDescent="0.3"/>
    <row r="107" s="5" customFormat="1" x14ac:dyDescent="0.3"/>
    <row r="108" s="5" customFormat="1" x14ac:dyDescent="0.3"/>
    <row r="109" s="5" customFormat="1" x14ac:dyDescent="0.3"/>
    <row r="110" s="5" customFormat="1" x14ac:dyDescent="0.3"/>
    <row r="111" s="5" customFormat="1" x14ac:dyDescent="0.3"/>
    <row r="112" s="5" customFormat="1" x14ac:dyDescent="0.3"/>
    <row r="113" s="5" customFormat="1" x14ac:dyDescent="0.3"/>
    <row r="114" s="5" customFormat="1" x14ac:dyDescent="0.3"/>
    <row r="115" s="5" customFormat="1" x14ac:dyDescent="0.3"/>
    <row r="116" s="5" customFormat="1" x14ac:dyDescent="0.3"/>
    <row r="117" s="5" customFormat="1" x14ac:dyDescent="0.3"/>
    <row r="118" s="5" customFormat="1" x14ac:dyDescent="0.3"/>
    <row r="119" s="5" customFormat="1" x14ac:dyDescent="0.3"/>
    <row r="120" s="5" customFormat="1" x14ac:dyDescent="0.3"/>
    <row r="121" s="5" customFormat="1" x14ac:dyDescent="0.3"/>
    <row r="122" s="5" customFormat="1" x14ac:dyDescent="0.3"/>
    <row r="123" s="5" customFormat="1" x14ac:dyDescent="0.3"/>
    <row r="124" s="5" customFormat="1" x14ac:dyDescent="0.3"/>
    <row r="125" s="5" customFormat="1" x14ac:dyDescent="0.3"/>
    <row r="126" s="5" customFormat="1" x14ac:dyDescent="0.3"/>
    <row r="127" s="5" customFormat="1" x14ac:dyDescent="0.3"/>
    <row r="128" s="5" customFormat="1" x14ac:dyDescent="0.3"/>
    <row r="129" s="5" customFormat="1" x14ac:dyDescent="0.3"/>
    <row r="130" s="5" customFormat="1" x14ac:dyDescent="0.3"/>
    <row r="131" s="5" customFormat="1" x14ac:dyDescent="0.3"/>
    <row r="132" s="5" customFormat="1" x14ac:dyDescent="0.3"/>
    <row r="133" s="5" customFormat="1" x14ac:dyDescent="0.3"/>
    <row r="134" s="5" customFormat="1" x14ac:dyDescent="0.3"/>
    <row r="135" s="5" customFormat="1" x14ac:dyDescent="0.3"/>
    <row r="136" s="5" customFormat="1" x14ac:dyDescent="0.3"/>
    <row r="137" s="5" customFormat="1" x14ac:dyDescent="0.3"/>
    <row r="138" s="5" customFormat="1" x14ac:dyDescent="0.3"/>
    <row r="139" s="5" customFormat="1" x14ac:dyDescent="0.3"/>
    <row r="140" s="5" customFormat="1" x14ac:dyDescent="0.3"/>
    <row r="141" s="5" customFormat="1" x14ac:dyDescent="0.3"/>
    <row r="142" s="5" customFormat="1" x14ac:dyDescent="0.3"/>
    <row r="143" s="5" customFormat="1" x14ac:dyDescent="0.3"/>
    <row r="144" s="5" customFormat="1" x14ac:dyDescent="0.3"/>
    <row r="145" s="5" customFormat="1" x14ac:dyDescent="0.3"/>
    <row r="146" s="5" customFormat="1" x14ac:dyDescent="0.3"/>
    <row r="147" s="5" customFormat="1" x14ac:dyDescent="0.3"/>
    <row r="148" s="5" customFormat="1" x14ac:dyDescent="0.3"/>
    <row r="149" s="5" customFormat="1" x14ac:dyDescent="0.3"/>
    <row r="150" s="5" customFormat="1" x14ac:dyDescent="0.3"/>
    <row r="151" s="5" customFormat="1" x14ac:dyDescent="0.3"/>
    <row r="152" s="5" customFormat="1" x14ac:dyDescent="0.3"/>
    <row r="153" s="5" customFormat="1" x14ac:dyDescent="0.3"/>
    <row r="154" s="5" customFormat="1" x14ac:dyDescent="0.3"/>
    <row r="155" s="5" customFormat="1" x14ac:dyDescent="0.3"/>
    <row r="156" s="5" customFormat="1" x14ac:dyDescent="0.3"/>
    <row r="157" s="5" customFormat="1" x14ac:dyDescent="0.3"/>
    <row r="158" s="5" customFormat="1" x14ac:dyDescent="0.3"/>
    <row r="159" s="5" customFormat="1" x14ac:dyDescent="0.3"/>
    <row r="160" s="5" customFormat="1" x14ac:dyDescent="0.3"/>
    <row r="161" s="5" customFormat="1" x14ac:dyDescent="0.3"/>
    <row r="162" s="5" customFormat="1" x14ac:dyDescent="0.3"/>
    <row r="163" s="5" customFormat="1" x14ac:dyDescent="0.3"/>
    <row r="164" s="5" customFormat="1" x14ac:dyDescent="0.3"/>
    <row r="165" s="5" customFormat="1" x14ac:dyDescent="0.3"/>
    <row r="166" s="5" customFormat="1" x14ac:dyDescent="0.3"/>
    <row r="167" s="5" customFormat="1" x14ac:dyDescent="0.3"/>
    <row r="168" s="5" customFormat="1" x14ac:dyDescent="0.3"/>
    <row r="169" s="5" customFormat="1" x14ac:dyDescent="0.3"/>
    <row r="170" s="5" customFormat="1" x14ac:dyDescent="0.3"/>
    <row r="171" s="5" customFormat="1" x14ac:dyDescent="0.3"/>
    <row r="172" s="5" customFormat="1" x14ac:dyDescent="0.3"/>
    <row r="173" s="5" customFormat="1" x14ac:dyDescent="0.3"/>
    <row r="174" s="5" customFormat="1" x14ac:dyDescent="0.3"/>
    <row r="175" s="5" customFormat="1" x14ac:dyDescent="0.3"/>
    <row r="176" s="5" customFormat="1" x14ac:dyDescent="0.3"/>
    <row r="177" s="5" customFormat="1" x14ac:dyDescent="0.3"/>
    <row r="178" s="5" customFormat="1" x14ac:dyDescent="0.3"/>
    <row r="179" s="5" customFormat="1" x14ac:dyDescent="0.3"/>
    <row r="180" s="5" customFormat="1" x14ac:dyDescent="0.3"/>
    <row r="181" s="5" customFormat="1" x14ac:dyDescent="0.3"/>
    <row r="182" s="5" customFormat="1" x14ac:dyDescent="0.3"/>
    <row r="183" s="5" customFormat="1" x14ac:dyDescent="0.3"/>
    <row r="184" s="5" customFormat="1" x14ac:dyDescent="0.3"/>
    <row r="185" s="5" customFormat="1" x14ac:dyDescent="0.3"/>
    <row r="186" s="5" customFormat="1" x14ac:dyDescent="0.3"/>
    <row r="187" s="5" customFormat="1" x14ac:dyDescent="0.3"/>
    <row r="188" s="5" customFormat="1" x14ac:dyDescent="0.3"/>
    <row r="189" s="5" customFormat="1" x14ac:dyDescent="0.3"/>
    <row r="190" s="5" customFormat="1" x14ac:dyDescent="0.3"/>
    <row r="191" s="5" customFormat="1" x14ac:dyDescent="0.3"/>
    <row r="192" s="5" customFormat="1" x14ac:dyDescent="0.3"/>
    <row r="193" s="5" customFormat="1" x14ac:dyDescent="0.3"/>
    <row r="194" s="5" customFormat="1" x14ac:dyDescent="0.3"/>
    <row r="195" s="5" customFormat="1" x14ac:dyDescent="0.3"/>
    <row r="196" s="5" customFormat="1" x14ac:dyDescent="0.3"/>
    <row r="197" s="5" customFormat="1" x14ac:dyDescent="0.3"/>
    <row r="198" s="5" customFormat="1" x14ac:dyDescent="0.3"/>
    <row r="199" s="5" customFormat="1" x14ac:dyDescent="0.3"/>
    <row r="200" s="5" customFormat="1" x14ac:dyDescent="0.3"/>
    <row r="201" s="5" customFormat="1" x14ac:dyDescent="0.3"/>
    <row r="202" s="5" customFormat="1" x14ac:dyDescent="0.3"/>
    <row r="203" s="5" customFormat="1" x14ac:dyDescent="0.3"/>
    <row r="204" s="5" customFormat="1" x14ac:dyDescent="0.3"/>
    <row r="205" s="5" customFormat="1" x14ac:dyDescent="0.3"/>
    <row r="206" s="5" customFormat="1" x14ac:dyDescent="0.3"/>
    <row r="207" s="5" customFormat="1" x14ac:dyDescent="0.3"/>
    <row r="208" s="5" customFormat="1" x14ac:dyDescent="0.3"/>
    <row r="209" s="5" customFormat="1" x14ac:dyDescent="0.3"/>
    <row r="210" s="5" customFormat="1" x14ac:dyDescent="0.3"/>
    <row r="211" s="5" customFormat="1" x14ac:dyDescent="0.3"/>
    <row r="212" s="5" customFormat="1" x14ac:dyDescent="0.3"/>
    <row r="213" s="5" customFormat="1" x14ac:dyDescent="0.3"/>
    <row r="214" s="5" customFormat="1" x14ac:dyDescent="0.3"/>
    <row r="215" s="5" customFormat="1" x14ac:dyDescent="0.3"/>
    <row r="216" s="5" customFormat="1" x14ac:dyDescent="0.3"/>
    <row r="217" s="5" customFormat="1" x14ac:dyDescent="0.3"/>
    <row r="218" s="5" customFormat="1" x14ac:dyDescent="0.3"/>
    <row r="219" s="5" customFormat="1" x14ac:dyDescent="0.3"/>
    <row r="220" s="5" customFormat="1" x14ac:dyDescent="0.3"/>
    <row r="221" s="5" customFormat="1" x14ac:dyDescent="0.3"/>
    <row r="222" s="5" customFormat="1" x14ac:dyDescent="0.3"/>
    <row r="223" s="5" customFormat="1" x14ac:dyDescent="0.3"/>
    <row r="224" s="5" customFormat="1" x14ac:dyDescent="0.3"/>
    <row r="225" s="5" customFormat="1" x14ac:dyDescent="0.3"/>
    <row r="226" s="5" customFormat="1" x14ac:dyDescent="0.3"/>
    <row r="227" s="5" customFormat="1" x14ac:dyDescent="0.3"/>
    <row r="228" s="5" customFormat="1" x14ac:dyDescent="0.3"/>
    <row r="229" s="5" customFormat="1" x14ac:dyDescent="0.3"/>
    <row r="230" s="5" customFormat="1" x14ac:dyDescent="0.3"/>
    <row r="231" s="5" customFormat="1" x14ac:dyDescent="0.3"/>
    <row r="232" s="5" customFormat="1" x14ac:dyDescent="0.3"/>
    <row r="233" s="5" customFormat="1" x14ac:dyDescent="0.3"/>
    <row r="234" s="5" customFormat="1" x14ac:dyDescent="0.3"/>
    <row r="235" s="5" customFormat="1" x14ac:dyDescent="0.3"/>
    <row r="236" s="5" customFormat="1" x14ac:dyDescent="0.3"/>
    <row r="237" s="5" customFormat="1" x14ac:dyDescent="0.3"/>
    <row r="238" s="5" customFormat="1" x14ac:dyDescent="0.3"/>
    <row r="239" s="5" customFormat="1" x14ac:dyDescent="0.3"/>
    <row r="240" s="5" customFormat="1" x14ac:dyDescent="0.3"/>
    <row r="241" s="5" customFormat="1" x14ac:dyDescent="0.3"/>
    <row r="242" s="5" customFormat="1" x14ac:dyDescent="0.3"/>
    <row r="243" s="5" customFormat="1" x14ac:dyDescent="0.3"/>
    <row r="244" s="5" customFormat="1" x14ac:dyDescent="0.3"/>
    <row r="245" s="5" customFormat="1" x14ac:dyDescent="0.3"/>
    <row r="246" s="5" customFormat="1" x14ac:dyDescent="0.3"/>
  </sheetData>
  <mergeCells count="6">
    <mergeCell ref="N8:O8"/>
    <mergeCell ref="B8:C8"/>
    <mergeCell ref="D8:E8"/>
    <mergeCell ref="L8:M8"/>
    <mergeCell ref="F8:H8"/>
    <mergeCell ref="I8:K8"/>
  </mergeCells>
  <conditionalFormatting sqref="B10:O39">
    <cfRule type="expression" dxfId="20" priority="1">
      <formula>$A10=""</formula>
    </cfRule>
  </conditionalFormatting>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29D9F-FC46-4D85-90F6-7D1B96D1D401}">
  <sheetPr>
    <tabColor theme="9" tint="0.39997558519241921"/>
  </sheetPr>
  <dimension ref="A1:AZ48"/>
  <sheetViews>
    <sheetView zoomScale="115" zoomScaleNormal="115" workbookViewId="0">
      <selection activeCell="B9" sqref="B9:B14"/>
    </sheetView>
  </sheetViews>
  <sheetFormatPr defaultColWidth="9.109375" defaultRowHeight="14.4" x14ac:dyDescent="0.3"/>
  <cols>
    <col min="1" max="1" width="28.88671875" style="5" customWidth="1"/>
    <col min="2" max="2" width="39.5546875" style="5" bestFit="1" customWidth="1"/>
    <col min="3" max="3" width="30.109375" style="5" customWidth="1"/>
    <col min="4" max="16384" width="9.109375" style="5"/>
  </cols>
  <sheetData>
    <row r="1" spans="1:52" ht="20.399999999999999" thickBot="1" x14ac:dyDescent="0.45">
      <c r="A1" s="93" t="s">
        <v>268</v>
      </c>
    </row>
    <row r="2" spans="1:52" ht="15" thickTop="1" x14ac:dyDescent="0.3">
      <c r="A2" s="145" t="s">
        <v>310</v>
      </c>
      <c r="B2" s="144"/>
      <c r="C2" s="144"/>
      <c r="D2" s="144"/>
      <c r="E2" s="144"/>
      <c r="F2" s="144"/>
      <c r="G2" s="144"/>
      <c r="H2" s="144"/>
      <c r="I2" s="144"/>
    </row>
    <row r="3" spans="1:52" x14ac:dyDescent="0.3">
      <c r="A3" s="38" t="s">
        <v>21</v>
      </c>
    </row>
    <row r="4" spans="1:52" x14ac:dyDescent="0.3">
      <c r="A4" s="116">
        <v>7.0000000000000007E-2</v>
      </c>
      <c r="B4" s="5" t="s">
        <v>311</v>
      </c>
    </row>
    <row r="5" spans="1:52" x14ac:dyDescent="0.3">
      <c r="A5" s="117">
        <v>0</v>
      </c>
      <c r="B5" s="5" t="s">
        <v>312</v>
      </c>
    </row>
    <row r="6" spans="1:52" x14ac:dyDescent="0.3">
      <c r="A6" s="29" t="s">
        <v>21</v>
      </c>
    </row>
    <row r="7" spans="1:52" ht="15" thickBot="1" x14ac:dyDescent="0.35">
      <c r="A7" s="94" t="s">
        <v>313</v>
      </c>
    </row>
    <row r="8" spans="1:52" x14ac:dyDescent="0.3">
      <c r="A8" s="112" t="s">
        <v>308</v>
      </c>
      <c r="B8" s="110" t="s">
        <v>314</v>
      </c>
      <c r="C8" s="105" t="s">
        <v>315</v>
      </c>
      <c r="E8" s="10" t="s">
        <v>307</v>
      </c>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2"/>
    </row>
    <row r="9" spans="1:52" x14ac:dyDescent="0.3">
      <c r="A9" s="30">
        <f>'Project Information'!B7</f>
        <v>2026</v>
      </c>
      <c r="B9" s="317">
        <v>442732</v>
      </c>
      <c r="C9" s="8">
        <f>B9/(1+$A$4)^(A9-Overview!$B$22)</f>
        <v>386699.27504585549</v>
      </c>
      <c r="E9" s="13"/>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s="14"/>
    </row>
    <row r="10" spans="1:52" x14ac:dyDescent="0.3">
      <c r="A10" s="1">
        <f>IF(A9&lt;$A$9+'Project Information'!$B$8-1,A9+1,"")</f>
        <v>2027</v>
      </c>
      <c r="B10" s="317">
        <v>885464</v>
      </c>
      <c r="C10" s="8">
        <f>IFERROR(B10/(1+$A$4)^(A10-Overview!$B$22),0)</f>
        <v>722802.38326328131</v>
      </c>
      <c r="E10" s="13"/>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s="14"/>
    </row>
    <row r="11" spans="1:52" x14ac:dyDescent="0.3">
      <c r="A11" s="1">
        <f>IF(A10&lt;$A$9+'Project Information'!$B$8-1,A10+1,"")</f>
        <v>2028</v>
      </c>
      <c r="B11" s="317">
        <v>885464</v>
      </c>
      <c r="C11" s="8">
        <f>IFERROR(B11/(1+$A$4)^(A11-Overview!$B$22),0)</f>
        <v>675516.24604044983</v>
      </c>
      <c r="E11" s="13"/>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s="14"/>
    </row>
    <row r="12" spans="1:52" x14ac:dyDescent="0.3">
      <c r="A12" s="1">
        <f>IF(A11&lt;$A$9+'Project Information'!$B$8-1,A11+1,"")</f>
        <v>2029</v>
      </c>
      <c r="B12" s="317">
        <v>6552436</v>
      </c>
      <c r="C12" s="8">
        <f>IFERROR(B12/(1+$A$4)^(A12-Overview!$B$22),0)</f>
        <v>4671796.3099512495</v>
      </c>
      <c r="E12" s="13"/>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4"/>
    </row>
    <row r="13" spans="1:52" x14ac:dyDescent="0.3">
      <c r="A13" s="1">
        <f>IF(A12&lt;$A$9+'Project Information'!$B$8-1,A12+1,"")</f>
        <v>2030</v>
      </c>
      <c r="B13" s="317">
        <v>12219408</v>
      </c>
      <c r="C13" s="8">
        <f>IFERROR(B13/(1+$A$4)^(A13-Overview!$B$22),0)</f>
        <v>8142307.5004412839</v>
      </c>
      <c r="E13" s="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4"/>
    </row>
    <row r="14" spans="1:52" x14ac:dyDescent="0.3">
      <c r="A14" s="1">
        <f>IF(A13&lt;$A$9+'Project Information'!$B$8-1,A13+1,"")</f>
        <v>2031</v>
      </c>
      <c r="B14" s="317">
        <v>12219408</v>
      </c>
      <c r="C14" s="8">
        <f>IFERROR(B14/(1+$A$4)^(A14-Overview!$B$22),0)</f>
        <v>7609633.1779825073</v>
      </c>
      <c r="E14" s="13"/>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4"/>
    </row>
    <row r="15" spans="1:52" x14ac:dyDescent="0.3">
      <c r="A15" s="1" t="str">
        <f>IF(A14&lt;$A$9+'Project Information'!$B$8-1,A14+1,"")</f>
        <v/>
      </c>
      <c r="B15" s="22">
        <v>0</v>
      </c>
      <c r="C15" s="8">
        <f>IFERROR(B15/(1+$A$4)^(A15-Overview!$B$22),0)</f>
        <v>0</v>
      </c>
      <c r="E15" s="1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4"/>
    </row>
    <row r="16" spans="1:52" x14ac:dyDescent="0.3">
      <c r="A16" s="1" t="str">
        <f>IF(A15&lt;$A$9+'Project Information'!$B$8-1,A15+1,"")</f>
        <v/>
      </c>
      <c r="B16" s="22">
        <v>0</v>
      </c>
      <c r="C16" s="8">
        <f>IFERROR(B16/(1+$A$4)^(A16-Overview!$B$22),0)</f>
        <v>0</v>
      </c>
      <c r="E16" s="13"/>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4"/>
    </row>
    <row r="17" spans="1:52" x14ac:dyDescent="0.3">
      <c r="A17" s="1" t="str">
        <f>IF(A16&lt;$A$9+'Project Information'!$B$8-1,A16+1,"")</f>
        <v/>
      </c>
      <c r="B17" s="22">
        <v>0</v>
      </c>
      <c r="C17" s="8">
        <f>IFERROR(B17/(1+$A$4)^(A17-Overview!$B$22),0)</f>
        <v>0</v>
      </c>
      <c r="E17" s="13"/>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4"/>
    </row>
    <row r="18" spans="1:52" x14ac:dyDescent="0.3">
      <c r="A18" s="1" t="str">
        <f>IF(A17&lt;$A$9+'Project Information'!$B$8-1,A17+1,"")</f>
        <v/>
      </c>
      <c r="B18" s="22">
        <v>0</v>
      </c>
      <c r="C18" s="8">
        <f>IFERROR(B18/(1+$A$4)^(A18-Overview!$B$22),0)</f>
        <v>0</v>
      </c>
      <c r="E18" s="13"/>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4"/>
    </row>
    <row r="19" spans="1:52" x14ac:dyDescent="0.3">
      <c r="A19" s="1" t="str">
        <f>IF(A18&lt;$A$9+'Project Information'!$B$8-1,A18+1,"")</f>
        <v/>
      </c>
      <c r="B19" s="22">
        <v>0</v>
      </c>
      <c r="C19" s="8">
        <f>IFERROR(B19/(1+$A$4)^(A19-Overview!$B$22),0)</f>
        <v>0</v>
      </c>
      <c r="E19" s="13"/>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4"/>
    </row>
    <row r="20" spans="1:52" x14ac:dyDescent="0.3">
      <c r="A20" s="1" t="str">
        <f>IF(A19&lt;$A$9+'Project Information'!$B$8-1,A19+1,"")</f>
        <v/>
      </c>
      <c r="B20" s="22">
        <v>0</v>
      </c>
      <c r="C20" s="8">
        <f>IFERROR(B20/(1+$A$4)^(A20-Overview!$B$22),0)</f>
        <v>0</v>
      </c>
      <c r="E20" s="1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4"/>
    </row>
    <row r="21" spans="1:52" x14ac:dyDescent="0.3">
      <c r="A21" s="1" t="str">
        <f>IF(A20&lt;$A$9+'Project Information'!$B$8-1,A20+1,"")</f>
        <v/>
      </c>
      <c r="B21" s="22">
        <v>0</v>
      </c>
      <c r="C21" s="8">
        <f>IFERROR(B21/(1+$A$4)^(A21-Overview!$B$22),0)</f>
        <v>0</v>
      </c>
      <c r="E21" s="13"/>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4"/>
    </row>
    <row r="22" spans="1:52" x14ac:dyDescent="0.3">
      <c r="A22" s="1" t="str">
        <f>IF(A21&lt;$A$9+'Project Information'!$B$8-1,A21+1,"")</f>
        <v/>
      </c>
      <c r="B22" s="22">
        <v>0</v>
      </c>
      <c r="C22" s="8">
        <f>IFERROR(B22/(1+$A$4)^(A22-Overview!$B$22),0)</f>
        <v>0</v>
      </c>
      <c r="E22" s="1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4"/>
    </row>
    <row r="23" spans="1:52" x14ac:dyDescent="0.3">
      <c r="A23" s="1" t="str">
        <f>IF(A22&lt;$A$9+'Project Information'!$B$8-1,A22+1,"")</f>
        <v/>
      </c>
      <c r="B23" s="22">
        <v>0</v>
      </c>
      <c r="C23" s="8">
        <f>IFERROR(B23/(1+$A$4)^(A23-Overview!$B$22),0)</f>
        <v>0</v>
      </c>
      <c r="E23" s="1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4"/>
    </row>
    <row r="24" spans="1:52" x14ac:dyDescent="0.3">
      <c r="A24" s="31"/>
      <c r="B24" s="32"/>
      <c r="C24" s="33"/>
      <c r="E24" s="1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4"/>
    </row>
    <row r="25" spans="1:52" x14ac:dyDescent="0.3">
      <c r="B25" s="28"/>
      <c r="C25" s="29"/>
      <c r="E25" s="13"/>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4"/>
    </row>
    <row r="26" spans="1:52" x14ac:dyDescent="0.3">
      <c r="B26" s="28"/>
      <c r="C26" s="29"/>
      <c r="E26" s="1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4"/>
    </row>
    <row r="27" spans="1:52" x14ac:dyDescent="0.3">
      <c r="B27" s="28"/>
      <c r="C27" s="29"/>
      <c r="E27" s="13"/>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4"/>
    </row>
    <row r="28" spans="1:52" x14ac:dyDescent="0.3">
      <c r="B28" s="28"/>
      <c r="C28" s="29"/>
      <c r="E28" s="13"/>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4"/>
    </row>
    <row r="29" spans="1:52" x14ac:dyDescent="0.3">
      <c r="B29" s="28"/>
      <c r="C29" s="29"/>
      <c r="E29" s="13"/>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4"/>
    </row>
    <row r="30" spans="1:52" x14ac:dyDescent="0.3">
      <c r="B30" s="28"/>
      <c r="C30" s="29"/>
      <c r="E30" s="1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4"/>
    </row>
    <row r="31" spans="1:52" x14ac:dyDescent="0.3">
      <c r="B31" s="28"/>
      <c r="C31" s="29"/>
      <c r="E31" s="13"/>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4"/>
    </row>
    <row r="32" spans="1:52" x14ac:dyDescent="0.3">
      <c r="B32" s="28"/>
      <c r="C32" s="29"/>
      <c r="E32" s="1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4"/>
    </row>
    <row r="33" spans="2:52" x14ac:dyDescent="0.3">
      <c r="B33" s="28"/>
      <c r="C33" s="29"/>
      <c r="E33" s="1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4"/>
    </row>
    <row r="34" spans="2:52" x14ac:dyDescent="0.3">
      <c r="B34" s="28"/>
      <c r="C34" s="29"/>
      <c r="E34" s="13"/>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4"/>
    </row>
    <row r="35" spans="2:52" x14ac:dyDescent="0.3">
      <c r="B35" s="28"/>
      <c r="C35" s="29"/>
      <c r="E35" s="13"/>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4"/>
    </row>
    <row r="36" spans="2:52" x14ac:dyDescent="0.3">
      <c r="B36" s="28"/>
      <c r="C36" s="29"/>
      <c r="E36" s="1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4"/>
    </row>
    <row r="37" spans="2:52" x14ac:dyDescent="0.3">
      <c r="B37" s="28"/>
      <c r="C37" s="29"/>
      <c r="E37" s="13"/>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4"/>
    </row>
    <row r="38" spans="2:52" x14ac:dyDescent="0.3">
      <c r="B38" s="28"/>
      <c r="C38" s="29"/>
      <c r="E38" s="13"/>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4"/>
    </row>
    <row r="39" spans="2:52" x14ac:dyDescent="0.3">
      <c r="B39" s="28"/>
      <c r="C39" s="29"/>
      <c r="E39" s="13"/>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4"/>
    </row>
    <row r="40" spans="2:52" x14ac:dyDescent="0.3">
      <c r="B40" s="28"/>
      <c r="C40" s="29"/>
      <c r="E40" s="13"/>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4"/>
    </row>
    <row r="41" spans="2:52" x14ac:dyDescent="0.3">
      <c r="B41" s="28"/>
      <c r="C41" s="29"/>
      <c r="E41" s="13"/>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4"/>
    </row>
    <row r="42" spans="2:52" x14ac:dyDescent="0.3">
      <c r="B42" s="28"/>
      <c r="C42" s="29"/>
      <c r="E42" s="13"/>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4"/>
    </row>
    <row r="43" spans="2:52" x14ac:dyDescent="0.3">
      <c r="B43" s="28"/>
      <c r="C43" s="29"/>
      <c r="E43" s="1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4"/>
    </row>
    <row r="44" spans="2:52" x14ac:dyDescent="0.3">
      <c r="B44" s="28"/>
      <c r="C44" s="29"/>
      <c r="E44" s="1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4"/>
    </row>
    <row r="45" spans="2:52" x14ac:dyDescent="0.3">
      <c r="B45" s="28"/>
      <c r="C45" s="29"/>
      <c r="E45" s="1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4"/>
    </row>
    <row r="46" spans="2:52" x14ac:dyDescent="0.3">
      <c r="B46" s="28"/>
      <c r="C46" s="29"/>
      <c r="E46" s="13"/>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4"/>
    </row>
    <row r="47" spans="2:52" x14ac:dyDescent="0.3">
      <c r="B47" s="28"/>
      <c r="C47" s="29"/>
      <c r="E47" s="13"/>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4"/>
    </row>
    <row r="48" spans="2:52" ht="15" thickBot="1" x14ac:dyDescent="0.35">
      <c r="B48" s="28"/>
      <c r="C48" s="29"/>
      <c r="E48" s="15"/>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7"/>
    </row>
  </sheetData>
  <conditionalFormatting sqref="B9:B23">
    <cfRule type="expression" dxfId="19" priority="1">
      <formula>A9=""</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5E38E-8165-48A5-9087-43035F106B2B}">
  <sheetPr>
    <tabColor theme="9" tint="0.39997558519241921"/>
  </sheetPr>
  <dimension ref="A1:BB97"/>
  <sheetViews>
    <sheetView zoomScaleNormal="100" workbookViewId="0">
      <selection activeCell="M24" sqref="M24"/>
    </sheetView>
  </sheetViews>
  <sheetFormatPr defaultColWidth="9.109375" defaultRowHeight="14.4" x14ac:dyDescent="0.3"/>
  <cols>
    <col min="1" max="1" width="28.5546875" style="5" customWidth="1"/>
    <col min="2" max="2" width="42" style="5" customWidth="1"/>
    <col min="3" max="3" width="37.88671875" style="5" customWidth="1"/>
    <col min="4" max="4" width="46.5546875" style="5" customWidth="1"/>
    <col min="5" max="7" width="9.109375" style="5"/>
    <col min="8" max="8" width="22.6640625" style="5" customWidth="1"/>
    <col min="9" max="9" width="11" style="5" customWidth="1"/>
    <col min="10" max="10" width="14.6640625" style="5" customWidth="1"/>
    <col min="11" max="11" width="18" style="5" customWidth="1"/>
    <col min="12" max="12" width="13.109375" style="5" customWidth="1"/>
    <col min="13" max="13" width="14.33203125" style="5" bestFit="1" customWidth="1"/>
    <col min="14" max="16384" width="9.109375" style="5"/>
  </cols>
  <sheetData>
    <row r="1" spans="1:54" ht="20.399999999999999" thickBot="1" x14ac:dyDescent="0.45">
      <c r="A1" s="93" t="s">
        <v>316</v>
      </c>
    </row>
    <row r="2" spans="1:54" ht="15" thickTop="1" x14ac:dyDescent="0.3">
      <c r="A2" s="145" t="s">
        <v>317</v>
      </c>
      <c r="B2" s="144"/>
      <c r="C2" s="144"/>
      <c r="D2" s="144"/>
      <c r="E2" s="144"/>
    </row>
    <row r="3" spans="1:54" x14ac:dyDescent="0.3">
      <c r="A3" s="5" t="s">
        <v>21</v>
      </c>
    </row>
    <row r="4" spans="1:54" x14ac:dyDescent="0.3">
      <c r="A4" s="145" t="s">
        <v>318</v>
      </c>
      <c r="B4" s="145"/>
      <c r="C4" s="145"/>
      <c r="D4" s="145"/>
      <c r="E4" s="145"/>
      <c r="F4" s="145"/>
    </row>
    <row r="5" spans="1:54" x14ac:dyDescent="0.3">
      <c r="A5" s="5" t="s">
        <v>21</v>
      </c>
    </row>
    <row r="6" spans="1:54" ht="15" thickBot="1" x14ac:dyDescent="0.35">
      <c r="A6" s="94" t="s">
        <v>319</v>
      </c>
    </row>
    <row r="7" spans="1:54" x14ac:dyDescent="0.3">
      <c r="A7" s="104" t="s">
        <v>308</v>
      </c>
      <c r="B7" s="105" t="s">
        <v>320</v>
      </c>
      <c r="C7" s="105" t="s">
        <v>321</v>
      </c>
      <c r="D7" s="105" t="s">
        <v>322</v>
      </c>
      <c r="G7" s="10" t="s">
        <v>307</v>
      </c>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2"/>
    </row>
    <row r="8" spans="1:54" x14ac:dyDescent="0.3">
      <c r="A8" s="6">
        <f>'Project Information'!$B$9</f>
        <v>2032</v>
      </c>
      <c r="B8" s="332"/>
      <c r="C8" s="22"/>
      <c r="D8" s="26">
        <f>C8-B8</f>
        <v>0</v>
      </c>
      <c r="G8" s="13"/>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s="14"/>
    </row>
    <row r="9" spans="1:54" x14ac:dyDescent="0.3">
      <c r="A9" s="1">
        <f>IF(A8&lt;'Project Information'!B$11,A8+1,"")</f>
        <v>2033</v>
      </c>
      <c r="B9" s="332"/>
      <c r="C9" s="22"/>
      <c r="D9" s="8">
        <f t="shared" ref="D9:D37" si="0">C9-B9</f>
        <v>0</v>
      </c>
      <c r="G9" s="13"/>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s="14"/>
    </row>
    <row r="10" spans="1:54" x14ac:dyDescent="0.3">
      <c r="A10" s="1">
        <f>IF(A9&lt;'Project Information'!B$11,A9+1,"")</f>
        <v>2034</v>
      </c>
      <c r="B10" s="332"/>
      <c r="C10" s="22"/>
      <c r="D10" s="8">
        <f t="shared" si="0"/>
        <v>0</v>
      </c>
      <c r="G10" s="13"/>
      <c r="H10" t="s">
        <v>323</v>
      </c>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s="14"/>
    </row>
    <row r="11" spans="1:54" x14ac:dyDescent="0.3">
      <c r="A11" s="1">
        <f>IF(A10&lt;'Project Information'!B$11,A10+1,"")</f>
        <v>2035</v>
      </c>
      <c r="B11" s="332"/>
      <c r="C11" s="22"/>
      <c r="D11" s="8">
        <f t="shared" si="0"/>
        <v>0</v>
      </c>
      <c r="G11" s="13"/>
      <c r="H11" s="386" t="s">
        <v>324</v>
      </c>
      <c r="I11" s="283" t="s">
        <v>308</v>
      </c>
      <c r="J11" s="386" t="s">
        <v>325</v>
      </c>
      <c r="K11" s="283" t="s">
        <v>326</v>
      </c>
      <c r="L11" s="386" t="s">
        <v>327</v>
      </c>
      <c r="M11" s="283" t="s">
        <v>291</v>
      </c>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s="14"/>
    </row>
    <row r="12" spans="1:54" x14ac:dyDescent="0.3">
      <c r="A12" s="1">
        <f>IF(A11&lt;'Project Information'!B$11,A11+1,"")</f>
        <v>2036</v>
      </c>
      <c r="B12" s="332"/>
      <c r="C12" s="22"/>
      <c r="D12" s="8">
        <f t="shared" si="0"/>
        <v>0</v>
      </c>
      <c r="G12" s="13"/>
      <c r="H12" t="s">
        <v>328</v>
      </c>
      <c r="I12">
        <v>2039</v>
      </c>
      <c r="J12" t="s">
        <v>329</v>
      </c>
      <c r="K12" s="224">
        <v>450000</v>
      </c>
      <c r="L12">
        <v>3.67</v>
      </c>
      <c r="M12" s="224">
        <f>L12*K12</f>
        <v>1651500</v>
      </c>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s="14"/>
    </row>
    <row r="13" spans="1:54" x14ac:dyDescent="0.3">
      <c r="A13" s="1">
        <f>IF(A12&lt;'Project Information'!B$11,A12+1,"")</f>
        <v>2037</v>
      </c>
      <c r="B13" s="332"/>
      <c r="C13" s="22"/>
      <c r="D13" s="8">
        <f t="shared" si="0"/>
        <v>0</v>
      </c>
      <c r="G13" s="13"/>
      <c r="H13" t="s">
        <v>330</v>
      </c>
      <c r="I13">
        <v>2040</v>
      </c>
      <c r="J13" t="s">
        <v>329</v>
      </c>
      <c r="K13" s="224">
        <v>450000</v>
      </c>
      <c r="L13">
        <f>5.5-L12</f>
        <v>1.83</v>
      </c>
      <c r="M13" s="224">
        <f t="shared" ref="M13:M14" si="1">L13*K13</f>
        <v>823500</v>
      </c>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s="14"/>
    </row>
    <row r="14" spans="1:54" x14ac:dyDescent="0.3">
      <c r="A14" s="1">
        <f>IF(A13&lt;'Project Information'!B$11,A13+1,"")</f>
        <v>2038</v>
      </c>
      <c r="B14" s="332"/>
      <c r="C14" s="22"/>
      <c r="D14" s="8">
        <f t="shared" si="0"/>
        <v>0</v>
      </c>
      <c r="G14" s="13"/>
      <c r="H14" t="s">
        <v>331</v>
      </c>
      <c r="I14">
        <f>I12+12</f>
        <v>2051</v>
      </c>
      <c r="J14" t="s">
        <v>332</v>
      </c>
      <c r="K14" s="224">
        <v>1000000</v>
      </c>
      <c r="L14">
        <f>5.5</f>
        <v>5.5</v>
      </c>
      <c r="M14" s="224">
        <f t="shared" si="1"/>
        <v>5500000</v>
      </c>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s="14"/>
    </row>
    <row r="15" spans="1:54" x14ac:dyDescent="0.3">
      <c r="A15" s="1">
        <f>IF(A14&lt;'Project Information'!B$11,A14+1,"")</f>
        <v>2039</v>
      </c>
      <c r="B15" s="318">
        <f>M12</f>
        <v>1651500</v>
      </c>
      <c r="C15" s="22"/>
      <c r="D15" s="8">
        <f t="shared" si="0"/>
        <v>-1651500</v>
      </c>
      <c r="G15" s="13"/>
      <c r="H15"/>
      <c r="I15"/>
      <c r="J15"/>
      <c r="K15"/>
      <c r="L15"/>
      <c r="M15" s="224"/>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s="14"/>
    </row>
    <row r="16" spans="1:54" x14ac:dyDescent="0.3">
      <c r="A16" s="1">
        <f>IF(A15&lt;'Project Information'!B$11,A15+1,"")</f>
        <v>2040</v>
      </c>
      <c r="B16" s="318">
        <f>M13</f>
        <v>823500</v>
      </c>
      <c r="C16" s="22"/>
      <c r="D16" s="8">
        <f t="shared" si="0"/>
        <v>-823500</v>
      </c>
      <c r="G16" s="13"/>
      <c r="H16"/>
      <c r="I16"/>
      <c r="J16"/>
      <c r="K16" s="291"/>
      <c r="L16"/>
      <c r="M16" s="224"/>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s="14"/>
    </row>
    <row r="17" spans="1:54" x14ac:dyDescent="0.3">
      <c r="A17" s="1">
        <f>IF(A16&lt;'Project Information'!B$11,A16+1,"")</f>
        <v>2041</v>
      </c>
      <c r="B17" s="332"/>
      <c r="C17" s="22"/>
      <c r="D17" s="8">
        <f t="shared" si="0"/>
        <v>0</v>
      </c>
      <c r="G17" s="13"/>
      <c r="H17"/>
      <c r="I17"/>
      <c r="J17"/>
      <c r="K17" s="291"/>
      <c r="L17"/>
      <c r="M17" s="224"/>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s="14"/>
    </row>
    <row r="18" spans="1:54" x14ac:dyDescent="0.3">
      <c r="A18" s="1">
        <f>IF(A17&lt;'Project Information'!B$11,A17+1,"")</f>
        <v>2042</v>
      </c>
      <c r="B18" s="332"/>
      <c r="C18" s="22"/>
      <c r="D18" s="8">
        <f t="shared" si="0"/>
        <v>0</v>
      </c>
      <c r="G18" s="13"/>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s="14"/>
    </row>
    <row r="19" spans="1:54" x14ac:dyDescent="0.3">
      <c r="A19" s="1">
        <f>IF(A18&lt;'Project Information'!B$11,A18+1,"")</f>
        <v>2043</v>
      </c>
      <c r="B19" s="332"/>
      <c r="C19" s="332">
        <f>M21</f>
        <v>2475000</v>
      </c>
      <c r="D19" s="8">
        <f t="shared" si="0"/>
        <v>2475000</v>
      </c>
      <c r="G19" s="13"/>
      <c r="H19" t="s">
        <v>333</v>
      </c>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s="14"/>
    </row>
    <row r="20" spans="1:54" x14ac:dyDescent="0.3">
      <c r="A20" s="1">
        <f>IF(A19&lt;'Project Information'!B$11,A19+1,"")</f>
        <v>2044</v>
      </c>
      <c r="B20" s="332"/>
      <c r="C20" s="332"/>
      <c r="D20" s="8">
        <f t="shared" si="0"/>
        <v>0</v>
      </c>
      <c r="G20" s="13"/>
      <c r="H20" s="386" t="s">
        <v>324</v>
      </c>
      <c r="I20" s="283" t="s">
        <v>308</v>
      </c>
      <c r="J20" s="386" t="s">
        <v>325</v>
      </c>
      <c r="K20" s="283" t="s">
        <v>326</v>
      </c>
      <c r="L20" s="386" t="s">
        <v>327</v>
      </c>
      <c r="M20" s="283" t="s">
        <v>291</v>
      </c>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s="14"/>
    </row>
    <row r="21" spans="1:54" x14ac:dyDescent="0.3">
      <c r="A21" s="1">
        <f>IF(A20&lt;'Project Information'!B$11,A20+1,"")</f>
        <v>2045</v>
      </c>
      <c r="B21" s="332"/>
      <c r="C21" s="332"/>
      <c r="D21" s="8">
        <f t="shared" si="0"/>
        <v>0</v>
      </c>
      <c r="G21" s="13"/>
      <c r="H21" t="s">
        <v>331</v>
      </c>
      <c r="I21">
        <f>2031+12</f>
        <v>2043</v>
      </c>
      <c r="J21" t="s">
        <v>329</v>
      </c>
      <c r="K21" s="224">
        <v>450000</v>
      </c>
      <c r="L21">
        <v>5.5</v>
      </c>
      <c r="M21" s="224">
        <f>K21*L21</f>
        <v>2475000</v>
      </c>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s="14"/>
    </row>
    <row r="22" spans="1:54" x14ac:dyDescent="0.3">
      <c r="A22" s="1">
        <f>IF(A21&lt;'Project Information'!B$11,A21+1,"")</f>
        <v>2046</v>
      </c>
      <c r="B22" s="332"/>
      <c r="C22" s="332"/>
      <c r="D22" s="8">
        <f t="shared" si="0"/>
        <v>0</v>
      </c>
      <c r="G22" s="13"/>
      <c r="H22"/>
      <c r="I22"/>
      <c r="J22"/>
      <c r="K22" s="224"/>
      <c r="L22"/>
      <c r="M22" s="224"/>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s="14"/>
    </row>
    <row r="23" spans="1:54" x14ac:dyDescent="0.3">
      <c r="A23" s="1">
        <f>IF(A22&lt;'Project Information'!B$11,A22+1,"")</f>
        <v>2047</v>
      </c>
      <c r="B23" s="332"/>
      <c r="C23" s="332"/>
      <c r="D23" s="8">
        <f t="shared" si="0"/>
        <v>0</v>
      </c>
      <c r="G23" s="1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s="14"/>
    </row>
    <row r="24" spans="1:54" x14ac:dyDescent="0.3">
      <c r="A24" s="1">
        <f>IF(A23&lt;'Project Information'!B$11,A23+1,"")</f>
        <v>2048</v>
      </c>
      <c r="B24" s="332"/>
      <c r="C24" s="332"/>
      <c r="D24" s="8">
        <f t="shared" si="0"/>
        <v>0</v>
      </c>
      <c r="G24" s="13"/>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s="14"/>
    </row>
    <row r="25" spans="1:54" x14ac:dyDescent="0.3">
      <c r="A25" s="1">
        <f>IF(A24&lt;'Project Information'!B$11,A24+1,"")</f>
        <v>2049</v>
      </c>
      <c r="B25" s="332"/>
      <c r="C25" s="332"/>
      <c r="D25" s="8">
        <f t="shared" si="0"/>
        <v>0</v>
      </c>
      <c r="G25" s="13"/>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s="14"/>
    </row>
    <row r="26" spans="1:54" x14ac:dyDescent="0.3">
      <c r="A26" s="1">
        <f>IF(A25&lt;'Project Information'!B$11,A25+1,"")</f>
        <v>2050</v>
      </c>
      <c r="B26" s="332"/>
      <c r="C26" s="332"/>
      <c r="D26" s="8">
        <f t="shared" si="0"/>
        <v>0</v>
      </c>
      <c r="G26" s="13"/>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s="14"/>
    </row>
    <row r="27" spans="1:54" x14ac:dyDescent="0.3">
      <c r="A27" s="1">
        <f>IF(A26&lt;'Project Information'!B$11,A26+1,"")</f>
        <v>2051</v>
      </c>
      <c r="B27" s="318">
        <f>M14</f>
        <v>5500000</v>
      </c>
      <c r="C27" s="332"/>
      <c r="D27" s="8">
        <f t="shared" si="0"/>
        <v>-5500000</v>
      </c>
      <c r="G27" s="13"/>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s="14"/>
    </row>
    <row r="28" spans="1:54" x14ac:dyDescent="0.3">
      <c r="A28" s="1" t="str">
        <f>IF(A27&lt;'Project Information'!B$11,A27+1,"")</f>
        <v/>
      </c>
      <c r="B28" s="318"/>
      <c r="C28" s="332"/>
      <c r="D28" s="8">
        <f t="shared" si="0"/>
        <v>0</v>
      </c>
      <c r="G28" s="13"/>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s="14"/>
    </row>
    <row r="29" spans="1:54" x14ac:dyDescent="0.3">
      <c r="A29" s="1" t="str">
        <f>IF(A28&lt;'Project Information'!B$11,A28+1,"")</f>
        <v/>
      </c>
      <c r="B29" s="332"/>
      <c r="C29" s="332"/>
      <c r="D29" s="8">
        <f t="shared" si="0"/>
        <v>0</v>
      </c>
      <c r="G29" s="13"/>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s="14"/>
    </row>
    <row r="30" spans="1:54" x14ac:dyDescent="0.3">
      <c r="A30" s="1" t="str">
        <f>IF(A29&lt;'Project Information'!B$11,A29+1,"")</f>
        <v/>
      </c>
      <c r="B30" s="332"/>
      <c r="C30" s="332"/>
      <c r="D30" s="8">
        <f t="shared" si="0"/>
        <v>0</v>
      </c>
      <c r="G30" s="13"/>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s="14"/>
    </row>
    <row r="31" spans="1:54" x14ac:dyDescent="0.3">
      <c r="A31" s="1" t="str">
        <f>IF(A30&lt;'Project Information'!B$11,A30+1,"")</f>
        <v/>
      </c>
      <c r="B31" s="332"/>
      <c r="C31" s="332"/>
      <c r="D31" s="8">
        <f t="shared" si="0"/>
        <v>0</v>
      </c>
      <c r="G31" s="13"/>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s="14"/>
    </row>
    <row r="32" spans="1:54" x14ac:dyDescent="0.3">
      <c r="A32" s="1" t="str">
        <f>IF(A31&lt;'Project Information'!B$11,A31+1,"")</f>
        <v/>
      </c>
      <c r="B32" s="332"/>
      <c r="C32" s="332"/>
      <c r="D32" s="8">
        <f t="shared" si="0"/>
        <v>0</v>
      </c>
      <c r="G32" s="13"/>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s="14"/>
    </row>
    <row r="33" spans="1:54" x14ac:dyDescent="0.3">
      <c r="A33" s="1" t="str">
        <f>IF(A32&lt;'Project Information'!B$11,A32+1,"")</f>
        <v/>
      </c>
      <c r="B33" s="22"/>
      <c r="C33" s="332"/>
      <c r="D33" s="8">
        <f t="shared" si="0"/>
        <v>0</v>
      </c>
      <c r="G33" s="1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s="14"/>
    </row>
    <row r="34" spans="1:54" x14ac:dyDescent="0.3">
      <c r="A34" s="1" t="str">
        <f>IF(A33&lt;'Project Information'!B$11,A33+1,"")</f>
        <v/>
      </c>
      <c r="B34" s="22"/>
      <c r="C34" s="22"/>
      <c r="D34" s="8">
        <f t="shared" si="0"/>
        <v>0</v>
      </c>
      <c r="G34" s="13"/>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s="14"/>
    </row>
    <row r="35" spans="1:54" x14ac:dyDescent="0.3">
      <c r="A35" s="1" t="str">
        <f>IF(A34&lt;'Project Information'!B$11,A34+1,"")</f>
        <v/>
      </c>
      <c r="B35" s="22"/>
      <c r="C35" s="22"/>
      <c r="D35" s="8">
        <f t="shared" si="0"/>
        <v>0</v>
      </c>
      <c r="G35" s="13"/>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s="14"/>
    </row>
    <row r="36" spans="1:54" x14ac:dyDescent="0.3">
      <c r="A36" s="1" t="str">
        <f>IF(A35&lt;'Project Information'!B$11,A35+1,"")</f>
        <v/>
      </c>
      <c r="B36" s="22"/>
      <c r="C36" s="22"/>
      <c r="D36" s="8">
        <f t="shared" si="0"/>
        <v>0</v>
      </c>
      <c r="G36" s="13"/>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s="14"/>
    </row>
    <row r="37" spans="1:54" x14ac:dyDescent="0.3">
      <c r="A37" s="1" t="str">
        <f>IF(A36&lt;'Project Information'!B$11,A36+1,"")</f>
        <v/>
      </c>
      <c r="B37" s="22"/>
      <c r="C37" s="22"/>
      <c r="D37" s="8">
        <f t="shared" si="0"/>
        <v>0</v>
      </c>
      <c r="G37" s="13"/>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s="14"/>
    </row>
    <row r="38" spans="1:54" x14ac:dyDescent="0.3">
      <c r="A38" s="31"/>
      <c r="B38" s="32"/>
      <c r="C38" s="32"/>
      <c r="D38" s="33"/>
      <c r="G38" s="13"/>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s="14"/>
    </row>
    <row r="39" spans="1:54" x14ac:dyDescent="0.3">
      <c r="B39" s="28"/>
      <c r="C39" s="28"/>
      <c r="D39" s="29"/>
      <c r="G39" s="13"/>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s="14"/>
    </row>
    <row r="40" spans="1:54" x14ac:dyDescent="0.3">
      <c r="B40" s="28"/>
      <c r="C40" s="28"/>
      <c r="D40" s="29"/>
      <c r="G40" s="13"/>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s="14"/>
    </row>
    <row r="41" spans="1:54" x14ac:dyDescent="0.3">
      <c r="B41" s="28"/>
      <c r="C41" s="28"/>
      <c r="D41" s="29"/>
      <c r="G41" s="13"/>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s="14"/>
    </row>
    <row r="42" spans="1:54" x14ac:dyDescent="0.3">
      <c r="B42" s="28"/>
      <c r="C42" s="28"/>
      <c r="D42" s="29"/>
      <c r="G42" s="13"/>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s="14"/>
    </row>
    <row r="43" spans="1:54" x14ac:dyDescent="0.3">
      <c r="B43" s="28"/>
      <c r="C43" s="28"/>
      <c r="D43" s="29"/>
      <c r="G43" s="1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s="14"/>
    </row>
    <row r="44" spans="1:54" x14ac:dyDescent="0.3">
      <c r="B44" s="28"/>
      <c r="C44" s="28"/>
      <c r="D44" s="29"/>
      <c r="G44" s="13"/>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s="14"/>
    </row>
    <row r="45" spans="1:54" x14ac:dyDescent="0.3">
      <c r="B45" s="28"/>
      <c r="C45" s="28"/>
      <c r="D45" s="29"/>
      <c r="G45" s="13"/>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s="14"/>
    </row>
    <row r="46" spans="1:54" x14ac:dyDescent="0.3">
      <c r="B46" s="28"/>
      <c r="C46" s="28"/>
      <c r="D46" s="29"/>
      <c r="G46" s="13"/>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s="14"/>
    </row>
    <row r="47" spans="1:54" x14ac:dyDescent="0.3">
      <c r="B47" s="28"/>
      <c r="C47" s="28"/>
      <c r="D47" s="29"/>
      <c r="G47" s="13"/>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s="14"/>
    </row>
    <row r="48" spans="1:54" x14ac:dyDescent="0.3">
      <c r="G48" s="13"/>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s="14"/>
    </row>
    <row r="49" spans="7:54" x14ac:dyDescent="0.3">
      <c r="G49" s="13"/>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s="14"/>
    </row>
    <row r="50" spans="7:54" x14ac:dyDescent="0.3">
      <c r="G50" s="13"/>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s="14"/>
    </row>
    <row r="51" spans="7:54" x14ac:dyDescent="0.3">
      <c r="G51" s="13"/>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s="14"/>
    </row>
    <row r="52" spans="7:54" x14ac:dyDescent="0.3">
      <c r="G52" s="13"/>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s="14"/>
    </row>
    <row r="53" spans="7:54" x14ac:dyDescent="0.3">
      <c r="G53" s="1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s="14"/>
    </row>
    <row r="54" spans="7:54" x14ac:dyDescent="0.3">
      <c r="G54" s="13"/>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s="14"/>
    </row>
    <row r="55" spans="7:54" x14ac:dyDescent="0.3">
      <c r="G55" s="13"/>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s="14"/>
    </row>
    <row r="56" spans="7:54" x14ac:dyDescent="0.3">
      <c r="G56" s="13"/>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s="14"/>
    </row>
    <row r="57" spans="7:54" x14ac:dyDescent="0.3">
      <c r="G57" s="13"/>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s="14"/>
    </row>
    <row r="58" spans="7:54" x14ac:dyDescent="0.3">
      <c r="G58" s="13"/>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s="14"/>
    </row>
    <row r="59" spans="7:54" x14ac:dyDescent="0.3">
      <c r="G59" s="13"/>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s="14"/>
    </row>
    <row r="60" spans="7:54" x14ac:dyDescent="0.3">
      <c r="G60" s="13"/>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s="14"/>
    </row>
    <row r="61" spans="7:54" x14ac:dyDescent="0.3">
      <c r="G61" s="13"/>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s="14"/>
    </row>
    <row r="62" spans="7:54" x14ac:dyDescent="0.3">
      <c r="G62" s="13"/>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s="14"/>
    </row>
    <row r="63" spans="7:54" x14ac:dyDescent="0.3">
      <c r="G63" s="1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s="14"/>
    </row>
    <row r="64" spans="7:54" x14ac:dyDescent="0.3">
      <c r="G64" s="13"/>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s="14"/>
    </row>
    <row r="65" spans="7:54" x14ac:dyDescent="0.3">
      <c r="G65" s="13"/>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s="14"/>
    </row>
    <row r="66" spans="7:54" x14ac:dyDescent="0.3">
      <c r="G66" s="13"/>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s="14"/>
    </row>
    <row r="67" spans="7:54" x14ac:dyDescent="0.3">
      <c r="G67" s="13"/>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s="14"/>
    </row>
    <row r="68" spans="7:54" x14ac:dyDescent="0.3">
      <c r="G68" s="13"/>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s="14"/>
    </row>
    <row r="69" spans="7:54" x14ac:dyDescent="0.3">
      <c r="G69" s="13"/>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s="14"/>
    </row>
    <row r="70" spans="7:54" x14ac:dyDescent="0.3">
      <c r="G70" s="13"/>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s="14"/>
    </row>
    <row r="71" spans="7:54" x14ac:dyDescent="0.3">
      <c r="G71" s="13"/>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s="14"/>
    </row>
    <row r="72" spans="7:54" x14ac:dyDescent="0.3">
      <c r="G72" s="13"/>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s="14"/>
    </row>
    <row r="73" spans="7:54" x14ac:dyDescent="0.3">
      <c r="G73" s="1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s="14"/>
    </row>
    <row r="74" spans="7:54" x14ac:dyDescent="0.3">
      <c r="G74" s="13"/>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s="14"/>
    </row>
    <row r="75" spans="7:54" x14ac:dyDescent="0.3">
      <c r="G75" s="13"/>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s="14"/>
    </row>
    <row r="76" spans="7:54" x14ac:dyDescent="0.3">
      <c r="G76" s="13"/>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s="14"/>
    </row>
    <row r="77" spans="7:54" x14ac:dyDescent="0.3">
      <c r="G77" s="13"/>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s="14"/>
    </row>
    <row r="78" spans="7:54" x14ac:dyDescent="0.3">
      <c r="G78" s="13"/>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s="14"/>
    </row>
    <row r="79" spans="7:54" x14ac:dyDescent="0.3">
      <c r="G79" s="13"/>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s="14"/>
    </row>
    <row r="80" spans="7:54" x14ac:dyDescent="0.3">
      <c r="G80" s="13"/>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s="14"/>
    </row>
    <row r="81" spans="7:54" x14ac:dyDescent="0.3">
      <c r="G81" s="13"/>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s="14"/>
    </row>
    <row r="82" spans="7:54" x14ac:dyDescent="0.3">
      <c r="G82" s="13"/>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s="14"/>
    </row>
    <row r="83" spans="7:54" x14ac:dyDescent="0.3">
      <c r="G83" s="1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s="14"/>
    </row>
    <row r="84" spans="7:54" x14ac:dyDescent="0.3">
      <c r="G84" s="13"/>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s="14"/>
    </row>
    <row r="85" spans="7:54" x14ac:dyDescent="0.3">
      <c r="G85" s="13"/>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s="14"/>
    </row>
    <row r="86" spans="7:54" x14ac:dyDescent="0.3">
      <c r="G86" s="13"/>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s="14"/>
    </row>
    <row r="87" spans="7:54" x14ac:dyDescent="0.3">
      <c r="G87" s="13"/>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s="14"/>
    </row>
    <row r="88" spans="7:54" x14ac:dyDescent="0.3">
      <c r="G88" s="13"/>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s="14"/>
    </row>
    <row r="89" spans="7:54" x14ac:dyDescent="0.3">
      <c r="G89" s="13"/>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s="14"/>
    </row>
    <row r="90" spans="7:54" x14ac:dyDescent="0.3">
      <c r="G90" s="13"/>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s="14"/>
    </row>
    <row r="91" spans="7:54" x14ac:dyDescent="0.3">
      <c r="G91" s="13"/>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s="14"/>
    </row>
    <row r="92" spans="7:54" ht="15" thickBot="1" x14ac:dyDescent="0.35">
      <c r="G92" s="13"/>
      <c r="H92" s="16"/>
      <c r="I92" s="16"/>
      <c r="J92" s="16"/>
      <c r="K92" s="16"/>
      <c r="L92" s="16"/>
      <c r="M92" s="16"/>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s="14"/>
    </row>
    <row r="93" spans="7:54" x14ac:dyDescent="0.3">
      <c r="G93" s="1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s="14"/>
    </row>
    <row r="94" spans="7:54" x14ac:dyDescent="0.3">
      <c r="G94" s="13"/>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s="14"/>
    </row>
    <row r="95" spans="7:54" x14ac:dyDescent="0.3">
      <c r="G95" s="13"/>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s="14"/>
    </row>
    <row r="96" spans="7:54" x14ac:dyDescent="0.3">
      <c r="G96" s="13"/>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s="14"/>
    </row>
    <row r="97" spans="7:54" ht="15" thickBot="1" x14ac:dyDescent="0.35">
      <c r="G97" s="15"/>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7"/>
    </row>
  </sheetData>
  <conditionalFormatting sqref="B8:B37">
    <cfRule type="expression" dxfId="18" priority="3">
      <formula>A8=""</formula>
    </cfRule>
  </conditionalFormatting>
  <conditionalFormatting sqref="C8:C37">
    <cfRule type="expression" dxfId="17" priority="1">
      <formula>A8=""</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3ED40-5564-4F69-B498-62F7E290D6B9}">
  <sheetPr>
    <tabColor theme="9" tint="0.39997558519241921"/>
  </sheetPr>
  <dimension ref="A1:AW111"/>
  <sheetViews>
    <sheetView topLeftCell="B17" zoomScaleNormal="100" workbookViewId="0">
      <selection activeCell="X30" sqref="X30"/>
    </sheetView>
  </sheetViews>
  <sheetFormatPr defaultColWidth="9.109375" defaultRowHeight="14.4" x14ac:dyDescent="0.3"/>
  <cols>
    <col min="1" max="1" width="38.44140625" style="5" customWidth="1"/>
    <col min="2" max="2" width="25.33203125" style="5" customWidth="1"/>
    <col min="3" max="3" width="32.5546875" style="5" customWidth="1"/>
    <col min="4" max="4" width="22.6640625" style="5" customWidth="1"/>
    <col min="5" max="7" width="9.109375" style="5"/>
    <col min="8" max="8" width="9.109375" style="5" customWidth="1"/>
    <col min="9" max="9" width="14.44140625" style="5" customWidth="1"/>
    <col min="10" max="10" width="36.88671875" style="5" customWidth="1"/>
    <col min="11" max="11" width="18.5546875" style="5" customWidth="1"/>
    <col min="12" max="12" width="13.5546875" style="5" customWidth="1"/>
    <col min="13" max="13" width="17.109375" style="5" customWidth="1"/>
    <col min="14" max="14" width="9.109375" style="5"/>
    <col min="15" max="15" width="19.109375" style="5" customWidth="1"/>
    <col min="16" max="16" width="15.109375" style="5" customWidth="1"/>
    <col min="17" max="17" width="12.44140625" style="5" customWidth="1"/>
    <col min="18" max="18" width="21.109375" style="5" customWidth="1"/>
    <col min="19" max="19" width="14.6640625" style="5" customWidth="1"/>
    <col min="20" max="20" width="15.6640625" style="5" customWidth="1"/>
    <col min="21" max="21" width="9.109375" style="5"/>
    <col min="22" max="22" width="12.6640625" style="5" customWidth="1"/>
    <col min="23" max="23" width="10.44140625" style="5" customWidth="1"/>
    <col min="24" max="24" width="14.33203125" style="5" customWidth="1"/>
    <col min="25" max="25" width="101.6640625" style="5" customWidth="1"/>
    <col min="26" max="16384" width="9.109375" style="5"/>
  </cols>
  <sheetData>
    <row r="1" spans="1:9" ht="20.399999999999999" thickBot="1" x14ac:dyDescent="0.45">
      <c r="A1" s="93" t="s">
        <v>284</v>
      </c>
    </row>
    <row r="2" spans="1:9" ht="15" thickTop="1" x14ac:dyDescent="0.3">
      <c r="A2" s="144" t="s">
        <v>334</v>
      </c>
      <c r="B2" s="144"/>
      <c r="C2" s="144"/>
      <c r="D2" s="144"/>
      <c r="E2" s="144"/>
      <c r="F2" s="144"/>
    </row>
    <row r="3" spans="1:9" x14ac:dyDescent="0.3">
      <c r="A3" s="5" t="s">
        <v>21</v>
      </c>
    </row>
    <row r="4" spans="1:9" x14ac:dyDescent="0.3">
      <c r="A4" s="145" t="s">
        <v>317</v>
      </c>
      <c r="B4" s="144"/>
      <c r="C4" s="144"/>
      <c r="D4" s="144"/>
      <c r="E4" s="144"/>
      <c r="F4" s="144"/>
      <c r="G4" s="144"/>
      <c r="H4" s="144"/>
      <c r="I4" s="144"/>
    </row>
    <row r="5" spans="1:9" x14ac:dyDescent="0.3">
      <c r="A5" s="38" t="s">
        <v>21</v>
      </c>
    </row>
    <row r="6" spans="1:9" x14ac:dyDescent="0.3">
      <c r="A6" s="94" t="s">
        <v>335</v>
      </c>
    </row>
    <row r="7" spans="1:9" x14ac:dyDescent="0.3">
      <c r="A7" s="113" t="s">
        <v>37</v>
      </c>
      <c r="B7" s="113" t="str">
        <f>'Parameter Values'!B6</f>
        <v>Monetized Value (2024 $)</v>
      </c>
    </row>
    <row r="8" spans="1:9" x14ac:dyDescent="0.3">
      <c r="A8" s="35" t="s">
        <v>39</v>
      </c>
      <c r="B8" s="40">
        <f>'Parameter Values'!B7</f>
        <v>5500</v>
      </c>
    </row>
    <row r="9" spans="1:9" x14ac:dyDescent="0.3">
      <c r="A9" s="35" t="s">
        <v>40</v>
      </c>
      <c r="B9" s="40">
        <f>'Parameter Values'!B8</f>
        <v>122400</v>
      </c>
    </row>
    <row r="10" spans="1:9" x14ac:dyDescent="0.3">
      <c r="A10" s="35" t="s">
        <v>41</v>
      </c>
      <c r="B10" s="40">
        <f>'Parameter Values'!B9</f>
        <v>256300</v>
      </c>
    </row>
    <row r="11" spans="1:9" x14ac:dyDescent="0.3">
      <c r="A11" s="35" t="s">
        <v>42</v>
      </c>
      <c r="B11" s="40">
        <f>'Parameter Values'!B10</f>
        <v>1302300</v>
      </c>
    </row>
    <row r="12" spans="1:9" x14ac:dyDescent="0.3">
      <c r="A12" s="35" t="s">
        <v>43</v>
      </c>
      <c r="B12" s="40">
        <f>'Parameter Values'!B11</f>
        <v>13700000</v>
      </c>
    </row>
    <row r="13" spans="1:9" x14ac:dyDescent="0.3">
      <c r="A13" s="35" t="s">
        <v>44</v>
      </c>
      <c r="B13" s="40">
        <f>'Parameter Values'!B12</f>
        <v>238500</v>
      </c>
    </row>
    <row r="14" spans="1:9" x14ac:dyDescent="0.3">
      <c r="A14" s="123" t="s">
        <v>21</v>
      </c>
      <c r="B14" s="124"/>
    </row>
    <row r="15" spans="1:9" x14ac:dyDescent="0.3">
      <c r="A15" s="35" t="s">
        <v>46</v>
      </c>
    </row>
    <row r="16" spans="1:9" x14ac:dyDescent="0.3">
      <c r="A16" s="35" t="s">
        <v>47</v>
      </c>
      <c r="B16" s="40">
        <f>'Parameter Values'!B15</f>
        <v>9700</v>
      </c>
    </row>
    <row r="17" spans="1:49" x14ac:dyDescent="0.3">
      <c r="A17" s="35" t="s">
        <v>48</v>
      </c>
      <c r="B17" s="40">
        <f>'Parameter Values'!B16</f>
        <v>342400</v>
      </c>
    </row>
    <row r="18" spans="1:49" x14ac:dyDescent="0.3">
      <c r="A18" s="35" t="s">
        <v>49</v>
      </c>
      <c r="B18" s="40">
        <f>'Parameter Values'!B17</f>
        <v>15366900</v>
      </c>
    </row>
    <row r="19" spans="1:49" x14ac:dyDescent="0.3">
      <c r="A19" s="5" t="s">
        <v>21</v>
      </c>
    </row>
    <row r="20" spans="1:49" ht="15" thickBot="1" x14ac:dyDescent="0.35">
      <c r="A20" s="94" t="s">
        <v>336</v>
      </c>
    </row>
    <row r="21" spans="1:49" x14ac:dyDescent="0.3">
      <c r="A21" s="104" t="s">
        <v>308</v>
      </c>
      <c r="B21" s="105" t="s">
        <v>337</v>
      </c>
      <c r="C21" s="105" t="s">
        <v>338</v>
      </c>
      <c r="D21" s="111" t="s">
        <v>339</v>
      </c>
      <c r="G21" s="10" t="s">
        <v>307</v>
      </c>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2"/>
    </row>
    <row r="22" spans="1:49" x14ac:dyDescent="0.3">
      <c r="A22" s="6">
        <f>'Project Information'!$B$9</f>
        <v>2032</v>
      </c>
      <c r="B22" s="22">
        <f t="shared" ref="B22:B41" si="0">P$34+P$51</f>
        <v>787300</v>
      </c>
      <c r="C22" s="22">
        <f t="shared" ref="C22:C41" si="1">S$34+S$51</f>
        <v>330758.28000000003</v>
      </c>
      <c r="D22" s="26">
        <f>B22-C22</f>
        <v>456541.72</v>
      </c>
      <c r="G22" s="13"/>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s="14"/>
    </row>
    <row r="23" spans="1:49" x14ac:dyDescent="0.3">
      <c r="A23" s="1">
        <f>IF(A22&lt;'Project Information'!B$11,A22+1,"")</f>
        <v>2033</v>
      </c>
      <c r="B23" s="22">
        <f t="shared" si="0"/>
        <v>787300</v>
      </c>
      <c r="C23" s="22">
        <f t="shared" si="1"/>
        <v>330758.28000000003</v>
      </c>
      <c r="D23" s="8">
        <f t="shared" ref="D23:D51" si="2">B23-C23</f>
        <v>456541.72</v>
      </c>
      <c r="G23" s="13"/>
      <c r="H23" s="283" t="s">
        <v>340</v>
      </c>
      <c r="I23"/>
      <c r="J23"/>
      <c r="K23"/>
      <c r="L23"/>
      <c r="M23"/>
      <c r="N23"/>
      <c r="O23" s="422"/>
      <c r="P23" s="422"/>
      <c r="Q23" s="422"/>
      <c r="R23" s="422"/>
      <c r="S23" s="422"/>
      <c r="T23"/>
      <c r="U23"/>
      <c r="V23"/>
      <c r="W23"/>
      <c r="X23"/>
      <c r="Y23"/>
      <c r="Z23"/>
      <c r="AA23"/>
      <c r="AB23"/>
      <c r="AC23"/>
      <c r="AD23"/>
      <c r="AE23"/>
      <c r="AF23"/>
      <c r="AG23"/>
      <c r="AH23"/>
      <c r="AI23"/>
      <c r="AJ23"/>
      <c r="AK23"/>
      <c r="AL23"/>
      <c r="AM23"/>
      <c r="AN23"/>
      <c r="AO23"/>
      <c r="AP23"/>
      <c r="AQ23"/>
      <c r="AR23"/>
      <c r="AS23"/>
      <c r="AT23"/>
      <c r="AU23"/>
      <c r="AV23"/>
      <c r="AW23" s="14"/>
    </row>
    <row r="24" spans="1:49" x14ac:dyDescent="0.3">
      <c r="A24" s="1">
        <f>IF(A23&lt;'Project Information'!B$11,A23+1,"")</f>
        <v>2034</v>
      </c>
      <c r="B24" s="22">
        <f t="shared" si="0"/>
        <v>787300</v>
      </c>
      <c r="C24" s="22">
        <f t="shared" si="1"/>
        <v>330758.28000000003</v>
      </c>
      <c r="D24" s="8">
        <f t="shared" si="2"/>
        <v>456541.72</v>
      </c>
      <c r="G24" s="13"/>
      <c r="H24" t="s">
        <v>341</v>
      </c>
      <c r="I24"/>
      <c r="J24"/>
      <c r="K24"/>
      <c r="L24"/>
      <c r="M24"/>
      <c r="N24"/>
      <c r="O24" s="365" t="s">
        <v>216</v>
      </c>
      <c r="P24" s="365"/>
      <c r="Q24"/>
      <c r="R24" s="366" t="s">
        <v>217</v>
      </c>
      <c r="S24" s="366"/>
      <c r="T24"/>
      <c r="U24"/>
      <c r="V24" s="362" t="s">
        <v>342</v>
      </c>
      <c r="W24" s="363" t="s">
        <v>343</v>
      </c>
      <c r="X24" s="364" t="s">
        <v>344</v>
      </c>
      <c r="Y24" s="362" t="s">
        <v>345</v>
      </c>
      <c r="Z24"/>
      <c r="AA24"/>
      <c r="AB24"/>
      <c r="AC24"/>
      <c r="AD24"/>
      <c r="AE24"/>
      <c r="AF24"/>
      <c r="AG24"/>
      <c r="AH24"/>
      <c r="AI24"/>
      <c r="AJ24"/>
      <c r="AK24"/>
      <c r="AL24"/>
      <c r="AM24"/>
      <c r="AN24"/>
      <c r="AO24"/>
      <c r="AP24"/>
      <c r="AQ24"/>
      <c r="AR24"/>
      <c r="AS24"/>
      <c r="AT24"/>
      <c r="AU24"/>
      <c r="AV24"/>
      <c r="AW24" s="14"/>
    </row>
    <row r="25" spans="1:49" x14ac:dyDescent="0.3">
      <c r="A25" s="1">
        <f>IF(A24&lt;'Project Information'!B$11,A24+1,"")</f>
        <v>2035</v>
      </c>
      <c r="B25" s="22">
        <f t="shared" si="0"/>
        <v>787300</v>
      </c>
      <c r="C25" s="22">
        <f t="shared" si="1"/>
        <v>330758.28000000003</v>
      </c>
      <c r="D25" s="8">
        <f t="shared" si="2"/>
        <v>456541.72</v>
      </c>
      <c r="G25" s="13"/>
      <c r="I25"/>
      <c r="J25"/>
      <c r="K25"/>
      <c r="L25"/>
      <c r="M25"/>
      <c r="N25"/>
      <c r="O25" t="s">
        <v>346</v>
      </c>
      <c r="P25" t="s">
        <v>24</v>
      </c>
      <c r="Q25" t="s">
        <v>347</v>
      </c>
      <c r="R25" t="s">
        <v>346</v>
      </c>
      <c r="S25" t="s">
        <v>24</v>
      </c>
      <c r="T25"/>
      <c r="U25"/>
      <c r="V25" s="325"/>
      <c r="W25" s="325"/>
      <c r="X25" s="326"/>
      <c r="Y25"/>
      <c r="Z25"/>
      <c r="AA25"/>
      <c r="AB25"/>
      <c r="AC25"/>
      <c r="AD25"/>
      <c r="AE25"/>
      <c r="AF25"/>
      <c r="AG25"/>
      <c r="AH25"/>
      <c r="AI25"/>
      <c r="AJ25"/>
      <c r="AK25"/>
      <c r="AL25"/>
      <c r="AM25"/>
      <c r="AN25"/>
      <c r="AO25"/>
      <c r="AP25"/>
      <c r="AQ25"/>
      <c r="AR25"/>
      <c r="AS25"/>
      <c r="AT25"/>
      <c r="AU25"/>
      <c r="AV25"/>
      <c r="AW25" s="14"/>
    </row>
    <row r="26" spans="1:49" x14ac:dyDescent="0.3">
      <c r="A26" s="1">
        <f>IF(A25&lt;'Project Information'!B$11,A25+1,"")</f>
        <v>2036</v>
      </c>
      <c r="B26" s="22">
        <f t="shared" si="0"/>
        <v>787300</v>
      </c>
      <c r="C26" s="22">
        <f t="shared" si="1"/>
        <v>330758.28000000003</v>
      </c>
      <c r="D26" s="8">
        <f t="shared" si="2"/>
        <v>456541.72</v>
      </c>
      <c r="G26" s="13"/>
      <c r="H26" s="283" t="s">
        <v>348</v>
      </c>
      <c r="I26" s="283" t="s">
        <v>349</v>
      </c>
      <c r="J26" s="283" t="s">
        <v>350</v>
      </c>
      <c r="K26"/>
      <c r="L26"/>
      <c r="M26"/>
      <c r="N26"/>
      <c r="O26" s="284"/>
      <c r="P26" s="210"/>
      <c r="Q26" s="299"/>
      <c r="R26"/>
      <c r="S26" s="210"/>
      <c r="T26"/>
      <c r="U26"/>
      <c r="V26" s="325" t="s">
        <v>351</v>
      </c>
      <c r="W26" s="325" t="s">
        <v>352</v>
      </c>
      <c r="X26" s="326">
        <f>1-W26</f>
        <v>0.43999999999999995</v>
      </c>
      <c r="Y26" s="330" t="s">
        <v>353</v>
      </c>
      <c r="Z26"/>
      <c r="AA26"/>
      <c r="AB26"/>
      <c r="AC26"/>
      <c r="AD26"/>
      <c r="AE26"/>
      <c r="AF26"/>
      <c r="AG26"/>
      <c r="AH26"/>
      <c r="AI26"/>
      <c r="AJ26"/>
      <c r="AK26"/>
      <c r="AL26"/>
      <c r="AM26"/>
      <c r="AN26"/>
      <c r="AO26"/>
      <c r="AP26"/>
      <c r="AQ26"/>
      <c r="AR26"/>
      <c r="AS26"/>
      <c r="AT26"/>
      <c r="AU26"/>
      <c r="AV26"/>
      <c r="AW26" s="14"/>
    </row>
    <row r="27" spans="1:49" x14ac:dyDescent="0.3">
      <c r="A27" s="1">
        <f>IF(A26&lt;'Project Information'!B$11,A26+1,"")</f>
        <v>2037</v>
      </c>
      <c r="B27" s="22">
        <f t="shared" si="0"/>
        <v>787300</v>
      </c>
      <c r="C27" s="22">
        <f t="shared" si="1"/>
        <v>330758.28000000003</v>
      </c>
      <c r="D27" s="8">
        <f t="shared" si="2"/>
        <v>456541.72</v>
      </c>
      <c r="G27" s="13"/>
      <c r="H27" t="s">
        <v>354</v>
      </c>
      <c r="I27" s="284">
        <v>8</v>
      </c>
      <c r="J27">
        <f>I27/5</f>
        <v>1.6</v>
      </c>
      <c r="K27"/>
      <c r="L27"/>
      <c r="M27"/>
      <c r="N27" t="s">
        <v>354</v>
      </c>
      <c r="O27" s="284">
        <f>J27</f>
        <v>1.6</v>
      </c>
      <c r="P27" s="210">
        <f>O27*$B9</f>
        <v>195840</v>
      </c>
      <c r="Q27" s="329" t="str">
        <f t="shared" ref="Q27:Q32" si="3">W$26</f>
        <v>0.56</v>
      </c>
      <c r="R27">
        <f t="shared" ref="R27:R32" si="4">O27*(1-Q27)</f>
        <v>0.70399999999999996</v>
      </c>
      <c r="S27" s="210">
        <f>R27*$B9</f>
        <v>86169.599999999991</v>
      </c>
      <c r="T27"/>
      <c r="U27"/>
      <c r="V27"/>
      <c r="W27"/>
      <c r="X27"/>
      <c r="Y27"/>
      <c r="Z27"/>
      <c r="AA27"/>
      <c r="AB27"/>
      <c r="AC27"/>
      <c r="AD27"/>
      <c r="AE27"/>
      <c r="AF27"/>
      <c r="AG27"/>
      <c r="AH27"/>
      <c r="AI27"/>
      <c r="AJ27"/>
      <c r="AK27"/>
      <c r="AL27"/>
      <c r="AM27"/>
      <c r="AN27"/>
      <c r="AO27"/>
      <c r="AP27"/>
      <c r="AQ27"/>
      <c r="AR27"/>
      <c r="AS27"/>
      <c r="AT27"/>
      <c r="AU27"/>
      <c r="AV27"/>
      <c r="AW27" s="14"/>
    </row>
    <row r="28" spans="1:49" x14ac:dyDescent="0.3">
      <c r="A28" s="1">
        <f>IF(A27&lt;'Project Information'!B$11,A27+1,"")</f>
        <v>2038</v>
      </c>
      <c r="B28" s="22">
        <f t="shared" si="0"/>
        <v>787300</v>
      </c>
      <c r="C28" s="22">
        <f t="shared" si="1"/>
        <v>330758.28000000003</v>
      </c>
      <c r="D28" s="8">
        <f t="shared" si="2"/>
        <v>456541.72</v>
      </c>
      <c r="G28" s="13"/>
      <c r="H28" t="s">
        <v>355</v>
      </c>
      <c r="I28" s="284">
        <v>2</v>
      </c>
      <c r="J28">
        <f>I28/5</f>
        <v>0.4</v>
      </c>
      <c r="K28"/>
      <c r="L28"/>
      <c r="M28"/>
      <c r="N28" t="s">
        <v>355</v>
      </c>
      <c r="O28" s="284">
        <f>J28</f>
        <v>0.4</v>
      </c>
      <c r="P28" s="210">
        <f>O28*$B10</f>
        <v>102520</v>
      </c>
      <c r="Q28" s="329" t="str">
        <f t="shared" si="3"/>
        <v>0.56</v>
      </c>
      <c r="R28">
        <f t="shared" si="4"/>
        <v>0.17599999999999999</v>
      </c>
      <c r="S28" s="210">
        <f>R28*$B10</f>
        <v>45108.799999999996</v>
      </c>
      <c r="T28"/>
      <c r="U28"/>
      <c r="V28"/>
      <c r="W28"/>
      <c r="X28"/>
      <c r="Y28"/>
      <c r="Z28"/>
      <c r="AA28"/>
      <c r="AB28"/>
      <c r="AC28"/>
      <c r="AD28"/>
      <c r="AE28"/>
      <c r="AF28"/>
      <c r="AG28"/>
      <c r="AH28"/>
      <c r="AI28"/>
      <c r="AJ28"/>
      <c r="AK28"/>
      <c r="AL28"/>
      <c r="AM28"/>
      <c r="AN28"/>
      <c r="AO28"/>
      <c r="AP28"/>
      <c r="AQ28"/>
      <c r="AR28"/>
      <c r="AS28"/>
      <c r="AT28"/>
      <c r="AU28"/>
      <c r="AV28"/>
      <c r="AW28" s="14"/>
    </row>
    <row r="29" spans="1:49" x14ac:dyDescent="0.3">
      <c r="A29" s="1">
        <f>IF(A28&lt;'Project Information'!B$11,A28+1,"")</f>
        <v>2039</v>
      </c>
      <c r="B29" s="22">
        <f t="shared" si="0"/>
        <v>787300</v>
      </c>
      <c r="C29" s="22">
        <f t="shared" si="1"/>
        <v>330758.28000000003</v>
      </c>
      <c r="D29" s="8">
        <f t="shared" si="2"/>
        <v>456541.72</v>
      </c>
      <c r="G29" s="13"/>
      <c r="H29" t="s">
        <v>356</v>
      </c>
      <c r="I29" s="284">
        <v>0</v>
      </c>
      <c r="J29">
        <f t="shared" ref="J29:J30" si="5">I29/5</f>
        <v>0</v>
      </c>
      <c r="K29"/>
      <c r="L29"/>
      <c r="M29"/>
      <c r="N29" t="s">
        <v>356</v>
      </c>
      <c r="O29" s="284">
        <f>J29</f>
        <v>0</v>
      </c>
      <c r="P29" s="210">
        <f>O29*B11</f>
        <v>0</v>
      </c>
      <c r="Q29" s="329" t="str">
        <f t="shared" si="3"/>
        <v>0.56</v>
      </c>
      <c r="R29">
        <f t="shared" si="4"/>
        <v>0</v>
      </c>
      <c r="S29" s="210">
        <f>R29*$B11</f>
        <v>0</v>
      </c>
      <c r="T29"/>
      <c r="U29"/>
      <c r="V29"/>
      <c r="W29"/>
      <c r="X29"/>
      <c r="Y29"/>
      <c r="Z29"/>
      <c r="AA29"/>
      <c r="AB29"/>
      <c r="AC29"/>
      <c r="AD29"/>
      <c r="AE29"/>
      <c r="AF29"/>
      <c r="AG29"/>
      <c r="AH29"/>
      <c r="AI29"/>
      <c r="AJ29"/>
      <c r="AK29"/>
      <c r="AL29"/>
      <c r="AM29"/>
      <c r="AN29"/>
      <c r="AO29"/>
      <c r="AP29"/>
      <c r="AQ29"/>
      <c r="AR29"/>
      <c r="AS29"/>
      <c r="AT29"/>
      <c r="AU29"/>
      <c r="AV29"/>
      <c r="AW29" s="14"/>
    </row>
    <row r="30" spans="1:49" x14ac:dyDescent="0.3">
      <c r="A30" s="1">
        <f>IF(A29&lt;'Project Information'!B$11,A29+1,"")</f>
        <v>2040</v>
      </c>
      <c r="B30" s="22">
        <f t="shared" si="0"/>
        <v>787300</v>
      </c>
      <c r="C30" s="22">
        <f t="shared" si="1"/>
        <v>330758.28000000003</v>
      </c>
      <c r="D30" s="8">
        <f t="shared" si="2"/>
        <v>456541.72</v>
      </c>
      <c r="G30" s="13"/>
      <c r="H30" t="s">
        <v>357</v>
      </c>
      <c r="I30" s="284">
        <v>0</v>
      </c>
      <c r="J30">
        <f t="shared" si="5"/>
        <v>0</v>
      </c>
      <c r="K30"/>
      <c r="L30"/>
      <c r="M30"/>
      <c r="N30" t="s">
        <v>357</v>
      </c>
      <c r="O30" s="284">
        <f>J30</f>
        <v>0</v>
      </c>
      <c r="P30" s="210">
        <f>O30*$B15</f>
        <v>0</v>
      </c>
      <c r="Q30" s="329" t="str">
        <f t="shared" si="3"/>
        <v>0.56</v>
      </c>
      <c r="R30">
        <f t="shared" si="4"/>
        <v>0</v>
      </c>
      <c r="S30" s="210">
        <f>R30*$B12</f>
        <v>0</v>
      </c>
      <c r="T30"/>
      <c r="U30"/>
      <c r="V30"/>
      <c r="W30"/>
      <c r="X30"/>
      <c r="Y30"/>
      <c r="Z30"/>
      <c r="AA30"/>
      <c r="AB30"/>
      <c r="AC30"/>
      <c r="AD30"/>
      <c r="AE30"/>
      <c r="AF30"/>
      <c r="AG30"/>
      <c r="AH30"/>
      <c r="AI30"/>
      <c r="AJ30"/>
      <c r="AK30"/>
      <c r="AL30"/>
      <c r="AM30"/>
      <c r="AN30"/>
      <c r="AO30"/>
      <c r="AP30"/>
      <c r="AQ30"/>
      <c r="AR30"/>
      <c r="AS30"/>
      <c r="AT30"/>
      <c r="AU30"/>
      <c r="AV30"/>
      <c r="AW30" s="14"/>
    </row>
    <row r="31" spans="1:49" x14ac:dyDescent="0.3">
      <c r="A31" s="1">
        <f>IF(A30&lt;'Project Information'!B$11,A30+1,"")</f>
        <v>2041</v>
      </c>
      <c r="B31" s="22">
        <f t="shared" si="0"/>
        <v>787300</v>
      </c>
      <c r="C31" s="22">
        <f t="shared" si="1"/>
        <v>330758.28000000003</v>
      </c>
      <c r="D31" s="8">
        <f t="shared" si="2"/>
        <v>456541.72</v>
      </c>
      <c r="G31" s="13"/>
      <c r="H31" t="s">
        <v>358</v>
      </c>
      <c r="I31" s="284">
        <v>70</v>
      </c>
      <c r="J31">
        <f>I31/5</f>
        <v>14</v>
      </c>
      <c r="K31"/>
      <c r="L31"/>
      <c r="M31"/>
      <c r="N31" t="s">
        <v>359</v>
      </c>
      <c r="O31" s="284">
        <v>0</v>
      </c>
      <c r="P31" s="210">
        <f>O31*$B16</f>
        <v>0</v>
      </c>
      <c r="Q31" s="329" t="str">
        <f t="shared" si="3"/>
        <v>0.56</v>
      </c>
      <c r="R31">
        <f t="shared" si="4"/>
        <v>0</v>
      </c>
      <c r="S31" s="210">
        <f>R31*$B13</f>
        <v>0</v>
      </c>
      <c r="T31"/>
      <c r="U31"/>
      <c r="V31"/>
      <c r="W31"/>
      <c r="X31"/>
      <c r="Y31"/>
      <c r="Z31"/>
      <c r="AA31"/>
      <c r="AB31"/>
      <c r="AC31"/>
      <c r="AD31"/>
      <c r="AE31"/>
      <c r="AF31"/>
      <c r="AG31"/>
      <c r="AH31"/>
      <c r="AI31"/>
      <c r="AJ31"/>
      <c r="AK31"/>
      <c r="AL31"/>
      <c r="AM31"/>
      <c r="AN31"/>
      <c r="AO31"/>
      <c r="AP31"/>
      <c r="AQ31"/>
      <c r="AR31"/>
      <c r="AS31"/>
      <c r="AT31"/>
      <c r="AU31"/>
      <c r="AV31"/>
      <c r="AW31" s="14"/>
    </row>
    <row r="32" spans="1:49" x14ac:dyDescent="0.3">
      <c r="A32" s="1">
        <f>IF(A31&lt;'Project Information'!B$11,A31+1,"")</f>
        <v>2042</v>
      </c>
      <c r="B32" s="22">
        <f t="shared" si="0"/>
        <v>787300</v>
      </c>
      <c r="C32" s="22">
        <f t="shared" si="1"/>
        <v>330758.28000000003</v>
      </c>
      <c r="D32" s="8">
        <f t="shared" si="2"/>
        <v>456541.72</v>
      </c>
      <c r="G32" s="13"/>
      <c r="H32"/>
      <c r="I32"/>
      <c r="J32"/>
      <c r="K32"/>
      <c r="L32"/>
      <c r="M32"/>
      <c r="N32" t="s">
        <v>358</v>
      </c>
      <c r="O32" s="284">
        <f>J31</f>
        <v>14</v>
      </c>
      <c r="P32" s="210">
        <f>O32*B8</f>
        <v>77000</v>
      </c>
      <c r="Q32" s="329" t="str">
        <f t="shared" si="3"/>
        <v>0.56</v>
      </c>
      <c r="R32">
        <f t="shared" si="4"/>
        <v>6.1599999999999993</v>
      </c>
      <c r="S32" s="210">
        <f>R32*$B8</f>
        <v>33879.999999999993</v>
      </c>
      <c r="T32"/>
      <c r="U32"/>
      <c r="V32"/>
      <c r="W32"/>
      <c r="X32"/>
      <c r="Y32"/>
      <c r="Z32"/>
      <c r="AA32"/>
      <c r="AB32"/>
      <c r="AC32"/>
      <c r="AD32"/>
      <c r="AE32"/>
      <c r="AF32"/>
      <c r="AG32"/>
      <c r="AH32"/>
      <c r="AI32"/>
      <c r="AJ32"/>
      <c r="AK32"/>
      <c r="AL32"/>
      <c r="AM32"/>
      <c r="AN32"/>
      <c r="AO32"/>
      <c r="AP32"/>
      <c r="AQ32"/>
      <c r="AR32"/>
      <c r="AS32"/>
      <c r="AT32"/>
      <c r="AU32"/>
      <c r="AV32"/>
      <c r="AW32" s="14"/>
    </row>
    <row r="33" spans="1:49" x14ac:dyDescent="0.3">
      <c r="A33" s="1">
        <f>IF(A32&lt;'Project Information'!B$11,A32+1,"")</f>
        <v>2043</v>
      </c>
      <c r="B33" s="22">
        <f t="shared" si="0"/>
        <v>787300</v>
      </c>
      <c r="C33" s="22">
        <f t="shared" si="1"/>
        <v>330758.28000000003</v>
      </c>
      <c r="D33" s="8">
        <f t="shared" si="2"/>
        <v>456541.72</v>
      </c>
      <c r="G33" s="13"/>
      <c r="H33"/>
      <c r="I33" s="423"/>
      <c r="J33" s="423"/>
      <c r="K33" s="42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s="14"/>
    </row>
    <row r="34" spans="1:49" x14ac:dyDescent="0.3">
      <c r="A34" s="1">
        <f>IF(A33&lt;'Project Information'!B$11,A33+1,"")</f>
        <v>2044</v>
      </c>
      <c r="B34" s="22">
        <f t="shared" si="0"/>
        <v>787300</v>
      </c>
      <c r="C34" s="22">
        <f t="shared" si="1"/>
        <v>330758.28000000003</v>
      </c>
      <c r="D34" s="8">
        <f t="shared" si="2"/>
        <v>456541.72</v>
      </c>
      <c r="G34" s="13"/>
      <c r="H34"/>
      <c r="I34" s="424"/>
      <c r="J34" s="424"/>
      <c r="K34" s="424"/>
      <c r="L34"/>
      <c r="M34"/>
      <c r="N34" s="367" t="s">
        <v>291</v>
      </c>
      <c r="O34" s="367"/>
      <c r="P34" s="368">
        <f>SUM(P26:P32)</f>
        <v>375360</v>
      </c>
      <c r="Q34" s="367"/>
      <c r="R34" s="367"/>
      <c r="S34" s="368">
        <f>SUM(S26:S32)</f>
        <v>165158.39999999999</v>
      </c>
      <c r="T34"/>
      <c r="U34"/>
      <c r="V34"/>
      <c r="W34"/>
      <c r="X34"/>
      <c r="Y34"/>
      <c r="Z34"/>
      <c r="AA34"/>
      <c r="AB34"/>
      <c r="AC34"/>
      <c r="AD34"/>
      <c r="AE34"/>
      <c r="AF34"/>
      <c r="AG34"/>
      <c r="AH34"/>
      <c r="AI34"/>
      <c r="AJ34"/>
      <c r="AK34"/>
      <c r="AL34"/>
      <c r="AM34"/>
      <c r="AN34"/>
      <c r="AO34"/>
      <c r="AP34"/>
      <c r="AQ34"/>
      <c r="AR34"/>
      <c r="AS34"/>
      <c r="AT34"/>
      <c r="AU34"/>
      <c r="AV34"/>
      <c r="AW34" s="14"/>
    </row>
    <row r="35" spans="1:49" x14ac:dyDescent="0.3">
      <c r="A35" s="1">
        <f>IF(A34&lt;'Project Information'!B$11,A34+1,"")</f>
        <v>2045</v>
      </c>
      <c r="B35" s="22">
        <f t="shared" si="0"/>
        <v>787300</v>
      </c>
      <c r="C35" s="22">
        <f t="shared" si="1"/>
        <v>330758.28000000003</v>
      </c>
      <c r="D35" s="8">
        <f t="shared" si="2"/>
        <v>456541.72</v>
      </c>
      <c r="G35" s="13"/>
      <c r="H35"/>
      <c r="I35" s="424"/>
      <c r="J35" s="424"/>
      <c r="K35" s="424"/>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s="14"/>
    </row>
    <row r="36" spans="1:49" x14ac:dyDescent="0.3">
      <c r="A36" s="1">
        <f>IF(A35&lt;'Project Information'!B$11,A35+1,"")</f>
        <v>2046</v>
      </c>
      <c r="B36" s="22">
        <f t="shared" si="0"/>
        <v>787300</v>
      </c>
      <c r="C36" s="22">
        <f t="shared" si="1"/>
        <v>330758.28000000003</v>
      </c>
      <c r="D36" s="8">
        <f t="shared" si="2"/>
        <v>456541.72</v>
      </c>
      <c r="G36" s="13"/>
      <c r="H36"/>
      <c r="I36" s="424"/>
      <c r="J36" s="424"/>
      <c r="K36" s="424"/>
      <c r="L36"/>
      <c r="M36"/>
      <c r="N36" s="323"/>
      <c r="O36"/>
      <c r="P36"/>
      <c r="Q36"/>
      <c r="R36"/>
      <c r="S36"/>
      <c r="T36"/>
      <c r="U36"/>
      <c r="V36"/>
      <c r="W36"/>
      <c r="X36"/>
      <c r="Y36"/>
      <c r="Z36"/>
      <c r="AA36"/>
      <c r="AB36"/>
      <c r="AC36"/>
      <c r="AD36"/>
      <c r="AE36"/>
      <c r="AF36"/>
      <c r="AG36"/>
      <c r="AH36"/>
      <c r="AI36"/>
      <c r="AJ36"/>
      <c r="AK36"/>
      <c r="AL36"/>
      <c r="AM36"/>
      <c r="AN36"/>
      <c r="AO36"/>
      <c r="AP36"/>
      <c r="AQ36"/>
      <c r="AR36"/>
      <c r="AS36"/>
      <c r="AT36"/>
      <c r="AU36"/>
      <c r="AV36"/>
      <c r="AW36" s="14"/>
    </row>
    <row r="37" spans="1:49" x14ac:dyDescent="0.3">
      <c r="A37" s="1">
        <f>IF(A36&lt;'Project Information'!B$11,A36+1,"")</f>
        <v>2047</v>
      </c>
      <c r="B37" s="22">
        <f t="shared" si="0"/>
        <v>787300</v>
      </c>
      <c r="C37" s="22">
        <f t="shared" si="1"/>
        <v>330758.28000000003</v>
      </c>
      <c r="D37" s="8">
        <f t="shared" si="2"/>
        <v>456541.72</v>
      </c>
      <c r="G37" s="13"/>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s="14"/>
    </row>
    <row r="38" spans="1:49" x14ac:dyDescent="0.3">
      <c r="A38" s="1">
        <f>IF(A37&lt;'Project Information'!B$11,A37+1,"")</f>
        <v>2048</v>
      </c>
      <c r="B38" s="22">
        <f t="shared" si="0"/>
        <v>787300</v>
      </c>
      <c r="C38" s="22">
        <f t="shared" si="1"/>
        <v>330758.28000000003</v>
      </c>
      <c r="D38" s="8">
        <f t="shared" si="2"/>
        <v>456541.72</v>
      </c>
      <c r="G38" s="13"/>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s="14"/>
    </row>
    <row r="39" spans="1:49" x14ac:dyDescent="0.3">
      <c r="A39" s="1">
        <f>IF(A38&lt;'Project Information'!B$11,A38+1,"")</f>
        <v>2049</v>
      </c>
      <c r="B39" s="22">
        <f t="shared" si="0"/>
        <v>787300</v>
      </c>
      <c r="C39" s="22">
        <f t="shared" si="1"/>
        <v>330758.28000000003</v>
      </c>
      <c r="D39" s="8">
        <f t="shared" si="2"/>
        <v>456541.72</v>
      </c>
      <c r="G39" s="13"/>
      <c r="H39" s="283"/>
      <c r="I39" s="283"/>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s="14"/>
    </row>
    <row r="40" spans="1:49" x14ac:dyDescent="0.3">
      <c r="A40" s="1">
        <f>IF(A39&lt;'Project Information'!B$11,A39+1,"")</f>
        <v>2050</v>
      </c>
      <c r="B40" s="22">
        <f t="shared" si="0"/>
        <v>787300</v>
      </c>
      <c r="C40" s="22">
        <f t="shared" si="1"/>
        <v>330758.28000000003</v>
      </c>
      <c r="D40" s="8">
        <f t="shared" si="2"/>
        <v>456541.72</v>
      </c>
      <c r="G40" s="13"/>
      <c r="H40" s="283" t="s">
        <v>360</v>
      </c>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s="14"/>
    </row>
    <row r="41" spans="1:49" x14ac:dyDescent="0.3">
      <c r="A41" s="1">
        <f>IF(A40&lt;'Project Information'!B$11,A40+1,"")</f>
        <v>2051</v>
      </c>
      <c r="B41" s="22">
        <f t="shared" si="0"/>
        <v>787300</v>
      </c>
      <c r="C41" s="22">
        <f t="shared" si="1"/>
        <v>330758.28000000003</v>
      </c>
      <c r="D41" s="8">
        <f t="shared" si="2"/>
        <v>456541.72</v>
      </c>
      <c r="G41" s="13"/>
      <c r="H41" t="s">
        <v>361</v>
      </c>
      <c r="I41" s="321"/>
      <c r="J41" s="321"/>
      <c r="K41"/>
      <c r="L41" s="322"/>
      <c r="M41"/>
      <c r="N41"/>
      <c r="O41" s="365" t="s">
        <v>216</v>
      </c>
      <c r="P41" s="365"/>
      <c r="Q41"/>
      <c r="R41" s="366" t="s">
        <v>217</v>
      </c>
      <c r="S41" s="366"/>
      <c r="T41"/>
      <c r="U41"/>
      <c r="V41"/>
      <c r="W41"/>
      <c r="X41"/>
      <c r="Y41"/>
      <c r="Z41"/>
      <c r="AA41"/>
      <c r="AB41"/>
      <c r="AC41"/>
      <c r="AD41"/>
      <c r="AE41"/>
      <c r="AF41"/>
      <c r="AG41"/>
      <c r="AH41"/>
      <c r="AI41"/>
      <c r="AJ41"/>
      <c r="AK41"/>
      <c r="AL41"/>
      <c r="AM41"/>
      <c r="AN41"/>
      <c r="AO41"/>
      <c r="AP41"/>
      <c r="AQ41"/>
      <c r="AR41"/>
      <c r="AS41"/>
      <c r="AT41"/>
      <c r="AU41"/>
      <c r="AV41"/>
      <c r="AW41" s="14"/>
    </row>
    <row r="42" spans="1:49" x14ac:dyDescent="0.3">
      <c r="A42" s="1" t="str">
        <f>IF(A41&lt;'Project Information'!B$11,A41+1,"")</f>
        <v/>
      </c>
      <c r="B42" s="22"/>
      <c r="C42" s="22"/>
      <c r="D42" s="8">
        <f t="shared" si="2"/>
        <v>0</v>
      </c>
      <c r="G42" s="13"/>
      <c r="H42" t="s">
        <v>362</v>
      </c>
      <c r="I42"/>
      <c r="J42"/>
      <c r="K42"/>
      <c r="L42"/>
      <c r="M42"/>
      <c r="N42"/>
      <c r="O42" t="s">
        <v>346</v>
      </c>
      <c r="P42" t="s">
        <v>24</v>
      </c>
      <c r="Q42" t="s">
        <v>347</v>
      </c>
      <c r="R42" t="s">
        <v>346</v>
      </c>
      <c r="S42" t="s">
        <v>24</v>
      </c>
      <c r="T42"/>
      <c r="U42"/>
      <c r="V42" s="362" t="s">
        <v>342</v>
      </c>
      <c r="W42" s="363" t="s">
        <v>343</v>
      </c>
      <c r="X42" s="364" t="s">
        <v>344</v>
      </c>
      <c r="Y42" s="362" t="s">
        <v>345</v>
      </c>
      <c r="Z42"/>
      <c r="AA42"/>
      <c r="AB42"/>
      <c r="AC42"/>
      <c r="AD42"/>
      <c r="AE42"/>
      <c r="AF42"/>
      <c r="AG42"/>
      <c r="AH42"/>
      <c r="AI42"/>
      <c r="AJ42"/>
      <c r="AK42"/>
      <c r="AL42"/>
      <c r="AM42"/>
      <c r="AN42"/>
      <c r="AO42"/>
      <c r="AP42"/>
      <c r="AQ42"/>
      <c r="AR42"/>
      <c r="AS42"/>
      <c r="AT42"/>
      <c r="AU42"/>
      <c r="AV42"/>
      <c r="AW42" s="14"/>
    </row>
    <row r="43" spans="1:49" x14ac:dyDescent="0.3">
      <c r="A43" s="1" t="str">
        <f>IF(A42&lt;'Project Information'!B$11,A42+1,"")</f>
        <v/>
      </c>
      <c r="B43" s="22"/>
      <c r="C43" s="22"/>
      <c r="D43" s="8">
        <f t="shared" si="2"/>
        <v>0</v>
      </c>
      <c r="G43" s="13"/>
      <c r="H43" t="s">
        <v>348</v>
      </c>
      <c r="I43" t="s">
        <v>363</v>
      </c>
      <c r="J43" t="s">
        <v>364</v>
      </c>
      <c r="K43" s="299"/>
      <c r="L43"/>
      <c r="M43"/>
      <c r="N43"/>
      <c r="O43" s="284"/>
      <c r="P43" s="210"/>
      <c r="Q43" s="299"/>
      <c r="R43"/>
      <c r="S43" s="210"/>
      <c r="T43"/>
      <c r="U43"/>
      <c r="V43" s="325" t="s">
        <v>365</v>
      </c>
      <c r="W43" s="329">
        <v>0.82</v>
      </c>
      <c r="X43" s="326">
        <f>1-W43</f>
        <v>0.18000000000000005</v>
      </c>
      <c r="Y43" s="330" t="s">
        <v>366</v>
      </c>
      <c r="Z43"/>
      <c r="AA43"/>
      <c r="AB43"/>
      <c r="AC43"/>
      <c r="AD43"/>
      <c r="AE43"/>
      <c r="AF43"/>
      <c r="AG43"/>
      <c r="AH43"/>
      <c r="AI43"/>
      <c r="AJ43"/>
      <c r="AK43"/>
      <c r="AL43"/>
      <c r="AM43"/>
      <c r="AN43"/>
      <c r="AO43"/>
      <c r="AP43"/>
      <c r="AQ43"/>
      <c r="AR43"/>
      <c r="AS43"/>
      <c r="AT43"/>
      <c r="AU43"/>
      <c r="AV43"/>
      <c r="AW43" s="14"/>
    </row>
    <row r="44" spans="1:49" x14ac:dyDescent="0.3">
      <c r="A44" s="1" t="str">
        <f>IF(A43&lt;'Project Information'!B$11,A43+1,"")</f>
        <v/>
      </c>
      <c r="B44" s="22"/>
      <c r="C44" s="22"/>
      <c r="D44" s="8">
        <f t="shared" si="2"/>
        <v>0</v>
      </c>
      <c r="G44" s="13"/>
      <c r="H44" t="s">
        <v>354</v>
      </c>
      <c r="I44" s="284">
        <v>2</v>
      </c>
      <c r="J44">
        <f>I44/5</f>
        <v>0.4</v>
      </c>
      <c r="K44" s="299"/>
      <c r="L44"/>
      <c r="M44"/>
      <c r="N44" t="s">
        <v>354</v>
      </c>
      <c r="O44" s="284">
        <f>J44</f>
        <v>0.4</v>
      </c>
      <c r="P44" s="210">
        <f>O44*$B9</f>
        <v>48960</v>
      </c>
      <c r="Q44" s="329" t="str">
        <f>W$44</f>
        <v>0.598</v>
      </c>
      <c r="R44">
        <f t="shared" ref="R44:R49" si="6">O44*(1-Q44)</f>
        <v>0.16080000000000003</v>
      </c>
      <c r="S44" s="210">
        <f t="shared" ref="S44:S49" si="7">R44*$B9</f>
        <v>19681.920000000002</v>
      </c>
      <c r="T44"/>
      <c r="U44"/>
      <c r="V44" s="325" t="s">
        <v>367</v>
      </c>
      <c r="W44" s="325" t="s">
        <v>368</v>
      </c>
      <c r="X44" s="326">
        <f>1-W44</f>
        <v>0.40200000000000002</v>
      </c>
      <c r="Y44" s="231" t="s">
        <v>369</v>
      </c>
      <c r="Z44"/>
      <c r="AA44"/>
      <c r="AB44"/>
      <c r="AC44"/>
      <c r="AD44"/>
      <c r="AE44"/>
      <c r="AF44"/>
      <c r="AG44"/>
      <c r="AH44"/>
      <c r="AI44"/>
      <c r="AJ44"/>
      <c r="AK44"/>
      <c r="AL44"/>
      <c r="AM44"/>
      <c r="AN44"/>
      <c r="AO44"/>
      <c r="AP44"/>
      <c r="AQ44"/>
      <c r="AR44"/>
      <c r="AS44"/>
      <c r="AT44"/>
      <c r="AU44"/>
      <c r="AV44"/>
      <c r="AW44" s="14"/>
    </row>
    <row r="45" spans="1:49" x14ac:dyDescent="0.3">
      <c r="A45" s="1" t="str">
        <f>IF(A44&lt;'Project Information'!B$11,A44+1,"")</f>
        <v/>
      </c>
      <c r="B45" s="22"/>
      <c r="C45" s="22"/>
      <c r="D45" s="8">
        <f t="shared" si="2"/>
        <v>0</v>
      </c>
      <c r="G45" s="13"/>
      <c r="H45" t="s">
        <v>355</v>
      </c>
      <c r="I45" s="284">
        <v>2</v>
      </c>
      <c r="J45">
        <f>I45/5</f>
        <v>0.4</v>
      </c>
      <c r="K45" s="299"/>
      <c r="L45"/>
      <c r="M45"/>
      <c r="N45" t="s">
        <v>355</v>
      </c>
      <c r="O45" s="284">
        <f>J45</f>
        <v>0.4</v>
      </c>
      <c r="P45" s="210">
        <f>O45*$B10</f>
        <v>102520</v>
      </c>
      <c r="Q45" s="329" t="str">
        <f t="shared" ref="Q45:Q49" si="8">W$44</f>
        <v>0.598</v>
      </c>
      <c r="R45">
        <f t="shared" si="6"/>
        <v>0.16080000000000003</v>
      </c>
      <c r="S45" s="210">
        <f t="shared" si="7"/>
        <v>41213.040000000008</v>
      </c>
      <c r="T45"/>
      <c r="U45"/>
      <c r="V45" s="325"/>
      <c r="W45" s="325"/>
      <c r="X45" s="326"/>
      <c r="Y45" s="330"/>
      <c r="Z45"/>
      <c r="AA45"/>
      <c r="AB45"/>
      <c r="AC45"/>
      <c r="AD45"/>
      <c r="AE45"/>
      <c r="AF45"/>
      <c r="AG45"/>
      <c r="AH45"/>
      <c r="AI45"/>
      <c r="AJ45"/>
      <c r="AK45"/>
      <c r="AL45"/>
      <c r="AM45"/>
      <c r="AN45"/>
      <c r="AO45"/>
      <c r="AP45"/>
      <c r="AQ45"/>
      <c r="AR45"/>
      <c r="AS45"/>
      <c r="AT45"/>
      <c r="AU45"/>
      <c r="AV45"/>
      <c r="AW45" s="14"/>
    </row>
    <row r="46" spans="1:49" x14ac:dyDescent="0.3">
      <c r="A46" s="1" t="str">
        <f>IF(A45&lt;'Project Information'!B$11,A45+1,"")</f>
        <v/>
      </c>
      <c r="B46" s="22"/>
      <c r="C46" s="22"/>
      <c r="D46" s="8">
        <f t="shared" si="2"/>
        <v>0</v>
      </c>
      <c r="G46" s="13"/>
      <c r="H46" t="s">
        <v>356</v>
      </c>
      <c r="I46" s="284">
        <v>1</v>
      </c>
      <c r="J46">
        <f t="shared" ref="J46:J47" si="9">I46/5</f>
        <v>0.2</v>
      </c>
      <c r="K46" s="299"/>
      <c r="L46"/>
      <c r="M46"/>
      <c r="N46" t="s">
        <v>356</v>
      </c>
      <c r="O46" s="284">
        <f>J46</f>
        <v>0.2</v>
      </c>
      <c r="P46" s="210">
        <f>O46*B11</f>
        <v>260460</v>
      </c>
      <c r="Q46" s="329" t="str">
        <f t="shared" si="8"/>
        <v>0.598</v>
      </c>
      <c r="R46">
        <f t="shared" si="6"/>
        <v>8.0400000000000013E-2</v>
      </c>
      <c r="S46" s="210">
        <f t="shared" si="7"/>
        <v>104704.92000000001</v>
      </c>
      <c r="T46"/>
      <c r="U46"/>
      <c r="V46" t="s">
        <v>291</v>
      </c>
      <c r="W46" s="361">
        <f>W43+W44</f>
        <v>1.4179999999999999</v>
      </c>
      <c r="X46" s="361">
        <f t="shared" ref="X46" si="10">X43+X44</f>
        <v>0.58200000000000007</v>
      </c>
      <c r="Y46"/>
      <c r="Z46"/>
      <c r="AA46"/>
      <c r="AB46"/>
      <c r="AC46"/>
      <c r="AD46"/>
      <c r="AE46"/>
      <c r="AF46"/>
      <c r="AG46"/>
      <c r="AH46"/>
      <c r="AI46"/>
      <c r="AJ46"/>
      <c r="AK46"/>
      <c r="AL46"/>
      <c r="AM46"/>
      <c r="AN46"/>
      <c r="AO46"/>
      <c r="AP46"/>
      <c r="AQ46"/>
      <c r="AR46"/>
      <c r="AS46"/>
      <c r="AT46"/>
      <c r="AU46"/>
      <c r="AV46"/>
      <c r="AW46" s="14"/>
    </row>
    <row r="47" spans="1:49" x14ac:dyDescent="0.3">
      <c r="A47" s="1" t="str">
        <f>IF(A46&lt;'Project Information'!B$11,A46+1,"")</f>
        <v/>
      </c>
      <c r="B47" s="22"/>
      <c r="C47" s="22"/>
      <c r="D47" s="8">
        <f t="shared" si="2"/>
        <v>0</v>
      </c>
      <c r="G47" s="13"/>
      <c r="H47" t="s">
        <v>357</v>
      </c>
      <c r="I47" s="284">
        <v>0</v>
      </c>
      <c r="J47">
        <f t="shared" si="9"/>
        <v>0</v>
      </c>
      <c r="K47" s="299"/>
      <c r="L47"/>
      <c r="M47"/>
      <c r="N47" t="s">
        <v>357</v>
      </c>
      <c r="O47" s="284">
        <f>J47</f>
        <v>0</v>
      </c>
      <c r="P47" s="210">
        <f>O47*$B12</f>
        <v>0</v>
      </c>
      <c r="Q47" s="329" t="str">
        <f t="shared" si="8"/>
        <v>0.598</v>
      </c>
      <c r="R47">
        <f t="shared" si="6"/>
        <v>0</v>
      </c>
      <c r="S47" s="210">
        <f t="shared" si="7"/>
        <v>0</v>
      </c>
      <c r="T47"/>
      <c r="U47"/>
      <c r="V47"/>
      <c r="W47"/>
      <c r="X47"/>
      <c r="Y47"/>
      <c r="Z47"/>
      <c r="AA47"/>
      <c r="AB47"/>
      <c r="AC47"/>
      <c r="AD47"/>
      <c r="AE47"/>
      <c r="AF47"/>
      <c r="AG47"/>
      <c r="AH47"/>
      <c r="AI47"/>
      <c r="AJ47"/>
      <c r="AK47"/>
      <c r="AL47"/>
      <c r="AM47"/>
      <c r="AN47"/>
      <c r="AO47"/>
      <c r="AP47"/>
      <c r="AQ47"/>
      <c r="AR47"/>
      <c r="AS47"/>
      <c r="AT47"/>
      <c r="AU47"/>
      <c r="AV47"/>
      <c r="AW47" s="14"/>
    </row>
    <row r="48" spans="1:49" x14ac:dyDescent="0.3">
      <c r="A48" s="1" t="str">
        <f>IF(A47&lt;'Project Information'!B$11,A47+1,"")</f>
        <v/>
      </c>
      <c r="B48" s="22"/>
      <c r="C48" s="22"/>
      <c r="D48" s="8">
        <f t="shared" si="2"/>
        <v>0</v>
      </c>
      <c r="G48" s="13"/>
      <c r="H48" t="s">
        <v>358</v>
      </c>
      <c r="I48" s="284">
        <v>0</v>
      </c>
      <c r="J48">
        <f>I48/5</f>
        <v>0</v>
      </c>
      <c r="K48" s="299"/>
      <c r="L48"/>
      <c r="M48"/>
      <c r="N48" t="s">
        <v>359</v>
      </c>
      <c r="O48" s="284">
        <v>0</v>
      </c>
      <c r="P48" s="210">
        <f>O48*$B13</f>
        <v>0</v>
      </c>
      <c r="Q48" s="329" t="str">
        <f t="shared" si="8"/>
        <v>0.598</v>
      </c>
      <c r="R48">
        <f t="shared" si="6"/>
        <v>0</v>
      </c>
      <c r="S48" s="210">
        <f t="shared" si="7"/>
        <v>0</v>
      </c>
      <c r="T48"/>
      <c r="U48"/>
      <c r="V48"/>
      <c r="W48"/>
      <c r="X48"/>
      <c r="Y48"/>
      <c r="Z48"/>
      <c r="AA48"/>
      <c r="AB48"/>
      <c r="AC48"/>
      <c r="AD48"/>
      <c r="AE48"/>
      <c r="AF48"/>
      <c r="AG48"/>
      <c r="AH48"/>
      <c r="AI48"/>
      <c r="AJ48"/>
      <c r="AK48"/>
      <c r="AL48"/>
      <c r="AM48"/>
      <c r="AN48"/>
      <c r="AO48"/>
      <c r="AP48"/>
      <c r="AQ48"/>
      <c r="AR48"/>
      <c r="AS48"/>
      <c r="AT48"/>
      <c r="AU48"/>
      <c r="AV48"/>
      <c r="AW48" s="14"/>
    </row>
    <row r="49" spans="1:49" x14ac:dyDescent="0.3">
      <c r="A49" s="1" t="str">
        <f>IF(A48&lt;'Project Information'!B$11,A48+1,"")</f>
        <v/>
      </c>
      <c r="B49" s="22"/>
      <c r="C49" s="22"/>
      <c r="D49" s="8">
        <f t="shared" si="2"/>
        <v>0</v>
      </c>
      <c r="G49" s="13"/>
      <c r="H49" s="283"/>
      <c r="I49" s="284"/>
      <c r="J49" s="210"/>
      <c r="K49" s="299"/>
      <c r="L49"/>
      <c r="M49"/>
      <c r="N49" t="s">
        <v>358</v>
      </c>
      <c r="O49" s="284">
        <f>J48</f>
        <v>0</v>
      </c>
      <c r="P49" s="210">
        <f>O49*B13</f>
        <v>0</v>
      </c>
      <c r="Q49" s="329" t="str">
        <f t="shared" si="8"/>
        <v>0.598</v>
      </c>
      <c r="R49">
        <f t="shared" si="6"/>
        <v>0</v>
      </c>
      <c r="S49" s="210">
        <f t="shared" si="7"/>
        <v>0</v>
      </c>
      <c r="T49"/>
      <c r="U49"/>
      <c r="V49" s="325"/>
      <c r="W49" s="325"/>
      <c r="X49" s="326"/>
      <c r="Y49"/>
      <c r="Z49"/>
      <c r="AA49"/>
      <c r="AB49"/>
      <c r="AC49"/>
      <c r="AD49"/>
      <c r="AE49"/>
      <c r="AF49"/>
      <c r="AG49"/>
      <c r="AH49"/>
      <c r="AI49"/>
      <c r="AJ49"/>
      <c r="AK49"/>
      <c r="AL49"/>
      <c r="AM49"/>
      <c r="AN49"/>
      <c r="AO49"/>
      <c r="AP49"/>
      <c r="AQ49"/>
      <c r="AR49"/>
      <c r="AS49"/>
      <c r="AT49"/>
      <c r="AU49"/>
      <c r="AV49"/>
      <c r="AW49" s="14"/>
    </row>
    <row r="50" spans="1:49" x14ac:dyDescent="0.3">
      <c r="A50" s="1" t="str">
        <f>IF(A49&lt;'Project Information'!B$11,A49+1,"")</f>
        <v/>
      </c>
      <c r="B50" s="22"/>
      <c r="C50" s="22"/>
      <c r="D50" s="8">
        <f t="shared" si="2"/>
        <v>0</v>
      </c>
      <c r="G50" s="13"/>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s="14"/>
    </row>
    <row r="51" spans="1:49" x14ac:dyDescent="0.3">
      <c r="A51" s="1" t="str">
        <f>IF(A50&lt;'Project Information'!B$11,A50+1,"")</f>
        <v/>
      </c>
      <c r="B51" s="22"/>
      <c r="C51" s="22"/>
      <c r="D51" s="9">
        <f t="shared" si="2"/>
        <v>0</v>
      </c>
      <c r="G51" s="13"/>
      <c r="H51"/>
      <c r="I51"/>
      <c r="J51" s="210"/>
      <c r="K51"/>
      <c r="L51"/>
      <c r="M51"/>
      <c r="N51" s="367" t="s">
        <v>291</v>
      </c>
      <c r="O51" s="367"/>
      <c r="P51" s="368">
        <f>SUM(P43:P49)</f>
        <v>411940</v>
      </c>
      <c r="Q51" s="367"/>
      <c r="R51" s="367"/>
      <c r="S51" s="368">
        <f>SUM(S43:S49)</f>
        <v>165599.88</v>
      </c>
      <c r="T51"/>
      <c r="U51"/>
      <c r="V51"/>
      <c r="W51"/>
      <c r="X51"/>
      <c r="Y51"/>
      <c r="Z51"/>
      <c r="AA51"/>
      <c r="AB51"/>
      <c r="AC51"/>
      <c r="AD51"/>
      <c r="AE51"/>
      <c r="AF51"/>
      <c r="AG51"/>
      <c r="AH51"/>
      <c r="AI51"/>
      <c r="AJ51"/>
      <c r="AK51"/>
      <c r="AL51"/>
      <c r="AM51"/>
      <c r="AN51"/>
      <c r="AO51"/>
      <c r="AP51"/>
      <c r="AQ51"/>
      <c r="AR51"/>
      <c r="AS51"/>
      <c r="AT51"/>
      <c r="AU51"/>
      <c r="AV51"/>
      <c r="AW51" s="14"/>
    </row>
    <row r="52" spans="1:49" x14ac:dyDescent="0.3">
      <c r="A52" s="31"/>
      <c r="B52" s="32"/>
      <c r="C52" s="32"/>
      <c r="D52" s="29"/>
      <c r="G52" s="13"/>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s="14"/>
    </row>
    <row r="53" spans="1:49" x14ac:dyDescent="0.3">
      <c r="B53" s="28"/>
      <c r="C53" s="28"/>
      <c r="D53" s="29"/>
      <c r="G53" s="13"/>
      <c r="H53" s="323"/>
      <c r="I53" s="324"/>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s="14"/>
    </row>
    <row r="54" spans="1:49" x14ac:dyDescent="0.3">
      <c r="B54" s="28"/>
      <c r="C54" s="28"/>
      <c r="D54" s="29"/>
      <c r="G54" s="13"/>
      <c r="H54" s="283"/>
      <c r="I54" s="325"/>
      <c r="J54" s="325"/>
      <c r="K54" s="326"/>
      <c r="L54" s="326"/>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s="14"/>
    </row>
    <row r="55" spans="1:49" x14ac:dyDescent="0.3">
      <c r="B55" s="28"/>
      <c r="C55" s="28"/>
      <c r="D55" s="29"/>
      <c r="G55" s="13"/>
      <c r="H55"/>
      <c r="I55" s="325"/>
      <c r="J55" s="325"/>
      <c r="K55" s="326"/>
      <c r="L55" s="326"/>
      <c r="M55"/>
      <c r="N55"/>
      <c r="O55"/>
      <c r="P55"/>
      <c r="Q55"/>
      <c r="R55"/>
      <c r="S55"/>
      <c r="T55"/>
      <c r="U55"/>
      <c r="V55"/>
      <c r="W55"/>
      <c r="X55"/>
      <c r="Y55" s="231"/>
      <c r="Z55"/>
      <c r="AA55"/>
      <c r="AB55"/>
      <c r="AC55"/>
      <c r="AD55"/>
      <c r="AE55"/>
      <c r="AF55"/>
      <c r="AG55"/>
      <c r="AH55"/>
      <c r="AI55"/>
      <c r="AJ55"/>
      <c r="AK55"/>
      <c r="AL55"/>
      <c r="AM55"/>
      <c r="AN55"/>
      <c r="AO55"/>
      <c r="AP55"/>
      <c r="AQ55"/>
      <c r="AR55"/>
      <c r="AS55"/>
      <c r="AT55"/>
      <c r="AU55"/>
      <c r="AV55"/>
      <c r="AW55" s="14"/>
    </row>
    <row r="56" spans="1:49" x14ac:dyDescent="0.3">
      <c r="B56" s="28"/>
      <c r="C56" s="28"/>
      <c r="D56" s="29"/>
      <c r="G56" s="13"/>
      <c r="H56" s="323"/>
      <c r="I56" s="325"/>
      <c r="J56" s="325"/>
      <c r="K56" s="326"/>
      <c r="L56" s="326"/>
      <c r="M56"/>
      <c r="N56"/>
      <c r="O56"/>
      <c r="P56"/>
      <c r="Q56"/>
      <c r="R56"/>
      <c r="S56"/>
      <c r="T56"/>
      <c r="U56"/>
      <c r="V56"/>
      <c r="W56"/>
      <c r="X56"/>
      <c r="Y56" s="231"/>
      <c r="Z56"/>
      <c r="AA56"/>
      <c r="AB56"/>
      <c r="AC56"/>
      <c r="AD56"/>
      <c r="AE56"/>
      <c r="AF56"/>
      <c r="AG56"/>
      <c r="AH56"/>
      <c r="AI56"/>
      <c r="AJ56"/>
      <c r="AK56"/>
      <c r="AL56"/>
      <c r="AM56"/>
      <c r="AN56"/>
      <c r="AO56"/>
      <c r="AP56"/>
      <c r="AQ56"/>
      <c r="AR56"/>
      <c r="AS56"/>
      <c r="AT56"/>
      <c r="AU56"/>
      <c r="AV56"/>
      <c r="AW56" s="14"/>
    </row>
    <row r="57" spans="1:49" x14ac:dyDescent="0.3">
      <c r="B57" s="28"/>
      <c r="C57" s="28"/>
      <c r="D57" s="29"/>
      <c r="G57" s="13"/>
      <c r="H57" s="323"/>
      <c r="I57" s="325"/>
      <c r="J57" s="325"/>
      <c r="K57" s="326"/>
      <c r="L57" s="326"/>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s="14"/>
    </row>
    <row r="58" spans="1:49" x14ac:dyDescent="0.3">
      <c r="B58" s="28"/>
      <c r="C58" s="28"/>
      <c r="D58" s="29"/>
      <c r="G58" s="13"/>
      <c r="H58"/>
      <c r="I58" s="325"/>
      <c r="J58" s="325"/>
      <c r="K58" s="326"/>
      <c r="L58" s="326"/>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s="14"/>
    </row>
    <row r="59" spans="1:49" x14ac:dyDescent="0.3">
      <c r="B59" s="28"/>
      <c r="C59" s="28"/>
      <c r="D59" s="29"/>
      <c r="G59" s="13"/>
      <c r="H59"/>
      <c r="I59"/>
      <c r="J59"/>
      <c r="K59" s="327"/>
      <c r="L59" s="327"/>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s="14"/>
    </row>
    <row r="60" spans="1:49" x14ac:dyDescent="0.3">
      <c r="B60" s="28"/>
      <c r="C60" s="28"/>
      <c r="D60" s="29"/>
      <c r="G60" s="13"/>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s="14"/>
    </row>
    <row r="61" spans="1:49" x14ac:dyDescent="0.3">
      <c r="B61" s="28"/>
      <c r="C61" s="28"/>
      <c r="D61" s="29"/>
      <c r="G61" s="13"/>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s="14"/>
    </row>
    <row r="62" spans="1:49" x14ac:dyDescent="0.3">
      <c r="G62" s="13"/>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s="14"/>
    </row>
    <row r="63" spans="1:49" x14ac:dyDescent="0.3">
      <c r="G63" s="1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s="14"/>
    </row>
    <row r="64" spans="1:49" x14ac:dyDescent="0.3">
      <c r="G64" s="13"/>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s="14"/>
    </row>
    <row r="65" spans="7:49" x14ac:dyDescent="0.3">
      <c r="G65" s="13"/>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s="14"/>
    </row>
    <row r="66" spans="7:49" x14ac:dyDescent="0.3">
      <c r="G66" s="13"/>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s="14"/>
    </row>
    <row r="67" spans="7:49" x14ac:dyDescent="0.3">
      <c r="G67" s="13"/>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s="14"/>
    </row>
    <row r="68" spans="7:49" x14ac:dyDescent="0.3">
      <c r="G68" s="13"/>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s="14"/>
    </row>
    <row r="69" spans="7:49" x14ac:dyDescent="0.3">
      <c r="G69" s="13"/>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s="14"/>
    </row>
    <row r="70" spans="7:49" x14ac:dyDescent="0.3">
      <c r="G70" s="13"/>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s="14"/>
    </row>
    <row r="71" spans="7:49" x14ac:dyDescent="0.3">
      <c r="G71" s="13"/>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s="14"/>
    </row>
    <row r="72" spans="7:49" x14ac:dyDescent="0.3">
      <c r="G72" s="13"/>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s="14"/>
    </row>
    <row r="73" spans="7:49" x14ac:dyDescent="0.3">
      <c r="G73" s="1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s="14"/>
    </row>
    <row r="74" spans="7:49" x14ac:dyDescent="0.3">
      <c r="G74" s="13"/>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s="14"/>
    </row>
    <row r="75" spans="7:49" x14ac:dyDescent="0.3">
      <c r="G75" s="13"/>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s="14"/>
    </row>
    <row r="76" spans="7:49" x14ac:dyDescent="0.3">
      <c r="G76" s="13"/>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s="14"/>
    </row>
    <row r="77" spans="7:49" x14ac:dyDescent="0.3">
      <c r="G77" s="13"/>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s="14"/>
    </row>
    <row r="78" spans="7:49" x14ac:dyDescent="0.3">
      <c r="G78" s="13"/>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s="14"/>
    </row>
    <row r="79" spans="7:49" x14ac:dyDescent="0.3">
      <c r="G79" s="13"/>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s="14"/>
    </row>
    <row r="80" spans="7:49" x14ac:dyDescent="0.3">
      <c r="G80" s="13"/>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s="14"/>
    </row>
    <row r="81" spans="7:49" x14ac:dyDescent="0.3">
      <c r="G81" s="13"/>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s="14"/>
    </row>
    <row r="82" spans="7:49" x14ac:dyDescent="0.3">
      <c r="G82" s="13"/>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s="14"/>
    </row>
    <row r="83" spans="7:49" x14ac:dyDescent="0.3">
      <c r="G83" s="1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s="14"/>
    </row>
    <row r="84" spans="7:49" x14ac:dyDescent="0.3">
      <c r="G84" s="13"/>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s="14"/>
    </row>
    <row r="85" spans="7:49" x14ac:dyDescent="0.3">
      <c r="G85" s="13"/>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s="14"/>
    </row>
    <row r="86" spans="7:49" x14ac:dyDescent="0.3">
      <c r="G86" s="13"/>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s="14"/>
    </row>
    <row r="87" spans="7:49" x14ac:dyDescent="0.3">
      <c r="G87" s="13"/>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s="14"/>
    </row>
    <row r="88" spans="7:49" x14ac:dyDescent="0.3">
      <c r="G88" s="13"/>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s="14"/>
    </row>
    <row r="89" spans="7:49" x14ac:dyDescent="0.3">
      <c r="G89" s="13"/>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s="14"/>
    </row>
    <row r="90" spans="7:49" x14ac:dyDescent="0.3">
      <c r="G90" s="13"/>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s="14"/>
    </row>
    <row r="91" spans="7:49" x14ac:dyDescent="0.3">
      <c r="G91" s="13"/>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s="14"/>
    </row>
    <row r="92" spans="7:49" x14ac:dyDescent="0.3">
      <c r="G92" s="13"/>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s="14"/>
    </row>
    <row r="93" spans="7:49" x14ac:dyDescent="0.3">
      <c r="G93" s="1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s="14"/>
    </row>
    <row r="94" spans="7:49" x14ac:dyDescent="0.3">
      <c r="G94" s="13"/>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s="14"/>
    </row>
    <row r="95" spans="7:49" ht="15" thickBot="1" x14ac:dyDescent="0.35">
      <c r="G95" s="13"/>
      <c r="H95"/>
      <c r="I95"/>
      <c r="J95"/>
      <c r="K95"/>
      <c r="L95"/>
      <c r="M95"/>
      <c r="N95" s="16"/>
      <c r="O95" s="16"/>
      <c r="P95" s="16"/>
      <c r="Q95" s="16"/>
      <c r="R95" s="16"/>
      <c r="S95" s="16"/>
      <c r="T95" s="16"/>
      <c r="U95" s="16"/>
      <c r="V95" s="16"/>
      <c r="W95" s="16"/>
      <c r="X95" s="16"/>
      <c r="Y95" s="16"/>
      <c r="Z95" s="16"/>
      <c r="AA95" s="16"/>
      <c r="AB95" s="16"/>
      <c r="AC95" s="16"/>
      <c r="AD95" s="16"/>
      <c r="AE95" s="16"/>
      <c r="AF95" s="16"/>
      <c r="AG95"/>
      <c r="AH95"/>
      <c r="AI95"/>
      <c r="AJ95"/>
      <c r="AK95"/>
      <c r="AL95"/>
      <c r="AM95"/>
      <c r="AN95"/>
      <c r="AO95"/>
      <c r="AP95"/>
      <c r="AQ95"/>
      <c r="AR95"/>
      <c r="AS95"/>
      <c r="AT95"/>
      <c r="AU95"/>
      <c r="AV95"/>
      <c r="AW95" s="14"/>
    </row>
    <row r="96" spans="7:49" x14ac:dyDescent="0.3">
      <c r="G96" s="13"/>
      <c r="H96"/>
      <c r="I96"/>
      <c r="J96"/>
      <c r="K96"/>
      <c r="L96"/>
      <c r="M96"/>
      <c r="AG96"/>
      <c r="AH96"/>
      <c r="AI96"/>
      <c r="AJ96"/>
      <c r="AK96"/>
      <c r="AL96"/>
      <c r="AM96"/>
      <c r="AN96"/>
      <c r="AO96"/>
      <c r="AP96"/>
      <c r="AQ96"/>
      <c r="AR96"/>
      <c r="AS96"/>
      <c r="AT96"/>
      <c r="AU96"/>
      <c r="AV96"/>
      <c r="AW96" s="14"/>
    </row>
    <row r="97" spans="7:49" x14ac:dyDescent="0.3">
      <c r="G97" s="13"/>
      <c r="H97"/>
      <c r="I97"/>
      <c r="J97"/>
      <c r="K97"/>
      <c r="L97"/>
      <c r="M97"/>
      <c r="AG97"/>
      <c r="AH97"/>
      <c r="AI97"/>
      <c r="AJ97"/>
      <c r="AK97"/>
      <c r="AL97"/>
      <c r="AM97"/>
      <c r="AN97"/>
      <c r="AO97"/>
      <c r="AP97"/>
      <c r="AQ97"/>
      <c r="AR97"/>
      <c r="AS97"/>
      <c r="AT97"/>
      <c r="AU97"/>
      <c r="AV97"/>
      <c r="AW97" s="14"/>
    </row>
    <row r="98" spans="7:49" x14ac:dyDescent="0.3">
      <c r="G98" s="13"/>
      <c r="H98"/>
      <c r="I98"/>
      <c r="J98"/>
      <c r="K98"/>
      <c r="L98"/>
      <c r="M98"/>
      <c r="AG98"/>
      <c r="AH98"/>
      <c r="AI98"/>
      <c r="AJ98"/>
      <c r="AK98"/>
      <c r="AL98"/>
      <c r="AM98"/>
      <c r="AN98"/>
      <c r="AO98"/>
      <c r="AP98"/>
      <c r="AQ98"/>
      <c r="AR98"/>
      <c r="AS98"/>
      <c r="AT98"/>
      <c r="AU98"/>
      <c r="AV98"/>
      <c r="AW98" s="14"/>
    </row>
    <row r="99" spans="7:49" ht="15" thickBot="1" x14ac:dyDescent="0.35">
      <c r="G99" s="13"/>
      <c r="H99" s="16"/>
      <c r="I99" s="16"/>
      <c r="J99" s="16"/>
      <c r="K99" s="16"/>
      <c r="L99" s="16"/>
      <c r="M99" s="16"/>
      <c r="AG99" s="16"/>
      <c r="AH99" s="16"/>
      <c r="AI99" s="16"/>
      <c r="AJ99" s="16"/>
      <c r="AK99" s="16"/>
      <c r="AL99" s="16"/>
      <c r="AM99" s="16"/>
      <c r="AN99" s="16"/>
      <c r="AO99" s="16"/>
      <c r="AP99" s="16"/>
      <c r="AQ99" s="16"/>
      <c r="AR99" s="16"/>
      <c r="AS99" s="16"/>
      <c r="AT99"/>
      <c r="AU99"/>
      <c r="AV99"/>
      <c r="AW99" s="14"/>
    </row>
    <row r="100" spans="7:49" x14ac:dyDescent="0.3">
      <c r="G100" s="13"/>
      <c r="AT100"/>
      <c r="AU100"/>
      <c r="AV100"/>
      <c r="AW100" s="14"/>
    </row>
    <row r="101" spans="7:49" x14ac:dyDescent="0.3">
      <c r="G101" s="13"/>
      <c r="AT101"/>
      <c r="AU101"/>
      <c r="AV101"/>
      <c r="AW101" s="14"/>
    </row>
    <row r="102" spans="7:49" x14ac:dyDescent="0.3">
      <c r="G102" s="13"/>
      <c r="AT102"/>
      <c r="AU102"/>
      <c r="AV102"/>
      <c r="AW102" s="14"/>
    </row>
    <row r="103" spans="7:49" x14ac:dyDescent="0.3">
      <c r="G103" s="13"/>
      <c r="AT103"/>
      <c r="AU103"/>
      <c r="AV103"/>
      <c r="AW103" s="14"/>
    </row>
    <row r="104" spans="7:49" x14ac:dyDescent="0.3">
      <c r="G104" s="13"/>
      <c r="AT104"/>
      <c r="AU104"/>
      <c r="AV104"/>
      <c r="AW104" s="14"/>
    </row>
    <row r="105" spans="7:49" x14ac:dyDescent="0.3">
      <c r="G105" s="13"/>
      <c r="AT105"/>
      <c r="AU105"/>
      <c r="AV105"/>
      <c r="AW105" s="14"/>
    </row>
    <row r="106" spans="7:49" x14ac:dyDescent="0.3">
      <c r="G106" s="13"/>
      <c r="AT106"/>
      <c r="AU106"/>
      <c r="AV106"/>
      <c r="AW106" s="14"/>
    </row>
    <row r="107" spans="7:49" x14ac:dyDescent="0.3">
      <c r="G107" s="13"/>
      <c r="AT107"/>
      <c r="AU107"/>
      <c r="AV107"/>
      <c r="AW107" s="14"/>
    </row>
    <row r="108" spans="7:49" x14ac:dyDescent="0.3">
      <c r="G108" s="13"/>
      <c r="AT108"/>
      <c r="AU108"/>
      <c r="AV108"/>
      <c r="AW108" s="14"/>
    </row>
    <row r="109" spans="7:49" x14ac:dyDescent="0.3">
      <c r="G109" s="13"/>
      <c r="AT109"/>
      <c r="AU109"/>
      <c r="AV109"/>
      <c r="AW109" s="14"/>
    </row>
    <row r="110" spans="7:49" x14ac:dyDescent="0.3">
      <c r="G110" s="13"/>
      <c r="AT110"/>
      <c r="AU110"/>
      <c r="AV110"/>
      <c r="AW110" s="14"/>
    </row>
    <row r="111" spans="7:49" ht="15" thickBot="1" x14ac:dyDescent="0.35">
      <c r="G111" s="15"/>
      <c r="AT111" s="16"/>
      <c r="AU111" s="16"/>
      <c r="AV111" s="16"/>
      <c r="AW111" s="17"/>
    </row>
  </sheetData>
  <mergeCells count="5">
    <mergeCell ref="O23:S23"/>
    <mergeCell ref="I33:K33"/>
    <mergeCell ref="I34:K34"/>
    <mergeCell ref="I35:K35"/>
    <mergeCell ref="I36:K36"/>
  </mergeCells>
  <phoneticPr fontId="38" type="noConversion"/>
  <conditionalFormatting sqref="B22:B51">
    <cfRule type="expression" dxfId="16" priority="2">
      <formula>A22=""</formula>
    </cfRule>
  </conditionalFormatting>
  <conditionalFormatting sqref="C22:C51">
    <cfRule type="expression" dxfId="15" priority="1">
      <formula>A22=""</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050E6615EF4E049B076A33DA9A196F2" ma:contentTypeVersion="6" ma:contentTypeDescription="Create a new document." ma:contentTypeScope="" ma:versionID="8d6fb1198524e71be8152ac02f70b376">
  <xsd:schema xmlns:xsd="http://www.w3.org/2001/XMLSchema" xmlns:xs="http://www.w3.org/2001/XMLSchema" xmlns:p="http://schemas.microsoft.com/office/2006/metadata/properties" xmlns:ns2="63e76f6f-7b72-4713-880d-fa70c72af57e" xmlns:ns3="db30cf03-fcfd-4eaf-b636-cf12bf31f0c3" targetNamespace="http://schemas.microsoft.com/office/2006/metadata/properties" ma:root="true" ma:fieldsID="9360f43728df5cb61e6b17709b23c67e" ns2:_="" ns3:_="">
    <xsd:import namespace="63e76f6f-7b72-4713-880d-fa70c72af57e"/>
    <xsd:import namespace="db30cf03-fcfd-4eaf-b636-cf12bf31f0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76f6f-7b72-4713-880d-fa70c72af5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30cf03-fcfd-4eaf-b636-cf12bf31f0c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627D9D-7B65-42EE-959A-1FAF03D551D1}">
  <ds:schemaRefs>
    <ds:schemaRef ds:uri="http://schemas.microsoft.com/sharepoint/v3/contenttype/forms"/>
  </ds:schemaRefs>
</ds:datastoreItem>
</file>

<file path=customXml/itemProps2.xml><?xml version="1.0" encoding="utf-8"?>
<ds:datastoreItem xmlns:ds="http://schemas.openxmlformats.org/officeDocument/2006/customXml" ds:itemID="{EABFF982-B27E-4345-8552-B59802B8AE7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670B490-DC79-4F14-BBC4-D61FBF13C6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76f6f-7b72-4713-880d-fa70c72af57e"/>
    <ds:schemaRef ds:uri="db30cf03-fcfd-4eaf-b636-cf12bf31f0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Overview</vt:lpstr>
      <vt:lpstr>Project Information</vt:lpstr>
      <vt:lpstr>Parameter Values</vt:lpstr>
      <vt:lpstr>Inputs</vt:lpstr>
      <vt:lpstr>Outputs</vt:lpstr>
      <vt:lpstr>User Volumes</vt:lpstr>
      <vt:lpstr>Capital Costs</vt:lpstr>
      <vt:lpstr>Operations and Maintenance</vt:lpstr>
      <vt:lpstr>Safety</vt:lpstr>
      <vt:lpstr>Travel Time Savings</vt:lpstr>
      <vt:lpstr>Amenity Benefits</vt:lpstr>
      <vt:lpstr>Health Benefits</vt:lpstr>
      <vt:lpstr>Residual Value</vt:lpstr>
      <vt:lpstr>Summary</vt:lpstr>
      <vt:lpstr>Final Results</vt:lpstr>
      <vt:lpstr>Other Highway Use Externalities</vt:lpstr>
      <vt:lpstr>Emissions Reduction</vt:lpstr>
      <vt:lpstr>Other Benefit 1</vt:lpstr>
      <vt:lpstr>Other Benefit 2</vt:lpstr>
      <vt:lpstr>Other Benefit 3</vt:lpstr>
      <vt:lpstr>Other Benefit 4</vt:lpstr>
      <vt:lpstr>Vehicle Operating Cost Savings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Riesenberg, Jordan (OST)</dc:creator>
  <cp:keywords/>
  <dc:description/>
  <cp:lastModifiedBy>Baugh, Benny J</cp:lastModifiedBy>
  <cp:revision/>
  <dcterms:created xsi:type="dcterms:W3CDTF">2023-03-14T14:10:51Z</dcterms:created>
  <dcterms:modified xsi:type="dcterms:W3CDTF">2026-02-19T19:46:37Z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0x0101002050E6615EF4E049B076A33DA9A196F2</vt:lpwstr>
  </property>
</Properties>
</file>