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bluejayadvisors.sharepoint.com/sites/BJFS/Shared Documents/Grants/2026 INFRA MaineDOT I-295/Upload Items &amp; Attachments/"/>
    </mc:Choice>
  </mc:AlternateContent>
  <xr:revisionPtr revIDLastSave="19" documentId="8_{C808AD38-1D10-473D-B7F1-3D786842263C}" xr6:coauthVersionLast="47" xr6:coauthVersionMax="47" xr10:uidLastSave="{EEE94E50-BF2D-4EC2-BA22-C481F7CB578F}"/>
  <bookViews>
    <workbookView xWindow="-110" yWindow="-110" windowWidth="19420" windowHeight="11500" tabRatio="951" activeTab="1" xr2:uid="{F359A226-429B-4B39-ADCF-FA4E6BC947FC}"/>
    <workbookView xWindow="-110" yWindow="-110" windowWidth="19420" windowHeight="11500" tabRatio="864" activeTab="1" xr2:uid="{6038B233-58BD-4B59-A1B0-93469C6558EC}"/>
  </bookViews>
  <sheets>
    <sheet name="Inputs" sheetId="41" r:id="rId1"/>
    <sheet name="Outputs" sheetId="38" r:id="rId2"/>
    <sheet name="Safety Data" sheetId="42" r:id="rId3"/>
    <sheet name="Traffic Volumes" sheetId="43" r:id="rId4"/>
    <sheet name="Summary" sheetId="11" r:id="rId5"/>
    <sheet name="Final Results" sheetId="30" r:id="rId6"/>
    <sheet name="Overview" sheetId="1" r:id="rId7"/>
    <sheet name="Project Information" sheetId="28" r:id="rId8"/>
    <sheet name="Parameter Values" sheetId="12" r:id="rId9"/>
    <sheet name="User Volumes" sheetId="34" r:id="rId10"/>
    <sheet name="Capital Costs" sheetId="2" r:id="rId11"/>
    <sheet name="Operations and Maintenance" sheetId="3" r:id="rId12"/>
    <sheet name="Safety" sheetId="31" r:id="rId13"/>
    <sheet name="Travel Time Savings" sheetId="32" r:id="rId14"/>
    <sheet name="Vehicle Operating Cost Savings" sheetId="33" r:id="rId15"/>
    <sheet name="Emissions Reduction" sheetId="20" r:id="rId16"/>
    <sheet name="Other Highway Use Externalities" sheetId="35" r:id="rId17"/>
    <sheet name="Amenity Benefits" sheetId="21" r:id="rId18"/>
    <sheet name="Health Benefits" sheetId="22" r:id="rId19"/>
    <sheet name="Residual Value" sheetId="23" r:id="rId20"/>
    <sheet name="Other Benefit 1" sheetId="24" r:id="rId21"/>
    <sheet name="Other Benefit 2" sheetId="25" r:id="rId22"/>
    <sheet name="Other Benefit 3" sheetId="26" r:id="rId23"/>
    <sheet name="Other Benefit 4" sheetId="27" r:id="rId2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3" i="41" l="1"/>
  <c r="F62" i="41"/>
  <c r="E14" i="42"/>
  <c r="E15" i="42"/>
  <c r="E16" i="42"/>
  <c r="E17" i="42"/>
  <c r="E18" i="42"/>
  <c r="E19" i="42"/>
  <c r="E20" i="42"/>
  <c r="E21" i="42"/>
  <c r="E22" i="42"/>
  <c r="B82" i="41"/>
  <c r="C76" i="41"/>
  <c r="B9" i="2" s="1"/>
  <c r="C81" i="41"/>
  <c r="B14" i="2" s="1"/>
  <c r="C80" i="41"/>
  <c r="B13" i="2" s="1"/>
  <c r="C79" i="41"/>
  <c r="B12" i="2" s="1"/>
  <c r="C78" i="41"/>
  <c r="B11" i="2" s="1"/>
  <c r="C77" i="41"/>
  <c r="B10" i="2" s="1"/>
  <c r="C82" i="41" l="1"/>
  <c r="B35" i="3"/>
  <c r="AQ52" i="32"/>
  <c r="AQ51" i="32"/>
  <c r="AQ50" i="32"/>
  <c r="AQ49" i="32"/>
  <c r="AQ48" i="32"/>
  <c r="AQ47" i="32"/>
  <c r="AQ46" i="32"/>
  <c r="AQ45" i="32"/>
  <c r="AQ44" i="32"/>
  <c r="AQ43" i="32"/>
  <c r="AQ42" i="32"/>
  <c r="AQ41" i="32"/>
  <c r="AQ40" i="32"/>
  <c r="AQ39" i="32"/>
  <c r="AQ38" i="32"/>
  <c r="AQ37" i="32"/>
  <c r="AQ36" i="32"/>
  <c r="AQ35" i="32"/>
  <c r="AQ34" i="32"/>
  <c r="AQ33" i="32"/>
  <c r="AQ32" i="32"/>
  <c r="AQ31" i="32"/>
  <c r="AQ30" i="32"/>
  <c r="AQ29" i="32"/>
  <c r="AQ28" i="32"/>
  <c r="AQ27" i="32"/>
  <c r="AQ26" i="32"/>
  <c r="AQ25" i="32"/>
  <c r="AQ24" i="32"/>
  <c r="AQ23" i="32"/>
  <c r="AN52" i="32"/>
  <c r="AN51" i="32"/>
  <c r="AN50" i="32"/>
  <c r="AN49" i="32"/>
  <c r="AN48" i="32"/>
  <c r="AN47" i="32"/>
  <c r="AN46" i="32"/>
  <c r="AN45" i="32"/>
  <c r="AN44" i="32"/>
  <c r="AN43" i="32"/>
  <c r="AN42" i="32"/>
  <c r="AN41" i="32"/>
  <c r="AN40" i="32"/>
  <c r="AN39" i="32"/>
  <c r="AN38" i="32"/>
  <c r="AN37" i="32"/>
  <c r="AN36" i="32"/>
  <c r="AN35" i="32"/>
  <c r="AN34" i="32"/>
  <c r="AN33" i="32"/>
  <c r="AN32" i="32"/>
  <c r="AN31" i="32"/>
  <c r="AN30" i="32"/>
  <c r="AN29" i="32"/>
  <c r="AN28" i="32"/>
  <c r="AN27" i="32"/>
  <c r="AN26" i="32"/>
  <c r="AN25" i="32"/>
  <c r="AN24" i="32"/>
  <c r="AN23" i="32"/>
  <c r="AK52" i="32"/>
  <c r="AK51" i="32"/>
  <c r="AK50" i="32"/>
  <c r="AK49" i="32"/>
  <c r="AK48" i="32"/>
  <c r="AK47" i="32"/>
  <c r="AK46" i="32"/>
  <c r="AK45" i="32"/>
  <c r="AK44" i="32"/>
  <c r="AK43" i="32"/>
  <c r="AK42" i="32"/>
  <c r="AK41" i="32"/>
  <c r="AK40" i="32"/>
  <c r="AK39" i="32"/>
  <c r="AK38" i="32"/>
  <c r="AK37" i="32"/>
  <c r="AK36" i="32"/>
  <c r="AK35" i="32"/>
  <c r="AK34" i="32"/>
  <c r="AK33" i="32"/>
  <c r="AK32" i="32"/>
  <c r="AK31" i="32"/>
  <c r="AK30" i="32"/>
  <c r="AK29" i="32"/>
  <c r="AK28" i="32"/>
  <c r="AK27" i="32"/>
  <c r="AK26" i="32"/>
  <c r="AK25" i="32"/>
  <c r="AK24" i="32"/>
  <c r="AK23" i="32"/>
  <c r="AI52" i="32"/>
  <c r="AI51" i="32"/>
  <c r="AI50" i="32"/>
  <c r="AI49" i="32"/>
  <c r="AI48" i="32"/>
  <c r="AI47" i="32"/>
  <c r="AI46" i="32"/>
  <c r="AI45" i="32"/>
  <c r="AI44" i="32"/>
  <c r="AI43" i="32"/>
  <c r="AI42" i="32"/>
  <c r="AI41" i="32"/>
  <c r="AI40" i="32"/>
  <c r="AI39" i="32"/>
  <c r="AI38" i="32"/>
  <c r="AI37" i="32"/>
  <c r="AI36" i="32"/>
  <c r="AI35" i="32"/>
  <c r="AI34" i="32"/>
  <c r="AI33" i="32"/>
  <c r="AI32" i="32"/>
  <c r="AI31" i="32"/>
  <c r="AI30" i="32"/>
  <c r="AI29" i="32"/>
  <c r="AI28" i="32"/>
  <c r="AI27" i="32"/>
  <c r="AI26" i="32"/>
  <c r="AI25" i="32"/>
  <c r="AI24" i="32"/>
  <c r="AI23" i="32"/>
  <c r="AG24" i="32"/>
  <c r="AG25" i="32" s="1"/>
  <c r="AG26" i="32" s="1"/>
  <c r="AG27" i="32" s="1"/>
  <c r="AG28" i="32" s="1"/>
  <c r="AG29" i="32" s="1"/>
  <c r="AG30" i="32" s="1"/>
  <c r="AG31" i="32" s="1"/>
  <c r="AG32" i="32" s="1"/>
  <c r="AG33" i="32" s="1"/>
  <c r="AG34" i="32" s="1"/>
  <c r="AG35" i="32" s="1"/>
  <c r="AG36" i="32" s="1"/>
  <c r="AG37" i="32" s="1"/>
  <c r="AG38" i="32" s="1"/>
  <c r="AG39" i="32" s="1"/>
  <c r="AG40" i="32" s="1"/>
  <c r="AG41" i="32" s="1"/>
  <c r="AG42" i="32" s="1"/>
  <c r="AG43" i="32" s="1"/>
  <c r="AG44" i="32" s="1"/>
  <c r="AG45" i="32" s="1"/>
  <c r="AG46" i="32" s="1"/>
  <c r="AG47" i="32" s="1"/>
  <c r="AG48" i="32" s="1"/>
  <c r="AG49" i="32" s="1"/>
  <c r="AG50" i="32" s="1"/>
  <c r="AG51" i="32" s="1"/>
  <c r="AG52" i="32" s="1"/>
  <c r="AB52" i="32"/>
  <c r="AB51" i="32"/>
  <c r="AB50" i="32"/>
  <c r="AB49" i="32"/>
  <c r="AB48" i="32"/>
  <c r="AB47" i="32"/>
  <c r="AB46" i="32"/>
  <c r="AB45" i="32"/>
  <c r="AB44" i="32"/>
  <c r="AB43" i="32"/>
  <c r="AB42" i="32"/>
  <c r="AB41" i="32"/>
  <c r="AB40" i="32"/>
  <c r="AB39" i="32"/>
  <c r="AB38" i="32"/>
  <c r="AB37" i="32"/>
  <c r="AB36" i="32"/>
  <c r="AB35" i="32"/>
  <c r="AB34" i="32"/>
  <c r="AB33" i="32"/>
  <c r="AB32" i="32"/>
  <c r="AB31" i="32"/>
  <c r="AB30" i="32"/>
  <c r="AB29" i="32"/>
  <c r="AB28" i="32"/>
  <c r="AB27" i="32"/>
  <c r="AB26" i="32"/>
  <c r="AB25" i="32"/>
  <c r="AB24" i="32"/>
  <c r="AB23" i="32"/>
  <c r="O52" i="32"/>
  <c r="O51" i="32"/>
  <c r="O50" i="32"/>
  <c r="O49" i="32"/>
  <c r="O48" i="32"/>
  <c r="O47" i="32"/>
  <c r="O46" i="32"/>
  <c r="O45" i="32"/>
  <c r="O44" i="32"/>
  <c r="O43" i="32"/>
  <c r="O42" i="32"/>
  <c r="O41" i="32"/>
  <c r="O40" i="32"/>
  <c r="O39" i="32"/>
  <c r="O38" i="32"/>
  <c r="O37" i="32"/>
  <c r="O36" i="32"/>
  <c r="O35" i="32"/>
  <c r="O34" i="32"/>
  <c r="O33" i="32"/>
  <c r="O32" i="32"/>
  <c r="O31" i="32"/>
  <c r="O30" i="32"/>
  <c r="O29" i="32"/>
  <c r="O28" i="32"/>
  <c r="O27" i="32"/>
  <c r="O26" i="32"/>
  <c r="O25" i="32"/>
  <c r="O24" i="32"/>
  <c r="O23" i="32"/>
  <c r="Y52" i="32"/>
  <c r="W52" i="32"/>
  <c r="L52" i="32"/>
  <c r="J52" i="32"/>
  <c r="Y51" i="32"/>
  <c r="W51" i="32"/>
  <c r="L51" i="32"/>
  <c r="J51" i="32"/>
  <c r="Y50" i="32"/>
  <c r="W50" i="32"/>
  <c r="L50" i="32"/>
  <c r="J50" i="32"/>
  <c r="Y49" i="32"/>
  <c r="W49" i="32"/>
  <c r="L49" i="32"/>
  <c r="J49" i="32"/>
  <c r="Y48" i="32"/>
  <c r="W48" i="32"/>
  <c r="L48" i="32"/>
  <c r="J48" i="32"/>
  <c r="Y47" i="32"/>
  <c r="W47" i="32"/>
  <c r="L47" i="32"/>
  <c r="J47" i="32"/>
  <c r="Y46" i="32"/>
  <c r="W46" i="32"/>
  <c r="L46" i="32"/>
  <c r="J46" i="32"/>
  <c r="Y45" i="32"/>
  <c r="W45" i="32"/>
  <c r="L45" i="32"/>
  <c r="J45" i="32"/>
  <c r="Y44" i="32"/>
  <c r="W44" i="32"/>
  <c r="L44" i="32"/>
  <c r="J44" i="32"/>
  <c r="Y43" i="32"/>
  <c r="W43" i="32"/>
  <c r="L43" i="32"/>
  <c r="J43" i="32"/>
  <c r="Y42" i="32"/>
  <c r="W42" i="32"/>
  <c r="L42" i="32"/>
  <c r="J42" i="32"/>
  <c r="Y41" i="32"/>
  <c r="W41" i="32"/>
  <c r="L41" i="32"/>
  <c r="J41" i="32"/>
  <c r="Y40" i="32"/>
  <c r="W40" i="32"/>
  <c r="L40" i="32"/>
  <c r="J40" i="32"/>
  <c r="Y39" i="32"/>
  <c r="W39" i="32"/>
  <c r="L39" i="32"/>
  <c r="J39" i="32"/>
  <c r="Y38" i="32"/>
  <c r="W38" i="32"/>
  <c r="L38" i="32"/>
  <c r="J38" i="32"/>
  <c r="Y37" i="32"/>
  <c r="W37" i="32"/>
  <c r="L37" i="32"/>
  <c r="J37" i="32"/>
  <c r="Y36" i="32"/>
  <c r="W36" i="32"/>
  <c r="L36" i="32"/>
  <c r="J36" i="32"/>
  <c r="Y35" i="32"/>
  <c r="W35" i="32"/>
  <c r="L35" i="32"/>
  <c r="J35" i="32"/>
  <c r="Y34" i="32"/>
  <c r="W34" i="32"/>
  <c r="L34" i="32"/>
  <c r="J34" i="32"/>
  <c r="Y33" i="32"/>
  <c r="W33" i="32"/>
  <c r="L33" i="32"/>
  <c r="J33" i="32"/>
  <c r="Y32" i="32"/>
  <c r="W32" i="32"/>
  <c r="L32" i="32"/>
  <c r="J32" i="32"/>
  <c r="Y31" i="32"/>
  <c r="W31" i="32"/>
  <c r="L31" i="32"/>
  <c r="J31" i="32"/>
  <c r="Y30" i="32"/>
  <c r="W30" i="32"/>
  <c r="L30" i="32"/>
  <c r="J30" i="32"/>
  <c r="Y29" i="32"/>
  <c r="W29" i="32"/>
  <c r="L29" i="32"/>
  <c r="J29" i="32"/>
  <c r="Y28" i="32"/>
  <c r="W28" i="32"/>
  <c r="L28" i="32"/>
  <c r="J28" i="32"/>
  <c r="Y27" i="32"/>
  <c r="W27" i="32"/>
  <c r="L27" i="32"/>
  <c r="J27" i="32"/>
  <c r="Y26" i="32"/>
  <c r="W26" i="32"/>
  <c r="L26" i="32"/>
  <c r="J26" i="32"/>
  <c r="H26" i="32"/>
  <c r="H27" i="32" s="1"/>
  <c r="H28" i="32" s="1"/>
  <c r="H29" i="32" s="1"/>
  <c r="H30" i="32" s="1"/>
  <c r="H31" i="32" s="1"/>
  <c r="H32" i="32" s="1"/>
  <c r="H33" i="32" s="1"/>
  <c r="H34" i="32" s="1"/>
  <c r="H35" i="32" s="1"/>
  <c r="H36" i="32" s="1"/>
  <c r="H37" i="32" s="1"/>
  <c r="H38" i="32" s="1"/>
  <c r="H39" i="32" s="1"/>
  <c r="H40" i="32" s="1"/>
  <c r="H41" i="32" s="1"/>
  <c r="H42" i="32" s="1"/>
  <c r="H43" i="32" s="1"/>
  <c r="H44" i="32" s="1"/>
  <c r="H45" i="32" s="1"/>
  <c r="H46" i="32" s="1"/>
  <c r="H47" i="32" s="1"/>
  <c r="H48" i="32" s="1"/>
  <c r="H49" i="32" s="1"/>
  <c r="H50" i="32" s="1"/>
  <c r="H51" i="32" s="1"/>
  <c r="H52" i="32" s="1"/>
  <c r="Y25" i="32"/>
  <c r="W25" i="32"/>
  <c r="L25" i="32"/>
  <c r="J25" i="32"/>
  <c r="H25" i="32"/>
  <c r="Y24" i="32"/>
  <c r="W24" i="32"/>
  <c r="U24" i="32"/>
  <c r="U25" i="32" s="1"/>
  <c r="U26" i="32" s="1"/>
  <c r="U27" i="32" s="1"/>
  <c r="U28" i="32" s="1"/>
  <c r="U29" i="32" s="1"/>
  <c r="U30" i="32" s="1"/>
  <c r="U31" i="32" s="1"/>
  <c r="U32" i="32" s="1"/>
  <c r="U33" i="32" s="1"/>
  <c r="U34" i="32" s="1"/>
  <c r="U35" i="32" s="1"/>
  <c r="U36" i="32" s="1"/>
  <c r="U37" i="32" s="1"/>
  <c r="U38" i="32" s="1"/>
  <c r="U39" i="32" s="1"/>
  <c r="U40" i="32" s="1"/>
  <c r="U41" i="32" s="1"/>
  <c r="U42" i="32" s="1"/>
  <c r="U43" i="32" s="1"/>
  <c r="U44" i="32" s="1"/>
  <c r="U45" i="32" s="1"/>
  <c r="U46" i="32" s="1"/>
  <c r="U47" i="32" s="1"/>
  <c r="U48" i="32" s="1"/>
  <c r="U49" i="32" s="1"/>
  <c r="U50" i="32" s="1"/>
  <c r="U51" i="32" s="1"/>
  <c r="U52" i="32" s="1"/>
  <c r="L24" i="32"/>
  <c r="J24" i="32"/>
  <c r="H24" i="32"/>
  <c r="Y23" i="32"/>
  <c r="W23" i="32"/>
  <c r="L23" i="32"/>
  <c r="J23" i="32"/>
  <c r="AB58" i="33"/>
  <c r="AB57" i="33"/>
  <c r="AB56" i="33"/>
  <c r="AB55" i="33"/>
  <c r="AB54" i="33"/>
  <c r="AB53" i="33"/>
  <c r="AB52" i="33"/>
  <c r="AB51" i="33"/>
  <c r="AB50" i="33"/>
  <c r="AB49" i="33"/>
  <c r="AB48" i="33"/>
  <c r="AB47" i="33"/>
  <c r="AB46" i="33"/>
  <c r="AB45" i="33"/>
  <c r="AB44" i="33"/>
  <c r="AB43" i="33"/>
  <c r="AB42" i="33"/>
  <c r="AB41" i="33"/>
  <c r="AB40" i="33"/>
  <c r="AB39" i="33"/>
  <c r="AB38" i="33"/>
  <c r="AB37" i="33"/>
  <c r="AB36" i="33"/>
  <c r="AB35" i="33"/>
  <c r="AB34" i="33"/>
  <c r="AB33" i="33"/>
  <c r="AB32" i="33"/>
  <c r="AB31" i="33"/>
  <c r="AB30" i="33"/>
  <c r="AB29" i="33"/>
  <c r="Y58" i="33"/>
  <c r="Y57" i="33"/>
  <c r="Y56" i="33"/>
  <c r="Y55" i="33"/>
  <c r="Y54" i="33"/>
  <c r="Y53" i="33"/>
  <c r="Y52" i="33"/>
  <c r="Y51" i="33"/>
  <c r="Y50" i="33"/>
  <c r="Y49" i="33"/>
  <c r="Y48" i="33"/>
  <c r="Y47" i="33"/>
  <c r="Y46" i="33"/>
  <c r="Y45" i="33"/>
  <c r="Y44" i="33"/>
  <c r="Y43" i="33"/>
  <c r="Y42" i="33"/>
  <c r="Y41" i="33"/>
  <c r="Y40" i="33"/>
  <c r="Y39" i="33"/>
  <c r="Y38" i="33"/>
  <c r="Y37" i="33"/>
  <c r="Y36" i="33"/>
  <c r="Y35" i="33"/>
  <c r="Y34" i="33"/>
  <c r="Y33" i="33"/>
  <c r="Y32" i="33"/>
  <c r="Y31" i="33"/>
  <c r="Y30" i="33"/>
  <c r="Y29" i="33"/>
  <c r="W58" i="33"/>
  <c r="W57" i="33"/>
  <c r="W56" i="33"/>
  <c r="W55" i="33"/>
  <c r="W54" i="33"/>
  <c r="W53" i="33"/>
  <c r="W52" i="33"/>
  <c r="W51" i="33"/>
  <c r="W50" i="33"/>
  <c r="W49" i="33"/>
  <c r="W48" i="33"/>
  <c r="W47" i="33"/>
  <c r="W46" i="33"/>
  <c r="W45" i="33"/>
  <c r="W44" i="33"/>
  <c r="W43" i="33"/>
  <c r="W42" i="33"/>
  <c r="W41" i="33"/>
  <c r="W40" i="33"/>
  <c r="W39" i="33"/>
  <c r="W38" i="33"/>
  <c r="W37" i="33"/>
  <c r="W36" i="33"/>
  <c r="W35" i="33"/>
  <c r="W34" i="33"/>
  <c r="W33" i="33"/>
  <c r="W32" i="33"/>
  <c r="W31" i="33"/>
  <c r="W30" i="33"/>
  <c r="W29" i="33"/>
  <c r="U30" i="33"/>
  <c r="U31" i="33" s="1"/>
  <c r="U32" i="33" s="1"/>
  <c r="U33" i="33" s="1"/>
  <c r="U34" i="33" s="1"/>
  <c r="U35" i="33" s="1"/>
  <c r="U36" i="33" s="1"/>
  <c r="U37" i="33" s="1"/>
  <c r="U38" i="33" s="1"/>
  <c r="U39" i="33" s="1"/>
  <c r="U40" i="33" s="1"/>
  <c r="U41" i="33" s="1"/>
  <c r="U42" i="33" s="1"/>
  <c r="U43" i="33" s="1"/>
  <c r="U44" i="33" s="1"/>
  <c r="U45" i="33" s="1"/>
  <c r="U46" i="33" s="1"/>
  <c r="U47" i="33" s="1"/>
  <c r="U48" i="33" s="1"/>
  <c r="U49" i="33" s="1"/>
  <c r="U50" i="33" s="1"/>
  <c r="U51" i="33" s="1"/>
  <c r="U52" i="33" s="1"/>
  <c r="U53" i="33" s="1"/>
  <c r="U54" i="33" s="1"/>
  <c r="U55" i="33" s="1"/>
  <c r="U56" i="33" s="1"/>
  <c r="U57" i="33" s="1"/>
  <c r="U58" i="33" s="1"/>
  <c r="O58" i="33"/>
  <c r="L58" i="33"/>
  <c r="J58" i="33"/>
  <c r="O57" i="33"/>
  <c r="L57" i="33"/>
  <c r="J57" i="33"/>
  <c r="O56" i="33"/>
  <c r="L56" i="33"/>
  <c r="J56" i="33"/>
  <c r="O55" i="33"/>
  <c r="L55" i="33"/>
  <c r="J55" i="33"/>
  <c r="O54" i="33"/>
  <c r="L54" i="33"/>
  <c r="J54" i="33"/>
  <c r="O53" i="33"/>
  <c r="L53" i="33"/>
  <c r="J53" i="33"/>
  <c r="O52" i="33"/>
  <c r="L52" i="33"/>
  <c r="J52" i="33"/>
  <c r="O51" i="33"/>
  <c r="L51" i="33"/>
  <c r="J51" i="33"/>
  <c r="O50" i="33"/>
  <c r="L50" i="33"/>
  <c r="J50" i="33"/>
  <c r="O49" i="33"/>
  <c r="L49" i="33"/>
  <c r="J49" i="33"/>
  <c r="O48" i="33"/>
  <c r="L48" i="33"/>
  <c r="J48" i="33"/>
  <c r="O47" i="33"/>
  <c r="L47" i="33"/>
  <c r="J47" i="33"/>
  <c r="O46" i="33"/>
  <c r="L46" i="33"/>
  <c r="J46" i="33"/>
  <c r="O45" i="33"/>
  <c r="L45" i="33"/>
  <c r="J45" i="33"/>
  <c r="O44" i="33"/>
  <c r="L44" i="33"/>
  <c r="J44" i="33"/>
  <c r="O43" i="33"/>
  <c r="L43" i="33"/>
  <c r="J43" i="33"/>
  <c r="O42" i="33"/>
  <c r="L42" i="33"/>
  <c r="J42" i="33"/>
  <c r="O41" i="33"/>
  <c r="L41" i="33"/>
  <c r="J41" i="33"/>
  <c r="O40" i="33"/>
  <c r="L40" i="33"/>
  <c r="J40" i="33"/>
  <c r="O39" i="33"/>
  <c r="L39" i="33"/>
  <c r="J39" i="33"/>
  <c r="O38" i="33"/>
  <c r="L38" i="33"/>
  <c r="J38" i="33"/>
  <c r="O37" i="33"/>
  <c r="L37" i="33"/>
  <c r="J37" i="33"/>
  <c r="O36" i="33"/>
  <c r="L36" i="33"/>
  <c r="J36" i="33"/>
  <c r="O35" i="33"/>
  <c r="L35" i="33"/>
  <c r="J35" i="33"/>
  <c r="O34" i="33"/>
  <c r="L34" i="33"/>
  <c r="J34" i="33"/>
  <c r="O33" i="33"/>
  <c r="L33" i="33"/>
  <c r="J33" i="33"/>
  <c r="O32" i="33"/>
  <c r="L32" i="33"/>
  <c r="J32" i="33"/>
  <c r="O31" i="33"/>
  <c r="L31" i="33"/>
  <c r="J31" i="33"/>
  <c r="O30" i="33"/>
  <c r="O29" i="33"/>
  <c r="L30" i="33"/>
  <c r="L29" i="33"/>
  <c r="J30" i="33"/>
  <c r="J29" i="33"/>
  <c r="H30" i="33"/>
  <c r="H31" i="33" s="1"/>
  <c r="H32" i="33" s="1"/>
  <c r="H33" i="33" s="1"/>
  <c r="H34" i="33" s="1"/>
  <c r="H35" i="33" s="1"/>
  <c r="H36" i="33" s="1"/>
  <c r="H37" i="33" s="1"/>
  <c r="H38" i="33" s="1"/>
  <c r="H39" i="33" s="1"/>
  <c r="H40" i="33" s="1"/>
  <c r="H41" i="33" s="1"/>
  <c r="H42" i="33" s="1"/>
  <c r="H43" i="33" s="1"/>
  <c r="H44" i="33" s="1"/>
  <c r="H45" i="33" s="1"/>
  <c r="H46" i="33" s="1"/>
  <c r="H47" i="33" s="1"/>
  <c r="H48" i="33" s="1"/>
  <c r="H49" i="33" s="1"/>
  <c r="H50" i="33" s="1"/>
  <c r="H51" i="33" s="1"/>
  <c r="H52" i="33" s="1"/>
  <c r="H53" i="33" s="1"/>
  <c r="H54" i="33" s="1"/>
  <c r="H55" i="33" s="1"/>
  <c r="H56" i="33" s="1"/>
  <c r="H57" i="33" s="1"/>
  <c r="H58" i="33" s="1"/>
  <c r="C67" i="41"/>
  <c r="R30" i="32" s="1"/>
  <c r="D67" i="41"/>
  <c r="AE49" i="32" s="1"/>
  <c r="W30" i="31"/>
  <c r="W29" i="31"/>
  <c r="W28" i="31"/>
  <c r="W27" i="31"/>
  <c r="W26" i="31"/>
  <c r="W25" i="31"/>
  <c r="L29" i="31"/>
  <c r="U29" i="31" s="1"/>
  <c r="K29" i="31"/>
  <c r="T29" i="31" s="1"/>
  <c r="J29" i="31"/>
  <c r="S29" i="31" s="1"/>
  <c r="I29" i="31"/>
  <c r="R29" i="31" s="1"/>
  <c r="L28" i="31"/>
  <c r="U28" i="31" s="1"/>
  <c r="K28" i="31"/>
  <c r="J28" i="31"/>
  <c r="S28" i="31" s="1"/>
  <c r="I28" i="31"/>
  <c r="R28" i="31" s="1"/>
  <c r="L27" i="31"/>
  <c r="U27" i="31" s="1"/>
  <c r="K27" i="31"/>
  <c r="T27" i="31" s="1"/>
  <c r="J27" i="31"/>
  <c r="S27" i="31" s="1"/>
  <c r="I27" i="31"/>
  <c r="R27" i="31" s="1"/>
  <c r="L26" i="31"/>
  <c r="U26" i="31" s="1"/>
  <c r="K26" i="31"/>
  <c r="T26" i="31" s="1"/>
  <c r="J26" i="31"/>
  <c r="S26" i="31" s="1"/>
  <c r="I26" i="31"/>
  <c r="L25" i="31"/>
  <c r="U25" i="31" s="1"/>
  <c r="K25" i="31"/>
  <c r="T25" i="31" s="1"/>
  <c r="J25" i="31"/>
  <c r="I25" i="31"/>
  <c r="R25" i="31" s="1"/>
  <c r="N29" i="31"/>
  <c r="N28" i="31"/>
  <c r="N27" i="31"/>
  <c r="N26" i="31"/>
  <c r="N25" i="31"/>
  <c r="N30" i="31" s="1"/>
  <c r="G9" i="42"/>
  <c r="G8" i="42"/>
  <c r="G7" i="42"/>
  <c r="G6" i="42"/>
  <c r="G5" i="42"/>
  <c r="A42" i="43"/>
  <c r="A43" i="43" s="1"/>
  <c r="A44" i="43" s="1"/>
  <c r="A45" i="43" s="1"/>
  <c r="A46" i="43" s="1"/>
  <c r="A47" i="43" s="1"/>
  <c r="A48" i="43" s="1"/>
  <c r="A49" i="43" s="1"/>
  <c r="A50" i="43" s="1"/>
  <c r="A51" i="43" s="1"/>
  <c r="H14" i="43"/>
  <c r="H15" i="43" s="1"/>
  <c r="I15" i="43" s="1"/>
  <c r="B14" i="43"/>
  <c r="C14" i="43" s="1"/>
  <c r="F14" i="43"/>
  <c r="F15" i="43" s="1"/>
  <c r="G15" i="43" s="1"/>
  <c r="B10" i="28"/>
  <c r="F9" i="43"/>
  <c r="E9" i="43"/>
  <c r="D9" i="43"/>
  <c r="C9" i="43"/>
  <c r="F8" i="43"/>
  <c r="E8" i="43"/>
  <c r="D8" i="43"/>
  <c r="C8" i="43"/>
  <c r="F7" i="43"/>
  <c r="E7" i="43"/>
  <c r="D7" i="43"/>
  <c r="C7" i="43"/>
  <c r="E10" i="42"/>
  <c r="D10" i="42"/>
  <c r="C10" i="42"/>
  <c r="B10" i="42"/>
  <c r="F9" i="42"/>
  <c r="F8" i="42"/>
  <c r="F7" i="42"/>
  <c r="F6" i="42"/>
  <c r="F5" i="42"/>
  <c r="E42" i="41"/>
  <c r="D42" i="41"/>
  <c r="C42" i="41"/>
  <c r="B42" i="41"/>
  <c r="C20" i="41"/>
  <c r="B11" i="41"/>
  <c r="J30" i="31" l="1"/>
  <c r="M25" i="31"/>
  <c r="M28" i="31"/>
  <c r="O28" i="31" s="1"/>
  <c r="M29" i="31"/>
  <c r="O29" i="31" s="1"/>
  <c r="L30" i="31"/>
  <c r="M27" i="31"/>
  <c r="O27" i="31" s="1"/>
  <c r="M26" i="31"/>
  <c r="O26" i="31" s="1"/>
  <c r="R26" i="31"/>
  <c r="V26" i="31" s="1"/>
  <c r="X26" i="31" s="1"/>
  <c r="H9" i="42"/>
  <c r="H5" i="42"/>
  <c r="H6" i="42"/>
  <c r="T28" i="31"/>
  <c r="T30" i="31" s="1"/>
  <c r="S25" i="31"/>
  <c r="V25" i="31" s="1"/>
  <c r="AE34" i="32"/>
  <c r="AE24" i="32"/>
  <c r="AE51" i="32"/>
  <c r="AE27" i="32"/>
  <c r="AE29" i="33"/>
  <c r="AE36" i="32"/>
  <c r="AE37" i="33"/>
  <c r="AE50" i="32"/>
  <c r="AE45" i="33"/>
  <c r="AE53" i="33"/>
  <c r="AE35" i="32"/>
  <c r="AE52" i="32"/>
  <c r="AE28" i="32"/>
  <c r="R45" i="32"/>
  <c r="R40" i="32"/>
  <c r="R39" i="32"/>
  <c r="R38" i="32"/>
  <c r="R23" i="32"/>
  <c r="R58" i="33"/>
  <c r="R50" i="33"/>
  <c r="R42" i="33"/>
  <c r="R34" i="33"/>
  <c r="R37" i="32"/>
  <c r="R25" i="32"/>
  <c r="R57" i="33"/>
  <c r="R49" i="33"/>
  <c r="R41" i="33"/>
  <c r="R33" i="33"/>
  <c r="R48" i="32"/>
  <c r="R44" i="32"/>
  <c r="R43" i="32"/>
  <c r="R29" i="32"/>
  <c r="R56" i="33"/>
  <c r="R48" i="33"/>
  <c r="R40" i="33"/>
  <c r="R32" i="33"/>
  <c r="R52" i="32"/>
  <c r="R51" i="32"/>
  <c r="R50" i="32"/>
  <c r="R42" i="32"/>
  <c r="R36" i="32"/>
  <c r="R35" i="32"/>
  <c r="R34" i="32"/>
  <c r="R28" i="32"/>
  <c r="R27" i="32"/>
  <c r="R55" i="33"/>
  <c r="R47" i="33"/>
  <c r="R39" i="33"/>
  <c r="R31" i="33"/>
  <c r="R26" i="32"/>
  <c r="R54" i="33"/>
  <c r="R46" i="33"/>
  <c r="R38" i="33"/>
  <c r="R30" i="33"/>
  <c r="R46" i="32"/>
  <c r="R49" i="32"/>
  <c r="R24" i="32"/>
  <c r="R53" i="33"/>
  <c r="R45" i="33"/>
  <c r="R37" i="33"/>
  <c r="R29" i="33"/>
  <c r="R47" i="32"/>
  <c r="R41" i="32"/>
  <c r="R33" i="32"/>
  <c r="R52" i="33"/>
  <c r="R44" i="33"/>
  <c r="R36" i="33"/>
  <c r="R32" i="32"/>
  <c r="R43" i="33"/>
  <c r="R35" i="33"/>
  <c r="R51" i="33"/>
  <c r="R31" i="32"/>
  <c r="AE30" i="33"/>
  <c r="AE38" i="33"/>
  <c r="AE46" i="33"/>
  <c r="AE54" i="33"/>
  <c r="AE42" i="32"/>
  <c r="AE43" i="32"/>
  <c r="AE44" i="32"/>
  <c r="AE31" i="33"/>
  <c r="AE39" i="33"/>
  <c r="AE47" i="33"/>
  <c r="AE55" i="33"/>
  <c r="AE29" i="32"/>
  <c r="AE37" i="32"/>
  <c r="AE32" i="33"/>
  <c r="AE40" i="33"/>
  <c r="AE48" i="33"/>
  <c r="AE56" i="33"/>
  <c r="AE38" i="32"/>
  <c r="AE39" i="32"/>
  <c r="AE33" i="33"/>
  <c r="AE41" i="33"/>
  <c r="AE49" i="33"/>
  <c r="AE57" i="33"/>
  <c r="AE23" i="32"/>
  <c r="AE25" i="32"/>
  <c r="AE30" i="32"/>
  <c r="AE31" i="32"/>
  <c r="AE32" i="32"/>
  <c r="AE40" i="32"/>
  <c r="AE45" i="32"/>
  <c r="AE46" i="32"/>
  <c r="AE47" i="32"/>
  <c r="AE34" i="33"/>
  <c r="AE42" i="33"/>
  <c r="AE50" i="33"/>
  <c r="AE58" i="33"/>
  <c r="AE48" i="32"/>
  <c r="AE35" i="33"/>
  <c r="AE43" i="33"/>
  <c r="AE51" i="33"/>
  <c r="AE33" i="32"/>
  <c r="AE41" i="32"/>
  <c r="AE36" i="33"/>
  <c r="AE44" i="33"/>
  <c r="AE52" i="33"/>
  <c r="AE26" i="32"/>
  <c r="B20" i="3"/>
  <c r="B14" i="3"/>
  <c r="B22" i="3"/>
  <c r="B30" i="3"/>
  <c r="B15" i="3"/>
  <c r="B23" i="3"/>
  <c r="B31" i="3"/>
  <c r="B12" i="3"/>
  <c r="B36" i="3"/>
  <c r="B13" i="3"/>
  <c r="B21" i="3"/>
  <c r="B29" i="3"/>
  <c r="B37" i="3"/>
  <c r="B24" i="3"/>
  <c r="B17" i="3"/>
  <c r="B25" i="3"/>
  <c r="B33" i="3"/>
  <c r="B10" i="3"/>
  <c r="B18" i="3"/>
  <c r="B26" i="3"/>
  <c r="B34" i="3"/>
  <c r="B28" i="3"/>
  <c r="B8" i="3"/>
  <c r="B16" i="3"/>
  <c r="B32" i="3"/>
  <c r="B9" i="3"/>
  <c r="B11" i="3"/>
  <c r="B19" i="3"/>
  <c r="B27" i="3"/>
  <c r="U30" i="31"/>
  <c r="V29" i="31"/>
  <c r="X29" i="31" s="1"/>
  <c r="V27" i="31"/>
  <c r="X27" i="31" s="1"/>
  <c r="I30" i="31"/>
  <c r="K30" i="31"/>
  <c r="O25" i="31"/>
  <c r="G10" i="42"/>
  <c r="H8" i="42"/>
  <c r="H7" i="42"/>
  <c r="I14" i="43"/>
  <c r="G14" i="43"/>
  <c r="E14" i="43"/>
  <c r="B15" i="43"/>
  <c r="B16" i="43" s="1"/>
  <c r="B17" i="43" s="1"/>
  <c r="B18" i="43" s="1"/>
  <c r="B19" i="43" s="1"/>
  <c r="B20" i="43" s="1"/>
  <c r="B21" i="43" s="1"/>
  <c r="B22" i="43" s="1"/>
  <c r="H16" i="43"/>
  <c r="H17" i="43" s="1"/>
  <c r="H18" i="43" s="1"/>
  <c r="H19" i="43" s="1"/>
  <c r="H20" i="43" s="1"/>
  <c r="H21" i="43" s="1"/>
  <c r="H22" i="43" s="1"/>
  <c r="F16" i="43"/>
  <c r="F17" i="43" s="1"/>
  <c r="F18" i="43" s="1"/>
  <c r="F19" i="43" s="1"/>
  <c r="F20" i="43" s="1"/>
  <c r="F21" i="43" s="1"/>
  <c r="F22" i="43" s="1"/>
  <c r="F10" i="42"/>
  <c r="R30" i="31" l="1"/>
  <c r="M30" i="31"/>
  <c r="H10" i="42"/>
  <c r="V28" i="31"/>
  <c r="X28" i="31" s="1"/>
  <c r="O30" i="31"/>
  <c r="S30" i="31"/>
  <c r="F23" i="43"/>
  <c r="I23" i="32"/>
  <c r="K23" i="32" s="1"/>
  <c r="M23" i="32" s="1"/>
  <c r="P23" i="32" s="1"/>
  <c r="I29" i="33"/>
  <c r="K29" i="33" s="1"/>
  <c r="M29" i="33" s="1"/>
  <c r="H23" i="43"/>
  <c r="V29" i="33"/>
  <c r="X29" i="33" s="1"/>
  <c r="V23" i="32"/>
  <c r="X23" i="32" s="1"/>
  <c r="B23" i="43"/>
  <c r="AH23" i="32"/>
  <c r="AJ23" i="32" s="1"/>
  <c r="V30" i="31"/>
  <c r="X25" i="31"/>
  <c r="X30" i="31" s="1"/>
  <c r="C15" i="43"/>
  <c r="E15" i="43"/>
  <c r="E16" i="43"/>
  <c r="C16" i="43"/>
  <c r="G16" i="43"/>
  <c r="I16" i="43"/>
  <c r="G17" i="43"/>
  <c r="E17" i="43"/>
  <c r="C17" i="43"/>
  <c r="D16" i="23"/>
  <c r="D15" i="23"/>
  <c r="D14" i="23"/>
  <c r="D13" i="23"/>
  <c r="D12" i="23"/>
  <c r="H36" i="11"/>
  <c r="I36" i="11"/>
  <c r="J36" i="11"/>
  <c r="L36" i="11"/>
  <c r="M36" i="11"/>
  <c r="N36" i="11"/>
  <c r="O36" i="11"/>
  <c r="D11" i="23"/>
  <c r="N23" i="32" l="1"/>
  <c r="Q23" i="32" s="1"/>
  <c r="N29" i="33"/>
  <c r="AM23" i="32"/>
  <c r="AP23" i="32" s="1"/>
  <c r="AL23" i="32"/>
  <c r="AO23" i="32" s="1"/>
  <c r="Z23" i="32"/>
  <c r="AC23" i="32" s="1"/>
  <c r="AA23" i="32"/>
  <c r="AD23" i="32" s="1"/>
  <c r="B24" i="43"/>
  <c r="AH24" i="32"/>
  <c r="AJ24" i="32" s="1"/>
  <c r="Z29" i="33"/>
  <c r="AA29" i="33"/>
  <c r="H24" i="43"/>
  <c r="V24" i="32"/>
  <c r="X24" i="32" s="1"/>
  <c r="V30" i="33"/>
  <c r="X30" i="33" s="1"/>
  <c r="F24" i="43"/>
  <c r="I24" i="32"/>
  <c r="K24" i="32" s="1"/>
  <c r="I30" i="33"/>
  <c r="K30" i="33" s="1"/>
  <c r="B22" i="31"/>
  <c r="B23" i="31" s="1"/>
  <c r="B24" i="31" s="1"/>
  <c r="B25" i="31" s="1"/>
  <c r="B26" i="31" s="1"/>
  <c r="B27" i="31" s="1"/>
  <c r="B28" i="31" s="1"/>
  <c r="B29" i="31" s="1"/>
  <c r="B30" i="31" s="1"/>
  <c r="B31" i="31" s="1"/>
  <c r="B32" i="31" s="1"/>
  <c r="B33" i="31" s="1"/>
  <c r="B34" i="31" s="1"/>
  <c r="B35" i="31" s="1"/>
  <c r="B36" i="31" s="1"/>
  <c r="B37" i="31" s="1"/>
  <c r="B38" i="31" s="1"/>
  <c r="B39" i="31" s="1"/>
  <c r="B40" i="31" s="1"/>
  <c r="B41" i="31" s="1"/>
  <c r="B42" i="31" s="1"/>
  <c r="B43" i="31" s="1"/>
  <c r="B44" i="31" s="1"/>
  <c r="B45" i="31" s="1"/>
  <c r="B46" i="31" s="1"/>
  <c r="B47" i="31" s="1"/>
  <c r="B48" i="31" s="1"/>
  <c r="B49" i="31" s="1"/>
  <c r="B50" i="31" s="1"/>
  <c r="B51" i="31" s="1"/>
  <c r="I17" i="43"/>
  <c r="G18" i="43"/>
  <c r="C18" i="43"/>
  <c r="E18" i="43"/>
  <c r="A10" i="1"/>
  <c r="B20" i="32" l="1"/>
  <c r="B25" i="43"/>
  <c r="AH25" i="32"/>
  <c r="AJ25" i="32" s="1"/>
  <c r="M30" i="33"/>
  <c r="N30" i="33"/>
  <c r="M24" i="32"/>
  <c r="P24" i="32" s="1"/>
  <c r="N24" i="32"/>
  <c r="Q24" i="32" s="1"/>
  <c r="Z24" i="32"/>
  <c r="AC24" i="32" s="1"/>
  <c r="AA24" i="32"/>
  <c r="AD24" i="32" s="1"/>
  <c r="AM24" i="32"/>
  <c r="AP24" i="32" s="1"/>
  <c r="AL24" i="32"/>
  <c r="AO24" i="32" s="1"/>
  <c r="F25" i="43"/>
  <c r="I31" i="33"/>
  <c r="K31" i="33" s="1"/>
  <c r="I25" i="32"/>
  <c r="K25" i="32" s="1"/>
  <c r="Z30" i="33"/>
  <c r="AA30" i="33"/>
  <c r="H25" i="43"/>
  <c r="V31" i="33"/>
  <c r="X31" i="33" s="1"/>
  <c r="V25" i="32"/>
  <c r="X25" i="32" s="1"/>
  <c r="I18" i="43"/>
  <c r="G19" i="43"/>
  <c r="C19" i="43"/>
  <c r="E19" i="43"/>
  <c r="G20" i="43"/>
  <c r="D17" i="23"/>
  <c r="A11" i="22"/>
  <c r="A10" i="22"/>
  <c r="B18" i="20"/>
  <c r="B15" i="20"/>
  <c r="B12" i="20"/>
  <c r="B27" i="20"/>
  <c r="B28" i="20"/>
  <c r="B29" i="20"/>
  <c r="B26" i="20"/>
  <c r="B22" i="20"/>
  <c r="B23" i="20"/>
  <c r="B24" i="20"/>
  <c r="B21" i="20"/>
  <c r="B18" i="33"/>
  <c r="B19" i="33"/>
  <c r="B20" i="33"/>
  <c r="B13" i="33"/>
  <c r="B14" i="33"/>
  <c r="B15" i="33"/>
  <c r="B22" i="33"/>
  <c r="B17" i="33"/>
  <c r="B12" i="33"/>
  <c r="B16" i="31"/>
  <c r="H7" i="11"/>
  <c r="H8" i="11"/>
  <c r="H9" i="11"/>
  <c r="H10" i="11"/>
  <c r="H11" i="11"/>
  <c r="H12" i="11"/>
  <c r="H13" i="11"/>
  <c r="H14" i="11"/>
  <c r="H15" i="11"/>
  <c r="H16" i="11"/>
  <c r="H17" i="11"/>
  <c r="H18" i="11"/>
  <c r="H19" i="11"/>
  <c r="H20" i="11"/>
  <c r="H21" i="11"/>
  <c r="H22" i="11"/>
  <c r="H23" i="11"/>
  <c r="H24" i="11"/>
  <c r="H25" i="11"/>
  <c r="H26" i="11"/>
  <c r="H27" i="11"/>
  <c r="H28" i="11"/>
  <c r="H29" i="11"/>
  <c r="H30" i="11"/>
  <c r="H31" i="11"/>
  <c r="H32" i="11"/>
  <c r="H33" i="11"/>
  <c r="H34" i="11"/>
  <c r="H35" i="11"/>
  <c r="H6" i="11"/>
  <c r="A9" i="35"/>
  <c r="B9" i="35"/>
  <c r="C9" i="35"/>
  <c r="D9" i="35"/>
  <c r="A10" i="35"/>
  <c r="B10" i="35"/>
  <c r="C10" i="35"/>
  <c r="D10" i="35"/>
  <c r="A11" i="35"/>
  <c r="B11" i="35"/>
  <c r="C11" i="35"/>
  <c r="D11" i="35"/>
  <c r="A12" i="35"/>
  <c r="B12" i="35"/>
  <c r="C12" i="35"/>
  <c r="D12" i="35"/>
  <c r="A13" i="35"/>
  <c r="B13" i="35"/>
  <c r="C13" i="35"/>
  <c r="D13" i="35"/>
  <c r="A14" i="35"/>
  <c r="B14" i="35"/>
  <c r="C14" i="35"/>
  <c r="D14" i="35"/>
  <c r="A15" i="35"/>
  <c r="B15" i="35"/>
  <c r="C15" i="35"/>
  <c r="D15" i="35"/>
  <c r="A16" i="35"/>
  <c r="B16" i="35"/>
  <c r="C16" i="35"/>
  <c r="D16" i="35"/>
  <c r="B8" i="35"/>
  <c r="C8" i="35"/>
  <c r="D8" i="35"/>
  <c r="A8" i="35"/>
  <c r="H26" i="43" l="1"/>
  <c r="V32" i="33"/>
  <c r="X32" i="33" s="1"/>
  <c r="V26" i="32"/>
  <c r="X26" i="32" s="1"/>
  <c r="M25" i="32"/>
  <c r="P25" i="32" s="1"/>
  <c r="N25" i="32"/>
  <c r="Q25" i="32" s="1"/>
  <c r="N31" i="33"/>
  <c r="M31" i="33"/>
  <c r="F26" i="43"/>
  <c r="I32" i="33"/>
  <c r="K32" i="33" s="1"/>
  <c r="I26" i="32"/>
  <c r="K26" i="32" s="1"/>
  <c r="Z25" i="32"/>
  <c r="AC25" i="32" s="1"/>
  <c r="AA25" i="32"/>
  <c r="AD25" i="32" s="1"/>
  <c r="AM25" i="32"/>
  <c r="AP25" i="32" s="1"/>
  <c r="AL25" i="32"/>
  <c r="AO25" i="32" s="1"/>
  <c r="AA31" i="33"/>
  <c r="Z31" i="33"/>
  <c r="B21" i="32"/>
  <c r="B26" i="43"/>
  <c r="AH26" i="32"/>
  <c r="AJ26" i="32" s="1"/>
  <c r="I19" i="43"/>
  <c r="C20" i="43"/>
  <c r="E20" i="43"/>
  <c r="G21" i="43"/>
  <c r="B9" i="22"/>
  <c r="C9" i="22"/>
  <c r="C8" i="22"/>
  <c r="B8" i="22"/>
  <c r="B9" i="33"/>
  <c r="B8" i="33"/>
  <c r="F27" i="43" l="1"/>
  <c r="I33" i="33"/>
  <c r="K33" i="33" s="1"/>
  <c r="I27" i="32"/>
  <c r="K27" i="32" s="1"/>
  <c r="B22" i="32"/>
  <c r="D22" i="32" s="1"/>
  <c r="D8" i="11" s="1"/>
  <c r="Z26" i="32"/>
  <c r="AC26" i="32" s="1"/>
  <c r="AA26" i="32"/>
  <c r="AD26" i="32" s="1"/>
  <c r="B27" i="43"/>
  <c r="AH27" i="32"/>
  <c r="AJ27" i="32" s="1"/>
  <c r="N26" i="32"/>
  <c r="Q26" i="32" s="1"/>
  <c r="M26" i="32"/>
  <c r="P26" i="32" s="1"/>
  <c r="Z32" i="33"/>
  <c r="AC32" i="33" s="1"/>
  <c r="AA32" i="33"/>
  <c r="AD32" i="33" s="1"/>
  <c r="AL26" i="32"/>
  <c r="AO26" i="32" s="1"/>
  <c r="AM26" i="32"/>
  <c r="AP26" i="32" s="1"/>
  <c r="M32" i="33"/>
  <c r="P32" i="33" s="1"/>
  <c r="N32" i="33"/>
  <c r="Q32" i="33" s="1"/>
  <c r="H27" i="43"/>
  <c r="V33" i="33"/>
  <c r="X33" i="33" s="1"/>
  <c r="V27" i="32"/>
  <c r="X27" i="32" s="1"/>
  <c r="B26" i="41"/>
  <c r="AD31" i="33"/>
  <c r="Q31" i="33"/>
  <c r="AD29" i="33"/>
  <c r="AD30" i="33"/>
  <c r="Q30" i="33"/>
  <c r="Q29" i="33"/>
  <c r="B27" i="41"/>
  <c r="P30" i="33"/>
  <c r="AC29" i="33"/>
  <c r="AC31" i="33"/>
  <c r="P31" i="33"/>
  <c r="AC30" i="33"/>
  <c r="P29" i="33"/>
  <c r="I20" i="43"/>
  <c r="C21" i="43"/>
  <c r="E21" i="43"/>
  <c r="G22" i="43"/>
  <c r="B7" i="31"/>
  <c r="B8" i="32"/>
  <c r="B9" i="32"/>
  <c r="B10" i="32"/>
  <c r="B11" i="32"/>
  <c r="B13" i="32"/>
  <c r="B14" i="32"/>
  <c r="B15" i="32"/>
  <c r="B16" i="32"/>
  <c r="B8" i="31"/>
  <c r="B9" i="31"/>
  <c r="B10" i="31"/>
  <c r="B11" i="31"/>
  <c r="B12" i="31"/>
  <c r="B13" i="31"/>
  <c r="B17" i="31"/>
  <c r="B18" i="31"/>
  <c r="B11" i="28"/>
  <c r="D21" i="32"/>
  <c r="D7" i="11" s="1"/>
  <c r="D20" i="32"/>
  <c r="D6" i="11" s="1"/>
  <c r="D23" i="31"/>
  <c r="C7" i="11" s="1"/>
  <c r="D24" i="31"/>
  <c r="C8" i="11" s="1"/>
  <c r="D25" i="31"/>
  <c r="C9" i="11" s="1"/>
  <c r="D26" i="31"/>
  <c r="C10" i="11" s="1"/>
  <c r="D27" i="31"/>
  <c r="C11" i="11" s="1"/>
  <c r="D28" i="31"/>
  <c r="C12" i="11" s="1"/>
  <c r="D29" i="31"/>
  <c r="C13" i="11" s="1"/>
  <c r="D30" i="31"/>
  <c r="C14" i="11" s="1"/>
  <c r="D31" i="31"/>
  <c r="C15" i="11" s="1"/>
  <c r="D32" i="31"/>
  <c r="C16" i="11" s="1"/>
  <c r="D33" i="31"/>
  <c r="C17" i="11" s="1"/>
  <c r="D34" i="31"/>
  <c r="C18" i="11" s="1"/>
  <c r="D35" i="31"/>
  <c r="C19" i="11" s="1"/>
  <c r="D36" i="31"/>
  <c r="C20" i="11" s="1"/>
  <c r="D37" i="31"/>
  <c r="C21" i="11" s="1"/>
  <c r="D38" i="31"/>
  <c r="C22" i="11" s="1"/>
  <c r="D39" i="31"/>
  <c r="C23" i="11" s="1"/>
  <c r="D40" i="31"/>
  <c r="C24" i="11" s="1"/>
  <c r="D41" i="31"/>
  <c r="C25" i="11" s="1"/>
  <c r="D42" i="31"/>
  <c r="C26" i="11" s="1"/>
  <c r="D43" i="31"/>
  <c r="C27" i="11" s="1"/>
  <c r="D44" i="31"/>
  <c r="C28" i="11" s="1"/>
  <c r="D45" i="31"/>
  <c r="C29" i="11" s="1"/>
  <c r="D46" i="31"/>
  <c r="C30" i="11" s="1"/>
  <c r="D47" i="31"/>
  <c r="C31" i="11" s="1"/>
  <c r="D48" i="31"/>
  <c r="C32" i="11" s="1"/>
  <c r="D49" i="31"/>
  <c r="C33" i="11" s="1"/>
  <c r="D50" i="31"/>
  <c r="C34" i="11" s="1"/>
  <c r="D51" i="31"/>
  <c r="C35" i="11" s="1"/>
  <c r="D22" i="31"/>
  <c r="C6" i="11" s="1"/>
  <c r="A9" i="2"/>
  <c r="C9" i="2" s="1"/>
  <c r="B6" i="28"/>
  <c r="B9" i="28"/>
  <c r="D8" i="3"/>
  <c r="B6" i="11" s="1"/>
  <c r="D9" i="3"/>
  <c r="B7" i="11" s="1"/>
  <c r="D10" i="3"/>
  <c r="B8" i="11" s="1"/>
  <c r="D11" i="3"/>
  <c r="B9" i="11" s="1"/>
  <c r="D12" i="3"/>
  <c r="B10" i="11" s="1"/>
  <c r="D13" i="3"/>
  <c r="B11" i="11" s="1"/>
  <c r="D14" i="3"/>
  <c r="B12" i="11" s="1"/>
  <c r="D15" i="3"/>
  <c r="B13" i="11" s="1"/>
  <c r="D16" i="3"/>
  <c r="B14" i="11" s="1"/>
  <c r="D17" i="3"/>
  <c r="B15" i="11" s="1"/>
  <c r="D18" i="3"/>
  <c r="B16" i="11" s="1"/>
  <c r="D19" i="3"/>
  <c r="B17" i="11" s="1"/>
  <c r="D20" i="3"/>
  <c r="B18" i="11" s="1"/>
  <c r="D21" i="3"/>
  <c r="B19" i="11" s="1"/>
  <c r="D22" i="3"/>
  <c r="B20" i="11" s="1"/>
  <c r="D23" i="3"/>
  <c r="B21" i="11" s="1"/>
  <c r="D24" i="3"/>
  <c r="B22" i="11" s="1"/>
  <c r="D25" i="3"/>
  <c r="B23" i="11" s="1"/>
  <c r="D26" i="3"/>
  <c r="B24" i="11" s="1"/>
  <c r="D27" i="3"/>
  <c r="B25" i="11" s="1"/>
  <c r="D28" i="3"/>
  <c r="B26" i="11" s="1"/>
  <c r="D29" i="3"/>
  <c r="B27" i="11" s="1"/>
  <c r="D30" i="3"/>
  <c r="B28" i="11" s="1"/>
  <c r="D31" i="3"/>
  <c r="B29" i="11" s="1"/>
  <c r="D32" i="3"/>
  <c r="B30" i="11" s="1"/>
  <c r="D33" i="3"/>
  <c r="B31" i="11" s="1"/>
  <c r="D34" i="3"/>
  <c r="B32" i="11" s="1"/>
  <c r="D35" i="3"/>
  <c r="B33" i="11" s="1"/>
  <c r="D36" i="3"/>
  <c r="B34" i="11" s="1"/>
  <c r="D37" i="3"/>
  <c r="B35" i="11" s="1"/>
  <c r="I22" i="11"/>
  <c r="J22" i="11"/>
  <c r="L22" i="11"/>
  <c r="M22" i="11"/>
  <c r="N22" i="11"/>
  <c r="O22" i="11"/>
  <c r="I23" i="11"/>
  <c r="J23" i="11"/>
  <c r="L23" i="11"/>
  <c r="M23" i="11"/>
  <c r="N23" i="11"/>
  <c r="O23" i="11"/>
  <c r="I24" i="11"/>
  <c r="J24" i="11"/>
  <c r="L24" i="11"/>
  <c r="M24" i="11"/>
  <c r="N24" i="11"/>
  <c r="O24" i="11"/>
  <c r="I25" i="11"/>
  <c r="J25" i="11"/>
  <c r="L25" i="11"/>
  <c r="M25" i="11"/>
  <c r="N25" i="11"/>
  <c r="O25" i="11"/>
  <c r="I26" i="11"/>
  <c r="J26" i="11"/>
  <c r="L26" i="11"/>
  <c r="M26" i="11"/>
  <c r="N26" i="11"/>
  <c r="O26" i="11"/>
  <c r="I27" i="11"/>
  <c r="J27" i="11"/>
  <c r="L27" i="11"/>
  <c r="M27" i="11"/>
  <c r="N27" i="11"/>
  <c r="O27" i="11"/>
  <c r="I28" i="11"/>
  <c r="J28" i="11"/>
  <c r="L28" i="11"/>
  <c r="M28" i="11"/>
  <c r="N28" i="11"/>
  <c r="O28" i="11"/>
  <c r="I29" i="11"/>
  <c r="J29" i="11"/>
  <c r="L29" i="11"/>
  <c r="M29" i="11"/>
  <c r="N29" i="11"/>
  <c r="O29" i="11"/>
  <c r="I30" i="11"/>
  <c r="J30" i="11"/>
  <c r="L30" i="11"/>
  <c r="M30" i="11"/>
  <c r="N30" i="11"/>
  <c r="O30" i="11"/>
  <c r="I31" i="11"/>
  <c r="J31" i="11"/>
  <c r="L31" i="11"/>
  <c r="M31" i="11"/>
  <c r="N31" i="11"/>
  <c r="O31" i="11"/>
  <c r="I32" i="11"/>
  <c r="J32" i="11"/>
  <c r="L32" i="11"/>
  <c r="M32" i="11"/>
  <c r="N32" i="11"/>
  <c r="O32" i="11"/>
  <c r="I33" i="11"/>
  <c r="J33" i="11"/>
  <c r="L33" i="11"/>
  <c r="M33" i="11"/>
  <c r="N33" i="11"/>
  <c r="O33" i="11"/>
  <c r="I34" i="11"/>
  <c r="J34" i="11"/>
  <c r="L34" i="11"/>
  <c r="M34" i="11"/>
  <c r="N34" i="11"/>
  <c r="O34" i="11"/>
  <c r="I35" i="11"/>
  <c r="J35" i="11"/>
  <c r="L35" i="11"/>
  <c r="M35" i="11"/>
  <c r="N35" i="11"/>
  <c r="O35" i="11"/>
  <c r="I7" i="11"/>
  <c r="J7" i="11"/>
  <c r="L7" i="11"/>
  <c r="M7" i="11"/>
  <c r="N7" i="11"/>
  <c r="O7" i="11"/>
  <c r="I8" i="11"/>
  <c r="J8" i="11"/>
  <c r="L8" i="11"/>
  <c r="M8" i="11"/>
  <c r="N8" i="11"/>
  <c r="O8" i="11"/>
  <c r="I9" i="11"/>
  <c r="J9" i="11"/>
  <c r="L9" i="11"/>
  <c r="M9" i="11"/>
  <c r="N9" i="11"/>
  <c r="O9" i="11"/>
  <c r="I10" i="11"/>
  <c r="J10" i="11"/>
  <c r="L10" i="11"/>
  <c r="M10" i="11"/>
  <c r="N10" i="11"/>
  <c r="O10" i="11"/>
  <c r="I11" i="11"/>
  <c r="J11" i="11"/>
  <c r="L11" i="11"/>
  <c r="M11" i="11"/>
  <c r="N11" i="11"/>
  <c r="O11" i="11"/>
  <c r="I12" i="11"/>
  <c r="J12" i="11"/>
  <c r="L12" i="11"/>
  <c r="M12" i="11"/>
  <c r="N12" i="11"/>
  <c r="O12" i="11"/>
  <c r="I13" i="11"/>
  <c r="J13" i="11"/>
  <c r="L13" i="11"/>
  <c r="M13" i="11"/>
  <c r="N13" i="11"/>
  <c r="O13" i="11"/>
  <c r="I14" i="11"/>
  <c r="J14" i="11"/>
  <c r="L14" i="11"/>
  <c r="M14" i="11"/>
  <c r="N14" i="11"/>
  <c r="O14" i="11"/>
  <c r="I15" i="11"/>
  <c r="J15" i="11"/>
  <c r="L15" i="11"/>
  <c r="M15" i="11"/>
  <c r="N15" i="11"/>
  <c r="O15" i="11"/>
  <c r="I16" i="11"/>
  <c r="J16" i="11"/>
  <c r="L16" i="11"/>
  <c r="M16" i="11"/>
  <c r="N16" i="11"/>
  <c r="O16" i="11"/>
  <c r="I17" i="11"/>
  <c r="J17" i="11"/>
  <c r="L17" i="11"/>
  <c r="M17" i="11"/>
  <c r="N17" i="11"/>
  <c r="O17" i="11"/>
  <c r="I18" i="11"/>
  <c r="J18" i="11"/>
  <c r="L18" i="11"/>
  <c r="M18" i="11"/>
  <c r="N18" i="11"/>
  <c r="O18" i="11"/>
  <c r="I19" i="11"/>
  <c r="J19" i="11"/>
  <c r="L19" i="11"/>
  <c r="M19" i="11"/>
  <c r="N19" i="11"/>
  <c r="O19" i="11"/>
  <c r="I20" i="11"/>
  <c r="J20" i="11"/>
  <c r="L20" i="11"/>
  <c r="M20" i="11"/>
  <c r="N20" i="11"/>
  <c r="O20" i="11"/>
  <c r="I21" i="11"/>
  <c r="J21" i="11"/>
  <c r="L21" i="11"/>
  <c r="M21" i="11"/>
  <c r="N21" i="11"/>
  <c r="O21" i="11"/>
  <c r="O5" i="11"/>
  <c r="O6" i="11"/>
  <c r="N5" i="11"/>
  <c r="N6" i="11"/>
  <c r="M5" i="11"/>
  <c r="M6" i="11"/>
  <c r="L5" i="11"/>
  <c r="L6" i="11"/>
  <c r="J6" i="11"/>
  <c r="I6" i="11"/>
  <c r="B29" i="33" l="1"/>
  <c r="D29" i="33" s="1"/>
  <c r="E9" i="11" s="1"/>
  <c r="B28" i="33"/>
  <c r="D28" i="33" s="1"/>
  <c r="E8" i="11" s="1"/>
  <c r="B28" i="43"/>
  <c r="AH28" i="32"/>
  <c r="AJ28" i="32" s="1"/>
  <c r="B26" i="33"/>
  <c r="D26" i="33" s="1"/>
  <c r="E6" i="11" s="1"/>
  <c r="B27" i="33"/>
  <c r="D27" i="33" s="1"/>
  <c r="E7" i="11" s="1"/>
  <c r="AA27" i="32"/>
  <c r="AD27" i="32" s="1"/>
  <c r="Z27" i="32"/>
  <c r="AC27" i="32" s="1"/>
  <c r="N27" i="32"/>
  <c r="Q27" i="32" s="1"/>
  <c r="M27" i="32"/>
  <c r="P27" i="32" s="1"/>
  <c r="AL27" i="32"/>
  <c r="AO27" i="32" s="1"/>
  <c r="AM27" i="32"/>
  <c r="AP27" i="32" s="1"/>
  <c r="AA33" i="33"/>
  <c r="AD33" i="33" s="1"/>
  <c r="Z33" i="33"/>
  <c r="AC33" i="33" s="1"/>
  <c r="B23" i="32"/>
  <c r="D23" i="32" s="1"/>
  <c r="D9" i="11" s="1"/>
  <c r="N33" i="33"/>
  <c r="Q33" i="33" s="1"/>
  <c r="M33" i="33"/>
  <c r="P33" i="33" s="1"/>
  <c r="H28" i="43"/>
  <c r="V34" i="33"/>
  <c r="X34" i="33" s="1"/>
  <c r="V28" i="32"/>
  <c r="X28" i="32" s="1"/>
  <c r="F28" i="43"/>
  <c r="I34" i="33"/>
  <c r="K34" i="33" s="1"/>
  <c r="I28" i="32"/>
  <c r="K28" i="32" s="1"/>
  <c r="B36" i="11"/>
  <c r="C5" i="38" s="1"/>
  <c r="C36" i="11"/>
  <c r="C6" i="38" s="1"/>
  <c r="I21" i="43"/>
  <c r="E22" i="43"/>
  <c r="C22" i="43"/>
  <c r="J22" i="43"/>
  <c r="K22" i="43"/>
  <c r="G23" i="43"/>
  <c r="A8" i="3"/>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6" i="11"/>
  <c r="A7" i="11" s="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12" i="27"/>
  <c r="A13" i="27" s="1"/>
  <c r="A14" i="27" s="1"/>
  <c r="A15" i="27" s="1"/>
  <c r="A16" i="27" s="1"/>
  <c r="A17" i="27" s="1"/>
  <c r="A18" i="27" s="1"/>
  <c r="A19" i="27" s="1"/>
  <c r="A20" i="27" s="1"/>
  <c r="A21" i="27" s="1"/>
  <c r="A22" i="27" s="1"/>
  <c r="A23" i="27" s="1"/>
  <c r="A24" i="27" s="1"/>
  <c r="A25" i="27" s="1"/>
  <c r="A26" i="27" s="1"/>
  <c r="A27" i="27" s="1"/>
  <c r="A28" i="27" s="1"/>
  <c r="A29" i="27" s="1"/>
  <c r="A30" i="27" s="1"/>
  <c r="A31" i="27" s="1"/>
  <c r="A32" i="27" s="1"/>
  <c r="A33" i="27" s="1"/>
  <c r="A34" i="27" s="1"/>
  <c r="A35" i="27" s="1"/>
  <c r="A36" i="27" s="1"/>
  <c r="A37" i="27" s="1"/>
  <c r="A38" i="27" s="1"/>
  <c r="A39" i="27" s="1"/>
  <c r="A40" i="27" s="1"/>
  <c r="A41" i="27" s="1"/>
  <c r="A8" i="26"/>
  <c r="A9" i="26" s="1"/>
  <c r="A10" i="26" s="1"/>
  <c r="A11" i="26" s="1"/>
  <c r="A12" i="26" s="1"/>
  <c r="A13" i="26" s="1"/>
  <c r="A14" i="26" s="1"/>
  <c r="A15" i="26" s="1"/>
  <c r="A16" i="26" s="1"/>
  <c r="A17" i="26" s="1"/>
  <c r="A18" i="26" s="1"/>
  <c r="A19" i="26" s="1"/>
  <c r="A20" i="26" s="1"/>
  <c r="A21" i="26" s="1"/>
  <c r="A22" i="26" s="1"/>
  <c r="A23" i="26" s="1"/>
  <c r="A24" i="26" s="1"/>
  <c r="A25" i="26" s="1"/>
  <c r="A26" i="26" s="1"/>
  <c r="A27" i="26" s="1"/>
  <c r="A28" i="26" s="1"/>
  <c r="A29" i="26" s="1"/>
  <c r="A30" i="26" s="1"/>
  <c r="A31" i="26" s="1"/>
  <c r="A32" i="26" s="1"/>
  <c r="A33" i="26" s="1"/>
  <c r="A34" i="26" s="1"/>
  <c r="A35" i="26" s="1"/>
  <c r="A36" i="26" s="1"/>
  <c r="A37" i="26" s="1"/>
  <c r="A8" i="25"/>
  <c r="A9" i="25" s="1"/>
  <c r="A10" i="25" s="1"/>
  <c r="A11" i="25" s="1"/>
  <c r="A12" i="25" s="1"/>
  <c r="A13" i="25" s="1"/>
  <c r="A14" i="25" s="1"/>
  <c r="A15" i="25" s="1"/>
  <c r="A16" i="25" s="1"/>
  <c r="A17" i="25" s="1"/>
  <c r="A18" i="25" s="1"/>
  <c r="A19" i="25" s="1"/>
  <c r="A20" i="25" s="1"/>
  <c r="A21" i="25" s="1"/>
  <c r="A22" i="25" s="1"/>
  <c r="A23" i="25" s="1"/>
  <c r="A24" i="25" s="1"/>
  <c r="A25" i="25" s="1"/>
  <c r="A26" i="25" s="1"/>
  <c r="A27" i="25" s="1"/>
  <c r="A28" i="25" s="1"/>
  <c r="A29" i="25" s="1"/>
  <c r="A30" i="25" s="1"/>
  <c r="A31" i="25" s="1"/>
  <c r="A32" i="25" s="1"/>
  <c r="A33" i="25" s="1"/>
  <c r="A34" i="25" s="1"/>
  <c r="A35" i="25" s="1"/>
  <c r="A36" i="25" s="1"/>
  <c r="A37" i="25" s="1"/>
  <c r="A8" i="24"/>
  <c r="A9" i="24" s="1"/>
  <c r="A10" i="24" s="1"/>
  <c r="A11" i="24" s="1"/>
  <c r="A12" i="24" s="1"/>
  <c r="A13" i="24" s="1"/>
  <c r="A14" i="24" s="1"/>
  <c r="A15" i="24" s="1"/>
  <c r="A16" i="24" s="1"/>
  <c r="A17" i="24" s="1"/>
  <c r="A18" i="24" s="1"/>
  <c r="A19" i="24" s="1"/>
  <c r="A20" i="24" s="1"/>
  <c r="A21" i="24" s="1"/>
  <c r="A22" i="24" s="1"/>
  <c r="A23" i="24" s="1"/>
  <c r="A24" i="24" s="1"/>
  <c r="A25" i="24" s="1"/>
  <c r="A26" i="24" s="1"/>
  <c r="A27" i="24" s="1"/>
  <c r="A28" i="24" s="1"/>
  <c r="A29" i="24" s="1"/>
  <c r="A30" i="24" s="1"/>
  <c r="A31" i="24" s="1"/>
  <c r="A32" i="24" s="1"/>
  <c r="A33" i="24" s="1"/>
  <c r="A34" i="24" s="1"/>
  <c r="A35" i="24" s="1"/>
  <c r="A36" i="24" s="1"/>
  <c r="A37" i="24" s="1"/>
  <c r="A23" i="23"/>
  <c r="A24" i="23" s="1"/>
  <c r="B24" i="23" s="1"/>
  <c r="A15" i="22"/>
  <c r="A16" i="22" s="1"/>
  <c r="A17" i="22" s="1"/>
  <c r="A18" i="22" s="1"/>
  <c r="A19" i="22" s="1"/>
  <c r="A20" i="22" s="1"/>
  <c r="A21" i="22" s="1"/>
  <c r="A22" i="22" s="1"/>
  <c r="A23" i="22" s="1"/>
  <c r="A24" i="22" s="1"/>
  <c r="A25" i="22" s="1"/>
  <c r="A26" i="22" s="1"/>
  <c r="A27" i="22" s="1"/>
  <c r="A28" i="22" s="1"/>
  <c r="A29" i="22" s="1"/>
  <c r="A30" i="22" s="1"/>
  <c r="A31" i="22" s="1"/>
  <c r="A32" i="22" s="1"/>
  <c r="A33" i="22" s="1"/>
  <c r="A34" i="22" s="1"/>
  <c r="A35" i="22" s="1"/>
  <c r="A36" i="22" s="1"/>
  <c r="A37" i="22" s="1"/>
  <c r="A38" i="22" s="1"/>
  <c r="A39" i="22" s="1"/>
  <c r="A40" i="22" s="1"/>
  <c r="A41" i="22" s="1"/>
  <c r="A42" i="22" s="1"/>
  <c r="A43" i="22" s="1"/>
  <c r="A44" i="22" s="1"/>
  <c r="A20" i="35"/>
  <c r="A21" i="35" s="1"/>
  <c r="A22" i="35" s="1"/>
  <c r="A23" i="35" s="1"/>
  <c r="A24" i="35" s="1"/>
  <c r="A25" i="35" s="1"/>
  <c r="A26" i="35" s="1"/>
  <c r="A27" i="35" s="1"/>
  <c r="A28" i="35" s="1"/>
  <c r="A29" i="35" s="1"/>
  <c r="A30" i="35" s="1"/>
  <c r="A31" i="35" s="1"/>
  <c r="A32" i="35" s="1"/>
  <c r="A33" i="35" s="1"/>
  <c r="A34" i="35" s="1"/>
  <c r="A35" i="35" s="1"/>
  <c r="A36" i="35" s="1"/>
  <c r="A37" i="35" s="1"/>
  <c r="A38" i="35" s="1"/>
  <c r="A39" i="35" s="1"/>
  <c r="A40" i="35" s="1"/>
  <c r="A41" i="35" s="1"/>
  <c r="A42" i="35" s="1"/>
  <c r="A43" i="35" s="1"/>
  <c r="A44" i="35" s="1"/>
  <c r="A45" i="35" s="1"/>
  <c r="A46" i="35" s="1"/>
  <c r="A47" i="35" s="1"/>
  <c r="A48" i="35" s="1"/>
  <c r="A49" i="35" s="1"/>
  <c r="A33" i="20"/>
  <c r="A34" i="20" s="1"/>
  <c r="A35" i="20" s="1"/>
  <c r="A36" i="20" s="1"/>
  <c r="A37" i="20" s="1"/>
  <c r="A38" i="20" s="1"/>
  <c r="A39" i="20" s="1"/>
  <c r="A40" i="20" s="1"/>
  <c r="A41" i="20" s="1"/>
  <c r="A42" i="20" s="1"/>
  <c r="A43" i="20" s="1"/>
  <c r="A44" i="20" s="1"/>
  <c r="A45" i="20" s="1"/>
  <c r="A46" i="20" s="1"/>
  <c r="A47" i="20" s="1"/>
  <c r="A48" i="20" s="1"/>
  <c r="A49" i="20" s="1"/>
  <c r="A50" i="20" s="1"/>
  <c r="A51" i="20" s="1"/>
  <c r="A52" i="20" s="1"/>
  <c r="A53" i="20" s="1"/>
  <c r="A54" i="20" s="1"/>
  <c r="A55" i="20" s="1"/>
  <c r="A56" i="20" s="1"/>
  <c r="A57" i="20" s="1"/>
  <c r="A58" i="20" s="1"/>
  <c r="A59" i="20" s="1"/>
  <c r="A60" i="20" s="1"/>
  <c r="A61" i="20" s="1"/>
  <c r="A62" i="20" s="1"/>
  <c r="A26" i="33"/>
  <c r="A27" i="33" s="1"/>
  <c r="A28" i="33" s="1"/>
  <c r="A29" i="33" s="1"/>
  <c r="A30" i="33" s="1"/>
  <c r="A31" i="33" s="1"/>
  <c r="A32" i="33" s="1"/>
  <c r="A33" i="33" s="1"/>
  <c r="A34" i="33" s="1"/>
  <c r="A35" i="33" s="1"/>
  <c r="A36" i="33" s="1"/>
  <c r="A37" i="33" s="1"/>
  <c r="A38" i="33" s="1"/>
  <c r="A39" i="33" s="1"/>
  <c r="A40" i="33" s="1"/>
  <c r="A41" i="33" s="1"/>
  <c r="A42" i="33" s="1"/>
  <c r="A43" i="33" s="1"/>
  <c r="A44" i="33" s="1"/>
  <c r="A45" i="33" s="1"/>
  <c r="A46" i="33" s="1"/>
  <c r="A47" i="33" s="1"/>
  <c r="A48" i="33" s="1"/>
  <c r="A49" i="33" s="1"/>
  <c r="A50" i="33" s="1"/>
  <c r="A51" i="33" s="1"/>
  <c r="A52" i="33" s="1"/>
  <c r="A53" i="33" s="1"/>
  <c r="A54" i="33" s="1"/>
  <c r="A55" i="33" s="1"/>
  <c r="A20" i="32"/>
  <c r="A21" i="32" s="1"/>
  <c r="A22" i="32" s="1"/>
  <c r="A23" i="32" s="1"/>
  <c r="A24" i="32" s="1"/>
  <c r="A25" i="32" s="1"/>
  <c r="A26" i="32" s="1"/>
  <c r="A27" i="32" s="1"/>
  <c r="A28" i="32" s="1"/>
  <c r="A29" i="32" s="1"/>
  <c r="A30" i="32" s="1"/>
  <c r="A31" i="32" s="1"/>
  <c r="A32" i="32" s="1"/>
  <c r="A33" i="32" s="1"/>
  <c r="A34" i="32" s="1"/>
  <c r="A35" i="32" s="1"/>
  <c r="A36" i="32" s="1"/>
  <c r="A37" i="32" s="1"/>
  <c r="A38" i="32" s="1"/>
  <c r="A39" i="32" s="1"/>
  <c r="A40" i="32" s="1"/>
  <c r="A41" i="32" s="1"/>
  <c r="A42" i="32" s="1"/>
  <c r="A43" i="32" s="1"/>
  <c r="A44" i="32" s="1"/>
  <c r="A45" i="32" s="1"/>
  <c r="A46" i="32" s="1"/>
  <c r="A47" i="32" s="1"/>
  <c r="A48" i="32" s="1"/>
  <c r="A49" i="32" s="1"/>
  <c r="A22" i="31"/>
  <c r="A23" i="31" s="1"/>
  <c r="A24" i="31" s="1"/>
  <c r="A25" i="31" s="1"/>
  <c r="A26" i="31" s="1"/>
  <c r="A27" i="31" s="1"/>
  <c r="A28" i="31" s="1"/>
  <c r="A29" i="31" s="1"/>
  <c r="A30" i="31" s="1"/>
  <c r="A31" i="31" s="1"/>
  <c r="A32" i="31" s="1"/>
  <c r="A33" i="31" s="1"/>
  <c r="A34" i="31" s="1"/>
  <c r="A35" i="31" s="1"/>
  <c r="A36" i="31" s="1"/>
  <c r="A37" i="31" s="1"/>
  <c r="A38" i="31" s="1"/>
  <c r="A39" i="31" s="1"/>
  <c r="A40" i="31" s="1"/>
  <c r="A41" i="31" s="1"/>
  <c r="A42" i="31" s="1"/>
  <c r="A43" i="31" s="1"/>
  <c r="A44" i="31" s="1"/>
  <c r="A45" i="31" s="1"/>
  <c r="A46" i="31" s="1"/>
  <c r="A47" i="31" s="1"/>
  <c r="A48" i="31" s="1"/>
  <c r="A49" i="31" s="1"/>
  <c r="A50" i="31" s="1"/>
  <c r="A51" i="31" s="1"/>
  <c r="A11" i="21"/>
  <c r="A12" i="21" s="1"/>
  <c r="A13" i="21" s="1"/>
  <c r="A14" i="21" s="1"/>
  <c r="A15" i="21" s="1"/>
  <c r="A16" i="21" s="1"/>
  <c r="A17" i="21" s="1"/>
  <c r="A18" i="21" s="1"/>
  <c r="A19" i="21" s="1"/>
  <c r="A20" i="21" s="1"/>
  <c r="A21" i="21" s="1"/>
  <c r="A22" i="21" s="1"/>
  <c r="A23" i="21" s="1"/>
  <c r="A24" i="21" s="1"/>
  <c r="A25" i="21" s="1"/>
  <c r="A26" i="21" s="1"/>
  <c r="A27" i="21" s="1"/>
  <c r="A28" i="21" s="1"/>
  <c r="A29" i="21" s="1"/>
  <c r="A30" i="21" s="1"/>
  <c r="A31" i="21" s="1"/>
  <c r="A32" i="21" s="1"/>
  <c r="A33" i="21" s="1"/>
  <c r="A34" i="21" s="1"/>
  <c r="A35" i="21" s="1"/>
  <c r="A36" i="21" s="1"/>
  <c r="A37" i="21" s="1"/>
  <c r="A38" i="21" s="1"/>
  <c r="A39" i="21" s="1"/>
  <c r="A40" i="21" s="1"/>
  <c r="B41" i="11"/>
  <c r="A41" i="11"/>
  <c r="A10" i="34"/>
  <c r="A11" i="34" s="1"/>
  <c r="A12" i="34" s="1"/>
  <c r="A13" i="34" s="1"/>
  <c r="A14" i="34" s="1"/>
  <c r="A15" i="34" s="1"/>
  <c r="A16" i="34" s="1"/>
  <c r="A17" i="34" s="1"/>
  <c r="A18" i="34" s="1"/>
  <c r="A19" i="34" s="1"/>
  <c r="A20" i="34" s="1"/>
  <c r="A21" i="34" s="1"/>
  <c r="A22" i="34" s="1"/>
  <c r="A23" i="34" s="1"/>
  <c r="A24" i="34" s="1"/>
  <c r="A25" i="34" s="1"/>
  <c r="A26" i="34" s="1"/>
  <c r="A27" i="34" s="1"/>
  <c r="A28" i="34" s="1"/>
  <c r="A29" i="34" s="1"/>
  <c r="A30" i="34" s="1"/>
  <c r="A31" i="34" s="1"/>
  <c r="A32" i="34" s="1"/>
  <c r="A33" i="34" s="1"/>
  <c r="A34" i="34" s="1"/>
  <c r="A35" i="34" s="1"/>
  <c r="A36" i="34" s="1"/>
  <c r="A37" i="34" s="1"/>
  <c r="A38" i="34" s="1"/>
  <c r="A39" i="34" s="1"/>
  <c r="A10" i="2"/>
  <c r="C10" i="2" s="1"/>
  <c r="B42" i="11" s="1"/>
  <c r="M34" i="33" l="1"/>
  <c r="P34" i="33" s="1"/>
  <c r="N34" i="33"/>
  <c r="Q34" i="33" s="1"/>
  <c r="F29" i="43"/>
  <c r="I35" i="33"/>
  <c r="K35" i="33" s="1"/>
  <c r="I29" i="32"/>
  <c r="K29" i="32" s="1"/>
  <c r="N28" i="32"/>
  <c r="Q28" i="32" s="1"/>
  <c r="M28" i="32"/>
  <c r="P28" i="32" s="1"/>
  <c r="Z28" i="32"/>
  <c r="AC28" i="32" s="1"/>
  <c r="AA28" i="32"/>
  <c r="AD28" i="32" s="1"/>
  <c r="AM28" i="32"/>
  <c r="AP28" i="32" s="1"/>
  <c r="AL28" i="32"/>
  <c r="AO28" i="32" s="1"/>
  <c r="AA34" i="33"/>
  <c r="AD34" i="33" s="1"/>
  <c r="Z34" i="33"/>
  <c r="AC34" i="33" s="1"/>
  <c r="B29" i="43"/>
  <c r="AH29" i="32"/>
  <c r="AJ29" i="32" s="1"/>
  <c r="H29" i="43"/>
  <c r="V29" i="32"/>
  <c r="X29" i="32" s="1"/>
  <c r="V35" i="33"/>
  <c r="X35" i="33" s="1"/>
  <c r="B24" i="32"/>
  <c r="D24" i="32" s="1"/>
  <c r="D10" i="11" s="1"/>
  <c r="B30" i="33"/>
  <c r="D30" i="33" s="1"/>
  <c r="E10" i="11" s="1"/>
  <c r="I22" i="43"/>
  <c r="E23" i="43"/>
  <c r="C23" i="43"/>
  <c r="K23" i="43"/>
  <c r="G24" i="43"/>
  <c r="J23" i="43"/>
  <c r="B23" i="23"/>
  <c r="N37" i="11"/>
  <c r="J37" i="11"/>
  <c r="H37" i="11"/>
  <c r="O37" i="11"/>
  <c r="M37" i="11"/>
  <c r="L37" i="11"/>
  <c r="I37" i="11"/>
  <c r="C37" i="11"/>
  <c r="D6" i="38" s="1"/>
  <c r="B37" i="11"/>
  <c r="D5" i="38" s="1"/>
  <c r="C41" i="11"/>
  <c r="A42" i="11"/>
  <c r="A43" i="11" s="1"/>
  <c r="A44" i="11" s="1"/>
  <c r="A45" i="11" s="1"/>
  <c r="A46" i="11" s="1"/>
  <c r="A47" i="11" s="1"/>
  <c r="A48" i="11" s="1"/>
  <c r="A49" i="11" s="1"/>
  <c r="A50" i="11" s="1"/>
  <c r="A51" i="11" s="1"/>
  <c r="A52" i="11" s="1"/>
  <c r="A53" i="11" s="1"/>
  <c r="A25" i="23"/>
  <c r="B25" i="23" s="1"/>
  <c r="Q33" i="20"/>
  <c r="O33" i="20"/>
  <c r="P33" i="20"/>
  <c r="O35" i="20"/>
  <c r="A11" i="2"/>
  <c r="C11" i="2" s="1"/>
  <c r="AL29" i="32" l="1"/>
  <c r="AO29" i="32" s="1"/>
  <c r="AM29" i="32"/>
  <c r="AP29" i="32" s="1"/>
  <c r="B25" i="32"/>
  <c r="D25" i="32" s="1"/>
  <c r="D11" i="11" s="1"/>
  <c r="H30" i="43"/>
  <c r="V30" i="32"/>
  <c r="X30" i="32" s="1"/>
  <c r="V36" i="33"/>
  <c r="X36" i="33" s="1"/>
  <c r="B30" i="43"/>
  <c r="AH30" i="32"/>
  <c r="AJ30" i="32" s="1"/>
  <c r="N35" i="33"/>
  <c r="Q35" i="33" s="1"/>
  <c r="M35" i="33"/>
  <c r="P35" i="33" s="1"/>
  <c r="N29" i="32"/>
  <c r="Q29" i="32" s="1"/>
  <c r="M29" i="32"/>
  <c r="P29" i="32" s="1"/>
  <c r="F30" i="43"/>
  <c r="I36" i="33"/>
  <c r="K36" i="33" s="1"/>
  <c r="I30" i="32"/>
  <c r="K30" i="32" s="1"/>
  <c r="Z35" i="33"/>
  <c r="AC35" i="33" s="1"/>
  <c r="AA35" i="33"/>
  <c r="AD35" i="33" s="1"/>
  <c r="Z29" i="32"/>
  <c r="AC29" i="32" s="1"/>
  <c r="AA29" i="32"/>
  <c r="AD29" i="32" s="1"/>
  <c r="B31" i="33"/>
  <c r="D31" i="33" s="1"/>
  <c r="E11" i="11" s="1"/>
  <c r="I23" i="43"/>
  <c r="E24" i="43"/>
  <c r="C24" i="43"/>
  <c r="J24" i="43"/>
  <c r="K24" i="43"/>
  <c r="G25" i="43"/>
  <c r="C42" i="11"/>
  <c r="B43" i="11"/>
  <c r="C43" i="11" s="1"/>
  <c r="A26" i="23"/>
  <c r="B26" i="23" s="1"/>
  <c r="K7" i="11"/>
  <c r="K6" i="11"/>
  <c r="S33" i="20"/>
  <c r="F6" i="11" s="1"/>
  <c r="A12" i="2"/>
  <c r="A13" i="2" s="1"/>
  <c r="Q34" i="20"/>
  <c r="Q35" i="20"/>
  <c r="O34" i="20"/>
  <c r="P34" i="20"/>
  <c r="P35" i="20"/>
  <c r="Q36" i="20"/>
  <c r="A54" i="11"/>
  <c r="AL30" i="32" l="1"/>
  <c r="AO30" i="32" s="1"/>
  <c r="AM30" i="32"/>
  <c r="AP30" i="32" s="1"/>
  <c r="N30" i="32"/>
  <c r="Q30" i="32" s="1"/>
  <c r="M30" i="32"/>
  <c r="P30" i="32" s="1"/>
  <c r="B31" i="43"/>
  <c r="AH31" i="32"/>
  <c r="AJ31" i="32" s="1"/>
  <c r="F31" i="43"/>
  <c r="I31" i="32"/>
  <c r="K31" i="32" s="1"/>
  <c r="I37" i="33"/>
  <c r="K37" i="33" s="1"/>
  <c r="Z30" i="32"/>
  <c r="AC30" i="32" s="1"/>
  <c r="AA30" i="32"/>
  <c r="AD30" i="32" s="1"/>
  <c r="M36" i="33"/>
  <c r="P36" i="33" s="1"/>
  <c r="N36" i="33"/>
  <c r="Q36" i="33" s="1"/>
  <c r="B26" i="32"/>
  <c r="D26" i="32" s="1"/>
  <c r="D12" i="11" s="1"/>
  <c r="H31" i="43"/>
  <c r="V37" i="33"/>
  <c r="X37" i="33" s="1"/>
  <c r="V31" i="32"/>
  <c r="X31" i="32" s="1"/>
  <c r="Z36" i="33"/>
  <c r="AC36" i="33" s="1"/>
  <c r="AA36" i="33"/>
  <c r="AD36" i="33" s="1"/>
  <c r="B32" i="33"/>
  <c r="D32" i="33" s="1"/>
  <c r="E12" i="11" s="1"/>
  <c r="I24" i="43"/>
  <c r="E25" i="43"/>
  <c r="C25" i="43"/>
  <c r="G26" i="43"/>
  <c r="K25" i="43"/>
  <c r="J25" i="43"/>
  <c r="C12" i="2"/>
  <c r="B44" i="11" s="1"/>
  <c r="C44" i="11" s="1"/>
  <c r="A27" i="23"/>
  <c r="B27" i="23" s="1"/>
  <c r="P6" i="11"/>
  <c r="S35" i="20"/>
  <c r="F8" i="11" s="1"/>
  <c r="S34" i="20"/>
  <c r="F7" i="11" s="1"/>
  <c r="P36" i="20"/>
  <c r="O37" i="20"/>
  <c r="O36" i="20"/>
  <c r="A55" i="11"/>
  <c r="A14" i="2"/>
  <c r="C13" i="2"/>
  <c r="B45" i="11" s="1"/>
  <c r="C45" i="11" s="1"/>
  <c r="B33" i="33" l="1"/>
  <c r="D33" i="33" s="1"/>
  <c r="E13" i="11" s="1"/>
  <c r="B32" i="43"/>
  <c r="AH32" i="32"/>
  <c r="AJ32" i="32" s="1"/>
  <c r="B27" i="32"/>
  <c r="D27" i="32" s="1"/>
  <c r="D13" i="11" s="1"/>
  <c r="H32" i="43"/>
  <c r="V38" i="33"/>
  <c r="X38" i="33" s="1"/>
  <c r="V32" i="32"/>
  <c r="X32" i="32" s="1"/>
  <c r="AL31" i="32"/>
  <c r="AO31" i="32" s="1"/>
  <c r="AM31" i="32"/>
  <c r="AP31" i="32" s="1"/>
  <c r="AA31" i="32"/>
  <c r="AD31" i="32" s="1"/>
  <c r="Z31" i="32"/>
  <c r="AC31" i="32" s="1"/>
  <c r="M37" i="33"/>
  <c r="P37" i="33" s="1"/>
  <c r="N37" i="33"/>
  <c r="Q37" i="33" s="1"/>
  <c r="F32" i="43"/>
  <c r="I38" i="33"/>
  <c r="K38" i="33" s="1"/>
  <c r="I32" i="32"/>
  <c r="K32" i="32" s="1"/>
  <c r="Z37" i="33"/>
  <c r="AC37" i="33" s="1"/>
  <c r="AA37" i="33"/>
  <c r="AD37" i="33" s="1"/>
  <c r="N31" i="32"/>
  <c r="Q31" i="32" s="1"/>
  <c r="M31" i="32"/>
  <c r="P31" i="32" s="1"/>
  <c r="I25" i="43"/>
  <c r="E26" i="43"/>
  <c r="C26" i="43"/>
  <c r="J26" i="43"/>
  <c r="G27" i="43"/>
  <c r="K26" i="43"/>
  <c r="Q6" i="11"/>
  <c r="A28" i="23"/>
  <c r="B28" i="23" s="1"/>
  <c r="K8" i="11"/>
  <c r="K9" i="11"/>
  <c r="S36" i="20"/>
  <c r="F9" i="11" s="1"/>
  <c r="P7" i="11"/>
  <c r="Q7" i="11" s="1"/>
  <c r="O38" i="20"/>
  <c r="Q37" i="20"/>
  <c r="P37" i="20"/>
  <c r="A15" i="2"/>
  <c r="C14" i="2"/>
  <c r="B46" i="11" s="1"/>
  <c r="C46" i="11" s="1"/>
  <c r="B28" i="32" l="1"/>
  <c r="D28" i="32" s="1"/>
  <c r="D14" i="11" s="1"/>
  <c r="B34" i="33"/>
  <c r="D34" i="33" s="1"/>
  <c r="E14" i="11" s="1"/>
  <c r="H33" i="43"/>
  <c r="V39" i="33"/>
  <c r="X39" i="33" s="1"/>
  <c r="V33" i="32"/>
  <c r="X33" i="32" s="1"/>
  <c r="N32" i="32"/>
  <c r="Q32" i="32" s="1"/>
  <c r="M32" i="32"/>
  <c r="P32" i="32" s="1"/>
  <c r="B33" i="43"/>
  <c r="AH33" i="32"/>
  <c r="AJ33" i="32" s="1"/>
  <c r="N38" i="33"/>
  <c r="Q38" i="33" s="1"/>
  <c r="M38" i="33"/>
  <c r="P38" i="33" s="1"/>
  <c r="F33" i="43"/>
  <c r="I33" i="32"/>
  <c r="K33" i="32" s="1"/>
  <c r="I39" i="33"/>
  <c r="K39" i="33" s="1"/>
  <c r="Z32" i="32"/>
  <c r="AC32" i="32" s="1"/>
  <c r="AA32" i="32"/>
  <c r="AD32" i="32" s="1"/>
  <c r="Z38" i="33"/>
  <c r="AC38" i="33" s="1"/>
  <c r="AA38" i="33"/>
  <c r="AD38" i="33" s="1"/>
  <c r="AM32" i="32"/>
  <c r="AP32" i="32" s="1"/>
  <c r="AL32" i="32"/>
  <c r="AO32" i="32" s="1"/>
  <c r="I26" i="43"/>
  <c r="C27" i="43"/>
  <c r="E27" i="43"/>
  <c r="G28" i="43"/>
  <c r="K27" i="43"/>
  <c r="J27" i="43"/>
  <c r="P8" i="11"/>
  <c r="Q8" i="11" s="1"/>
  <c r="A29" i="23"/>
  <c r="B29" i="23" s="1"/>
  <c r="K10" i="11"/>
  <c r="S37" i="20"/>
  <c r="F10" i="11" s="1"/>
  <c r="P39" i="20"/>
  <c r="P9" i="11"/>
  <c r="Q9" i="11" s="1"/>
  <c r="P38" i="20"/>
  <c r="Q38" i="20"/>
  <c r="A16" i="2"/>
  <c r="C15" i="2"/>
  <c r="B47" i="11" s="1"/>
  <c r="C47" i="11" s="1"/>
  <c r="N39" i="33" l="1"/>
  <c r="Q39" i="33" s="1"/>
  <c r="M39" i="33"/>
  <c r="P39" i="33" s="1"/>
  <c r="B29" i="32"/>
  <c r="D29" i="32" s="1"/>
  <c r="D15" i="11" s="1"/>
  <c r="F34" i="43"/>
  <c r="I34" i="32"/>
  <c r="K34" i="32" s="1"/>
  <c r="I40" i="33"/>
  <c r="K40" i="33" s="1"/>
  <c r="AA33" i="32"/>
  <c r="AD33" i="32" s="1"/>
  <c r="Z33" i="32"/>
  <c r="AC33" i="32" s="1"/>
  <c r="AM33" i="32"/>
  <c r="AP33" i="32" s="1"/>
  <c r="AL33" i="32"/>
  <c r="AO33" i="32" s="1"/>
  <c r="AA39" i="33"/>
  <c r="AD39" i="33" s="1"/>
  <c r="Z39" i="33"/>
  <c r="AC39" i="33" s="1"/>
  <c r="B34" i="43"/>
  <c r="AH34" i="32"/>
  <c r="AJ34" i="32" s="1"/>
  <c r="N33" i="32"/>
  <c r="Q33" i="32" s="1"/>
  <c r="M33" i="32"/>
  <c r="P33" i="32" s="1"/>
  <c r="B35" i="33"/>
  <c r="D35" i="33" s="1"/>
  <c r="E15" i="11" s="1"/>
  <c r="H34" i="43"/>
  <c r="V34" i="32"/>
  <c r="X34" i="32" s="1"/>
  <c r="V40" i="33"/>
  <c r="X40" i="33" s="1"/>
  <c r="I27" i="43"/>
  <c r="C28" i="43"/>
  <c r="E28" i="43"/>
  <c r="J28" i="43"/>
  <c r="G29" i="43"/>
  <c r="K28" i="43"/>
  <c r="A30" i="23"/>
  <c r="B30" i="23" s="1"/>
  <c r="O39" i="20"/>
  <c r="S38" i="20"/>
  <c r="F11" i="11" s="1"/>
  <c r="Q39" i="20"/>
  <c r="P10" i="11"/>
  <c r="Q10" i="11" s="1"/>
  <c r="Q40" i="20"/>
  <c r="A17" i="2"/>
  <c r="C16" i="2"/>
  <c r="B48" i="11" s="1"/>
  <c r="C48" i="11" s="1"/>
  <c r="AL34" i="32" l="1"/>
  <c r="AO34" i="32" s="1"/>
  <c r="AM34" i="32"/>
  <c r="AP34" i="32" s="1"/>
  <c r="B35" i="43"/>
  <c r="AH35" i="32"/>
  <c r="AJ35" i="32" s="1"/>
  <c r="N34" i="32"/>
  <c r="Q34" i="32" s="1"/>
  <c r="M34" i="32"/>
  <c r="P34" i="32" s="1"/>
  <c r="B30" i="32"/>
  <c r="D30" i="32" s="1"/>
  <c r="D16" i="11" s="1"/>
  <c r="Z40" i="33"/>
  <c r="AC40" i="33" s="1"/>
  <c r="AA40" i="33"/>
  <c r="AD40" i="33" s="1"/>
  <c r="F35" i="43"/>
  <c r="I41" i="33"/>
  <c r="K41" i="33" s="1"/>
  <c r="I35" i="32"/>
  <c r="K35" i="32" s="1"/>
  <c r="M40" i="33"/>
  <c r="P40" i="33" s="1"/>
  <c r="N40" i="33"/>
  <c r="Q40" i="33" s="1"/>
  <c r="H35" i="43"/>
  <c r="V41" i="33"/>
  <c r="X41" i="33" s="1"/>
  <c r="V35" i="32"/>
  <c r="X35" i="32" s="1"/>
  <c r="B36" i="33"/>
  <c r="D36" i="33" s="1"/>
  <c r="E16" i="11" s="1"/>
  <c r="Z34" i="32"/>
  <c r="AC34" i="32" s="1"/>
  <c r="AA34" i="32"/>
  <c r="AD34" i="32" s="1"/>
  <c r="I28" i="43"/>
  <c r="C29" i="43"/>
  <c r="E29" i="43"/>
  <c r="K29" i="43"/>
  <c r="G30" i="43"/>
  <c r="J29" i="43"/>
  <c r="A31" i="23"/>
  <c r="B31" i="23" s="1"/>
  <c r="K11" i="11"/>
  <c r="K12" i="11"/>
  <c r="P40" i="20"/>
  <c r="O40" i="20"/>
  <c r="S39" i="20"/>
  <c r="F12" i="11" s="1"/>
  <c r="O41" i="20"/>
  <c r="P41" i="20"/>
  <c r="Q41" i="20"/>
  <c r="A18" i="2"/>
  <c r="C17" i="2"/>
  <c r="B49" i="11" s="1"/>
  <c r="C49" i="11" s="1"/>
  <c r="B37" i="33" l="1"/>
  <c r="D37" i="33" s="1"/>
  <c r="E17" i="11" s="1"/>
  <c r="B31" i="32"/>
  <c r="D31" i="32" s="1"/>
  <c r="D17" i="11" s="1"/>
  <c r="M35" i="32"/>
  <c r="P35" i="32" s="1"/>
  <c r="N35" i="32"/>
  <c r="Q35" i="32" s="1"/>
  <c r="AL35" i="32"/>
  <c r="AO35" i="32" s="1"/>
  <c r="AM35" i="32"/>
  <c r="AP35" i="32" s="1"/>
  <c r="AA41" i="33"/>
  <c r="AD41" i="33" s="1"/>
  <c r="Z41" i="33"/>
  <c r="AC41" i="33" s="1"/>
  <c r="H36" i="43"/>
  <c r="V42" i="33"/>
  <c r="X42" i="33" s="1"/>
  <c r="V36" i="32"/>
  <c r="X36" i="32" s="1"/>
  <c r="M41" i="33"/>
  <c r="P41" i="33" s="1"/>
  <c r="N41" i="33"/>
  <c r="Q41" i="33" s="1"/>
  <c r="B36" i="43"/>
  <c r="AH36" i="32"/>
  <c r="AJ36" i="32" s="1"/>
  <c r="F36" i="43"/>
  <c r="I42" i="33"/>
  <c r="K42" i="33" s="1"/>
  <c r="I36" i="32"/>
  <c r="K36" i="32" s="1"/>
  <c r="AA35" i="32"/>
  <c r="AD35" i="32" s="1"/>
  <c r="Z35" i="32"/>
  <c r="AC35" i="32" s="1"/>
  <c r="I29" i="43"/>
  <c r="C30" i="43"/>
  <c r="E30" i="43"/>
  <c r="J30" i="43"/>
  <c r="K30" i="43"/>
  <c r="G31" i="43"/>
  <c r="P11" i="11"/>
  <c r="A32" i="23"/>
  <c r="B32" i="23" s="1"/>
  <c r="P12" i="11"/>
  <c r="Q12" i="11" s="1"/>
  <c r="K13" i="11"/>
  <c r="S40" i="20"/>
  <c r="F13" i="11" s="1"/>
  <c r="S41" i="20"/>
  <c r="F14" i="11" s="1"/>
  <c r="O42" i="20"/>
  <c r="P42" i="20"/>
  <c r="Q42" i="20"/>
  <c r="A19" i="2"/>
  <c r="C18" i="2"/>
  <c r="B50" i="11" s="1"/>
  <c r="C50" i="11" s="1"/>
  <c r="F37" i="43" l="1"/>
  <c r="I43" i="33"/>
  <c r="K43" i="33" s="1"/>
  <c r="I37" i="32"/>
  <c r="K37" i="32" s="1"/>
  <c r="AM36" i="32"/>
  <c r="AP36" i="32" s="1"/>
  <c r="AL36" i="32"/>
  <c r="AO36" i="32" s="1"/>
  <c r="B37" i="43"/>
  <c r="AH37" i="32"/>
  <c r="AJ37" i="32" s="1"/>
  <c r="B32" i="32"/>
  <c r="D32" i="32" s="1"/>
  <c r="D18" i="11" s="1"/>
  <c r="M36" i="32"/>
  <c r="P36" i="32" s="1"/>
  <c r="N36" i="32"/>
  <c r="Q36" i="32" s="1"/>
  <c r="AA42" i="33"/>
  <c r="AD42" i="33" s="1"/>
  <c r="Z42" i="33"/>
  <c r="AC42" i="33" s="1"/>
  <c r="B38" i="33"/>
  <c r="D38" i="33" s="1"/>
  <c r="E18" i="11" s="1"/>
  <c r="Z36" i="32"/>
  <c r="AC36" i="32" s="1"/>
  <c r="AA36" i="32"/>
  <c r="AD36" i="32" s="1"/>
  <c r="N42" i="33"/>
  <c r="Q42" i="33" s="1"/>
  <c r="M42" i="33"/>
  <c r="P42" i="33" s="1"/>
  <c r="H37" i="43"/>
  <c r="V37" i="32"/>
  <c r="X37" i="32" s="1"/>
  <c r="V43" i="33"/>
  <c r="X43" i="33" s="1"/>
  <c r="I30" i="43"/>
  <c r="E31" i="43"/>
  <c r="C31" i="43"/>
  <c r="K31" i="43"/>
  <c r="G32" i="43"/>
  <c r="J31" i="43"/>
  <c r="Q11" i="11"/>
  <c r="A33" i="23"/>
  <c r="B33" i="23" s="1"/>
  <c r="K14" i="11"/>
  <c r="P14" i="11" s="1"/>
  <c r="Q14" i="11" s="1"/>
  <c r="P13" i="11"/>
  <c r="Q13" i="11" s="1"/>
  <c r="S42" i="20"/>
  <c r="F15" i="11" s="1"/>
  <c r="O43" i="20"/>
  <c r="P43" i="20"/>
  <c r="Q43" i="20"/>
  <c r="A20" i="2"/>
  <c r="C19" i="2"/>
  <c r="B51" i="11" s="1"/>
  <c r="C51" i="11" s="1"/>
  <c r="B38" i="43" l="1"/>
  <c r="AH38" i="32"/>
  <c r="AJ38" i="32" s="1"/>
  <c r="AA43" i="33"/>
  <c r="AD43" i="33" s="1"/>
  <c r="Z43" i="33"/>
  <c r="AC43" i="33" s="1"/>
  <c r="AL37" i="32"/>
  <c r="AO37" i="32" s="1"/>
  <c r="AM37" i="32"/>
  <c r="AP37" i="32" s="1"/>
  <c r="M37" i="32"/>
  <c r="P37" i="32" s="1"/>
  <c r="N37" i="32"/>
  <c r="Q37" i="32" s="1"/>
  <c r="Z37" i="32"/>
  <c r="AC37" i="32" s="1"/>
  <c r="AA37" i="32"/>
  <c r="AD37" i="32" s="1"/>
  <c r="H38" i="43"/>
  <c r="V38" i="32"/>
  <c r="X38" i="32" s="1"/>
  <c r="V44" i="33"/>
  <c r="X44" i="33" s="1"/>
  <c r="B39" i="33"/>
  <c r="D39" i="33" s="1"/>
  <c r="E19" i="11" s="1"/>
  <c r="M43" i="33"/>
  <c r="P43" i="33" s="1"/>
  <c r="N43" i="33"/>
  <c r="Q43" i="33" s="1"/>
  <c r="B33" i="32"/>
  <c r="D33" i="32" s="1"/>
  <c r="D19" i="11" s="1"/>
  <c r="F38" i="43"/>
  <c r="I44" i="33"/>
  <c r="K44" i="33" s="1"/>
  <c r="I38" i="32"/>
  <c r="K38" i="32" s="1"/>
  <c r="I31" i="43"/>
  <c r="E32" i="43"/>
  <c r="C32" i="43"/>
  <c r="J32" i="43"/>
  <c r="K32" i="43"/>
  <c r="G33" i="43"/>
  <c r="A34" i="23"/>
  <c r="B34" i="23" s="1"/>
  <c r="K15" i="11"/>
  <c r="P15" i="11" s="1"/>
  <c r="Q15" i="11" s="1"/>
  <c r="S43" i="20"/>
  <c r="F16" i="11" s="1"/>
  <c r="O44" i="20"/>
  <c r="P44" i="20"/>
  <c r="Q44" i="20"/>
  <c r="A21" i="2"/>
  <c r="C20" i="2"/>
  <c r="B52" i="11" s="1"/>
  <c r="C52" i="11" s="1"/>
  <c r="B34" i="32" l="1"/>
  <c r="D34" i="32" s="1"/>
  <c r="D20" i="11" s="1"/>
  <c r="AA38" i="32"/>
  <c r="AD38" i="32" s="1"/>
  <c r="Z38" i="32"/>
  <c r="AC38" i="32" s="1"/>
  <c r="M44" i="33"/>
  <c r="P44" i="33" s="1"/>
  <c r="N44" i="33"/>
  <c r="Q44" i="33" s="1"/>
  <c r="F39" i="43"/>
  <c r="I45" i="33"/>
  <c r="K45" i="33" s="1"/>
  <c r="I39" i="32"/>
  <c r="K39" i="32" s="1"/>
  <c r="AL38" i="32"/>
  <c r="AO38" i="32" s="1"/>
  <c r="AM38" i="32"/>
  <c r="AP38" i="32" s="1"/>
  <c r="B40" i="33"/>
  <c r="D40" i="33" s="1"/>
  <c r="E20" i="11" s="1"/>
  <c r="Z44" i="33"/>
  <c r="AC44" i="33" s="1"/>
  <c r="AA44" i="33"/>
  <c r="AD44" i="33" s="1"/>
  <c r="M38" i="32"/>
  <c r="P38" i="32" s="1"/>
  <c r="N38" i="32"/>
  <c r="Q38" i="32" s="1"/>
  <c r="H39" i="43"/>
  <c r="V45" i="33"/>
  <c r="X45" i="33" s="1"/>
  <c r="V39" i="32"/>
  <c r="X39" i="32" s="1"/>
  <c r="B39" i="43"/>
  <c r="AH39" i="32"/>
  <c r="AJ39" i="32" s="1"/>
  <c r="I32" i="43"/>
  <c r="E33" i="43"/>
  <c r="C33" i="43"/>
  <c r="J33" i="43"/>
  <c r="G34" i="43"/>
  <c r="K33" i="43"/>
  <c r="A35" i="23"/>
  <c r="B35" i="23" s="1"/>
  <c r="K16" i="11"/>
  <c r="P16" i="11" s="1"/>
  <c r="Q16" i="11" s="1"/>
  <c r="S44" i="20"/>
  <c r="F17" i="11" s="1"/>
  <c r="O45" i="20"/>
  <c r="P45" i="20"/>
  <c r="Q45" i="20"/>
  <c r="A22" i="2"/>
  <c r="C21" i="2"/>
  <c r="B53" i="11" s="1"/>
  <c r="C53" i="11" s="1"/>
  <c r="AA45" i="33" l="1"/>
  <c r="AD45" i="33" s="1"/>
  <c r="Z45" i="33"/>
  <c r="AC45" i="33" s="1"/>
  <c r="N39" i="32"/>
  <c r="Q39" i="32" s="1"/>
  <c r="M39" i="32"/>
  <c r="P39" i="32" s="1"/>
  <c r="F40" i="43"/>
  <c r="I40" i="32"/>
  <c r="K40" i="32" s="1"/>
  <c r="I46" i="33"/>
  <c r="K46" i="33" s="1"/>
  <c r="AM39" i="32"/>
  <c r="AP39" i="32" s="1"/>
  <c r="AL39" i="32"/>
  <c r="AO39" i="32" s="1"/>
  <c r="B41" i="33"/>
  <c r="D41" i="33" s="1"/>
  <c r="E21" i="11" s="1"/>
  <c r="H40" i="43"/>
  <c r="V40" i="32"/>
  <c r="X40" i="32" s="1"/>
  <c r="V46" i="33"/>
  <c r="X46" i="33" s="1"/>
  <c r="M45" i="33"/>
  <c r="P45" i="33" s="1"/>
  <c r="N45" i="33"/>
  <c r="Q45" i="33" s="1"/>
  <c r="B35" i="32"/>
  <c r="D35" i="32" s="1"/>
  <c r="D21" i="11" s="1"/>
  <c r="B40" i="43"/>
  <c r="AH40" i="32"/>
  <c r="AJ40" i="32" s="1"/>
  <c r="AA39" i="32"/>
  <c r="AD39" i="32" s="1"/>
  <c r="Z39" i="32"/>
  <c r="AC39" i="32" s="1"/>
  <c r="I33" i="43"/>
  <c r="C34" i="43"/>
  <c r="E34" i="43"/>
  <c r="G35" i="43"/>
  <c r="K34" i="43"/>
  <c r="J34" i="43"/>
  <c r="A36" i="23"/>
  <c r="B36" i="23" s="1"/>
  <c r="K17" i="11"/>
  <c r="P17" i="11" s="1"/>
  <c r="Q17" i="11" s="1"/>
  <c r="S45" i="20"/>
  <c r="F18" i="11" s="1"/>
  <c r="O46" i="20"/>
  <c r="P46" i="20"/>
  <c r="Q46" i="20"/>
  <c r="A23" i="2"/>
  <c r="C23" i="2" s="1"/>
  <c r="C22" i="2"/>
  <c r="B54" i="11" s="1"/>
  <c r="C54" i="11" s="1"/>
  <c r="B42" i="33" l="1"/>
  <c r="D42" i="33" s="1"/>
  <c r="E22" i="11" s="1"/>
  <c r="M40" i="32"/>
  <c r="P40" i="32" s="1"/>
  <c r="N40" i="32"/>
  <c r="Q40" i="32" s="1"/>
  <c r="AA46" i="33"/>
  <c r="AD46" i="33" s="1"/>
  <c r="Z46" i="33"/>
  <c r="AC46" i="33" s="1"/>
  <c r="F41" i="43"/>
  <c r="I41" i="32"/>
  <c r="K41" i="32" s="1"/>
  <c r="I47" i="33"/>
  <c r="K47" i="33" s="1"/>
  <c r="N46" i="33"/>
  <c r="Q46" i="33" s="1"/>
  <c r="M46" i="33"/>
  <c r="P46" i="33" s="1"/>
  <c r="H41" i="43"/>
  <c r="V47" i="33"/>
  <c r="X47" i="33" s="1"/>
  <c r="V41" i="32"/>
  <c r="X41" i="32" s="1"/>
  <c r="Z40" i="32"/>
  <c r="AC40" i="32" s="1"/>
  <c r="AA40" i="32"/>
  <c r="AD40" i="32" s="1"/>
  <c r="B36" i="32"/>
  <c r="D36" i="32" s="1"/>
  <c r="D22" i="11" s="1"/>
  <c r="AM40" i="32"/>
  <c r="AP40" i="32" s="1"/>
  <c r="AL40" i="32"/>
  <c r="AO40" i="32" s="1"/>
  <c r="B41" i="43"/>
  <c r="AH41" i="32"/>
  <c r="AJ41" i="32" s="1"/>
  <c r="I34" i="43"/>
  <c r="C35" i="43"/>
  <c r="E35" i="43"/>
  <c r="J35" i="43"/>
  <c r="G36" i="43"/>
  <c r="K35" i="43"/>
  <c r="B55" i="11"/>
  <c r="C55" i="11" s="1"/>
  <c r="B11" i="23"/>
  <c r="A37" i="23"/>
  <c r="B37" i="23" s="1"/>
  <c r="K18" i="11"/>
  <c r="P18" i="11" s="1"/>
  <c r="Q18" i="11" s="1"/>
  <c r="S46" i="20"/>
  <c r="F19" i="11" s="1"/>
  <c r="O47" i="20"/>
  <c r="P47" i="20"/>
  <c r="Q47" i="20"/>
  <c r="F42" i="43" l="1"/>
  <c r="I42" i="32"/>
  <c r="K42" i="32" s="1"/>
  <c r="I48" i="33"/>
  <c r="K48" i="33" s="1"/>
  <c r="N47" i="33"/>
  <c r="Q47" i="33" s="1"/>
  <c r="M47" i="33"/>
  <c r="P47" i="33" s="1"/>
  <c r="AA41" i="32"/>
  <c r="AD41" i="32" s="1"/>
  <c r="Z41" i="32"/>
  <c r="AC41" i="32" s="1"/>
  <c r="N41" i="32"/>
  <c r="Q41" i="32" s="1"/>
  <c r="M41" i="32"/>
  <c r="P41" i="32" s="1"/>
  <c r="H42" i="43"/>
  <c r="V42" i="32"/>
  <c r="X42" i="32" s="1"/>
  <c r="V48" i="33"/>
  <c r="X48" i="33" s="1"/>
  <c r="B43" i="33"/>
  <c r="D43" i="33" s="1"/>
  <c r="E23" i="11" s="1"/>
  <c r="B37" i="32"/>
  <c r="D37" i="32" s="1"/>
  <c r="D23" i="11" s="1"/>
  <c r="AM41" i="32"/>
  <c r="AP41" i="32" s="1"/>
  <c r="AL41" i="32"/>
  <c r="AO41" i="32" s="1"/>
  <c r="AA47" i="33"/>
  <c r="AD47" i="33" s="1"/>
  <c r="Z47" i="33"/>
  <c r="AC47" i="33" s="1"/>
  <c r="B42" i="43"/>
  <c r="AH42" i="32"/>
  <c r="AJ42" i="32" s="1"/>
  <c r="I35" i="43"/>
  <c r="C36" i="43"/>
  <c r="E36" i="43"/>
  <c r="G37" i="43"/>
  <c r="K36" i="43"/>
  <c r="J36" i="43"/>
  <c r="C56" i="11"/>
  <c r="E4" i="38" s="1"/>
  <c r="E9" i="38" s="1"/>
  <c r="B56" i="11"/>
  <c r="A38" i="23"/>
  <c r="B38" i="23" s="1"/>
  <c r="K19" i="11"/>
  <c r="P19" i="11" s="1"/>
  <c r="Q19" i="11" s="1"/>
  <c r="S47" i="20"/>
  <c r="F20" i="11" s="1"/>
  <c r="O48" i="20"/>
  <c r="P48" i="20"/>
  <c r="Q48" i="20"/>
  <c r="B38" i="32" l="1"/>
  <c r="D38" i="32" s="1"/>
  <c r="D24" i="11" s="1"/>
  <c r="B44" i="33"/>
  <c r="D44" i="33" s="1"/>
  <c r="E24" i="11" s="1"/>
  <c r="AH43" i="32"/>
  <c r="AJ43" i="32" s="1"/>
  <c r="J42" i="43"/>
  <c r="B43" i="43"/>
  <c r="E42" i="43"/>
  <c r="C42" i="43"/>
  <c r="AA42" i="32"/>
  <c r="AD42" i="32" s="1"/>
  <c r="Z42" i="32"/>
  <c r="AC42" i="32" s="1"/>
  <c r="V43" i="32"/>
  <c r="X43" i="32" s="1"/>
  <c r="V49" i="33"/>
  <c r="X49" i="33" s="1"/>
  <c r="I42" i="43"/>
  <c r="H43" i="43"/>
  <c r="N42" i="32"/>
  <c r="Q42" i="32" s="1"/>
  <c r="M42" i="32"/>
  <c r="P42" i="32" s="1"/>
  <c r="AM42" i="32"/>
  <c r="AP42" i="32" s="1"/>
  <c r="AL42" i="32"/>
  <c r="AO42" i="32" s="1"/>
  <c r="Z48" i="33"/>
  <c r="AC48" i="33" s="1"/>
  <c r="AA48" i="33"/>
  <c r="AD48" i="33" s="1"/>
  <c r="M48" i="33"/>
  <c r="P48" i="33" s="1"/>
  <c r="N48" i="33"/>
  <c r="Q48" i="33" s="1"/>
  <c r="I49" i="33"/>
  <c r="K49" i="33" s="1"/>
  <c r="I43" i="32"/>
  <c r="K43" i="32" s="1"/>
  <c r="K42" i="43"/>
  <c r="G42" i="43"/>
  <c r="F43" i="43"/>
  <c r="I36" i="43"/>
  <c r="C37" i="43"/>
  <c r="E37" i="43"/>
  <c r="J37" i="43"/>
  <c r="K37" i="43"/>
  <c r="G38" i="43"/>
  <c r="A39" i="23"/>
  <c r="B39" i="23" s="1"/>
  <c r="K20" i="11"/>
  <c r="P20" i="11" s="1"/>
  <c r="Q20" i="11" s="1"/>
  <c r="S48" i="20"/>
  <c r="F21" i="11" s="1"/>
  <c r="O49" i="20"/>
  <c r="P49" i="20"/>
  <c r="Q49" i="20"/>
  <c r="B39" i="32" l="1"/>
  <c r="D39" i="32" s="1"/>
  <c r="D25" i="11" s="1"/>
  <c r="B45" i="33"/>
  <c r="D45" i="33" s="1"/>
  <c r="E25" i="11" s="1"/>
  <c r="N49" i="33"/>
  <c r="Q49" i="33" s="1"/>
  <c r="M49" i="33"/>
  <c r="P49" i="33" s="1"/>
  <c r="V50" i="33"/>
  <c r="X50" i="33" s="1"/>
  <c r="V44" i="32"/>
  <c r="X44" i="32" s="1"/>
  <c r="I43" i="43"/>
  <c r="H44" i="43"/>
  <c r="AH44" i="32"/>
  <c r="AJ44" i="32" s="1"/>
  <c r="E43" i="43"/>
  <c r="J43" i="43"/>
  <c r="B44" i="43"/>
  <c r="C43" i="43"/>
  <c r="AA49" i="33"/>
  <c r="AD49" i="33" s="1"/>
  <c r="Z49" i="33"/>
  <c r="AC49" i="33" s="1"/>
  <c r="AA43" i="32"/>
  <c r="AD43" i="32" s="1"/>
  <c r="Z43" i="32"/>
  <c r="AC43" i="32" s="1"/>
  <c r="M43" i="32"/>
  <c r="P43" i="32" s="1"/>
  <c r="N43" i="32"/>
  <c r="Q43" i="32" s="1"/>
  <c r="AM43" i="32"/>
  <c r="AP43" i="32" s="1"/>
  <c r="AL43" i="32"/>
  <c r="AO43" i="32" s="1"/>
  <c r="I44" i="32"/>
  <c r="K44" i="32" s="1"/>
  <c r="I50" i="33"/>
  <c r="K50" i="33" s="1"/>
  <c r="K43" i="43"/>
  <c r="F44" i="43"/>
  <c r="G43" i="43"/>
  <c r="I37" i="43"/>
  <c r="C38" i="43"/>
  <c r="E38" i="43"/>
  <c r="K38" i="43"/>
  <c r="G39" i="43"/>
  <c r="J38" i="43"/>
  <c r="A40" i="23"/>
  <c r="B40" i="23" s="1"/>
  <c r="K21" i="11"/>
  <c r="P21" i="11" s="1"/>
  <c r="Q21" i="11" s="1"/>
  <c r="S49" i="20"/>
  <c r="F22" i="11" s="1"/>
  <c r="O50" i="20"/>
  <c r="P50" i="20"/>
  <c r="Q50" i="20"/>
  <c r="B6" i="30"/>
  <c r="B40" i="32" l="1"/>
  <c r="D40" i="32" s="1"/>
  <c r="D26" i="11" s="1"/>
  <c r="V45" i="32"/>
  <c r="X45" i="32" s="1"/>
  <c r="V51" i="33"/>
  <c r="X51" i="33" s="1"/>
  <c r="I44" i="43"/>
  <c r="H45" i="43"/>
  <c r="AA50" i="33"/>
  <c r="AD50" i="33" s="1"/>
  <c r="Z50" i="33"/>
  <c r="AC50" i="33" s="1"/>
  <c r="I51" i="33"/>
  <c r="K51" i="33" s="1"/>
  <c r="I45" i="32"/>
  <c r="K45" i="32" s="1"/>
  <c r="G44" i="43"/>
  <c r="K44" i="43"/>
  <c r="F45" i="43"/>
  <c r="M50" i="33"/>
  <c r="P50" i="33" s="1"/>
  <c r="N50" i="33"/>
  <c r="Q50" i="33" s="1"/>
  <c r="AH45" i="32"/>
  <c r="AJ45" i="32" s="1"/>
  <c r="J44" i="43"/>
  <c r="B45" i="43"/>
  <c r="E44" i="43"/>
  <c r="C44" i="43"/>
  <c r="B46" i="33"/>
  <c r="D46" i="33" s="1"/>
  <c r="E26" i="11" s="1"/>
  <c r="AM44" i="32"/>
  <c r="AP44" i="32" s="1"/>
  <c r="AL44" i="32"/>
  <c r="AO44" i="32" s="1"/>
  <c r="M44" i="32"/>
  <c r="P44" i="32" s="1"/>
  <c r="N44" i="32"/>
  <c r="Q44" i="32" s="1"/>
  <c r="Z44" i="32"/>
  <c r="AC44" i="32" s="1"/>
  <c r="AA44" i="32"/>
  <c r="AD44" i="32" s="1"/>
  <c r="I38" i="43"/>
  <c r="E39" i="43"/>
  <c r="C39" i="43"/>
  <c r="K39" i="43"/>
  <c r="G40" i="43"/>
  <c r="J39" i="43"/>
  <c r="A41" i="23"/>
  <c r="B41" i="23" s="1"/>
  <c r="K22" i="11"/>
  <c r="P22" i="11" s="1"/>
  <c r="Q22" i="11" s="1"/>
  <c r="S50" i="20"/>
  <c r="F23" i="11" s="1"/>
  <c r="P51" i="20"/>
  <c r="O51" i="20"/>
  <c r="Q51" i="20"/>
  <c r="B47" i="33" l="1"/>
  <c r="D47" i="33" s="1"/>
  <c r="E27" i="11" s="1"/>
  <c r="M45" i="32"/>
  <c r="P45" i="32" s="1"/>
  <c r="N45" i="32"/>
  <c r="Q45" i="32" s="1"/>
  <c r="B41" i="32"/>
  <c r="D41" i="32" s="1"/>
  <c r="D27" i="11" s="1"/>
  <c r="AL45" i="32"/>
  <c r="AO45" i="32" s="1"/>
  <c r="AM45" i="32"/>
  <c r="AP45" i="32" s="1"/>
  <c r="N51" i="33"/>
  <c r="Q51" i="33" s="1"/>
  <c r="M51" i="33"/>
  <c r="P51" i="33" s="1"/>
  <c r="I46" i="32"/>
  <c r="K46" i="32" s="1"/>
  <c r="I52" i="33"/>
  <c r="K52" i="33" s="1"/>
  <c r="F46" i="43"/>
  <c r="G45" i="43"/>
  <c r="K45" i="43"/>
  <c r="AA51" i="33"/>
  <c r="AD51" i="33" s="1"/>
  <c r="Z51" i="33"/>
  <c r="AC51" i="33" s="1"/>
  <c r="AH46" i="32"/>
  <c r="AJ46" i="32" s="1"/>
  <c r="E45" i="43"/>
  <c r="C45" i="43"/>
  <c r="J45" i="43"/>
  <c r="B46" i="43"/>
  <c r="V46" i="32"/>
  <c r="X46" i="32" s="1"/>
  <c r="V52" i="33"/>
  <c r="X52" i="33" s="1"/>
  <c r="I45" i="43"/>
  <c r="H46" i="43"/>
  <c r="Z45" i="32"/>
  <c r="AC45" i="32" s="1"/>
  <c r="AA45" i="32"/>
  <c r="AD45" i="32" s="1"/>
  <c r="I39" i="43"/>
  <c r="E40" i="43"/>
  <c r="C40" i="43"/>
  <c r="K40" i="43"/>
  <c r="G41" i="43"/>
  <c r="J40" i="43"/>
  <c r="A42" i="23"/>
  <c r="B42" i="23" s="1"/>
  <c r="K23" i="11"/>
  <c r="P23" i="11" s="1"/>
  <c r="Q23" i="11" s="1"/>
  <c r="S51" i="20"/>
  <c r="F24" i="11" s="1"/>
  <c r="O52" i="20"/>
  <c r="P52" i="20"/>
  <c r="Q52" i="20"/>
  <c r="B48" i="33" l="1"/>
  <c r="D48" i="33" s="1"/>
  <c r="E28" i="11" s="1"/>
  <c r="V53" i="33"/>
  <c r="X53" i="33" s="1"/>
  <c r="V47" i="32"/>
  <c r="X47" i="32" s="1"/>
  <c r="I46" i="43"/>
  <c r="H47" i="43"/>
  <c r="AL46" i="32"/>
  <c r="AO46" i="32" s="1"/>
  <c r="AM46" i="32"/>
  <c r="AP46" i="32" s="1"/>
  <c r="Z52" i="33"/>
  <c r="AC52" i="33" s="1"/>
  <c r="AA52" i="33"/>
  <c r="AD52" i="33" s="1"/>
  <c r="AA46" i="32"/>
  <c r="AD46" i="32" s="1"/>
  <c r="Z46" i="32"/>
  <c r="AC46" i="32" s="1"/>
  <c r="AH47" i="32"/>
  <c r="AJ47" i="32" s="1"/>
  <c r="J46" i="43"/>
  <c r="B47" i="43"/>
  <c r="C46" i="43"/>
  <c r="E46" i="43"/>
  <c r="I53" i="33"/>
  <c r="K53" i="33" s="1"/>
  <c r="I47" i="32"/>
  <c r="K47" i="32" s="1"/>
  <c r="K46" i="43"/>
  <c r="F47" i="43"/>
  <c r="G46" i="43"/>
  <c r="N46" i="32"/>
  <c r="Q46" i="32" s="1"/>
  <c r="M46" i="32"/>
  <c r="P46" i="32" s="1"/>
  <c r="M52" i="33"/>
  <c r="P52" i="33" s="1"/>
  <c r="N52" i="33"/>
  <c r="Q52" i="33" s="1"/>
  <c r="B42" i="32"/>
  <c r="D42" i="32" s="1"/>
  <c r="D28" i="11" s="1"/>
  <c r="I40" i="43"/>
  <c r="I41" i="43"/>
  <c r="E41" i="43"/>
  <c r="C41" i="43"/>
  <c r="J41" i="43"/>
  <c r="K41" i="43"/>
  <c r="A43" i="23"/>
  <c r="B43" i="23" s="1"/>
  <c r="K24" i="11"/>
  <c r="P24" i="11" s="1"/>
  <c r="Q24" i="11" s="1"/>
  <c r="S52" i="20"/>
  <c r="F25" i="11" s="1"/>
  <c r="P53" i="20"/>
  <c r="Q53" i="20"/>
  <c r="O53" i="20"/>
  <c r="B43" i="32" l="1"/>
  <c r="D43" i="32" s="1"/>
  <c r="D29" i="11" s="1"/>
  <c r="B49" i="33"/>
  <c r="D49" i="33" s="1"/>
  <c r="E29" i="11" s="1"/>
  <c r="AH48" i="32"/>
  <c r="AJ48" i="32" s="1"/>
  <c r="C47" i="43"/>
  <c r="B48" i="43"/>
  <c r="J47" i="43"/>
  <c r="E47" i="43"/>
  <c r="I48" i="32"/>
  <c r="K48" i="32" s="1"/>
  <c r="I54" i="33"/>
  <c r="K54" i="33" s="1"/>
  <c r="K47" i="43"/>
  <c r="F48" i="43"/>
  <c r="G47" i="43"/>
  <c r="AL47" i="32"/>
  <c r="AO47" i="32" s="1"/>
  <c r="AM47" i="32"/>
  <c r="AP47" i="32" s="1"/>
  <c r="N47" i="32"/>
  <c r="Q47" i="32" s="1"/>
  <c r="M47" i="32"/>
  <c r="P47" i="32" s="1"/>
  <c r="V54" i="33"/>
  <c r="X54" i="33" s="1"/>
  <c r="V48" i="32"/>
  <c r="X48" i="32" s="1"/>
  <c r="H48" i="43"/>
  <c r="I47" i="43"/>
  <c r="Z47" i="32"/>
  <c r="AC47" i="32" s="1"/>
  <c r="AA47" i="32"/>
  <c r="AD47" i="32" s="1"/>
  <c r="N53" i="33"/>
  <c r="Q53" i="33" s="1"/>
  <c r="M53" i="33"/>
  <c r="P53" i="33" s="1"/>
  <c r="Z53" i="33"/>
  <c r="AC53" i="33" s="1"/>
  <c r="AA53" i="33"/>
  <c r="AD53" i="33" s="1"/>
  <c r="A44" i="23"/>
  <c r="B44" i="23" s="1"/>
  <c r="K25" i="11"/>
  <c r="P25" i="11" s="1"/>
  <c r="Q25" i="11" s="1"/>
  <c r="S53" i="20"/>
  <c r="F26" i="11" s="1"/>
  <c r="O54" i="20"/>
  <c r="P54" i="20"/>
  <c r="Q54" i="20"/>
  <c r="Z54" i="33" l="1"/>
  <c r="AC54" i="33" s="1"/>
  <c r="AA54" i="33"/>
  <c r="AD54" i="33" s="1"/>
  <c r="M54" i="33"/>
  <c r="P54" i="33" s="1"/>
  <c r="N54" i="33"/>
  <c r="Q54" i="33" s="1"/>
  <c r="B50" i="33"/>
  <c r="D50" i="33" s="1"/>
  <c r="E30" i="11" s="1"/>
  <c r="B44" i="32"/>
  <c r="D44" i="32" s="1"/>
  <c r="D30" i="11" s="1"/>
  <c r="M48" i="32"/>
  <c r="P48" i="32" s="1"/>
  <c r="N48" i="32"/>
  <c r="Q48" i="32" s="1"/>
  <c r="AH49" i="32"/>
  <c r="AJ49" i="32" s="1"/>
  <c r="E48" i="43"/>
  <c r="B49" i="43"/>
  <c r="J48" i="43"/>
  <c r="C48" i="43"/>
  <c r="Z48" i="32"/>
  <c r="AC48" i="32" s="1"/>
  <c r="AA48" i="32"/>
  <c r="AD48" i="32" s="1"/>
  <c r="V55" i="33"/>
  <c r="X55" i="33" s="1"/>
  <c r="V49" i="32"/>
  <c r="X49" i="32" s="1"/>
  <c r="H49" i="43"/>
  <c r="I48" i="43"/>
  <c r="I49" i="32"/>
  <c r="K49" i="32" s="1"/>
  <c r="I55" i="33"/>
  <c r="K55" i="33" s="1"/>
  <c r="K48" i="43"/>
  <c r="F49" i="43"/>
  <c r="G48" i="43"/>
  <c r="AM48" i="32"/>
  <c r="AP48" i="32" s="1"/>
  <c r="AL48" i="32"/>
  <c r="AO48" i="32" s="1"/>
  <c r="A45" i="23"/>
  <c r="B45" i="23" s="1"/>
  <c r="K26" i="11"/>
  <c r="P26" i="11" s="1"/>
  <c r="Q26" i="11" s="1"/>
  <c r="S54" i="20"/>
  <c r="F27" i="11" s="1"/>
  <c r="O55" i="20"/>
  <c r="P55" i="20"/>
  <c r="Q55" i="20"/>
  <c r="N55" i="33" l="1"/>
  <c r="Q55" i="33" s="1"/>
  <c r="M55" i="33"/>
  <c r="P55" i="33" s="1"/>
  <c r="M49" i="32"/>
  <c r="P49" i="32" s="1"/>
  <c r="N49" i="32"/>
  <c r="Q49" i="32" s="1"/>
  <c r="I50" i="32"/>
  <c r="K50" i="32" s="1"/>
  <c r="I56" i="33"/>
  <c r="K56" i="33" s="1"/>
  <c r="K49" i="43"/>
  <c r="F50" i="43"/>
  <c r="G49" i="43"/>
  <c r="V50" i="32"/>
  <c r="X50" i="32" s="1"/>
  <c r="V56" i="33"/>
  <c r="X56" i="33" s="1"/>
  <c r="I49" i="43"/>
  <c r="H50" i="43"/>
  <c r="B45" i="32"/>
  <c r="D45" i="32" s="1"/>
  <c r="D31" i="11" s="1"/>
  <c r="AL49" i="32"/>
  <c r="AO49" i="32" s="1"/>
  <c r="AM49" i="32"/>
  <c r="AP49" i="32" s="1"/>
  <c r="AH50" i="32"/>
  <c r="AJ50" i="32" s="1"/>
  <c r="J49" i="43"/>
  <c r="B50" i="43"/>
  <c r="C49" i="43"/>
  <c r="E49" i="43"/>
  <c r="B51" i="33"/>
  <c r="D51" i="33" s="1"/>
  <c r="E31" i="11" s="1"/>
  <c r="Z49" i="32"/>
  <c r="AC49" i="32" s="1"/>
  <c r="AA49" i="32"/>
  <c r="AD49" i="32" s="1"/>
  <c r="Z55" i="33"/>
  <c r="AC55" i="33" s="1"/>
  <c r="AA55" i="33"/>
  <c r="AD55" i="33" s="1"/>
  <c r="A46" i="23"/>
  <c r="B46" i="23" s="1"/>
  <c r="K27" i="11"/>
  <c r="P27" i="11" s="1"/>
  <c r="Q27" i="11" s="1"/>
  <c r="S55" i="20"/>
  <c r="F28" i="11" s="1"/>
  <c r="O56" i="20"/>
  <c r="P56" i="20"/>
  <c r="Q56" i="20"/>
  <c r="B52" i="33" l="1"/>
  <c r="D52" i="33" s="1"/>
  <c r="E32" i="11" s="1"/>
  <c r="I57" i="33"/>
  <c r="K57" i="33" s="1"/>
  <c r="I51" i="32"/>
  <c r="K51" i="32" s="1"/>
  <c r="K50" i="43"/>
  <c r="G50" i="43"/>
  <c r="F51" i="43"/>
  <c r="M56" i="33"/>
  <c r="P56" i="33" s="1"/>
  <c r="N56" i="33"/>
  <c r="Q56" i="33" s="1"/>
  <c r="V57" i="33"/>
  <c r="X57" i="33" s="1"/>
  <c r="V51" i="32"/>
  <c r="X51" i="32" s="1"/>
  <c r="H51" i="43"/>
  <c r="I50" i="43"/>
  <c r="N50" i="32"/>
  <c r="Q50" i="32" s="1"/>
  <c r="M50" i="32"/>
  <c r="P50" i="32" s="1"/>
  <c r="AH51" i="32"/>
  <c r="AJ51" i="32" s="1"/>
  <c r="J50" i="43"/>
  <c r="B51" i="43"/>
  <c r="E50" i="43"/>
  <c r="C50" i="43"/>
  <c r="Z56" i="33"/>
  <c r="AC56" i="33" s="1"/>
  <c r="AA56" i="33"/>
  <c r="AD56" i="33" s="1"/>
  <c r="B46" i="32"/>
  <c r="D46" i="32" s="1"/>
  <c r="D32" i="11" s="1"/>
  <c r="AA50" i="32"/>
  <c r="AD50" i="32" s="1"/>
  <c r="Z50" i="32"/>
  <c r="AC50" i="32" s="1"/>
  <c r="AM50" i="32"/>
  <c r="AP50" i="32" s="1"/>
  <c r="AL50" i="32"/>
  <c r="AO50" i="32" s="1"/>
  <c r="A47" i="23"/>
  <c r="B47" i="23" s="1"/>
  <c r="K28" i="11"/>
  <c r="P28" i="11" s="1"/>
  <c r="Q28" i="11" s="1"/>
  <c r="S56" i="20"/>
  <c r="F29" i="11" s="1"/>
  <c r="O57" i="20"/>
  <c r="P57" i="20"/>
  <c r="Q57" i="20"/>
  <c r="AL51" i="32" l="1"/>
  <c r="AO51" i="32" s="1"/>
  <c r="AM51" i="32"/>
  <c r="AP51" i="32" s="1"/>
  <c r="B53" i="33"/>
  <c r="D53" i="33" s="1"/>
  <c r="E33" i="11" s="1"/>
  <c r="B47" i="32"/>
  <c r="D47" i="32" s="1"/>
  <c r="D33" i="11" s="1"/>
  <c r="I52" i="32"/>
  <c r="K52" i="32" s="1"/>
  <c r="I58" i="33"/>
  <c r="K58" i="33" s="1"/>
  <c r="K51" i="43"/>
  <c r="G51" i="43"/>
  <c r="AH52" i="32"/>
  <c r="AJ52" i="32" s="1"/>
  <c r="C51" i="43"/>
  <c r="J51" i="43"/>
  <c r="E51" i="43"/>
  <c r="I51" i="43"/>
  <c r="V58" i="33"/>
  <c r="X58" i="33" s="1"/>
  <c r="V52" i="32"/>
  <c r="X52" i="32" s="1"/>
  <c r="M51" i="32"/>
  <c r="P51" i="32" s="1"/>
  <c r="N51" i="32"/>
  <c r="Q51" i="32" s="1"/>
  <c r="Z57" i="33"/>
  <c r="AC57" i="33" s="1"/>
  <c r="AA57" i="33"/>
  <c r="AD57" i="33" s="1"/>
  <c r="AA51" i="32"/>
  <c r="AD51" i="32" s="1"/>
  <c r="Z51" i="32"/>
  <c r="AC51" i="32" s="1"/>
  <c r="M57" i="33"/>
  <c r="P57" i="33" s="1"/>
  <c r="N57" i="33"/>
  <c r="Q57" i="33" s="1"/>
  <c r="A48" i="23"/>
  <c r="B48" i="23" s="1"/>
  <c r="K29" i="11"/>
  <c r="P29" i="11" s="1"/>
  <c r="Q29" i="11" s="1"/>
  <c r="S57" i="20"/>
  <c r="F30" i="11" s="1"/>
  <c r="O58" i="20"/>
  <c r="P58" i="20"/>
  <c r="Q58" i="20"/>
  <c r="N58" i="33" l="1"/>
  <c r="Q58" i="33" s="1"/>
  <c r="M58" i="33"/>
  <c r="P58" i="33" s="1"/>
  <c r="N52" i="32"/>
  <c r="Q52" i="32" s="1"/>
  <c r="M52" i="32"/>
  <c r="P52" i="32" s="1"/>
  <c r="B48" i="32"/>
  <c r="D48" i="32" s="1"/>
  <c r="D34" i="11" s="1"/>
  <c r="B54" i="33"/>
  <c r="D54" i="33" s="1"/>
  <c r="E34" i="11" s="1"/>
  <c r="AA52" i="32"/>
  <c r="AD52" i="32" s="1"/>
  <c r="Z52" i="32"/>
  <c r="AC52" i="32" s="1"/>
  <c r="Z58" i="33"/>
  <c r="AC58" i="33" s="1"/>
  <c r="AA58" i="33"/>
  <c r="AD58" i="33" s="1"/>
  <c r="AL52" i="32"/>
  <c r="AO52" i="32" s="1"/>
  <c r="AM52" i="32"/>
  <c r="AP52" i="32" s="1"/>
  <c r="A49" i="23"/>
  <c r="B49" i="23" s="1"/>
  <c r="K30" i="11"/>
  <c r="P30" i="11" s="1"/>
  <c r="Q30" i="11" s="1"/>
  <c r="S58" i="20"/>
  <c r="F31" i="11" s="1"/>
  <c r="O59" i="20"/>
  <c r="P59" i="20"/>
  <c r="Q59" i="20"/>
  <c r="B49" i="32" l="1"/>
  <c r="D49" i="32" s="1"/>
  <c r="D35" i="11" s="1"/>
  <c r="B55" i="33"/>
  <c r="D55" i="33" s="1"/>
  <c r="E35" i="11" s="1"/>
  <c r="E37" i="11" s="1"/>
  <c r="D8" i="38" s="1"/>
  <c r="A50" i="23"/>
  <c r="B50" i="23" s="1"/>
  <c r="K31" i="11"/>
  <c r="P31" i="11" s="1"/>
  <c r="Q31" i="11" s="1"/>
  <c r="S59" i="20"/>
  <c r="F32" i="11" s="1"/>
  <c r="O60" i="20"/>
  <c r="P60" i="20"/>
  <c r="Q60" i="20"/>
  <c r="D37" i="11" l="1"/>
  <c r="D7" i="38" s="1"/>
  <c r="D36" i="11"/>
  <c r="C7" i="38" s="1"/>
  <c r="E36" i="11"/>
  <c r="C8" i="38" s="1"/>
  <c r="A51" i="23"/>
  <c r="B51" i="23" s="1"/>
  <c r="K32" i="11"/>
  <c r="P32" i="11" s="1"/>
  <c r="Q32" i="11" s="1"/>
  <c r="S60" i="20"/>
  <c r="F33" i="11" s="1"/>
  <c r="O61" i="20"/>
  <c r="P61" i="20"/>
  <c r="Q61" i="20"/>
  <c r="A52" i="23" l="1"/>
  <c r="B52" i="23" s="1"/>
  <c r="K33" i="11"/>
  <c r="P33" i="11" s="1"/>
  <c r="Q33" i="11" s="1"/>
  <c r="S61" i="20"/>
  <c r="F34" i="11" s="1"/>
  <c r="O62" i="20"/>
  <c r="P62" i="20"/>
  <c r="Q62" i="20"/>
  <c r="K34" i="11" l="1"/>
  <c r="P34" i="11" s="1"/>
  <c r="Q34" i="11" s="1"/>
  <c r="S62" i="20"/>
  <c r="F35" i="11" s="1"/>
  <c r="F37" i="11" s="1"/>
  <c r="D9" i="38" l="1"/>
  <c r="F36" i="11"/>
  <c r="C9" i="38" s="1"/>
  <c r="K35" i="11"/>
  <c r="K37" i="11" s="1"/>
  <c r="G9" i="38" l="1"/>
  <c r="G6" i="38"/>
  <c r="G7" i="38"/>
  <c r="G5" i="38"/>
  <c r="G8" i="38"/>
  <c r="K36" i="11"/>
  <c r="P35" i="11"/>
  <c r="Q35" i="11" l="1"/>
  <c r="Q37" i="11" s="1"/>
  <c r="P37" i="11"/>
  <c r="P36" i="11"/>
  <c r="B5" i="30" l="1"/>
  <c r="B8" i="30" l="1"/>
  <c r="C12" i="38" s="1"/>
  <c r="B7" i="30"/>
  <c r="C11" i="38" s="1"/>
</calcChain>
</file>

<file path=xl/sharedStrings.xml><?xml version="1.0" encoding="utf-8"?>
<sst xmlns="http://schemas.openxmlformats.org/spreadsheetml/2006/main" count="993" uniqueCount="559">
  <si>
    <t>Total Discounted Benefits</t>
  </si>
  <si>
    <t>Total Discounted Costs</t>
  </si>
  <si>
    <t>Net Present Value</t>
  </si>
  <si>
    <t>Benefit Cost Ratio</t>
  </si>
  <si>
    <t>Year</t>
  </si>
  <si>
    <t>Capital Cost</t>
  </si>
  <si>
    <t>Discounted Capital Cost</t>
  </si>
  <si>
    <t>Operations and Maintenance</t>
  </si>
  <si>
    <t>Safety</t>
  </si>
  <si>
    <t>Travel Time Savings</t>
  </si>
  <si>
    <t>Vehicle Operating Cost Savings</t>
  </si>
  <si>
    <t>Health Benefits</t>
  </si>
  <si>
    <t>Amenity Benefits</t>
  </si>
  <si>
    <t>Other Benefit 1</t>
  </si>
  <si>
    <t>Other Benefit 2</t>
  </si>
  <si>
    <t>Other Benefit 3</t>
  </si>
  <si>
    <t>Other Benefit 4</t>
  </si>
  <si>
    <t>Total Benefits</t>
  </si>
  <si>
    <t>Residual Value</t>
  </si>
  <si>
    <t>Total</t>
  </si>
  <si>
    <t>KABCO Level</t>
  </si>
  <si>
    <t>O - No Injury</t>
  </si>
  <si>
    <t>C - Possible Injury</t>
  </si>
  <si>
    <t>B - Non-incapacitating</t>
  </si>
  <si>
    <t>A - Incapacitating</t>
  </si>
  <si>
    <t>K - Killed</t>
  </si>
  <si>
    <t>U - Injured (Severity Unknown)</t>
  </si>
  <si>
    <t>Crash Type</t>
  </si>
  <si>
    <t>Injury Crash</t>
  </si>
  <si>
    <t>Fatal Crash</t>
  </si>
  <si>
    <t>Recommended Hourly Values of Travel Time Savings</t>
  </si>
  <si>
    <t>Category</t>
  </si>
  <si>
    <t>Hourly Value</t>
  </si>
  <si>
    <t>General Travel Time</t>
  </si>
  <si>
    <t>Truck Drivers</t>
  </si>
  <si>
    <t>Bus Drivers</t>
  </si>
  <si>
    <t>Transit Rail Operators</t>
  </si>
  <si>
    <t>Locomotive Engineers</t>
  </si>
  <si>
    <r>
      <t>Personal</t>
    </r>
    <r>
      <rPr>
        <vertAlign val="superscript"/>
        <sz val="11"/>
        <color rgb="FF1F497D"/>
        <rFont val="Times New Roman"/>
        <family val="1"/>
      </rPr>
      <t>1</t>
    </r>
  </si>
  <si>
    <r>
      <t>Business</t>
    </r>
    <r>
      <rPr>
        <vertAlign val="superscript"/>
        <sz val="11"/>
        <color rgb="FF1F497D"/>
        <rFont val="Times New Roman"/>
        <family val="1"/>
      </rPr>
      <t>2</t>
    </r>
  </si>
  <si>
    <r>
      <t>All Purpose</t>
    </r>
    <r>
      <rPr>
        <vertAlign val="superscript"/>
        <sz val="11"/>
        <color rgb="FF1F497D"/>
        <rFont val="Times New Roman"/>
        <family val="1"/>
      </rPr>
      <t>3</t>
    </r>
  </si>
  <si>
    <r>
      <t>Walking, Cycling, Waiting, Standing, and Transfer Time</t>
    </r>
    <r>
      <rPr>
        <vertAlign val="superscript"/>
        <sz val="11"/>
        <color rgb="FF1F497D"/>
        <rFont val="Times New Roman"/>
        <family val="1"/>
      </rPr>
      <t>4</t>
    </r>
  </si>
  <si>
    <r>
      <t>Commercial Vehicle Operators</t>
    </r>
    <r>
      <rPr>
        <vertAlign val="superscript"/>
        <sz val="11"/>
        <color rgb="FF1F497D"/>
        <rFont val="Times New Roman"/>
        <family val="1"/>
      </rPr>
      <t>5</t>
    </r>
  </si>
  <si>
    <t>2)  Weighted average based on a typical distribution of local travel by surface modes (88.2% personal, 11.8% business). Applicants should apply their own distribution of business versus personal travel where such information is available.</t>
  </si>
  <si>
    <t>4)  Should be applied only when actions affect those elements of travel time.</t>
  </si>
  <si>
    <t>5)  Includes only the value of time for the operator, not passengers or freight.</t>
  </si>
  <si>
    <t>Vehicle Type</t>
  </si>
  <si>
    <t>Average Occupancy</t>
  </si>
  <si>
    <t>Passenger Vehicles (Weekday Off-Peak)</t>
  </si>
  <si>
    <t>Passenger Vehicles (Weekend)</t>
  </si>
  <si>
    <t>Passenger Vehicles (All Travel)</t>
  </si>
  <si>
    <r>
      <t>Passenger Vehicles (Weekday Peak)</t>
    </r>
    <r>
      <rPr>
        <vertAlign val="superscript"/>
        <sz val="11"/>
        <color rgb="FF1F497D"/>
        <rFont val="Times New Roman"/>
        <family val="1"/>
      </rPr>
      <t>1</t>
    </r>
  </si>
  <si>
    <t>1) Weekday peak period values calculated for trips starting between 6:00 AM-8:59 AM and 4:00 PM-6:59 PM.</t>
  </si>
  <si>
    <t>1)  Based on an average light duty vehicle and includes operating costs such as gasoline, maintenance, tires, and depreciation (assuming an average of 15,000 miles driven per year). The value omits other ownership costs that are mostly fixed or transfers (insurance, license, registration, taxes, and financing charges).</t>
  </si>
  <si>
    <t>2)  Value includes fuel costs, truck/trailer lease or purchase payments, repair and maintenance, truck insurance premiums, permits and licenses, and tires. The value omits tolls (which are transfers), and driver wages and benefits (which are already included in the value of travel time savings).</t>
  </si>
  <si>
    <t>Emission Type</t>
  </si>
  <si>
    <t>Table A-6: Damage Costs for Emissions per Metric Ton*</t>
  </si>
  <si>
    <t>Table A-7: Inflation Adjustment Values</t>
  </si>
  <si>
    <t>Base Year of Nominal Dollar</t>
  </si>
  <si>
    <t>Table A-8: Pedestrian Facility Improvements Revealed Preference Values</t>
  </si>
  <si>
    <t>Improvement Type</t>
  </si>
  <si>
    <t>Reducing Upslope by 1%</t>
  </si>
  <si>
    <t>Reducing Traffic Volume by 1 Vehicle per Hour (for ADT &lt;55,000)</t>
  </si>
  <si>
    <t>Install Signal for Pedestrian Crossing on Roadway with Volumes ≥13,000 Vehicles per Day</t>
  </si>
  <si>
    <t>1)   These values assume an average walking trip speed of 3.2 miles per hour. For the mile-based benefits, the estimated value per user should be capped at 0.86 miles, the average length of a walking trip in the 2017 National Household Travel Survey, unless the applicant has specific documentation suggesting longer trips or that a trip shorter than 0.86 miles is not feasible on the facility in question. In other words, applicants should not assume all pedestrians travel the full distance of a proposed facility if the facility is longer than 0.86 miles without a clear justification for doing so.</t>
  </si>
  <si>
    <t>2)   Value for sidewalk width expansion applicable for sidewalks up to approximately 31 feet, benefits for expansions beyond this width should be described qualitatively.</t>
  </si>
  <si>
    <t>Table A-9: Cycling Facility Improvement Revealed Preference Values</t>
  </si>
  <si>
    <t>Facility Type</t>
  </si>
  <si>
    <t>Cycling Path with At-Grade Crossings</t>
  </si>
  <si>
    <t>Dedicated Cycling Lane</t>
  </si>
  <si>
    <t>Cycling Boulevard/“Sharrow”</t>
  </si>
  <si>
    <t>Separated Cycle Track</t>
  </si>
  <si>
    <r>
      <t>Cycling Path with no At-Grade Crossings</t>
    </r>
    <r>
      <rPr>
        <vertAlign val="superscript"/>
        <sz val="11"/>
        <color rgb="FF1F497D"/>
        <rFont val="Times New Roman"/>
        <family val="1"/>
      </rPr>
      <t>2</t>
    </r>
  </si>
  <si>
    <t>2) The value for a cycling path with no at-grade intersections is higher due to an assumption of higher average speed of 12.1 miles per hour, resulting in less time on the facility, which lowers journey quality benefits but increases travel time savings.</t>
  </si>
  <si>
    <t>1) Values should only be applied over sections for which a comparable parallel facility is not available, and only applies to miles cycled on the project facility. These values assume an average cycling trip speed of 9.8 miles per hour or, in the case of off-street paths with no at-grade crossings, a free-flow cycling speed of 12.1 miles per hour. The estimated value per cyclist should be capped at 2.38 miles, the average length of a cycling trip in the 2017 National Household Travel Survey, unless the applicant has specific documentation suggesting longer trips or that a trip shorter than 2.38 miles is not feasible on the facility in question. In other words, applicants should not assume all cyclists travel the full distance of a proposed facility if the facility is longer than 2.38 miles without a clear justification for doing so.</t>
  </si>
  <si>
    <r>
      <t>Light Duty Vehicles</t>
    </r>
    <r>
      <rPr>
        <vertAlign val="superscript"/>
        <sz val="11"/>
        <color theme="1"/>
        <rFont val="Times New Roman"/>
        <family val="1"/>
      </rPr>
      <t>1</t>
    </r>
  </si>
  <si>
    <r>
      <t>Commercial Trucks</t>
    </r>
    <r>
      <rPr>
        <vertAlign val="superscript"/>
        <sz val="11"/>
        <color theme="1"/>
        <rFont val="Times New Roman"/>
        <family val="1"/>
      </rPr>
      <t>2</t>
    </r>
  </si>
  <si>
    <r>
      <t>**Applicants should be careful to not apply the PM</t>
    </r>
    <r>
      <rPr>
        <vertAlign val="subscript"/>
        <sz val="11"/>
        <color rgb="FF1F497D"/>
        <rFont val="Times New Roman"/>
        <family val="1"/>
      </rPr>
      <t>2.5</t>
    </r>
    <r>
      <rPr>
        <sz val="11"/>
        <color rgb="FF1F497D"/>
        <rFont val="Times New Roman"/>
        <family val="1"/>
      </rPr>
      <t xml:space="preserve"> value to estimates of total emissions of PM</t>
    </r>
    <r>
      <rPr>
        <vertAlign val="subscript"/>
        <sz val="11"/>
        <color rgb="FF1F497D"/>
        <rFont val="Times New Roman"/>
        <family val="1"/>
      </rPr>
      <t>10</t>
    </r>
    <r>
      <rPr>
        <sz val="11"/>
        <color rgb="FF1F497D"/>
        <rFont val="Times New Roman"/>
        <family val="1"/>
      </rPr>
      <t>.</t>
    </r>
  </si>
  <si>
    <r>
      <t>Expand Sidewalk (per foot of added width)</t>
    </r>
    <r>
      <rPr>
        <vertAlign val="superscript"/>
        <sz val="11"/>
        <color rgb="FF1F497D"/>
        <rFont val="Times New Roman"/>
        <family val="1"/>
      </rPr>
      <t>2</t>
    </r>
  </si>
  <si>
    <t>Reducing Traffic Speed by 1 mph (for speeds ≤45 mph)</t>
  </si>
  <si>
    <t>Install Marked-Crosswalk on Roadway with Volumes ≥10,000 Vehicle per Day</t>
  </si>
  <si>
    <t>Table A-10: Transit Facility Amenity Revealed and Stated Preference Values</t>
  </si>
  <si>
    <t>Attribute Type</t>
  </si>
  <si>
    <t>Bus</t>
  </si>
  <si>
    <t>Bus Stop</t>
  </si>
  <si>
    <t>Rail Station</t>
  </si>
  <si>
    <t>Light Rail /Streetcar Stop</t>
  </si>
  <si>
    <t>Clocks</t>
  </si>
  <si>
    <t>Electronic Real-Time Information Displays</t>
  </si>
  <si>
    <t>Information /Emergency Button</t>
  </si>
  <si>
    <t>PA System</t>
  </si>
  <si>
    <t>Restroom Availability</t>
  </si>
  <si>
    <t>Retail/Food Outlet Availability</t>
  </si>
  <si>
    <t>Staff Availability</t>
  </si>
  <si>
    <t>Step-Free Access to Station/Stop</t>
  </si>
  <si>
    <t>Step-Free Access to Vehicle</t>
  </si>
  <si>
    <t>Surveillance Cameras</t>
  </si>
  <si>
    <t>Ticket Machines</t>
  </si>
  <si>
    <t>Timetables</t>
  </si>
  <si>
    <t>Bike Facilities</t>
  </si>
  <si>
    <t>*</t>
  </si>
  <si>
    <t>Car Access Facilities</t>
  </si>
  <si>
    <t>Elevator</t>
  </si>
  <si>
    <t>Escalators</t>
  </si>
  <si>
    <t>On-Site Ticket Office</t>
  </si>
  <si>
    <t>Taxi Pickup/Dropoff</t>
  </si>
  <si>
    <r>
      <t>Platform/Stop Seating Availability</t>
    </r>
    <r>
      <rPr>
        <vertAlign val="superscript"/>
        <sz val="11"/>
        <color rgb="FF1F497D"/>
        <rFont val="Times New Roman"/>
        <family val="1"/>
      </rPr>
      <t>1</t>
    </r>
  </si>
  <si>
    <r>
      <t>Platform/Stop Weather Protection</t>
    </r>
    <r>
      <rPr>
        <vertAlign val="superscript"/>
        <sz val="11"/>
        <color rgb="FF1F497D"/>
        <rFont val="Times New Roman"/>
        <family val="1"/>
      </rPr>
      <t>1</t>
    </r>
  </si>
  <si>
    <r>
      <t>Temperature Controlled Environment</t>
    </r>
    <r>
      <rPr>
        <vertAlign val="superscript"/>
        <sz val="11"/>
        <color rgb="FF1F497D"/>
        <rFont val="Times New Roman"/>
        <family val="1"/>
      </rPr>
      <t>1</t>
    </r>
  </si>
  <si>
    <r>
      <t>Waiting Room</t>
    </r>
    <r>
      <rPr>
        <vertAlign val="superscript"/>
        <sz val="11"/>
        <color rgb="FF1F497D"/>
        <rFont val="Times New Roman"/>
        <family val="1"/>
      </rPr>
      <t>1</t>
    </r>
  </si>
  <si>
    <t>1)  Note that seating availability and weather protection refer to seats, canopies, or wind shelters on the platforms themselves, whereas temperature-controlled environment refers to an indoor facility with heating and air conditioning availability. A waiting room refers to a designated indoor environment with seating availability, separate from platform seating, which may or may not be temperature controlled.</t>
  </si>
  <si>
    <t>Table A-11: Transit Vehicle Amenity Values</t>
  </si>
  <si>
    <t>Light Rail /Streetcar</t>
  </si>
  <si>
    <t>Rail</t>
  </si>
  <si>
    <t>Handrails</t>
  </si>
  <si>
    <t>Luggage Storage</t>
  </si>
  <si>
    <t>Temperature Control</t>
  </si>
  <si>
    <t>Wheelchair Space</t>
  </si>
  <si>
    <t>Food Service Availability</t>
  </si>
  <si>
    <t>Table A-12: Transit Mode Ride and Boarding Quality Revealed Preference Values</t>
  </si>
  <si>
    <t>Transit Mode</t>
  </si>
  <si>
    <t>Streetcar or On-Street Light Rail Transit</t>
  </si>
  <si>
    <t>Off-Street Light Rail Transit</t>
  </si>
  <si>
    <t>Heavy Rail</t>
  </si>
  <si>
    <t>Commuter Rail</t>
  </si>
  <si>
    <r>
      <t>Low-Intensive BRT</t>
    </r>
    <r>
      <rPr>
        <vertAlign val="superscript"/>
        <sz val="11"/>
        <color theme="1"/>
        <rFont val="Calibri"/>
        <family val="2"/>
        <scheme val="minor"/>
      </rPr>
      <t>2</t>
    </r>
  </si>
  <si>
    <r>
      <t>Medium-Intensive BRT</t>
    </r>
    <r>
      <rPr>
        <vertAlign val="superscript"/>
        <sz val="11"/>
        <color theme="1"/>
        <rFont val="Calibri"/>
        <family val="2"/>
        <scheme val="minor"/>
      </rPr>
      <t>2</t>
    </r>
  </si>
  <si>
    <r>
      <t>High-Intensive BRT</t>
    </r>
    <r>
      <rPr>
        <vertAlign val="superscript"/>
        <sz val="11"/>
        <color theme="1"/>
        <rFont val="Calibri"/>
        <family val="2"/>
        <scheme val="minor"/>
      </rPr>
      <t>2,3</t>
    </r>
  </si>
  <si>
    <r>
      <t>Ferry</t>
    </r>
    <r>
      <rPr>
        <vertAlign val="superscript"/>
        <sz val="11"/>
        <color theme="1"/>
        <rFont val="Calibri"/>
        <family val="2"/>
        <scheme val="minor"/>
      </rPr>
      <t>3</t>
    </r>
  </si>
  <si>
    <t>1) Values applicable when base case is transit use of standard on-street bus, the reference case used to create these values. When comparing other types of modal shift, the differences between the relevant modal values above should be used.</t>
  </si>
  <si>
    <t>2) Low-intensive BRT would include special service branding, low floor vehicles, at least 50 percent of route in dedicated lanes and potentially shared turns and the remainder in mixed-traffic, some signal priority, level boarding, off-board fare collection, and visually distinct stations. Medium-intensive BRT would include features of Low-intensive BRT but have 100 percent of the route in dedicated lanes, traffic signal priority throughout the corridor, and median-running service or right-turn prohibitions. High-intensive BRT would have a completely sealed right-of-way with no traffic interference and traffic signal preemption, akin to a “rubber-tired railroad.”</t>
  </si>
  <si>
    <t>Table A-13: Mortality Reduction Benefits of Induced Active Transportation Values</t>
  </si>
  <si>
    <t>Table A-14: External Highway Use Costs</t>
  </si>
  <si>
    <t>Mode</t>
  </si>
  <si>
    <r>
      <t>Walking</t>
    </r>
    <r>
      <rPr>
        <vertAlign val="superscript"/>
        <sz val="11"/>
        <color theme="1"/>
        <rFont val="Calibri"/>
        <family val="2"/>
        <scheme val="minor"/>
      </rPr>
      <t>1</t>
    </r>
  </si>
  <si>
    <r>
      <t>Cycling</t>
    </r>
    <r>
      <rPr>
        <vertAlign val="superscript"/>
        <sz val="11"/>
        <color theme="1"/>
        <rFont val="Calibri"/>
        <family val="2"/>
        <scheme val="minor"/>
      </rPr>
      <t>2</t>
    </r>
  </si>
  <si>
    <t>Ages 20-74</t>
  </si>
  <si>
    <t>Ages 20-64</t>
  </si>
  <si>
    <t xml:space="preserve">1)   Based on an assumed average walking speed of 3.2 miles per hour, an assumed average age of the relevant age range (20-74 years) of 45, a corresponding baseline mortality risk of 267.1 per 100,000, an annual risk reduction of 8.6 percent per daily mile walked, and an average walking trip distance of 0.86 miles. </t>
  </si>
  <si>
    <t>2)   Based on an assumed average cycling speed of 9.8 miles per hour, an assumed average age of the relevant age range (20-64 years) of 42, a corresponding baseline mortality risk of 217.9 per 100,000, an annual risk reduction of 4.3 percent per daily mile cycled, and an average cycling trip distance of 2.38 miles.</t>
  </si>
  <si>
    <t>3)   Absent more localized data on the proportion of the expected users falling into the age ranges above, applicants may apply a general assumption of 68% and 59% of overall induced trips falling into the walking and cycling age ranges, respectively, assuming a distribution matching the national average.</t>
  </si>
  <si>
    <t xml:space="preserve">4)   Applicants should ensure these monetization values are only applied to trips induced from non-active transportation modes within the relevant age ranges for each mode. Absent more localized data on the proportion of induced trips coming from non-active transportation modes, applicants may apply a general assumption of 89% of induced trips falling into that category, assuming a distribution matching the national average travel pattern. </t>
  </si>
  <si>
    <t>Vehicle Type and Location</t>
  </si>
  <si>
    <t>Congestion</t>
  </si>
  <si>
    <t>Noise</t>
  </si>
  <si>
    <t>Safety Cost</t>
  </si>
  <si>
    <t>Light-Duty Vehicles - Urban</t>
  </si>
  <si>
    <t>Light-Duty Vehicles - Rural</t>
  </si>
  <si>
    <t>Light-Duty Vehicles – All Locations</t>
  </si>
  <si>
    <t>Buses and Trucks - Urban</t>
  </si>
  <si>
    <t>Buses and Trucks - Rural</t>
  </si>
  <si>
    <t>Buses and Trucks – All Locations</t>
  </si>
  <si>
    <t>All Vehicles - Urban</t>
  </si>
  <si>
    <t>All Vehicles - Rural</t>
  </si>
  <si>
    <t>All Vehicles – All Locations</t>
  </si>
  <si>
    <t>Capital Cost in Year-of-Expenditure Dollars</t>
  </si>
  <si>
    <t>3) The Capital Investment Grant program has to date not completed a before-and-after study of ridership on a ferry project or a high-intensive BRT as described above, and thus does not have a calibrated estimate for the fixedguideway setting for those modes. Thus, these values represent the current best estimates, considering average station and ride quality relative to other transit modes.</t>
  </si>
  <si>
    <t>&lt;- Benefit Name</t>
  </si>
  <si>
    <t>Model Base Year</t>
  </si>
  <si>
    <t>Workspace - Applicants may create new sheets for more space</t>
  </si>
  <si>
    <t>Note that not all projects will have all benefit categories. Conversely, if more categories are needed, applicants may need to add additional columns, but be sure to edit the formula under "Total Benefits" to ensure all benefits are being correctly summed.</t>
  </si>
  <si>
    <t>Net Change in Operations and Maintenance Costs</t>
  </si>
  <si>
    <t>Opening Year</t>
  </si>
  <si>
    <t>Length of Construction/Project Development Period (in Years)</t>
  </si>
  <si>
    <t>Operational Period Length</t>
  </si>
  <si>
    <t>&lt;-Enter a whole number value between 1 and 15, only include project development years after the model base year</t>
  </si>
  <si>
    <t>Safety Benefits</t>
  </si>
  <si>
    <t>Travel Time Benefits</t>
  </si>
  <si>
    <t>Final Analysis Year</t>
  </si>
  <si>
    <t>No Build Operations and Maintenance Costs</t>
  </si>
  <si>
    <t>Build Operations and Maintenance Costs</t>
  </si>
  <si>
    <t>No Build Safety Costs</t>
  </si>
  <si>
    <t>Build Safety Costs</t>
  </si>
  <si>
    <t>No Build Travel Time Costs</t>
  </si>
  <si>
    <t>Build Travel Time Costs</t>
  </si>
  <si>
    <t>No Build Vehicle Operating Costs</t>
  </si>
  <si>
    <t>Build Vehicle Operating Costs</t>
  </si>
  <si>
    <t>Discounted Total</t>
  </si>
  <si>
    <t>Applicants should fill out this sheet first, before moving on to the remainder of the template sheets.</t>
  </si>
  <si>
    <t xml:space="preserve">In this "Capital Costs" sheet,  values should be entered as year-of-expenditure dollars. The template will automatically apply discounting to all costs and benefits for you. </t>
  </si>
  <si>
    <t>Business</t>
  </si>
  <si>
    <t>All Purpose</t>
  </si>
  <si>
    <t>Walking, Cycling, Waiting, Standing, and Transfer Time</t>
  </si>
  <si>
    <t>Commercial Vehicle Operators</t>
  </si>
  <si>
    <t>Personal</t>
  </si>
  <si>
    <t>Pedestrians</t>
  </si>
  <si>
    <t>Cyclists</t>
  </si>
  <si>
    <t>Vehicles</t>
  </si>
  <si>
    <t>Trucks</t>
  </si>
  <si>
    <t>Trains</t>
  </si>
  <si>
    <t>No Build</t>
  </si>
  <si>
    <t>Build</t>
  </si>
  <si>
    <t>[Other Modes]</t>
  </si>
  <si>
    <t>Light Duty Vehicles</t>
  </si>
  <si>
    <t>Commercial Trucks</t>
  </si>
  <si>
    <t>Applicable Age Range</t>
  </si>
  <si>
    <t>Walking</t>
  </si>
  <si>
    <t>Cycling</t>
  </si>
  <si>
    <t>---------------------------------------------------------------------------------------------------------------------------------------------------------------------------------------------------------------</t>
  </si>
  <si>
    <t>-------------------------------------------------------------------------------------------------------------------------------------------------------------------------------------------------------------</t>
  </si>
  <si>
    <t>What You Need</t>
  </si>
  <si>
    <t>Notes</t>
  </si>
  <si>
    <t>Parameter Values</t>
  </si>
  <si>
    <t>-</t>
  </si>
  <si>
    <r>
      <t>Applicable Age Range</t>
    </r>
    <r>
      <rPr>
        <vertAlign val="superscript"/>
        <sz val="11"/>
        <color theme="0"/>
        <rFont val="Calibri"/>
        <family val="2"/>
        <scheme val="minor"/>
      </rPr>
      <t>3</t>
    </r>
  </si>
  <si>
    <r>
      <t>NO</t>
    </r>
    <r>
      <rPr>
        <vertAlign val="subscript"/>
        <sz val="11"/>
        <color theme="0"/>
        <rFont val="Times New Roman"/>
        <family val="1"/>
      </rPr>
      <t>X</t>
    </r>
  </si>
  <si>
    <r>
      <t>SO</t>
    </r>
    <r>
      <rPr>
        <vertAlign val="subscript"/>
        <sz val="11"/>
        <color theme="0"/>
        <rFont val="Times New Roman"/>
        <family val="1"/>
      </rPr>
      <t>X</t>
    </r>
  </si>
  <si>
    <r>
      <t>PM</t>
    </r>
    <r>
      <rPr>
        <vertAlign val="subscript"/>
        <sz val="11"/>
        <color theme="0"/>
        <rFont val="Times New Roman"/>
        <family val="1"/>
      </rPr>
      <t>2.5</t>
    </r>
    <r>
      <rPr>
        <sz val="11"/>
        <color theme="0"/>
        <rFont val="Times New Roman"/>
        <family val="1"/>
      </rPr>
      <t>**</t>
    </r>
  </si>
  <si>
    <t>Project Information</t>
  </si>
  <si>
    <t>Table 1. Project Information</t>
  </si>
  <si>
    <t>Variable</t>
  </si>
  <si>
    <t>Value</t>
  </si>
  <si>
    <t>If you do not wish to use this sheet, simply leave the values blank and move on to the next sheet.</t>
  </si>
  <si>
    <t xml:space="preserve">Users are free to use only the necessary columns for their application and/or to add additional columns as necessary. </t>
  </si>
  <si>
    <t>Table 1. BCA Results</t>
  </si>
  <si>
    <t>Table 1. Volumes by Mode</t>
  </si>
  <si>
    <t>Capital Costs</t>
  </si>
  <si>
    <t>Benefit Cost Analysis Results</t>
  </si>
  <si>
    <t>Summary by Benefit Area</t>
  </si>
  <si>
    <t>Operations and Maintenance Costs</t>
  </si>
  <si>
    <t>Vehicle Operating Costs</t>
  </si>
  <si>
    <t>Emissions Reduction</t>
  </si>
  <si>
    <r>
      <t>No Build NO</t>
    </r>
    <r>
      <rPr>
        <vertAlign val="subscript"/>
        <sz val="11"/>
        <color theme="0"/>
        <rFont val="Calibri"/>
        <family val="2"/>
        <scheme val="minor"/>
      </rPr>
      <t>x</t>
    </r>
    <r>
      <rPr>
        <sz val="11"/>
        <color theme="0"/>
        <rFont val="Calibri"/>
        <family val="2"/>
        <scheme val="minor"/>
      </rPr>
      <t xml:space="preserve"> (mt)</t>
    </r>
  </si>
  <si>
    <r>
      <t>Build NO</t>
    </r>
    <r>
      <rPr>
        <vertAlign val="subscript"/>
        <sz val="11"/>
        <color theme="0"/>
        <rFont val="Calibri"/>
        <family val="2"/>
        <scheme val="minor"/>
      </rPr>
      <t>x</t>
    </r>
    <r>
      <rPr>
        <sz val="11"/>
        <color theme="0"/>
        <rFont val="Calibri"/>
        <family val="2"/>
        <scheme val="minor"/>
      </rPr>
      <t xml:space="preserve"> (mt)</t>
    </r>
  </si>
  <si>
    <r>
      <t>No Build SO</t>
    </r>
    <r>
      <rPr>
        <vertAlign val="subscript"/>
        <sz val="11"/>
        <color theme="0"/>
        <rFont val="Calibri"/>
        <family val="2"/>
        <scheme val="minor"/>
      </rPr>
      <t>x</t>
    </r>
    <r>
      <rPr>
        <sz val="11"/>
        <color theme="0"/>
        <rFont val="Calibri"/>
        <family val="2"/>
        <scheme val="minor"/>
      </rPr>
      <t xml:space="preserve"> (mt)</t>
    </r>
  </si>
  <si>
    <r>
      <t>Build SO</t>
    </r>
    <r>
      <rPr>
        <vertAlign val="subscript"/>
        <sz val="11"/>
        <color theme="0"/>
        <rFont val="Calibri"/>
        <family val="2"/>
        <scheme val="minor"/>
      </rPr>
      <t>x</t>
    </r>
    <r>
      <rPr>
        <sz val="11"/>
        <color theme="0"/>
        <rFont val="Calibri"/>
        <family val="2"/>
        <scheme val="minor"/>
      </rPr>
      <t xml:space="preserve"> (mt)</t>
    </r>
  </si>
  <si>
    <r>
      <t>No Build PM</t>
    </r>
    <r>
      <rPr>
        <vertAlign val="subscript"/>
        <sz val="11"/>
        <color theme="0"/>
        <rFont val="Calibri"/>
        <family val="2"/>
        <scheme val="minor"/>
      </rPr>
      <t>2.5</t>
    </r>
    <r>
      <rPr>
        <sz val="11"/>
        <color theme="0"/>
        <rFont val="Calibri"/>
        <family val="2"/>
        <scheme val="minor"/>
      </rPr>
      <t xml:space="preserve"> (mt)</t>
    </r>
  </si>
  <si>
    <r>
      <t>Build PM</t>
    </r>
    <r>
      <rPr>
        <vertAlign val="subscript"/>
        <sz val="11"/>
        <color theme="0"/>
        <rFont val="Calibri"/>
        <family val="2"/>
        <scheme val="minor"/>
      </rPr>
      <t>2.5</t>
    </r>
    <r>
      <rPr>
        <sz val="11"/>
        <color theme="0"/>
        <rFont val="Calibri"/>
        <family val="2"/>
        <scheme val="minor"/>
      </rPr>
      <t xml:space="preserve"> (mt)</t>
    </r>
  </si>
  <si>
    <r>
      <t>NO</t>
    </r>
    <r>
      <rPr>
        <vertAlign val="subscript"/>
        <sz val="11"/>
        <color theme="0"/>
        <rFont val="Calibri"/>
        <family val="2"/>
        <scheme val="minor"/>
      </rPr>
      <t>x</t>
    </r>
  </si>
  <si>
    <r>
      <t>SO</t>
    </r>
    <r>
      <rPr>
        <vertAlign val="subscript"/>
        <sz val="11"/>
        <color theme="0"/>
        <rFont val="Calibri"/>
        <family val="2"/>
        <scheme val="minor"/>
      </rPr>
      <t>x</t>
    </r>
  </si>
  <si>
    <r>
      <t>PM</t>
    </r>
    <r>
      <rPr>
        <vertAlign val="subscript"/>
        <sz val="11"/>
        <color theme="0"/>
        <rFont val="Calibri"/>
        <family val="2"/>
        <scheme val="minor"/>
      </rPr>
      <t>2.5</t>
    </r>
  </si>
  <si>
    <t>This is an extra benefit sheet for an additional benefit category not captured elsewhere</t>
  </si>
  <si>
    <t xml:space="preserve">Note that if more than four "other benefit" categories are needed, applicants may create a copy of this sheet (and rename accordingly). </t>
  </si>
  <si>
    <t>Additionally, the formulas in the "Total Benefits" column may need to be adjusted to ensure all benefits are being summed correctly.</t>
  </si>
  <si>
    <t>Additionally, the "Summary" sheet will need to be edited to include additional columns for benefits.</t>
  </si>
  <si>
    <t>Table 1. Summary of Benefits</t>
  </si>
  <si>
    <t>Table 2. Summary of Costs</t>
  </si>
  <si>
    <t>Note that not all projects will have benefits in all categories. In such cases, simply leave the input values in that sheet as zeros and move to the next sheet.</t>
  </si>
  <si>
    <t>Table 1. Recommended Monetization Values</t>
  </si>
  <si>
    <t>Table 2. Safety</t>
  </si>
  <si>
    <t>Table 2. Travel Time Savings</t>
  </si>
  <si>
    <t>Table 2. Vehicle Operating Costs</t>
  </si>
  <si>
    <t>Table 2. Amenity Benefits</t>
  </si>
  <si>
    <t>Table 2. Health Benefits</t>
  </si>
  <si>
    <t>Table 1. Other Benefit</t>
  </si>
  <si>
    <t xml:space="preserve">For recommended monetization values, please refer to the Parameter Values tab directly. </t>
  </si>
  <si>
    <t>There are numerous potential values for pedestrian facilities, bicycle facilities, transit vehicles, and transit stations.</t>
  </si>
  <si>
    <t>Table 1. Operations and Maintenance</t>
  </si>
  <si>
    <t>Table 1. Capital Costs</t>
  </si>
  <si>
    <r>
      <t xml:space="preserve">•  	</t>
    </r>
    <r>
      <rPr>
        <b/>
        <sz val="11"/>
        <rFont val="Calibri"/>
        <family val="2"/>
        <scheme val="minor"/>
      </rPr>
      <t xml:space="preserve">Deleting a Tab. </t>
    </r>
    <r>
      <rPr>
        <sz val="11"/>
        <rFont val="Calibri"/>
        <family val="2"/>
        <scheme val="minor"/>
      </rPr>
      <t>Do not delete tabs. If a tab is not needed, simply skip it.</t>
    </r>
  </si>
  <si>
    <t>Avoided Externalities</t>
  </si>
  <si>
    <t>Congestion Cost per VMT</t>
  </si>
  <si>
    <t>Noise Cost per VMT</t>
  </si>
  <si>
    <t>Safety Cost per VMT</t>
  </si>
  <si>
    <t>Table 2. Avoided Externality Benefits</t>
  </si>
  <si>
    <t>Avoided Highway Externality</t>
  </si>
  <si>
    <r>
      <t xml:space="preserve">•  	</t>
    </r>
    <r>
      <rPr>
        <b/>
        <sz val="11"/>
        <rFont val="Calibri"/>
        <family val="2"/>
        <scheme val="minor"/>
      </rPr>
      <t xml:space="preserve">Build vs No Build. </t>
    </r>
    <r>
      <rPr>
        <sz val="11"/>
        <rFont val="Calibri"/>
        <family val="2"/>
        <scheme val="minor"/>
      </rPr>
      <t>If you only have data for the difference between the Build and No Build scenarios, enter this data into the "Build" column and leave the "No Build" values at $0. This will still appropriately estimate the benefit</t>
    </r>
  </si>
  <si>
    <t>&lt;-The BCR will be estimated once capital costs are entered in the 'Capital Cost' sheet</t>
  </si>
  <si>
    <t>Table A-1a: Value of Reduced Fatalities, Injuries, and Crashes</t>
  </si>
  <si>
    <t>PDO Crash</t>
  </si>
  <si>
    <t>Table A-2: Value of Travel Time Savings</t>
  </si>
  <si>
    <t>Table A-3: Average Vehicle Occupancy Rates for Highway Passenger Vehicles</t>
  </si>
  <si>
    <t>Table A-4: Vehicle Operating Costs</t>
  </si>
  <si>
    <t>Table A-5: Train Operating and Social Costs</t>
  </si>
  <si>
    <t>*Applicants should carefully note whether their emissions data is reported in short tons or metric tons. A metric ton is equal to 1.1023 short tons.</t>
  </si>
  <si>
    <t>Train and Movement Type</t>
  </si>
  <si>
    <t>Idling</t>
  </si>
  <si>
    <t>Freight Train</t>
  </si>
  <si>
    <t>Commuter Train</t>
  </si>
  <si>
    <t>Amtrak Long-Distance</t>
  </si>
  <si>
    <t>Amtrak State-Supported</t>
  </si>
  <si>
    <t>Hauling</t>
  </si>
  <si>
    <t>All Movements</t>
  </si>
  <si>
    <t>Freight Railcar</t>
  </si>
  <si>
    <t>Operating Costs</t>
  </si>
  <si>
    <r>
      <t>Operating Costs</t>
    </r>
    <r>
      <rPr>
        <vertAlign val="superscript"/>
        <sz val="11"/>
        <color theme="0"/>
        <rFont val="Times New Roman"/>
        <family val="1"/>
      </rPr>
      <t>1</t>
    </r>
  </si>
  <si>
    <t>Table 2. Emissions</t>
  </si>
  <si>
    <t>Table 1. Emission Costs per VMT and Train-Hour</t>
  </si>
  <si>
    <t>First Year of Project Development/Construction</t>
  </si>
  <si>
    <t>Table 2. Residual Value</t>
  </si>
  <si>
    <t>Table 1. Useful Life</t>
  </si>
  <si>
    <t>Project Component</t>
  </si>
  <si>
    <t>[Text Describing Project Component]</t>
  </si>
  <si>
    <t>Useful Life (Years)</t>
  </si>
  <si>
    <r>
      <t xml:space="preserve">• </t>
    </r>
    <r>
      <rPr>
        <b/>
        <sz val="11"/>
        <rFont val="Calibri"/>
        <family val="2"/>
        <scheme val="minor"/>
      </rPr>
      <t>Input, Optional, and No-Input cells.</t>
    </r>
  </si>
  <si>
    <r>
      <rPr>
        <b/>
        <sz val="11"/>
        <rFont val="Calibri"/>
        <family val="2"/>
        <scheme val="minor"/>
      </rPr>
      <t>•  Parameter Values.</t>
    </r>
    <r>
      <rPr>
        <sz val="11"/>
        <rFont val="Calibri"/>
        <family val="2"/>
        <scheme val="minor"/>
      </rPr>
      <t xml:space="preserve"> This template provides a copy of the Appendix A tables from the USDOT BCA guidance document in a spreadsheet format, located on the "Parameter Values" sheet. </t>
    </r>
  </si>
  <si>
    <t>Source: USDOT BCA Guidance (Appendix A)</t>
  </si>
  <si>
    <t>This sheet provides a copy of parameter and monetization values from Appendix A of the USDOT BCA Guidance, and is provided for convenience.</t>
  </si>
  <si>
    <t>User Volumes</t>
  </si>
  <si>
    <t>Users can use whichever units are of interest to their application (for example: number of users, average annual daily traffic, person miles traveled, vehicle miles traveled).</t>
  </si>
  <si>
    <t>Whether amounts are entered in dollar form OR direct units of emissions, the template will automatically apply discounting to all costs and benefits for you.</t>
  </si>
  <si>
    <t xml:space="preserve">To calculate overall residual value for the entire project automatically, simply enter a useful life in the first row of Table 1 below. </t>
  </si>
  <si>
    <t>Total Residual Value</t>
  </si>
  <si>
    <t>Overall Project if One Component</t>
  </si>
  <si>
    <t>If there are multiple distinct components with unique useful lives, use multiple rows as needed and override the formula and names in the input cells of Table 1 below.</t>
  </si>
  <si>
    <t>&lt;-For project development costs prior to the model base year, enter into the "Capital Cost" tab in the cell for previously incurred costs</t>
  </si>
  <si>
    <t>For projects that involve capacity expansion or represent purely operational improvements, no residual value should be assumed.</t>
  </si>
  <si>
    <t>To remove the residual value, please enter "0" in the blue cell below in lieu of the automatic calculation</t>
  </si>
  <si>
    <t>Applicants should use this sheet for general operations and maintenance, as well as any recapitalization costs that will be needed for project components over the course of the analysis period.</t>
  </si>
  <si>
    <t>To avoid double-counting of benefits, applicants should not enter the same emission data as BOTH a dollar value and as units of emissions.</t>
  </si>
  <si>
    <t>Unique to this sheet, the template will automatically apply the correct monetization values for units of emissions.</t>
  </si>
  <si>
    <t>USDOT Benefit-Cost Analysis Spreadsheet Template</t>
  </si>
  <si>
    <t>What is the USDOT Benefit-Cost Analysis Spreadsheet Template?</t>
  </si>
  <si>
    <t xml:space="preserve">The USDOT Benefit-Cost Analysis Spreadsheet Template is being offered as a resource to applicants to help them get started on their BCA. Applicants are NOT required to use this template, it is simply offered as a convenience. </t>
  </si>
  <si>
    <t>•	  Understanding of the project and the problem it is intended to solve.</t>
  </si>
  <si>
    <t>•	  The estimated costs of the project.</t>
  </si>
  <si>
    <t>•	  Information needed to estimate the benefits of the project (e.g., number users, baseline conditions, measures of effectiveness, expected service life).</t>
  </si>
  <si>
    <r>
      <t xml:space="preserve">      o Green, </t>
    </r>
    <r>
      <rPr>
        <b/>
        <sz val="11"/>
        <rFont val="Calibri"/>
        <family val="2"/>
        <scheme val="minor"/>
      </rPr>
      <t>bold</t>
    </r>
    <r>
      <rPr>
        <sz val="11"/>
        <rFont val="Calibri"/>
        <family val="2"/>
        <scheme val="minor"/>
      </rPr>
      <t xml:space="preserve">, and </t>
    </r>
    <r>
      <rPr>
        <u/>
        <sz val="11"/>
        <rFont val="Calibri"/>
        <family val="2"/>
        <scheme val="minor"/>
      </rPr>
      <t>underlined</t>
    </r>
    <r>
      <rPr>
        <sz val="11"/>
        <rFont val="Calibri"/>
        <family val="2"/>
        <scheme val="minor"/>
      </rPr>
      <t xml:space="preserve"> cells represent user input cells. These cells are available for input from the user.</t>
    </r>
  </si>
  <si>
    <r>
      <t xml:space="preserve">      o Blue and </t>
    </r>
    <r>
      <rPr>
        <i/>
        <sz val="11"/>
        <rFont val="Calibri"/>
        <family val="2"/>
        <scheme val="minor"/>
      </rPr>
      <t xml:space="preserve">italic </t>
    </r>
    <r>
      <rPr>
        <sz val="11"/>
        <rFont val="Calibri"/>
        <family val="2"/>
        <scheme val="minor"/>
      </rPr>
      <t>cells represent cells where the user may want to edit the formula depending on their project details</t>
    </r>
  </si>
  <si>
    <t xml:space="preserve">      o Gray and plain text cells represent a cell that does not require user input, and should not be edited.</t>
  </si>
  <si>
    <t>Model Date</t>
  </si>
  <si>
    <t>&lt;-See USDOT BCA Guidance for discussion of how to determine the appropriate operational period length</t>
  </si>
  <si>
    <t>This is an optional sheet to aid in displaying user volumes, note that it does not automatically link to any other sheet and is provided for convenience and organizational purposes.</t>
  </si>
  <si>
    <t>Annual Inflation Rate Used to Convert Constant Dollars to Year-of-Expenditure Dollars</t>
  </si>
  <si>
    <t>Other Highway Use Externalities</t>
  </si>
  <si>
    <t>Undiscounted Total</t>
  </si>
  <si>
    <t>Table A-1b: Value of Reduced Fatal, Injury, and PDO Crashes</t>
  </si>
  <si>
    <t>To manually calculate the residual value, please enter your estimated value in the blue italicized cell below in lieu of the automatic calculation</t>
  </si>
  <si>
    <r>
      <t>Emission Costs</t>
    </r>
    <r>
      <rPr>
        <vertAlign val="superscript"/>
        <sz val="11"/>
        <color theme="0"/>
        <rFont val="Times New Roman"/>
        <family val="1"/>
      </rPr>
      <t>2</t>
    </r>
  </si>
  <si>
    <t>2)  Emissions are based on the current diesel-electric locomotive fleet average, and thus the emission values above should not be applied in cases where new locomotives are being acquired or in cases of electrified rail. The monetization applies the 2035-year emission value to approximate increasing emission damage costs over time.</t>
  </si>
  <si>
    <t>1)  Includes fuel cost, depreciation, and labor cost.</t>
  </si>
  <si>
    <t>2)   Emission rates are based on estimates from EPA’s MOVES Model. The monetization applies the 2035-year emission value to approximate increasing emission damage costs over time.</t>
  </si>
  <si>
    <r>
      <t>Emission Cost</t>
    </r>
    <r>
      <rPr>
        <vertAlign val="superscript"/>
        <sz val="11"/>
        <color theme="0"/>
        <rFont val="Times New Roman"/>
        <family val="1"/>
      </rPr>
      <t>2</t>
    </r>
  </si>
  <si>
    <t>Emissions</t>
  </si>
  <si>
    <t>No Build Emission Costs ($)</t>
  </si>
  <si>
    <t>Build Emission Costs ($)</t>
  </si>
  <si>
    <t>Emission Reduction</t>
  </si>
  <si>
    <t>Monetized Value (2024 $)</t>
  </si>
  <si>
    <t>1)  Values for personal travel based on local travel values as described in USDOT’s Value of Travel Time guidance. Where applicants also have specific information on the mix of local versus long-distance travel (i.e., trips over 50 miles in length) on a facility, then the local travel values of time may be blended with the long-distance personal travel value of $28.20 per hour.</t>
  </si>
  <si>
    <t>3)  Note that business travel does not include commuting travel, which should be valued at the personal travel rate. Travel on high-speed rail service that would be competitive with air travel should be valued at $53.50 per hour for personal travel and $86.00 for business travel.</t>
  </si>
  <si>
    <t>(2024 $ per person-hour)</t>
  </si>
  <si>
    <t>Recommended Value per Mile (2024 $)</t>
  </si>
  <si>
    <t>Recommended Value per Hour (2024 $)</t>
  </si>
  <si>
    <t>Multiplier to Adjust to Real 2024 $</t>
  </si>
  <si>
    <r>
      <t>Recommended Value per Person-Mile Walked (2024 $)</t>
    </r>
    <r>
      <rPr>
        <vertAlign val="superscript"/>
        <sz val="11"/>
        <color theme="0"/>
        <rFont val="Times New Roman"/>
        <family val="1"/>
      </rPr>
      <t>1</t>
    </r>
  </si>
  <si>
    <r>
      <t>Recommended Value per Use (2024 $)</t>
    </r>
    <r>
      <rPr>
        <vertAlign val="superscript"/>
        <sz val="11"/>
        <color theme="0"/>
        <rFont val="Times New Roman"/>
        <family val="1"/>
      </rPr>
      <t>1</t>
    </r>
  </si>
  <si>
    <r>
      <t>Recommended Value per Cycling Mile (2024 $)</t>
    </r>
    <r>
      <rPr>
        <vertAlign val="superscript"/>
        <sz val="11"/>
        <color theme="0"/>
        <rFont val="Times New Roman"/>
        <family val="1"/>
      </rPr>
      <t>1</t>
    </r>
  </si>
  <si>
    <t>Recommended Value per User Trip (2024 $)</t>
  </si>
  <si>
    <r>
      <t>Boarding Quality Benefit (Per Boarding) (2024 $)</t>
    </r>
    <r>
      <rPr>
        <vertAlign val="superscript"/>
        <sz val="11"/>
        <color theme="0"/>
        <rFont val="Calibri"/>
        <family val="2"/>
        <scheme val="minor"/>
      </rPr>
      <t>1</t>
    </r>
  </si>
  <si>
    <r>
      <t>Vehicle Ride Quality Benefit (Per Passenger Hour) (2024 $)</t>
    </r>
    <r>
      <rPr>
        <vertAlign val="superscript"/>
        <sz val="11"/>
        <color theme="0"/>
        <rFont val="Calibri"/>
        <family val="2"/>
        <scheme val="minor"/>
      </rPr>
      <t>1</t>
    </r>
  </si>
  <si>
    <r>
      <t>Recommended Value per Induced Trip (2024 $)</t>
    </r>
    <r>
      <rPr>
        <vertAlign val="superscript"/>
        <sz val="11"/>
        <color theme="0"/>
        <rFont val="Calibri"/>
        <family val="2"/>
        <scheme val="minor"/>
      </rPr>
      <t>4</t>
    </r>
  </si>
  <si>
    <r>
      <t>Recommended Value of Cost per Vehicle Mile Traveled (2024 $)</t>
    </r>
    <r>
      <rPr>
        <vertAlign val="superscript"/>
        <sz val="11"/>
        <color theme="0"/>
        <rFont val="Times New Roman"/>
        <family val="1"/>
      </rPr>
      <t>1</t>
    </r>
  </si>
  <si>
    <t>1)   Congestion costs updated from the 1997 Highway Cost Allocation Study to reflect increased traffic volumes, changes in vehicle occupancy, and increases in the value of time per person-hour since that time. Both congestion and noise costs are also adjusted from 1994 dollars to 2024 dollars using the GDP deflator.</t>
  </si>
  <si>
    <t>Previously Incurred Costs (in 2024$)</t>
  </si>
  <si>
    <t xml:space="preserve">All values entered into input cells in this sheet should be entered as undiscounted 2024 dollar values. The template will automatically apply discounting to all costs and benefits for you. </t>
  </si>
  <si>
    <t>Hourly Value (2024 $)</t>
  </si>
  <si>
    <t xml:space="preserve">Unique to this sheet, applicants may either input monetized emissions in 2024 dollars OR enter the direct emission amounts in the table below, in which case they must be entered in the form of METRIC TONS. A metric ton is equal to 1.1023 short tons. </t>
  </si>
  <si>
    <t>Recommended Value per Induced Trip (2024 $)</t>
  </si>
  <si>
    <t>Capital Cost (2024 $)</t>
  </si>
  <si>
    <t>Cost in Constant Dollars (2024 $)</t>
  </si>
  <si>
    <t>7% NPV Summary</t>
  </si>
  <si>
    <t>Total Benefits (Undiscounted)</t>
  </si>
  <si>
    <t>Benefits</t>
  </si>
  <si>
    <t>Costs</t>
  </si>
  <si>
    <t>Benefit Categories (% of Total)</t>
  </si>
  <si>
    <t>Maintenance Cost Savings</t>
  </si>
  <si>
    <t>Benefit-Cost Ratio</t>
  </si>
  <si>
    <t>1 ▸ BCA FRAMEWORK</t>
  </si>
  <si>
    <t>Parameter</t>
  </si>
  <si>
    <t>Unit</t>
  </si>
  <si>
    <t>Status</t>
  </si>
  <si>
    <t>Source / Note</t>
  </si>
  <si>
    <t>Discount rate</t>
  </si>
  <si>
    <t>% real</t>
  </si>
  <si>
    <t>Model base year</t>
  </si>
  <si>
    <t>year</t>
  </si>
  <si>
    <t>Construction start year</t>
  </si>
  <si>
    <t>Construction end year</t>
  </si>
  <si>
    <t>Opening year (benefits start)</t>
  </si>
  <si>
    <t>Operational analysis period</t>
  </si>
  <si>
    <t>years</t>
  </si>
  <si>
    <t>Final analysis year</t>
  </si>
  <si>
    <t>Total project cost</t>
  </si>
  <si>
    <t>$</t>
  </si>
  <si>
    <t>2 ▸ PROJECT COMPONENTS &amp; TRAFFIC</t>
  </si>
  <si>
    <t>Component</t>
  </si>
  <si>
    <t>WIN</t>
  </si>
  <si>
    <t>Project Cost ($)</t>
  </si>
  <si>
    <t>AADT (vpd)</t>
  </si>
  <si>
    <t>Truck %</t>
  </si>
  <si>
    <t>Note</t>
  </si>
  <si>
    <t>26338.00</t>
  </si>
  <si>
    <t>26344.00</t>
  </si>
  <si>
    <t>26468.00</t>
  </si>
  <si>
    <t>Total Project Cost</t>
  </si>
  <si>
    <t>Source</t>
  </si>
  <si>
    <t>VOT — Passenger vehicle (personal travel)</t>
  </si>
  <si>
    <t>$/person-hr</t>
  </si>
  <si>
    <t>Table A-2, USDOT BCA Guidance Nov. 2024</t>
  </si>
  <si>
    <t>VOT — Commercial truck (combination, long-haul)</t>
  </si>
  <si>
    <t>$/vehicle-hr</t>
  </si>
  <si>
    <t>Table A-2</t>
  </si>
  <si>
    <t>$/mile</t>
  </si>
  <si>
    <t>Table A-3, USDOT BCA Guidance</t>
  </si>
  <si>
    <t>Table A-3</t>
  </si>
  <si>
    <t>Crash cost — K (Killed)</t>
  </si>
  <si>
    <t>$/crash</t>
  </si>
  <si>
    <t>Table A-1a, USDOT BCA Guidance</t>
  </si>
  <si>
    <t>Crash cost — A (Incapacitating injury)</t>
  </si>
  <si>
    <t>Table A-1a</t>
  </si>
  <si>
    <t>Crash cost — B (Non-incapacitating)</t>
  </si>
  <si>
    <t>Crash cost — C (Possible injury)</t>
  </si>
  <si>
    <t>Crash cost — PDO (No injury)</t>
  </si>
  <si>
    <t>Truck emissions rate (criteria pollutants)</t>
  </si>
  <si>
    <t>$/truck-mile</t>
  </si>
  <si>
    <t>Table A-14, USDOT BCA Guidance</t>
  </si>
  <si>
    <t>4 ▸ CRASH BASELINE  (Section Detail Totals, 2018–2025, 8-Year Average Annual)  —  Source: MaineDOT Office of Safety</t>
  </si>
  <si>
    <t>Crash Severity</t>
  </si>
  <si>
    <t>I-295 NB</t>
  </si>
  <si>
    <t>I-295 SB</t>
  </si>
  <si>
    <t>I-95 SB Newport</t>
  </si>
  <si>
    <t>I-95 NB Argyle</t>
  </si>
  <si>
    <t>K — Fatal</t>
  </si>
  <si>
    <t>A — Incapacitating Injury</t>
  </si>
  <si>
    <t>B — Non-incapacitating</t>
  </si>
  <si>
    <t>C — Possible Injury</t>
  </si>
  <si>
    <t>PDO — No Injury</t>
  </si>
  <si>
    <t>Total — All Severities</t>
  </si>
  <si>
    <t>Subset (for CMF application)</t>
  </si>
  <si>
    <t>Head-on + opp.-dir. sideswipe (cross-median proxy, 8-yr avg/yr)</t>
  </si>
  <si>
    <t>Crash Type table (Crash Summary II); 8-yr total ÷ 8</t>
  </si>
  <si>
    <t>Went Off Road — all severities (8-yr avg/yr)</t>
  </si>
  <si>
    <t>Crash Type table; 8-yr total ÷ 8</t>
  </si>
  <si>
    <t>5 ▸ CRASH MODIFICATION FACTORS (CMFs)  —  Source: FHWA CMF Clearinghouse / NCHRP 641</t>
  </si>
  <si>
    <t>Treatment / Crash Population</t>
  </si>
  <si>
    <t>CMF Value</t>
  </si>
  <si>
    <t>Applied To</t>
  </si>
  <si>
    <t>Segments</t>
  </si>
  <si>
    <t>Status / Source</t>
  </si>
  <si>
    <t>Cable median barrier + inside shoulder rumble strips — Injury &amp; Fatal (KABC)</t>
  </si>
  <si>
    <t>KABC crash population</t>
  </si>
  <si>
    <t>I-295 NB + SB only</t>
  </si>
  <si>
    <t>FHWA-HRT-17-071 (Srinivasan et al. 2017), Table 4. Std. Error 0.040. 95% CL.</t>
  </si>
  <si>
    <t>Cable median barrier + inside shoulder rumble strips — Cross-median crashes</t>
  </si>
  <si>
    <t>Head-on + opp.-dir. sideswipe subset</t>
  </si>
  <si>
    <t>FHWA-HRT-17-071, Table 4. Std. Error 0.053. 95% CL.</t>
  </si>
  <si>
    <t>Cable median barrier effect on total crashes (PDO INCREASE — use as offset)</t>
  </si>
  <si>
    <t>Total crashes (drives PDO increase)</t>
  </si>
  <si>
    <t>Shoulder rumble strips — Run-off-road fatal + injury (SVROR FI)</t>
  </si>
  <si>
    <t>Run-off-road injury+fatal subset</t>
  </si>
  <si>
    <t>I-95 SB Newport + I-95 NB Argyle</t>
  </si>
  <si>
    <t>NCHRP Report 641, Torbic et al. 2009. CMF Clearinghouse ID 206. 5-star; HSM-included.</t>
  </si>
  <si>
    <t>Pavement reconstruction — Skid resistance / wet-surface crashes</t>
  </si>
  <si>
    <t>Wet-surface crash subset only</t>
  </si>
  <si>
    <t>All 4 segments</t>
  </si>
  <si>
    <t>6 ▸ TRAFFIC GROWTH RATES</t>
  </si>
  <si>
    <t>rate/yr</t>
  </si>
  <si>
    <t>Annual AADT growth — I-95 segments</t>
  </si>
  <si>
    <t>7 ▸ O&amp;M COST ASSUMPTIONS</t>
  </si>
  <si>
    <t>Recurring annual No-Build maintenance (CY2025 actual, $)</t>
  </si>
  <si>
    <t>I-295
(combined)</t>
  </si>
  <si>
    <t>Annual incident events — No-Build Year 1</t>
  </si>
  <si>
    <t>events/yr</t>
  </si>
  <si>
    <t>Average delay per incident event</t>
  </si>
  <si>
    <t>min/event</t>
  </si>
  <si>
    <t>Share of AADT affected per event</t>
  </si>
  <si>
    <t>fraction</t>
  </si>
  <si>
    <t>No-Build incident frequency escalation rate</t>
  </si>
  <si>
    <t>Build incident frequency escalation rate</t>
  </si>
  <si>
    <t>Build eliminates deterioration-driven incidents; zero escalation.</t>
  </si>
  <si>
    <t>Weighted-avg incremental detour miles — No-Build</t>
  </si>
  <si>
    <t>miles</t>
  </si>
  <si>
    <t>% of Total</t>
  </si>
  <si>
    <t>$ Amount (Total Project)</t>
  </si>
  <si>
    <t>Safety Data  —  Crash Baseline &amp; CMF-Adjusted Expected Reductions</t>
  </si>
  <si>
    <t>TABLE 2 ▸  KABCO Severity — 8-Year Average Annual Crashes &amp; Monetized No-Build Cost (2024$)</t>
  </si>
  <si>
    <t>Severity Level</t>
  </si>
  <si>
    <t>I-295 NB
Avg/Yr</t>
  </si>
  <si>
    <t>I-295 SB
Avg/Yr</t>
  </si>
  <si>
    <t>I-95 SB
Avg/Yr</t>
  </si>
  <si>
    <t>I-95 NB
Avg/Yr</t>
  </si>
  <si>
    <t>Combined
Avg/Yr</t>
  </si>
  <si>
    <t>USDOT Unit Cost
(2024$, Table A-1a)</t>
  </si>
  <si>
    <t>Annual Monetized
Cost — No-Build ($)</t>
  </si>
  <si>
    <t>Combined No-Build annual monetized crash cost — sum of all severities × unit costs. This is your Year-1 No-Build baseline before traffic growth.</t>
  </si>
  <si>
    <t>TABLE 3 ▸  CMF Application — Expected Annual Crash Reduction &amp; Safety Benefit (Year 1 = 2033, 2024$)</t>
  </si>
  <si>
    <t>Segment / Treatment</t>
  </si>
  <si>
    <t>Crash Population
Targeted</t>
  </si>
  <si>
    <t>Baseline Avg
Crashes/Yr</t>
  </si>
  <si>
    <t>CMF
Value</t>
  </si>
  <si>
    <t>Expected Crashes/Yr
(After Treatment)</t>
  </si>
  <si>
    <t>Source / Star Rating</t>
  </si>
  <si>
    <t>KABC (K+A+B+C) injury+fatal crashes</t>
  </si>
  <si>
    <t>Benefit ✓</t>
  </si>
  <si>
    <t>FHWA-HRT-17-071, Table 4. SE=0.040. 95% CL. 5-star.</t>
  </si>
  <si>
    <t>Cross-median subset (head-on + opp.-dir. sideswipe)</t>
  </si>
  <si>
    <t>FHWA-HRT-17-071, Table 4. SE=0.053. 95% CL. Fatal-weighted unit cost.</t>
  </si>
  <si>
    <t>PDO offset — barrier increases total PDO crashes</t>
  </si>
  <si>
    <t>⚠ Offset — subtract</t>
  </si>
  <si>
    <t>FHWA-HRT-17-071, Table 4. Total crashes CMF=1.247. Offset = (CMF−1) × base × $5,500.</t>
  </si>
  <si>
    <t>KABC injury+fatal crashes</t>
  </si>
  <si>
    <t>Cross-median subset</t>
  </si>
  <si>
    <t>FHWA-HRT-17-071, Table 4.</t>
  </si>
  <si>
    <t>PDO offset</t>
  </si>
  <si>
    <t>Same logic as NB PDO offset.</t>
  </si>
  <si>
    <t>Run-off-road fatal+injury (SVROR FI)
Est. 30% of ROR crashes = injury/fatal</t>
  </si>
  <si>
    <t>NCHRP Report 641. 5-star; HSM-included.</t>
  </si>
  <si>
    <t>All Segments</t>
  </si>
  <si>
    <t>Wet-surface crashes (est. 15% of total combined)
Payement CMF — minor contributor</t>
  </si>
  <si>
    <t>Traffic Volumes  —  AADT, Truck/Auto Split &amp; 20-Year Projections (2025–2052)</t>
  </si>
  <si>
    <t>TABLE 1 ▸  Base Traffic Parameters — CY2025</t>
  </si>
  <si>
    <t>AADT — CY2025 (vpd)</t>
  </si>
  <si>
    <t>vpd</t>
  </si>
  <si>
    <t>Truck share (% of AADT)</t>
  </si>
  <si>
    <t>%</t>
  </si>
  <si>
    <t>Passenger auto share</t>
  </si>
  <si>
    <t>Daily trucks (vpd)</t>
  </si>
  <si>
    <t>Daily autos (vpd)</t>
  </si>
  <si>
    <t>Annual VMT (million mi)</t>
  </si>
  <si>
    <t>M veh-mi/yr</t>
  </si>
  <si>
    <t>TABLE 2 ▸  Annual AADT Projections by Segment — 2025 to 2052  (Opening Year 2033 bolded)</t>
  </si>
  <si>
    <t>I-295 NB/SB
AADT (vpd)</t>
  </si>
  <si>
    <t>I-295
Trucks/Day</t>
  </si>
  <si>
    <t>I-295
Truck %</t>
  </si>
  <si>
    <t>I-295
Autos/Day</t>
  </si>
  <si>
    <t>I-95 SB Newport
AADT (vpd)</t>
  </si>
  <si>
    <t>I-95 SB
Trucks/Day</t>
  </si>
  <si>
    <t>I-95 NB Argyle
AADT (vpd)</t>
  </si>
  <si>
    <t>I-95 NB
Trucks/Day</t>
  </si>
  <si>
    <t>I-295 AADT
Index (2033=1.00)</t>
  </si>
  <si>
    <t>I-95 AADT
Index (2033=1.00)</t>
  </si>
  <si>
    <t>—</t>
  </si>
  <si>
    <t>Length of Construction (years)</t>
  </si>
  <si>
    <t>Combined
8-Year Avg</t>
  </si>
  <si>
    <t>No Build Annual Safety Costs</t>
  </si>
  <si>
    <t>Build Annual Safety Costs</t>
  </si>
  <si>
    <t>VOC — Light Duty Vehicles</t>
  </si>
  <si>
    <t>VOC — Commercial Trucks</t>
  </si>
  <si>
    <t>Total Traffic</t>
  </si>
  <si>
    <t>% of Traffic Affected</t>
  </si>
  <si>
    <t>Traffic Affected</t>
  </si>
  <si>
    <t>Trucks (% of total traffic)</t>
  </si>
  <si>
    <t>Total Trucks</t>
  </si>
  <si>
    <t>Total Vehicles</t>
  </si>
  <si>
    <t>Vehicle Cost</t>
  </si>
  <si>
    <t>Truck Cost</t>
  </si>
  <si>
    <t>Incremental Miles</t>
  </si>
  <si>
    <t>Events per Year</t>
  </si>
  <si>
    <t>Incremental Hours</t>
  </si>
  <si>
    <t>I-295 (Combined)</t>
  </si>
  <si>
    <t>29472.00</t>
  </si>
  <si>
    <t>Annual average inflation</t>
  </si>
  <si>
    <t>9 ▸ CAPITAL COST SPENDING SCHEDULE</t>
  </si>
  <si>
    <t>USDOT BCA Guidance</t>
  </si>
  <si>
    <t>USDOT BCA Spreadsheet Template</t>
  </si>
  <si>
    <t xml:space="preserve">I-295 SB  Yarmouth – Falmouth </t>
  </si>
  <si>
    <t xml:space="preserve">I-295 NB  Topsham – Portland </t>
  </si>
  <si>
    <t xml:space="preserve">I-95 SB   Newport – Pittsfield </t>
  </si>
  <si>
    <t xml:space="preserve">I-95 NB   Argyle – Howland </t>
  </si>
  <si>
    <t xml:space="preserve">FHWA-HRT-17-071, Table 4. </t>
  </si>
  <si>
    <t>Unquantified. Applies to wet-surface subset only</t>
  </si>
  <si>
    <t xml:space="preserve">3 ▸ USDOT MONETIZATION VALUES (2024$) </t>
  </si>
  <si>
    <t>Annual AADT growth — I-295 segments</t>
  </si>
  <si>
    <t xml:space="preserve">8 ▸ DETOUR &amp; USER COST ASSUMPTIONS </t>
  </si>
  <si>
    <t>USDOT BCA Guidance Appendix A, Table A-1a (2024$).</t>
  </si>
  <si>
    <t>Same CMF as NB</t>
  </si>
  <si>
    <t>Unquantified</t>
  </si>
  <si>
    <t>Represents the net maintenance savings (No-Build - Build)</t>
  </si>
  <si>
    <t>Net Maintenance Savings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</si>
</sst>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6" formatCode="&quot;$&quot;#,##0_);[Red]\(&quot;$&quot;#,##0\)"/>
    <numFmt numFmtId="8" formatCode="&quot;$&quot;#,##0.00_);[Red]\(&quot;$&quot;#,##0.00\)"/>
    <numFmt numFmtId="44" formatCode="_(&quot;$&quot;* #,##0.00_);_(&quot;$&quot;* \(#,##0.00\);_(&quot;$&quot;* &quot;-&quot;??_);_(@_)"/>
    <numFmt numFmtId="43" formatCode="_(* #,##0.00_);_(* \(#,##0.00\);_(* &quot;-&quot;??_);_(@_)"/>
    <numFmt numFmtId="164" formatCode="&quot;$&quot;#,##0.00"/>
    <numFmt numFmtId="165" formatCode="&quot;$&quot;#,##0"/>
    <numFmt numFmtId="166" formatCode="&quot;$&quot;#,##0.0000"/>
    <numFmt numFmtId="167" formatCode="&quot;$&quot;#,##0.000_);[Red]\(&quot;$&quot;#,##0.000\)"/>
    <numFmt numFmtId="168" formatCode="&quot;$&quot;#,##0.0000_);[Red]\(&quot;$&quot;#,##0.0000\)"/>
    <numFmt numFmtId="169" formatCode="&quot;$&quot;#,##0.000"/>
    <numFmt numFmtId="170" formatCode="_(&quot;$&quot;* #,##0_);_(&quot;$&quot;* \(#,##0\);_(&quot;$&quot;* &quot;-&quot;??_);_(@_)"/>
    <numFmt numFmtId="171" formatCode="\$#,##0_);[Red]&quot;($&quot;#,##0\)"/>
    <numFmt numFmtId="172" formatCode="\$#,##0_);&quot;($&quot;#,##0\)"/>
    <numFmt numFmtId="173" formatCode="\$#,##0"/>
    <numFmt numFmtId="174" formatCode="0.0%"/>
    <numFmt numFmtId="175" formatCode="\$#,##0.00"/>
    <numFmt numFmtId="176" formatCode="0.0"/>
    <numFmt numFmtId="177" formatCode="0.000"/>
  </numFmts>
  <fonts count="64" x14ac:knownFonts="1">
    <font>
      <sz val="11"/>
      <color theme="1"/>
      <name val="Calibri"/>
      <family val="2"/>
      <scheme val="minor"/>
    </font>
    <font>
      <u/>
      <sz val="11"/>
      <color theme="10"/>
      <name val="Calibri"/>
      <family val="2"/>
      <scheme val="minor"/>
    </font>
    <font>
      <sz val="11"/>
      <color rgb="FF1F497D"/>
      <name val="Times New Roman"/>
      <family val="1"/>
    </font>
    <font>
      <vertAlign val="superscript"/>
      <sz val="11"/>
      <color rgb="FF1F497D"/>
      <name val="Times New Roman"/>
      <family val="1"/>
    </font>
    <font>
      <vertAlign val="superscript"/>
      <sz val="11"/>
      <color theme="1"/>
      <name val="Calibri"/>
      <family val="2"/>
      <scheme val="minor"/>
    </font>
    <font>
      <b/>
      <i/>
      <sz val="11"/>
      <color theme="8" tint="-0.249977111117893"/>
      <name val="Times New Roman"/>
      <family val="1"/>
    </font>
    <font>
      <sz val="11"/>
      <color theme="1"/>
      <name val="Times New Roman"/>
      <family val="1"/>
    </font>
    <font>
      <vertAlign val="superscript"/>
      <sz val="11"/>
      <color theme="1"/>
      <name val="Times New Roman"/>
      <family val="1"/>
    </font>
    <font>
      <vertAlign val="subscript"/>
      <sz val="11"/>
      <color rgb="FF1F497D"/>
      <name val="Times New Roman"/>
      <family val="1"/>
    </font>
    <font>
      <b/>
      <u/>
      <sz val="11"/>
      <color theme="1"/>
      <name val="Calibri"/>
      <family val="2"/>
      <scheme val="minor"/>
    </font>
    <font>
      <i/>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b/>
      <sz val="11"/>
      <color theme="0"/>
      <name val="Calibri"/>
      <family val="2"/>
      <scheme val="minor"/>
    </font>
    <font>
      <sz val="11"/>
      <color theme="0"/>
      <name val="Calibri"/>
      <family val="2"/>
      <scheme val="minor"/>
    </font>
    <font>
      <b/>
      <sz val="15"/>
      <name val="Calibri"/>
      <family val="2"/>
      <scheme val="minor"/>
    </font>
    <font>
      <sz val="12"/>
      <color theme="1"/>
      <name val="Calibri"/>
      <family val="2"/>
      <scheme val="minor"/>
    </font>
    <font>
      <sz val="11"/>
      <name val="Calibri"/>
      <family val="2"/>
      <scheme val="minor"/>
    </font>
    <font>
      <b/>
      <sz val="11"/>
      <name val="Calibri"/>
      <family val="2"/>
      <scheme val="minor"/>
    </font>
    <font>
      <b/>
      <sz val="16"/>
      <color theme="0"/>
      <name val="Calibri"/>
      <family val="2"/>
      <scheme val="minor"/>
    </font>
    <font>
      <b/>
      <sz val="11"/>
      <color theme="0"/>
      <name val="Times New Roman"/>
      <family val="1"/>
    </font>
    <font>
      <sz val="11"/>
      <color theme="0"/>
      <name val="Times New Roman"/>
      <family val="1"/>
    </font>
    <font>
      <vertAlign val="superscript"/>
      <sz val="11"/>
      <color theme="0"/>
      <name val="Times New Roman"/>
      <family val="1"/>
    </font>
    <font>
      <vertAlign val="superscript"/>
      <sz val="11"/>
      <color theme="0"/>
      <name val="Calibri"/>
      <family val="2"/>
      <scheme val="minor"/>
    </font>
    <font>
      <vertAlign val="subscript"/>
      <sz val="11"/>
      <color theme="0"/>
      <name val="Times New Roman"/>
      <family val="1"/>
    </font>
    <font>
      <sz val="14"/>
      <name val="Calibri"/>
      <family val="2"/>
      <scheme val="minor"/>
    </font>
    <font>
      <vertAlign val="subscript"/>
      <sz val="11"/>
      <color theme="0"/>
      <name val="Calibri"/>
      <family val="2"/>
      <scheme val="minor"/>
    </font>
    <font>
      <u/>
      <sz val="11"/>
      <name val="Calibri"/>
      <family val="2"/>
      <scheme val="minor"/>
    </font>
    <font>
      <i/>
      <sz val="11"/>
      <name val="Calibri"/>
      <family val="2"/>
      <scheme val="minor"/>
    </font>
    <font>
      <sz val="11"/>
      <color theme="1"/>
      <name val="Calibri"/>
      <family val="2"/>
      <charset val="1"/>
    </font>
    <font>
      <b/>
      <sz val="11"/>
      <color theme="0"/>
      <name val="Calibri"/>
      <family val="2"/>
      <charset val="1"/>
    </font>
    <font>
      <sz val="11"/>
      <color theme="0"/>
      <name val="Calibri"/>
      <family val="2"/>
      <charset val="1"/>
    </font>
    <font>
      <sz val="11"/>
      <color rgb="FFFF0000"/>
      <name val="Calibri"/>
      <family val="2"/>
      <charset val="1"/>
    </font>
    <font>
      <sz val="11"/>
      <color rgb="FF00B050"/>
      <name val="Calibri"/>
      <family val="2"/>
      <charset val="1"/>
    </font>
    <font>
      <i/>
      <sz val="11"/>
      <color theme="1"/>
      <name val="Calibri"/>
      <family val="2"/>
      <charset val="1"/>
    </font>
    <font>
      <b/>
      <sz val="11"/>
      <color theme="1"/>
      <name val="Calibri"/>
      <family val="2"/>
      <charset val="1"/>
    </font>
    <font>
      <b/>
      <i/>
      <sz val="11"/>
      <color theme="1"/>
      <name val="Calibri"/>
      <family val="2"/>
      <charset val="1"/>
    </font>
    <font>
      <b/>
      <sz val="9"/>
      <color rgb="FFFFFFFF"/>
      <name val="Arial"/>
      <family val="2"/>
    </font>
    <font>
      <b/>
      <sz val="10"/>
      <color rgb="FFFFFFFF"/>
      <name val="Arial"/>
      <family val="2"/>
    </font>
    <font>
      <sz val="9"/>
      <color rgb="FF000000"/>
      <name val="Arial"/>
      <family val="2"/>
    </font>
    <font>
      <b/>
      <sz val="9"/>
      <color rgb="FF000000"/>
      <name val="Arial"/>
      <family val="2"/>
    </font>
    <font>
      <b/>
      <sz val="11"/>
      <color theme="1"/>
      <name val="Calibri"/>
      <family val="2"/>
      <scheme val="minor"/>
    </font>
    <font>
      <i/>
      <sz val="9"/>
      <color rgb="FF505050"/>
      <name val="Arial"/>
      <family val="2"/>
    </font>
    <font>
      <b/>
      <sz val="8"/>
      <color rgb="FF9C6500"/>
      <name val="Arial"/>
      <family val="2"/>
    </font>
    <font>
      <b/>
      <sz val="11"/>
      <color rgb="FFFFFFFF"/>
      <name val="Arial"/>
      <family val="2"/>
    </font>
    <font>
      <b/>
      <sz val="9"/>
      <color rgb="FF0000FF"/>
      <name val="Arial"/>
      <family val="2"/>
    </font>
    <font>
      <sz val="9"/>
      <color rgb="FF505050"/>
      <name val="Arial"/>
      <family val="2"/>
    </font>
    <font>
      <b/>
      <sz val="8"/>
      <color rgb="FF006100"/>
      <name val="Arial"/>
      <family val="2"/>
    </font>
    <font>
      <i/>
      <sz val="8"/>
      <color rgb="FF5A5A5A"/>
      <name val="Arial"/>
      <family val="2"/>
    </font>
    <font>
      <i/>
      <sz val="8"/>
      <color rgb="FF9C6500"/>
      <name val="Arial"/>
      <family val="2"/>
    </font>
    <font>
      <i/>
      <sz val="9"/>
      <color rgb="FF000000"/>
      <name val="Arial"/>
      <family val="2"/>
    </font>
    <font>
      <b/>
      <sz val="13"/>
      <color rgb="FF1F4E78"/>
      <name val="Arial"/>
      <family val="2"/>
    </font>
    <font>
      <i/>
      <sz val="9"/>
      <name val="Arial"/>
      <family val="2"/>
    </font>
    <font>
      <b/>
      <sz val="9"/>
      <color rgb="FF006100"/>
      <name val="Arial"/>
      <family val="2"/>
    </font>
    <font>
      <b/>
      <sz val="9"/>
      <color rgb="FFCC0000"/>
      <name val="Arial"/>
      <family val="2"/>
    </font>
    <font>
      <sz val="9"/>
      <color rgb="FF808080"/>
      <name val="Arial"/>
      <family val="2"/>
    </font>
    <font>
      <b/>
      <sz val="9"/>
      <color rgb="FF1F4E78"/>
      <name val="Arial"/>
      <family val="2"/>
    </font>
    <font>
      <b/>
      <sz val="9"/>
      <color rgb="FF00B050"/>
      <name val="Arial"/>
      <family val="2"/>
    </font>
    <font>
      <b/>
      <sz val="9"/>
      <name val="Arial"/>
      <family val="2"/>
    </font>
    <font>
      <sz val="11"/>
      <color rgb="FF00B050"/>
      <name val="Calibri"/>
      <family val="2"/>
      <scheme val="minor"/>
    </font>
    <font>
      <b/>
      <sz val="9"/>
      <color rgb="FF0070C0"/>
      <name val="Arial"/>
      <family val="2"/>
    </font>
    <font>
      <b/>
      <u/>
      <sz val="11"/>
      <color rgb="FF0070C0"/>
      <name val="Calibri"/>
      <family val="2"/>
      <scheme val="minor"/>
    </font>
  </fonts>
  <fills count="32">
    <fill>
      <patternFill patternType="none"/>
    </fill>
    <fill>
      <patternFill patternType="gray125"/>
    </fill>
    <fill>
      <patternFill patternType="solid">
        <fgColor theme="9" tint="0.39997558519241921"/>
        <bgColor indexed="64"/>
      </patternFill>
    </fill>
    <fill>
      <patternFill patternType="solid">
        <fgColor theme="0" tint="-0.249977111117893"/>
        <bgColor indexed="64"/>
      </patternFill>
    </fill>
    <fill>
      <patternFill patternType="solid">
        <fgColor theme="0"/>
        <bgColor indexed="64"/>
      </patternFill>
    </fill>
    <fill>
      <patternFill patternType="solid">
        <fgColor rgb="FFA9D08E"/>
        <bgColor indexed="64"/>
      </patternFill>
    </fill>
    <fill>
      <patternFill patternType="solid">
        <fgColor theme="0" tint="-4.9989318521683403E-2"/>
        <bgColor indexed="64"/>
      </patternFill>
    </fill>
    <fill>
      <patternFill patternType="solid">
        <fgColor theme="1"/>
        <bgColor indexed="64"/>
      </patternFill>
    </fill>
    <fill>
      <patternFill patternType="solid">
        <fgColor theme="4"/>
        <bgColor theme="4"/>
      </patternFill>
    </fill>
    <fill>
      <patternFill patternType="solid">
        <fgColor theme="4"/>
        <bgColor indexed="64"/>
      </patternFill>
    </fill>
    <fill>
      <patternFill patternType="solid">
        <fgColor theme="1"/>
        <bgColor theme="1"/>
      </patternFill>
    </fill>
    <fill>
      <patternFill patternType="solid">
        <fgColor theme="1" tint="0.34998626667073579"/>
        <bgColor indexed="64"/>
      </patternFill>
    </fill>
    <fill>
      <patternFill patternType="solid">
        <fgColor theme="0" tint="-0.14999847407452621"/>
        <bgColor indexed="64"/>
      </patternFill>
    </fill>
    <fill>
      <patternFill patternType="solid">
        <fgColor rgb="FFFFFFCC"/>
      </patternFill>
    </fill>
    <fill>
      <patternFill patternType="solid">
        <fgColor theme="8" tint="0.39997558519241921"/>
        <bgColor indexed="64"/>
      </patternFill>
    </fill>
    <fill>
      <patternFill patternType="solid">
        <fgColor rgb="FFBFBFBF"/>
        <bgColor indexed="64"/>
      </patternFill>
    </fill>
    <fill>
      <patternFill patternType="solid">
        <fgColor theme="3" tint="0.39988402966399123"/>
        <bgColor rgb="FF808080"/>
      </patternFill>
    </fill>
    <fill>
      <patternFill patternType="solid">
        <fgColor rgb="FF002060"/>
        <bgColor rgb="FF000080"/>
      </patternFill>
    </fill>
    <fill>
      <patternFill patternType="solid">
        <fgColor theme="0" tint="-4.9989318521683403E-2"/>
        <bgColor rgb="FFEEF2F5"/>
      </patternFill>
    </fill>
    <fill>
      <patternFill patternType="solid">
        <fgColor theme="0" tint="-0.249977111117893"/>
        <bgColor rgb="FFB2B2B2"/>
      </patternFill>
    </fill>
    <fill>
      <patternFill patternType="solid">
        <fgColor rgb="FF92D050"/>
        <bgColor rgb="FFA9D08E"/>
      </patternFill>
    </fill>
    <fill>
      <patternFill patternType="solid">
        <fgColor rgb="FFE2EFDA"/>
      </patternFill>
    </fill>
    <fill>
      <patternFill patternType="solid">
        <fgColor rgb="FFFFD966"/>
      </patternFill>
    </fill>
    <fill>
      <patternFill patternType="solid">
        <fgColor rgb="FFFFFFFF"/>
      </patternFill>
    </fill>
    <fill>
      <patternFill patternType="solid">
        <fgColor rgb="FF1F4E78"/>
      </patternFill>
    </fill>
    <fill>
      <patternFill patternType="solid">
        <fgColor rgb="FF2E75B6"/>
      </patternFill>
    </fill>
    <fill>
      <patternFill patternType="solid">
        <fgColor rgb="FFDEEAF1"/>
      </patternFill>
    </fill>
    <fill>
      <patternFill patternType="solid">
        <fgColor rgb="FFBDD7EE"/>
      </patternFill>
    </fill>
    <fill>
      <patternFill patternType="solid">
        <fgColor rgb="FFFCE4D6"/>
      </patternFill>
    </fill>
    <fill>
      <patternFill patternType="solid">
        <fgColor rgb="FF002060"/>
        <bgColor indexed="64"/>
      </patternFill>
    </fill>
    <fill>
      <patternFill patternType="solid">
        <fgColor rgb="FF0070C0"/>
        <bgColor indexed="64"/>
      </patternFill>
    </fill>
    <fill>
      <patternFill patternType="solid">
        <fgColor rgb="FF1F497D"/>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style="thin">
        <color indexed="64"/>
      </left>
      <right style="thin">
        <color indexed="64"/>
      </right>
      <top style="thick">
        <color theme="4" tint="0.499984740745262"/>
      </top>
      <bottom style="thin">
        <color indexed="64"/>
      </bottom>
      <diagonal/>
    </border>
    <border>
      <left style="thin">
        <color indexed="64"/>
      </left>
      <right style="thin">
        <color indexed="64"/>
      </right>
      <top style="thick">
        <color theme="4" tint="0.499984740745262"/>
      </top>
      <bottom/>
      <diagonal/>
    </border>
    <border>
      <left style="medium">
        <color indexed="64"/>
      </left>
      <right/>
      <top style="medium">
        <color indexed="64"/>
      </top>
      <bottom style="thick">
        <color theme="4"/>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rgb="FFB2B2B2"/>
      </left>
      <right style="thin">
        <color rgb="FFB2B2B2"/>
      </right>
      <top style="thin">
        <color rgb="FFB2B2B2"/>
      </top>
      <bottom style="thin">
        <color rgb="FFB2B2B2"/>
      </bottom>
      <diagonal/>
    </border>
    <border>
      <left style="thin">
        <color auto="1"/>
      </left>
      <right/>
      <top style="double">
        <color auto="1"/>
      </top>
      <bottom style="thin">
        <color auto="1"/>
      </bottom>
      <diagonal/>
    </border>
    <border>
      <left style="thin">
        <color auto="1"/>
      </left>
      <right style="thin">
        <color auto="1"/>
      </right>
      <top style="double">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style="medium">
        <color auto="1"/>
      </bottom>
      <diagonal/>
    </border>
    <border>
      <left style="thin">
        <color auto="1"/>
      </left>
      <right style="medium">
        <color auto="1"/>
      </right>
      <top style="thin">
        <color auto="1"/>
      </top>
      <bottom style="medium">
        <color auto="1"/>
      </bottom>
      <diagonal/>
    </border>
    <border>
      <left style="thin">
        <color rgb="FFBFBFBF"/>
      </left>
      <right style="thin">
        <color rgb="FFBFBFBF"/>
      </right>
      <top style="thin">
        <color rgb="FFBFBFBF"/>
      </top>
      <bottom style="thin">
        <color rgb="FFBFBFBF"/>
      </bottom>
      <diagonal/>
    </border>
    <border>
      <left/>
      <right/>
      <top/>
      <bottom style="thin">
        <color rgb="FFBFBFBF"/>
      </bottom>
      <diagonal/>
    </border>
    <border>
      <left style="thin">
        <color rgb="FFBFBFBF"/>
      </left>
      <right style="thin">
        <color rgb="FFBFBFBF"/>
      </right>
      <top style="thin">
        <color rgb="FFBFBFBF"/>
      </top>
      <bottom/>
      <diagonal/>
    </border>
    <border>
      <left style="thin">
        <color indexed="64"/>
      </left>
      <right style="thin">
        <color rgb="FFBFBFBF"/>
      </right>
      <top style="thin">
        <color rgb="FFBFBFBF"/>
      </top>
      <bottom style="thin">
        <color rgb="FFBFBFBF"/>
      </bottom>
      <diagonal/>
    </border>
    <border>
      <left style="thin">
        <color rgb="FFBFBFBF"/>
      </left>
      <right style="thin">
        <color indexed="64"/>
      </right>
      <top style="thin">
        <color rgb="FFBFBFBF"/>
      </top>
      <bottom style="thin">
        <color rgb="FFBFBFBF"/>
      </bottom>
      <diagonal/>
    </border>
    <border>
      <left style="thin">
        <color indexed="64"/>
      </left>
      <right/>
      <top/>
      <bottom style="thin">
        <color rgb="FFBFBFBF"/>
      </bottom>
      <diagonal/>
    </border>
    <border>
      <left style="thin">
        <color rgb="FFBFBFBF"/>
      </left>
      <right style="thin">
        <color indexed="64"/>
      </right>
      <top style="thin">
        <color rgb="FFBFBFBF"/>
      </top>
      <bottom/>
      <diagonal/>
    </border>
    <border>
      <left style="thin">
        <color rgb="FFBFBFBF"/>
      </left>
      <right style="thin">
        <color rgb="FFBFBFBF"/>
      </right>
      <top style="thin">
        <color indexed="64"/>
      </top>
      <bottom style="thin">
        <color indexed="64"/>
      </bottom>
      <diagonal/>
    </border>
    <border>
      <left style="thin">
        <color rgb="FFBFBFBF"/>
      </left>
      <right style="thin">
        <color indexed="64"/>
      </right>
      <top style="thin">
        <color indexed="64"/>
      </top>
      <bottom style="thin">
        <color indexed="64"/>
      </bottom>
      <diagonal/>
    </border>
    <border>
      <left style="thin">
        <color rgb="FFBFBFBF"/>
      </left>
      <right style="thin">
        <color rgb="FFBFBFBF"/>
      </right>
      <top/>
      <bottom/>
      <diagonal/>
    </border>
    <border>
      <left style="thin">
        <color rgb="FFBFBFBF"/>
      </left>
      <right/>
      <top/>
      <bottom/>
      <diagonal/>
    </border>
    <border>
      <left style="thin">
        <color rgb="FFBFBFBF"/>
      </left>
      <right/>
      <top style="thin">
        <color rgb="FFBFBFBF"/>
      </top>
      <bottom/>
      <diagonal/>
    </border>
    <border>
      <left/>
      <right/>
      <top style="thin">
        <color rgb="FFBFBFBF"/>
      </top>
      <bottom/>
      <diagonal/>
    </border>
    <border>
      <left/>
      <right style="thin">
        <color rgb="FFBFBFBF"/>
      </right>
      <top/>
      <bottom/>
      <diagonal/>
    </border>
    <border>
      <left/>
      <right style="thin">
        <color rgb="FFBFBFBF"/>
      </right>
      <top style="thin">
        <color rgb="FFBFBFBF"/>
      </top>
      <bottom/>
      <diagonal/>
    </border>
    <border>
      <left style="thin">
        <color rgb="FFBFBFBF"/>
      </left>
      <right style="thin">
        <color rgb="FFBFBFBF"/>
      </right>
      <top style="thin">
        <color indexed="64"/>
      </top>
      <bottom style="thin">
        <color rgb="FFBFBFBF"/>
      </bottom>
      <diagonal/>
    </border>
    <border>
      <left/>
      <right/>
      <top style="thin">
        <color indexed="64"/>
      </top>
      <bottom style="thin">
        <color rgb="FFBFBFBF"/>
      </bottom>
      <diagonal/>
    </border>
  </borders>
  <cellStyleXfs count="11">
    <xf numFmtId="0" fontId="0" fillId="0" borderId="0"/>
    <xf numFmtId="0" fontId="1" fillId="0" borderId="0" applyNumberFormat="0" applyFill="0" applyBorder="0" applyAlignment="0" applyProtection="0"/>
    <xf numFmtId="44" fontId="11" fillId="0" borderId="0" applyFont="0" applyFill="0" applyBorder="0" applyAlignment="0" applyProtection="0"/>
    <xf numFmtId="0" fontId="12" fillId="0" borderId="24" applyNumberFormat="0" applyFill="0" applyAlignment="0" applyProtection="0"/>
    <xf numFmtId="0" fontId="13" fillId="0" borderId="25" applyNumberFormat="0" applyFill="0" applyAlignment="0" applyProtection="0"/>
    <xf numFmtId="0" fontId="14" fillId="0" borderId="0" applyNumberFormat="0" applyFill="0" applyBorder="0" applyAlignment="0" applyProtection="0"/>
    <xf numFmtId="0" fontId="18" fillId="0" borderId="0"/>
    <xf numFmtId="0" fontId="1" fillId="0" borderId="0" applyNumberFormat="0" applyFill="0" applyBorder="0" applyAlignment="0" applyProtection="0"/>
    <xf numFmtId="0" fontId="11" fillId="13" borderId="31" applyNumberFormat="0" applyFont="0" applyAlignment="0" applyProtection="0"/>
    <xf numFmtId="43" fontId="11" fillId="0" borderId="0" applyFont="0" applyFill="0" applyBorder="0" applyAlignment="0" applyProtection="0"/>
    <xf numFmtId="0" fontId="31" fillId="0" borderId="0"/>
  </cellStyleXfs>
  <cellXfs count="389">
    <xf numFmtId="0" fontId="0" fillId="0" borderId="0" xfId="0"/>
    <xf numFmtId="0" fontId="0" fillId="3" borderId="0" xfId="0" applyFill="1"/>
    <xf numFmtId="0" fontId="0" fillId="3" borderId="14" xfId="0" applyFill="1" applyBorder="1"/>
    <xf numFmtId="0" fontId="0" fillId="3" borderId="16" xfId="0" applyFill="1" applyBorder="1"/>
    <xf numFmtId="0" fontId="6" fillId="0" borderId="10" xfId="0" applyFont="1" applyBorder="1"/>
    <xf numFmtId="0" fontId="0" fillId="4" borderId="0" xfId="0" applyFill="1"/>
    <xf numFmtId="0" fontId="0" fillId="3" borderId="13" xfId="0" applyFill="1" applyBorder="1"/>
    <xf numFmtId="6" fontId="0" fillId="3" borderId="0" xfId="0" applyNumberFormat="1" applyFill="1"/>
    <xf numFmtId="6" fontId="0" fillId="3" borderId="21" xfId="0" applyNumberFormat="1" applyFill="1" applyBorder="1"/>
    <xf numFmtId="6" fontId="0" fillId="3" borderId="22" xfId="0" applyNumberFormat="1" applyFill="1" applyBorder="1"/>
    <xf numFmtId="0" fontId="0" fillId="0" borderId="7" xfId="0" applyBorder="1"/>
    <xf numFmtId="0" fontId="0" fillId="0" borderId="18"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9" xfId="0" applyBorder="1"/>
    <xf numFmtId="0" fontId="0" fillId="0" borderId="12" xfId="0" applyBorder="1"/>
    <xf numFmtId="6" fontId="0" fillId="3" borderId="4" xfId="0" applyNumberFormat="1" applyFill="1" applyBorder="1"/>
    <xf numFmtId="165" fontId="0" fillId="3" borderId="3" xfId="0" applyNumberFormat="1" applyFill="1" applyBorder="1"/>
    <xf numFmtId="165" fontId="0" fillId="3" borderId="5" xfId="0" applyNumberFormat="1" applyFill="1" applyBorder="1"/>
    <xf numFmtId="165" fontId="0" fillId="3" borderId="0" xfId="0" applyNumberFormat="1" applyFill="1"/>
    <xf numFmtId="6" fontId="9" fillId="2" borderId="2" xfId="0" applyNumberFormat="1" applyFont="1" applyFill="1" applyBorder="1"/>
    <xf numFmtId="1" fontId="9" fillId="2" borderId="1" xfId="0" applyNumberFormat="1" applyFont="1" applyFill="1" applyBorder="1"/>
    <xf numFmtId="0" fontId="9" fillId="2" borderId="17" xfId="0" applyFont="1" applyFill="1" applyBorder="1" applyAlignment="1">
      <alignment horizontal="right"/>
    </xf>
    <xf numFmtId="0" fontId="0" fillId="3" borderId="15" xfId="0" applyFill="1" applyBorder="1"/>
    <xf numFmtId="6" fontId="0" fillId="3" borderId="20" xfId="0" applyNumberFormat="1" applyFill="1" applyBorder="1"/>
    <xf numFmtId="1" fontId="9" fillId="2" borderId="2" xfId="0" applyNumberFormat="1" applyFont="1" applyFill="1" applyBorder="1"/>
    <xf numFmtId="6" fontId="9" fillId="4" borderId="0" xfId="0" applyNumberFormat="1" applyFont="1" applyFill="1"/>
    <xf numFmtId="6" fontId="0" fillId="4" borderId="0" xfId="0" applyNumberFormat="1" applyFill="1"/>
    <xf numFmtId="1" fontId="0" fillId="3" borderId="13" xfId="0" applyNumberFormat="1" applyFill="1" applyBorder="1"/>
    <xf numFmtId="0" fontId="0" fillId="4" borderId="13" xfId="0" applyFill="1" applyBorder="1"/>
    <xf numFmtId="6" fontId="9" fillId="4" borderId="13" xfId="0" applyNumberFormat="1" applyFont="1" applyFill="1" applyBorder="1"/>
    <xf numFmtId="6" fontId="0" fillId="4" borderId="13" xfId="0" applyNumberFormat="1" applyFill="1" applyBorder="1"/>
    <xf numFmtId="1" fontId="9" fillId="2" borderId="15" xfId="0" applyNumberFormat="1" applyFont="1" applyFill="1" applyBorder="1"/>
    <xf numFmtId="0" fontId="0" fillId="4" borderId="1" xfId="0" applyFill="1" applyBorder="1" applyAlignment="1">
      <alignment vertical="top" wrapText="1"/>
    </xf>
    <xf numFmtId="165" fontId="0" fillId="4" borderId="0" xfId="0" applyNumberFormat="1" applyFill="1"/>
    <xf numFmtId="165" fontId="0" fillId="3" borderId="16" xfId="0" applyNumberFormat="1" applyFill="1" applyBorder="1"/>
    <xf numFmtId="0" fontId="0" fillId="4" borderId="0" xfId="0" applyFill="1" applyAlignment="1">
      <alignment vertical="top" wrapText="1"/>
    </xf>
    <xf numFmtId="164" fontId="0" fillId="4" borderId="1" xfId="0" applyNumberFormat="1" applyFill="1" applyBorder="1" applyAlignment="1">
      <alignment vertical="top" wrapText="1"/>
    </xf>
    <xf numFmtId="165" fontId="0" fillId="4" borderId="1" xfId="0" applyNumberFormat="1" applyFill="1" applyBorder="1" applyAlignment="1">
      <alignment vertical="top" wrapText="1"/>
    </xf>
    <xf numFmtId="0" fontId="9" fillId="5" borderId="1" xfId="0" applyFont="1" applyFill="1" applyBorder="1"/>
    <xf numFmtId="8" fontId="0" fillId="4" borderId="1" xfId="0" applyNumberFormat="1" applyFill="1" applyBorder="1" applyAlignment="1">
      <alignment vertical="top" wrapText="1"/>
    </xf>
    <xf numFmtId="0" fontId="0" fillId="4" borderId="1" xfId="0" applyFill="1" applyBorder="1"/>
    <xf numFmtId="164" fontId="0" fillId="4" borderId="1" xfId="2" applyNumberFormat="1" applyFont="1" applyFill="1" applyBorder="1"/>
    <xf numFmtId="0" fontId="17" fillId="4" borderId="24" xfId="3" applyFont="1" applyFill="1" applyAlignment="1">
      <alignment wrapText="1"/>
    </xf>
    <xf numFmtId="0" fontId="11" fillId="0" borderId="0" xfId="6" quotePrefix="1" applyFont="1"/>
    <xf numFmtId="0" fontId="13" fillId="0" borderId="25" xfId="4" applyFill="1" applyAlignment="1">
      <alignment wrapText="1"/>
    </xf>
    <xf numFmtId="0" fontId="13" fillId="0" borderId="25" xfId="4" applyFill="1" applyAlignment="1"/>
    <xf numFmtId="0" fontId="19" fillId="6" borderId="21" xfId="0" applyFont="1" applyFill="1" applyBorder="1" applyAlignment="1">
      <alignment vertical="center" wrapText="1"/>
    </xf>
    <xf numFmtId="0" fontId="19" fillId="6" borderId="26" xfId="0" applyFont="1" applyFill="1" applyBorder="1" applyAlignment="1">
      <alignment vertical="center" wrapText="1"/>
    </xf>
    <xf numFmtId="0" fontId="19" fillId="6" borderId="21" xfId="0" applyFont="1" applyFill="1" applyBorder="1" applyAlignment="1">
      <alignment horizontal="left" wrapText="1"/>
    </xf>
    <xf numFmtId="0" fontId="19" fillId="6" borderId="21" xfId="0" applyFont="1" applyFill="1" applyBorder="1" applyAlignment="1">
      <alignment horizontal="left"/>
    </xf>
    <xf numFmtId="0" fontId="1" fillId="6" borderId="6" xfId="1" applyFill="1" applyBorder="1" applyAlignment="1">
      <alignment vertical="center" wrapText="1"/>
    </xf>
    <xf numFmtId="0" fontId="19" fillId="6" borderId="27" xfId="0" applyFont="1" applyFill="1" applyBorder="1" applyAlignment="1">
      <alignment vertical="center" wrapText="1"/>
    </xf>
    <xf numFmtId="0" fontId="19" fillId="6" borderId="22" xfId="0" applyFont="1" applyFill="1" applyBorder="1" applyAlignment="1">
      <alignment wrapText="1"/>
    </xf>
    <xf numFmtId="0" fontId="21" fillId="7" borderId="2" xfId="0" applyFont="1" applyFill="1" applyBorder="1"/>
    <xf numFmtId="0" fontId="0" fillId="7" borderId="13" xfId="0" applyFill="1" applyBorder="1"/>
    <xf numFmtId="0" fontId="0" fillId="0" borderId="13" xfId="0" applyBorder="1"/>
    <xf numFmtId="0" fontId="0" fillId="0" borderId="23" xfId="0" applyBorder="1"/>
    <xf numFmtId="0" fontId="0" fillId="0" borderId="4" xfId="0" applyBorder="1"/>
    <xf numFmtId="0" fontId="1" fillId="0" borderId="3" xfId="1" applyBorder="1" applyAlignment="1"/>
    <xf numFmtId="0" fontId="0" fillId="0" borderId="3" xfId="0" applyBorder="1"/>
    <xf numFmtId="0" fontId="5" fillId="0" borderId="3" xfId="0" applyFont="1" applyBorder="1"/>
    <xf numFmtId="0" fontId="6" fillId="0" borderId="0" xfId="0" applyFont="1"/>
    <xf numFmtId="0" fontId="6" fillId="0" borderId="3" xfId="0" applyFont="1" applyBorder="1"/>
    <xf numFmtId="0" fontId="15" fillId="8" borderId="1" xfId="0" applyFont="1" applyFill="1" applyBorder="1" applyAlignment="1">
      <alignment wrapText="1"/>
    </xf>
    <xf numFmtId="0" fontId="2" fillId="0" borderId="1" xfId="0" applyFont="1" applyBorder="1" applyAlignment="1">
      <alignment vertical="center" wrapText="1"/>
    </xf>
    <xf numFmtId="6" fontId="2" fillId="0" borderId="1" xfId="0" applyNumberFormat="1" applyFont="1" applyBorder="1" applyAlignment="1">
      <alignment horizontal="right" vertical="center" wrapText="1"/>
    </xf>
    <xf numFmtId="0" fontId="6" fillId="0" borderId="1" xfId="0" applyFont="1" applyBorder="1"/>
    <xf numFmtId="164" fontId="2" fillId="0" borderId="1" xfId="0" applyNumberFormat="1" applyFont="1" applyBorder="1"/>
    <xf numFmtId="0" fontId="0" fillId="7" borderId="23" xfId="0" applyFill="1" applyBorder="1"/>
    <xf numFmtId="0" fontId="6" fillId="0" borderId="4" xfId="0" applyFont="1" applyBorder="1"/>
    <xf numFmtId="0" fontId="6" fillId="0" borderId="2" xfId="0" applyFont="1" applyBorder="1"/>
    <xf numFmtId="0" fontId="6" fillId="0" borderId="23" xfId="0" applyFont="1" applyBorder="1"/>
    <xf numFmtId="0" fontId="23" fillId="9" borderId="1" xfId="0" applyFont="1" applyFill="1" applyBorder="1" applyAlignment="1">
      <alignment vertical="center" wrapText="1"/>
    </xf>
    <xf numFmtId="0" fontId="23" fillId="9" borderId="1" xfId="0" applyFont="1" applyFill="1" applyBorder="1" applyAlignment="1">
      <alignment horizontal="right" vertical="center" wrapText="1"/>
    </xf>
    <xf numFmtId="2" fontId="2" fillId="0" borderId="1" xfId="0" applyNumberFormat="1" applyFont="1" applyBorder="1" applyAlignment="1">
      <alignment horizontal="right" vertical="center" wrapText="1"/>
    </xf>
    <xf numFmtId="8" fontId="2" fillId="0" borderId="1" xfId="0" applyNumberFormat="1" applyFont="1" applyBorder="1" applyAlignment="1">
      <alignment horizontal="right" vertical="center" wrapText="1"/>
    </xf>
    <xf numFmtId="0" fontId="23" fillId="9" borderId="1" xfId="0" applyFont="1" applyFill="1" applyBorder="1" applyAlignment="1">
      <alignment vertical="center"/>
    </xf>
    <xf numFmtId="0" fontId="2" fillId="0" borderId="2" xfId="0" applyFont="1" applyBorder="1" applyAlignment="1">
      <alignment vertical="center" wrapText="1"/>
    </xf>
    <xf numFmtId="6" fontId="2" fillId="0" borderId="13" xfId="0" applyNumberFormat="1" applyFont="1" applyBorder="1" applyAlignment="1">
      <alignment horizontal="right" vertical="center" wrapText="1"/>
    </xf>
    <xf numFmtId="6" fontId="2" fillId="0" borderId="23" xfId="0" applyNumberFormat="1" applyFont="1" applyBorder="1" applyAlignment="1">
      <alignment horizontal="right" vertical="center" wrapText="1"/>
    </xf>
    <xf numFmtId="0" fontId="2" fillId="0" borderId="1" xfId="0" applyFont="1" applyBorder="1" applyAlignment="1">
      <alignment horizontal="left" vertical="center" wrapText="1"/>
    </xf>
    <xf numFmtId="0" fontId="2" fillId="0" borderId="1" xfId="0" applyFont="1" applyBorder="1" applyAlignment="1">
      <alignment vertical="top"/>
    </xf>
    <xf numFmtId="0" fontId="2" fillId="0" borderId="1" xfId="0" applyFont="1" applyBorder="1" applyAlignment="1">
      <alignment vertical="top" wrapText="1"/>
    </xf>
    <xf numFmtId="166" fontId="2" fillId="0" borderId="1" xfId="0" applyNumberFormat="1" applyFont="1" applyBorder="1"/>
    <xf numFmtId="0" fontId="2" fillId="0" borderId="1" xfId="0" applyFont="1" applyBorder="1" applyAlignment="1">
      <alignment vertical="center"/>
    </xf>
    <xf numFmtId="8" fontId="2" fillId="0" borderId="1" xfId="0" applyNumberFormat="1" applyFont="1" applyBorder="1" applyAlignment="1">
      <alignment horizontal="right" vertical="center"/>
    </xf>
    <xf numFmtId="0" fontId="2" fillId="0" borderId="1" xfId="0" applyFont="1" applyBorder="1" applyAlignment="1">
      <alignment horizontal="right" vertical="center"/>
    </xf>
    <xf numFmtId="0" fontId="0" fillId="0" borderId="2" xfId="0" applyBorder="1"/>
    <xf numFmtId="0" fontId="23" fillId="9" borderId="1" xfId="0" applyFont="1" applyFill="1" applyBorder="1" applyAlignment="1">
      <alignment horizontal="right" vertical="top" wrapText="1"/>
    </xf>
    <xf numFmtId="167" fontId="2" fillId="0" borderId="1" xfId="0" applyNumberFormat="1" applyFont="1" applyBorder="1" applyAlignment="1">
      <alignment horizontal="right" vertical="center" wrapText="1"/>
    </xf>
    <xf numFmtId="168" fontId="2" fillId="0" borderId="1" xfId="0" applyNumberFormat="1" applyFont="1" applyBorder="1" applyAlignment="1">
      <alignment horizontal="right" vertical="center" wrapText="1"/>
    </xf>
    <xf numFmtId="0" fontId="12" fillId="0" borderId="28" xfId="3" applyFill="1" applyBorder="1" applyAlignment="1" applyProtection="1"/>
    <xf numFmtId="0" fontId="14" fillId="0" borderId="9" xfId="5" applyBorder="1" applyProtection="1"/>
    <xf numFmtId="0" fontId="0" fillId="3" borderId="1" xfId="0" applyFill="1" applyBorder="1"/>
    <xf numFmtId="1" fontId="0" fillId="3" borderId="1" xfId="0" applyNumberFormat="1" applyFill="1" applyBorder="1"/>
    <xf numFmtId="0" fontId="15" fillId="10" borderId="29" xfId="0" applyFont="1" applyFill="1" applyBorder="1"/>
    <xf numFmtId="0" fontId="15" fillId="10" borderId="30" xfId="0" applyFont="1" applyFill="1" applyBorder="1" applyAlignment="1">
      <alignment horizontal="left"/>
    </xf>
    <xf numFmtId="0" fontId="15" fillId="7" borderId="1" xfId="0" applyFont="1" applyFill="1" applyBorder="1" applyAlignment="1">
      <alignment horizontal="right"/>
    </xf>
    <xf numFmtId="0" fontId="15" fillId="11" borderId="1" xfId="0" applyFont="1" applyFill="1" applyBorder="1" applyAlignment="1">
      <alignment horizontal="center"/>
    </xf>
    <xf numFmtId="0" fontId="27" fillId="0" borderId="9" xfId="0" quotePrefix="1" applyFont="1" applyBorder="1" applyAlignment="1">
      <alignment vertical="top"/>
    </xf>
    <xf numFmtId="165" fontId="0" fillId="3" borderId="1" xfId="0" applyNumberFormat="1" applyFill="1" applyBorder="1"/>
    <xf numFmtId="0" fontId="15" fillId="10" borderId="1" xfId="0" applyFont="1" applyFill="1" applyBorder="1" applyAlignment="1">
      <alignment horizontal="center" vertical="center" wrapText="1"/>
    </xf>
    <xf numFmtId="0" fontId="16" fillId="7" borderId="1" xfId="0" applyFont="1" applyFill="1" applyBorder="1" applyAlignment="1">
      <alignment horizontal="right"/>
    </xf>
    <xf numFmtId="0" fontId="16" fillId="7" borderId="17" xfId="0" applyFont="1" applyFill="1" applyBorder="1" applyAlignment="1">
      <alignment horizontal="right"/>
    </xf>
    <xf numFmtId="0" fontId="16" fillId="7" borderId="22" xfId="0" applyFont="1" applyFill="1" applyBorder="1" applyAlignment="1">
      <alignment horizontal="right"/>
    </xf>
    <xf numFmtId="0" fontId="16" fillId="7" borderId="15" xfId="0" applyFont="1" applyFill="1" applyBorder="1" applyAlignment="1">
      <alignment horizontal="right"/>
    </xf>
    <xf numFmtId="0" fontId="16" fillId="7" borderId="15" xfId="0" applyFont="1" applyFill="1" applyBorder="1"/>
    <xf numFmtId="0" fontId="16" fillId="7" borderId="16" xfId="0" applyFont="1" applyFill="1" applyBorder="1"/>
    <xf numFmtId="0" fontId="16" fillId="7" borderId="16" xfId="0" applyFont="1" applyFill="1" applyBorder="1" applyAlignment="1">
      <alignment horizontal="right"/>
    </xf>
    <xf numFmtId="0" fontId="16" fillId="7" borderId="23" xfId="0" applyFont="1" applyFill="1" applyBorder="1" applyAlignment="1">
      <alignment horizontal="right"/>
    </xf>
    <xf numFmtId="0" fontId="16" fillId="7" borderId="15" xfId="0" applyFont="1" applyFill="1" applyBorder="1" applyAlignment="1">
      <alignment horizontal="left"/>
    </xf>
    <xf numFmtId="0" fontId="16" fillId="7" borderId="1" xfId="0" applyFont="1" applyFill="1" applyBorder="1" applyAlignment="1">
      <alignment vertical="top" wrapText="1"/>
    </xf>
    <xf numFmtId="0" fontId="16" fillId="7" borderId="1" xfId="0" applyFont="1" applyFill="1" applyBorder="1"/>
    <xf numFmtId="0" fontId="16" fillId="7" borderId="1" xfId="0" applyFont="1" applyFill="1" applyBorder="1" applyAlignment="1">
      <alignment wrapText="1"/>
    </xf>
    <xf numFmtId="6" fontId="9" fillId="2" borderId="1" xfId="0" applyNumberFormat="1" applyFont="1" applyFill="1" applyBorder="1"/>
    <xf numFmtId="1" fontId="0" fillId="3" borderId="3" xfId="0" applyNumberFormat="1" applyFill="1" applyBorder="1" applyAlignment="1">
      <alignment horizontal="right"/>
    </xf>
    <xf numFmtId="0" fontId="0" fillId="3" borderId="3" xfId="0" applyFill="1" applyBorder="1" applyAlignment="1">
      <alignment horizontal="right"/>
    </xf>
    <xf numFmtId="165" fontId="2" fillId="0" borderId="1" xfId="0" applyNumberFormat="1" applyFont="1" applyBorder="1"/>
    <xf numFmtId="164" fontId="2" fillId="0" borderId="1" xfId="0" applyNumberFormat="1" applyFont="1" applyBorder="1" applyAlignment="1">
      <alignment horizontal="right"/>
    </xf>
    <xf numFmtId="0" fontId="6" fillId="12" borderId="0" xfId="0" applyFont="1" applyFill="1"/>
    <xf numFmtId="0" fontId="0" fillId="4" borderId="13" xfId="0" applyFill="1" applyBorder="1" applyAlignment="1">
      <alignment vertical="top" wrapText="1"/>
    </xf>
    <xf numFmtId="165" fontId="0" fillId="4" borderId="13" xfId="0" applyNumberFormat="1" applyFill="1" applyBorder="1" applyAlignment="1">
      <alignment vertical="top" wrapText="1"/>
    </xf>
    <xf numFmtId="0" fontId="0" fillId="12" borderId="1" xfId="0" applyFill="1" applyBorder="1" applyAlignment="1">
      <alignment vertical="top" wrapText="1"/>
    </xf>
    <xf numFmtId="8" fontId="0" fillId="12" borderId="1" xfId="0" applyNumberFormat="1" applyFill="1" applyBorder="1" applyAlignment="1">
      <alignment vertical="top" wrapText="1"/>
    </xf>
    <xf numFmtId="6" fontId="0" fillId="4" borderId="1" xfId="0" applyNumberFormat="1" applyFill="1" applyBorder="1" applyAlignment="1">
      <alignment vertical="top" wrapText="1"/>
    </xf>
    <xf numFmtId="0" fontId="12" fillId="0" borderId="0" xfId="3" applyFill="1" applyBorder="1" applyAlignment="1" applyProtection="1"/>
    <xf numFmtId="0" fontId="14" fillId="0" borderId="0" xfId="5" applyBorder="1" applyProtection="1"/>
    <xf numFmtId="165" fontId="9" fillId="2" borderId="2" xfId="0" applyNumberFormat="1" applyFont="1" applyFill="1" applyBorder="1"/>
    <xf numFmtId="165" fontId="9" fillId="2" borderId="15" xfId="0" applyNumberFormat="1" applyFont="1" applyFill="1" applyBorder="1"/>
    <xf numFmtId="0" fontId="14" fillId="12" borderId="0" xfId="5" applyFill="1" applyBorder="1" applyProtection="1"/>
    <xf numFmtId="167" fontId="0" fillId="4" borderId="1" xfId="0" applyNumberFormat="1" applyFill="1" applyBorder="1" applyAlignment="1">
      <alignment vertical="top" wrapText="1"/>
    </xf>
    <xf numFmtId="164" fontId="0" fillId="4" borderId="1" xfId="0" applyNumberFormat="1" applyFill="1" applyBorder="1"/>
    <xf numFmtId="169" fontId="0" fillId="4" borderId="1" xfId="0" applyNumberFormat="1" applyFill="1" applyBorder="1"/>
    <xf numFmtId="166" fontId="0" fillId="4" borderId="1" xfId="0" applyNumberFormat="1" applyFill="1" applyBorder="1"/>
    <xf numFmtId="2" fontId="0" fillId="3" borderId="1" xfId="0" applyNumberFormat="1" applyFill="1" applyBorder="1"/>
    <xf numFmtId="0" fontId="14" fillId="4" borderId="9" xfId="5" applyFill="1" applyBorder="1" applyProtection="1"/>
    <xf numFmtId="0" fontId="0" fillId="4" borderId="9" xfId="0" applyFill="1" applyBorder="1"/>
    <xf numFmtId="0" fontId="0" fillId="4" borderId="10" xfId="0" applyFill="1" applyBorder="1"/>
    <xf numFmtId="0" fontId="0" fillId="4" borderId="11" xfId="0" applyFill="1" applyBorder="1"/>
    <xf numFmtId="0" fontId="0" fillId="4" borderId="19" xfId="0" applyFill="1" applyBorder="1"/>
    <xf numFmtId="0" fontId="0" fillId="4" borderId="12" xfId="0" applyFill="1" applyBorder="1"/>
    <xf numFmtId="0" fontId="0" fillId="13" borderId="31" xfId="8" applyFont="1"/>
    <xf numFmtId="0" fontId="0" fillId="13" borderId="31" xfId="8" applyFont="1" applyAlignment="1">
      <alignment vertical="top"/>
    </xf>
    <xf numFmtId="0" fontId="0" fillId="13" borderId="31" xfId="8" applyFont="1" applyAlignment="1"/>
    <xf numFmtId="0" fontId="0" fillId="13" borderId="31" xfId="8" applyFont="1" applyAlignment="1">
      <alignment wrapText="1"/>
    </xf>
    <xf numFmtId="0" fontId="9" fillId="2" borderId="1" xfId="0" applyFont="1" applyFill="1" applyBorder="1"/>
    <xf numFmtId="6" fontId="10" fillId="14" borderId="0" xfId="0" applyNumberFormat="1" applyFont="1" applyFill="1"/>
    <xf numFmtId="170" fontId="9" fillId="3" borderId="16" xfId="2" applyNumberFormat="1" applyFont="1" applyFill="1" applyBorder="1"/>
    <xf numFmtId="43" fontId="9" fillId="3" borderId="17" xfId="9" applyFont="1" applyFill="1" applyBorder="1"/>
    <xf numFmtId="0" fontId="16" fillId="7" borderId="20" xfId="0" applyFont="1" applyFill="1" applyBorder="1" applyAlignment="1">
      <alignment horizontal="right"/>
    </xf>
    <xf numFmtId="0" fontId="16" fillId="7" borderId="20" xfId="0" applyFont="1" applyFill="1" applyBorder="1" applyAlignment="1">
      <alignment horizontal="right" wrapText="1"/>
    </xf>
    <xf numFmtId="0" fontId="16" fillId="7" borderId="0" xfId="0" applyFont="1" applyFill="1" applyAlignment="1">
      <alignment horizontal="right" wrapText="1"/>
    </xf>
    <xf numFmtId="165" fontId="9" fillId="2" borderId="1" xfId="2" applyNumberFormat="1" applyFont="1" applyFill="1" applyBorder="1"/>
    <xf numFmtId="6" fontId="9" fillId="2" borderId="20" xfId="0" applyNumberFormat="1" applyFont="1" applyFill="1" applyBorder="1"/>
    <xf numFmtId="6" fontId="0" fillId="3" borderId="1" xfId="0" applyNumberFormat="1" applyFill="1" applyBorder="1"/>
    <xf numFmtId="0" fontId="19" fillId="5" borderId="4" xfId="0" applyFont="1" applyFill="1" applyBorder="1" applyAlignment="1">
      <alignment wrapText="1"/>
    </xf>
    <xf numFmtId="0" fontId="19" fillId="14" borderId="4" xfId="0" applyFont="1" applyFill="1" applyBorder="1" applyAlignment="1">
      <alignment wrapText="1"/>
    </xf>
    <xf numFmtId="165" fontId="10" fillId="14" borderId="1" xfId="2" applyNumberFormat="1" applyFont="1" applyFill="1" applyBorder="1"/>
    <xf numFmtId="0" fontId="19" fillId="3" borderId="4" xfId="0" applyFont="1" applyFill="1" applyBorder="1" applyAlignment="1">
      <alignment wrapText="1"/>
    </xf>
    <xf numFmtId="6" fontId="0" fillId="3" borderId="16" xfId="0" applyNumberFormat="1" applyFill="1" applyBorder="1"/>
    <xf numFmtId="6" fontId="10" fillId="14" borderId="16" xfId="0" applyNumberFormat="1" applyFont="1" applyFill="1" applyBorder="1"/>
    <xf numFmtId="6" fontId="0" fillId="3" borderId="17" xfId="0" applyNumberFormat="1" applyFill="1" applyBorder="1"/>
    <xf numFmtId="165" fontId="0" fillId="3" borderId="13" xfId="0" applyNumberFormat="1" applyFill="1" applyBorder="1"/>
    <xf numFmtId="0" fontId="0" fillId="3" borderId="23" xfId="0" applyFill="1" applyBorder="1"/>
    <xf numFmtId="14" fontId="0" fillId="3" borderId="6" xfId="0" applyNumberFormat="1" applyFill="1" applyBorder="1"/>
    <xf numFmtId="167" fontId="0" fillId="4" borderId="1" xfId="0" applyNumberFormat="1" applyFill="1" applyBorder="1" applyAlignment="1">
      <alignment horizontal="right" vertical="top" wrapText="1"/>
    </xf>
    <xf numFmtId="0" fontId="6" fillId="12" borderId="17" xfId="0" applyFont="1" applyFill="1" applyBorder="1"/>
    <xf numFmtId="0" fontId="23" fillId="0" borderId="3" xfId="0" applyFont="1" applyBorder="1" applyAlignment="1">
      <alignment vertical="center"/>
    </xf>
    <xf numFmtId="165" fontId="2" fillId="0" borderId="3" xfId="0" applyNumberFormat="1" applyFont="1" applyBorder="1"/>
    <xf numFmtId="164" fontId="2" fillId="0" borderId="3" xfId="0" applyNumberFormat="1" applyFont="1" applyBorder="1" applyAlignment="1">
      <alignment horizontal="right"/>
    </xf>
    <xf numFmtId="0" fontId="2" fillId="0" borderId="3" xfId="0" applyFont="1" applyBorder="1" applyAlignment="1">
      <alignment vertical="center" wrapText="1"/>
    </xf>
    <xf numFmtId="0" fontId="23" fillId="0" borderId="3" xfId="0" applyFont="1" applyBorder="1" applyAlignment="1">
      <alignment horizontal="right" vertical="center" wrapText="1"/>
    </xf>
    <xf numFmtId="6" fontId="2" fillId="0" borderId="3" xfId="0" applyNumberFormat="1" applyFont="1" applyBorder="1" applyAlignment="1">
      <alignment horizontal="right" vertical="center" wrapText="1"/>
    </xf>
    <xf numFmtId="0" fontId="2" fillId="0" borderId="3" xfId="0" applyFont="1" applyBorder="1" applyAlignment="1">
      <alignment vertical="top"/>
    </xf>
    <xf numFmtId="0" fontId="0" fillId="0" borderId="20" xfId="0" applyBorder="1"/>
    <xf numFmtId="0" fontId="23" fillId="0" borderId="21" xfId="0" applyFont="1" applyBorder="1" applyAlignment="1">
      <alignment vertical="center" wrapText="1"/>
    </xf>
    <xf numFmtId="0" fontId="23" fillId="0" borderId="21" xfId="0" applyFont="1" applyBorder="1" applyAlignment="1">
      <alignment horizontal="right" vertical="center" wrapText="1"/>
    </xf>
    <xf numFmtId="167" fontId="2" fillId="0" borderId="21" xfId="0" applyNumberFormat="1" applyFont="1" applyBorder="1" applyAlignment="1">
      <alignment horizontal="right" vertical="center" wrapText="1"/>
    </xf>
    <xf numFmtId="0" fontId="0" fillId="0" borderId="21" xfId="0" applyBorder="1"/>
    <xf numFmtId="0" fontId="2" fillId="0" borderId="21" xfId="0" applyFont="1" applyBorder="1" applyAlignment="1">
      <alignment vertical="top" wrapText="1"/>
    </xf>
    <xf numFmtId="0" fontId="2" fillId="0" borderId="21" xfId="0" applyFont="1" applyBorder="1" applyAlignment="1">
      <alignment vertical="center" wrapText="1"/>
    </xf>
    <xf numFmtId="0" fontId="2" fillId="0" borderId="2" xfId="0" applyFont="1" applyBorder="1"/>
    <xf numFmtId="0" fontId="2" fillId="0" borderId="23" xfId="0" applyFont="1" applyBorder="1"/>
    <xf numFmtId="0" fontId="16" fillId="4" borderId="3" xfId="0" applyFont="1" applyFill="1" applyBorder="1" applyAlignment="1">
      <alignment vertical="top" wrapText="1"/>
    </xf>
    <xf numFmtId="8" fontId="0" fillId="4" borderId="3" xfId="0" applyNumberFormat="1" applyFill="1" applyBorder="1" applyAlignment="1">
      <alignment vertical="top" wrapText="1"/>
    </xf>
    <xf numFmtId="167" fontId="0" fillId="4" borderId="3" xfId="0" applyNumberFormat="1" applyFill="1" applyBorder="1" applyAlignment="1">
      <alignment vertical="top" wrapText="1"/>
    </xf>
    <xf numFmtId="6" fontId="0" fillId="4" borderId="3" xfId="0" applyNumberFormat="1" applyFill="1" applyBorder="1" applyAlignment="1">
      <alignment vertical="top" wrapText="1"/>
    </xf>
    <xf numFmtId="165" fontId="9" fillId="15" borderId="2" xfId="0" applyNumberFormat="1" applyFont="1" applyFill="1" applyBorder="1"/>
    <xf numFmtId="165" fontId="9" fillId="15" borderId="3" xfId="0" applyNumberFormat="1" applyFont="1" applyFill="1" applyBorder="1"/>
    <xf numFmtId="165" fontId="9" fillId="2" borderId="3" xfId="0" applyNumberFormat="1" applyFont="1" applyFill="1" applyBorder="1"/>
    <xf numFmtId="165" fontId="9" fillId="2" borderId="5" xfId="0" applyNumberFormat="1" applyFont="1" applyFill="1" applyBorder="1"/>
    <xf numFmtId="165" fontId="9" fillId="15" borderId="13" xfId="0" applyNumberFormat="1" applyFont="1" applyFill="1" applyBorder="1"/>
    <xf numFmtId="165" fontId="9" fillId="15" borderId="0" xfId="0" applyNumberFormat="1" applyFont="1" applyFill="1"/>
    <xf numFmtId="165" fontId="9" fillId="2" borderId="0" xfId="0" applyNumberFormat="1" applyFont="1" applyFill="1"/>
    <xf numFmtId="165" fontId="9" fillId="2" borderId="14" xfId="0" applyNumberFormat="1" applyFont="1" applyFill="1" applyBorder="1"/>
    <xf numFmtId="1" fontId="9" fillId="15" borderId="2" xfId="0" applyNumberFormat="1" applyFont="1" applyFill="1" applyBorder="1"/>
    <xf numFmtId="1" fontId="9" fillId="15" borderId="23" xfId="0" applyNumberFormat="1" applyFont="1" applyFill="1" applyBorder="1"/>
    <xf numFmtId="1" fontId="9" fillId="15" borderId="3" xfId="0" applyNumberFormat="1" applyFont="1" applyFill="1" applyBorder="1"/>
    <xf numFmtId="1" fontId="9" fillId="15" borderId="4" xfId="0" applyNumberFormat="1" applyFont="1" applyFill="1" applyBorder="1"/>
    <xf numFmtId="1" fontId="9" fillId="15" borderId="5" xfId="0" applyNumberFormat="1" applyFont="1" applyFill="1" applyBorder="1"/>
    <xf numFmtId="1" fontId="9" fillId="15" borderId="6" xfId="0" applyNumberFormat="1" applyFont="1" applyFill="1" applyBorder="1"/>
    <xf numFmtId="165" fontId="0" fillId="3" borderId="2" xfId="0" applyNumberFormat="1" applyFill="1" applyBorder="1"/>
    <xf numFmtId="165" fontId="0" fillId="3" borderId="20" xfId="0" applyNumberFormat="1" applyFill="1" applyBorder="1"/>
    <xf numFmtId="165" fontId="0" fillId="3" borderId="21" xfId="0" applyNumberFormat="1" applyFill="1" applyBorder="1"/>
    <xf numFmtId="165" fontId="0" fillId="3" borderId="22" xfId="0" applyNumberFormat="1" applyFill="1" applyBorder="1"/>
    <xf numFmtId="0" fontId="16" fillId="4" borderId="3" xfId="0" applyFont="1" applyFill="1" applyBorder="1" applyAlignment="1">
      <alignment horizontal="right"/>
    </xf>
    <xf numFmtId="6" fontId="0" fillId="4" borderId="3" xfId="0" applyNumberFormat="1" applyFill="1" applyBorder="1"/>
    <xf numFmtId="0" fontId="32" fillId="0" borderId="0" xfId="10" applyFont="1" applyAlignment="1">
      <alignment horizontal="center"/>
    </xf>
    <xf numFmtId="0" fontId="33" fillId="0" borderId="0" xfId="10" applyFont="1" applyAlignment="1">
      <alignment horizontal="center"/>
    </xf>
    <xf numFmtId="0" fontId="31" fillId="0" borderId="0" xfId="10"/>
    <xf numFmtId="0" fontId="32" fillId="17" borderId="2" xfId="10" applyFont="1" applyFill="1" applyBorder="1" applyAlignment="1">
      <alignment horizontal="center" vertical="center"/>
    </xf>
    <xf numFmtId="0" fontId="32" fillId="17" borderId="2" xfId="10" applyFont="1" applyFill="1" applyBorder="1" applyAlignment="1">
      <alignment horizontal="center" vertical="center" wrapText="1"/>
    </xf>
    <xf numFmtId="0" fontId="32" fillId="16" borderId="13" xfId="10" applyFont="1" applyFill="1" applyBorder="1" applyAlignment="1">
      <alignment horizontal="center" vertical="center"/>
    </xf>
    <xf numFmtId="0" fontId="32" fillId="16" borderId="1" xfId="10" applyFont="1" applyFill="1" applyBorder="1" applyAlignment="1">
      <alignment horizontal="center" vertical="center"/>
    </xf>
    <xf numFmtId="0" fontId="32" fillId="17" borderId="20" xfId="10" applyFont="1" applyFill="1" applyBorder="1" applyAlignment="1">
      <alignment vertical="center"/>
    </xf>
    <xf numFmtId="0" fontId="31" fillId="0" borderId="15" xfId="10" applyBorder="1" applyAlignment="1">
      <alignment horizontal="left" vertical="center"/>
    </xf>
    <xf numFmtId="0" fontId="34" fillId="0" borderId="1" xfId="10" applyFont="1" applyBorder="1" applyAlignment="1">
      <alignment horizontal="center" vertical="center"/>
    </xf>
    <xf numFmtId="171" fontId="34" fillId="0" borderId="1" xfId="10" applyNumberFormat="1" applyFont="1" applyBorder="1" applyAlignment="1">
      <alignment horizontal="center" vertical="center"/>
    </xf>
    <xf numFmtId="0" fontId="31" fillId="18" borderId="20" xfId="10" applyFill="1" applyBorder="1"/>
    <xf numFmtId="171" fontId="35" fillId="0" borderId="1" xfId="10" applyNumberFormat="1" applyFont="1" applyBorder="1" applyAlignment="1">
      <alignment horizontal="center" vertical="center"/>
    </xf>
    <xf numFmtId="0" fontId="31" fillId="0" borderId="1" xfId="10" applyBorder="1" applyAlignment="1">
      <alignment horizontal="center" vertical="center"/>
    </xf>
    <xf numFmtId="9" fontId="36" fillId="0" borderId="21" xfId="10" applyNumberFormat="1" applyFont="1" applyBorder="1" applyAlignment="1">
      <alignment horizontal="center"/>
    </xf>
    <xf numFmtId="0" fontId="37" fillId="19" borderId="32" xfId="10" applyFont="1" applyFill="1" applyBorder="1" applyAlignment="1">
      <alignment vertical="center"/>
    </xf>
    <xf numFmtId="172" fontId="37" fillId="19" borderId="33" xfId="10" applyNumberFormat="1" applyFont="1" applyFill="1" applyBorder="1" applyAlignment="1">
      <alignment horizontal="center" vertical="center"/>
    </xf>
    <xf numFmtId="9" fontId="38" fillId="18" borderId="1" xfId="10" applyNumberFormat="1" applyFont="1" applyFill="1" applyBorder="1" applyAlignment="1">
      <alignment horizontal="center"/>
    </xf>
    <xf numFmtId="0" fontId="37" fillId="0" borderId="0" xfId="10" applyFont="1"/>
    <xf numFmtId="173" fontId="37" fillId="0" borderId="0" xfId="10" applyNumberFormat="1" applyFont="1" applyAlignment="1">
      <alignment horizontal="center"/>
    </xf>
    <xf numFmtId="0" fontId="37" fillId="20" borderId="34" xfId="10" applyFont="1" applyFill="1" applyBorder="1"/>
    <xf numFmtId="0" fontId="37" fillId="20" borderId="36" xfId="10" applyFont="1" applyFill="1" applyBorder="1"/>
    <xf numFmtId="0" fontId="39" fillId="25" borderId="38" xfId="0" applyFont="1" applyFill="1" applyBorder="1" applyAlignment="1">
      <alignment horizontal="center" vertical="center" wrapText="1"/>
    </xf>
    <xf numFmtId="0" fontId="41" fillId="0" borderId="39" xfId="0" applyFont="1" applyBorder="1" applyAlignment="1">
      <alignment horizontal="left" vertical="center"/>
    </xf>
    <xf numFmtId="174" fontId="47" fillId="21" borderId="38" xfId="0" applyNumberFormat="1" applyFont="1" applyFill="1" applyBorder="1" applyAlignment="1">
      <alignment horizontal="center" vertical="center"/>
    </xf>
    <xf numFmtId="0" fontId="48" fillId="0" borderId="39" xfId="0" applyFont="1" applyBorder="1" applyAlignment="1">
      <alignment horizontal="center" vertical="center"/>
    </xf>
    <xf numFmtId="0" fontId="49" fillId="0" borderId="39" xfId="0" applyFont="1" applyBorder="1" applyAlignment="1">
      <alignment horizontal="center" vertical="center"/>
    </xf>
    <xf numFmtId="0" fontId="50" fillId="0" borderId="39" xfId="0" applyFont="1" applyBorder="1" applyAlignment="1">
      <alignment horizontal="left" vertical="center" wrapText="1"/>
    </xf>
    <xf numFmtId="1" fontId="47" fillId="21" borderId="38" xfId="0" applyNumberFormat="1" applyFont="1" applyFill="1" applyBorder="1" applyAlignment="1">
      <alignment horizontal="center" vertical="center"/>
    </xf>
    <xf numFmtId="0" fontId="45" fillId="0" borderId="39" xfId="0" applyFont="1" applyBorder="1" applyAlignment="1">
      <alignment horizontal="center" vertical="center"/>
    </xf>
    <xf numFmtId="0" fontId="51" fillId="0" borderId="39" xfId="0" applyFont="1" applyBorder="1" applyAlignment="1">
      <alignment horizontal="left" vertical="center" wrapText="1"/>
    </xf>
    <xf numFmtId="1" fontId="41" fillId="0" borderId="38" xfId="0" applyNumberFormat="1" applyFont="1" applyBorder="1" applyAlignment="1">
      <alignment horizontal="center" vertical="center"/>
    </xf>
    <xf numFmtId="173" fontId="47" fillId="21" borderId="38" xfId="0" applyNumberFormat="1" applyFont="1" applyFill="1" applyBorder="1" applyAlignment="1">
      <alignment horizontal="center" vertical="center"/>
    </xf>
    <xf numFmtId="0" fontId="42" fillId="0" borderId="39" xfId="0" applyFont="1" applyBorder="1" applyAlignment="1">
      <alignment horizontal="left" vertical="center"/>
    </xf>
    <xf numFmtId="0" fontId="47" fillId="21" borderId="38" xfId="0" applyFont="1" applyFill="1" applyBorder="1" applyAlignment="1">
      <alignment horizontal="center" vertical="center"/>
    </xf>
    <xf numFmtId="9" fontId="47" fillId="21" borderId="38" xfId="0" applyNumberFormat="1" applyFont="1" applyFill="1" applyBorder="1" applyAlignment="1">
      <alignment horizontal="center" vertical="center"/>
    </xf>
    <xf numFmtId="3" fontId="47" fillId="21" borderId="38" xfId="0" applyNumberFormat="1" applyFont="1" applyFill="1" applyBorder="1" applyAlignment="1">
      <alignment horizontal="center" vertical="center"/>
    </xf>
    <xf numFmtId="0" fontId="42" fillId="0" borderId="39" xfId="0" applyFont="1" applyBorder="1" applyAlignment="1">
      <alignment horizontal="left" vertical="center" wrapText="1"/>
    </xf>
    <xf numFmtId="173" fontId="42" fillId="26" borderId="38" xfId="0" applyNumberFormat="1" applyFont="1" applyFill="1" applyBorder="1" applyAlignment="1">
      <alignment horizontal="center" vertical="center"/>
    </xf>
    <xf numFmtId="0" fontId="41" fillId="0" borderId="39" xfId="0" applyFont="1" applyBorder="1" applyAlignment="1">
      <alignment horizontal="left" vertical="center" indent="1"/>
    </xf>
    <xf numFmtId="175" fontId="47" fillId="21" borderId="38" xfId="0" applyNumberFormat="1" applyFont="1" applyFill="1" applyBorder="1" applyAlignment="1">
      <alignment horizontal="center" vertical="center"/>
    </xf>
    <xf numFmtId="2" fontId="47" fillId="21" borderId="38" xfId="0" applyNumberFormat="1" applyFont="1" applyFill="1" applyBorder="1" applyAlignment="1">
      <alignment horizontal="center" vertical="center"/>
    </xf>
    <xf numFmtId="0" fontId="42" fillId="0" borderId="39" xfId="0" applyFont="1" applyBorder="1"/>
    <xf numFmtId="176" fontId="42" fillId="26" borderId="38" xfId="0" applyNumberFormat="1" applyFont="1" applyFill="1" applyBorder="1" applyAlignment="1">
      <alignment horizontal="center" vertical="center"/>
    </xf>
    <xf numFmtId="0" fontId="52" fillId="0" borderId="39" xfId="0" applyFont="1" applyBorder="1" applyAlignment="1">
      <alignment horizontal="left" vertical="center" indent="2"/>
    </xf>
    <xf numFmtId="0" fontId="41" fillId="0" borderId="39" xfId="0" applyFont="1" applyBorder="1" applyAlignment="1">
      <alignment horizontal="left" vertical="center" wrapText="1" indent="1"/>
    </xf>
    <xf numFmtId="177" fontId="47" fillId="21" borderId="38" xfId="0" applyNumberFormat="1" applyFont="1" applyFill="1" applyBorder="1" applyAlignment="1">
      <alignment horizontal="center" vertical="center"/>
    </xf>
    <xf numFmtId="0" fontId="44" fillId="0" borderId="39" xfId="0" applyFont="1" applyBorder="1" applyAlignment="1">
      <alignment horizontal="left" vertical="center" wrapText="1"/>
    </xf>
    <xf numFmtId="0" fontId="48" fillId="0" borderId="39" xfId="0" applyFont="1" applyBorder="1" applyAlignment="1">
      <alignment horizontal="left" vertical="center" wrapText="1"/>
    </xf>
    <xf numFmtId="0" fontId="48" fillId="0" borderId="39" xfId="0" applyFont="1" applyBorder="1" applyAlignment="1">
      <alignment horizontal="center"/>
    </xf>
    <xf numFmtId="0" fontId="45" fillId="0" borderId="39" xfId="0" applyFont="1" applyBorder="1" applyAlignment="1">
      <alignment horizontal="center"/>
    </xf>
    <xf numFmtId="0" fontId="41" fillId="0" borderId="39" xfId="0" applyFont="1" applyBorder="1" applyAlignment="1">
      <alignment horizontal="left" vertical="center" wrapText="1"/>
    </xf>
    <xf numFmtId="0" fontId="41" fillId="0" borderId="39" xfId="0" applyFont="1" applyBorder="1" applyAlignment="1">
      <alignment horizontal="center"/>
    </xf>
    <xf numFmtId="173" fontId="41" fillId="26" borderId="38" xfId="0" applyNumberFormat="1" applyFont="1" applyFill="1" applyBorder="1" applyAlignment="1">
      <alignment horizontal="center"/>
    </xf>
    <xf numFmtId="9" fontId="42" fillId="26" borderId="38" xfId="0" applyNumberFormat="1" applyFont="1" applyFill="1" applyBorder="1" applyAlignment="1">
      <alignment horizontal="center"/>
    </xf>
    <xf numFmtId="173" fontId="42" fillId="26" borderId="38" xfId="0" applyNumberFormat="1" applyFont="1" applyFill="1" applyBorder="1" applyAlignment="1">
      <alignment horizontal="center"/>
    </xf>
    <xf numFmtId="3" fontId="41" fillId="26" borderId="38" xfId="0" applyNumberFormat="1" applyFont="1" applyFill="1" applyBorder="1" applyAlignment="1">
      <alignment horizontal="center" vertical="center"/>
    </xf>
    <xf numFmtId="2" fontId="41" fillId="27" borderId="38" xfId="0" applyNumberFormat="1" applyFont="1" applyFill="1" applyBorder="1" applyAlignment="1">
      <alignment horizontal="center" vertical="center"/>
    </xf>
    <xf numFmtId="0" fontId="50" fillId="0" borderId="0" xfId="0" applyFont="1" applyAlignment="1">
      <alignment horizontal="left" vertical="center" wrapText="1"/>
    </xf>
    <xf numFmtId="3" fontId="41" fillId="23" borderId="38" xfId="0" applyNumberFormat="1" applyFont="1" applyFill="1" applyBorder="1" applyAlignment="1">
      <alignment horizontal="center" vertical="center"/>
    </xf>
    <xf numFmtId="0" fontId="51" fillId="0" borderId="0" xfId="0" applyFont="1" applyAlignment="1">
      <alignment horizontal="left" vertical="center" wrapText="1"/>
    </xf>
    <xf numFmtId="2" fontId="42" fillId="27" borderId="38" xfId="0" applyNumberFormat="1" applyFont="1" applyFill="1" applyBorder="1" applyAlignment="1">
      <alignment horizontal="center" vertical="center"/>
    </xf>
    <xf numFmtId="173" fontId="42" fillId="27" borderId="38" xfId="0" applyNumberFormat="1" applyFont="1" applyFill="1" applyBorder="1" applyAlignment="1">
      <alignment horizontal="center" vertical="center"/>
    </xf>
    <xf numFmtId="2" fontId="41" fillId="26" borderId="38" xfId="0" applyNumberFormat="1" applyFont="1" applyFill="1" applyBorder="1" applyAlignment="1">
      <alignment horizontal="center" vertical="center"/>
    </xf>
    <xf numFmtId="0" fontId="55" fillId="21" borderId="38" xfId="0" applyFont="1" applyFill="1" applyBorder="1" applyAlignment="1">
      <alignment horizontal="center" vertical="center"/>
    </xf>
    <xf numFmtId="0" fontId="54" fillId="23" borderId="38" xfId="0" applyFont="1" applyFill="1" applyBorder="1" applyAlignment="1">
      <alignment horizontal="left" vertical="center" wrapText="1"/>
    </xf>
    <xf numFmtId="0" fontId="56" fillId="28" borderId="38" xfId="0" applyFont="1" applyFill="1" applyBorder="1" applyAlignment="1">
      <alignment horizontal="center" vertical="center"/>
    </xf>
    <xf numFmtId="0" fontId="48" fillId="0" borderId="38" xfId="0" applyFont="1" applyBorder="1" applyAlignment="1">
      <alignment horizontal="center" vertical="center"/>
    </xf>
    <xf numFmtId="1" fontId="42" fillId="26" borderId="38" xfId="0" applyNumberFormat="1" applyFont="1" applyFill="1" applyBorder="1" applyAlignment="1">
      <alignment horizontal="center" vertical="center"/>
    </xf>
    <xf numFmtId="0" fontId="57" fillId="26" borderId="38" xfId="0" applyFont="1" applyFill="1" applyBorder="1" applyAlignment="1">
      <alignment horizontal="center" vertical="center"/>
    </xf>
    <xf numFmtId="1" fontId="41" fillId="23" borderId="38" xfId="0" applyNumberFormat="1" applyFont="1" applyFill="1" applyBorder="1" applyAlignment="1">
      <alignment horizontal="center" vertical="center"/>
    </xf>
    <xf numFmtId="0" fontId="57" fillId="23" borderId="38" xfId="0" applyFont="1" applyFill="1" applyBorder="1" applyAlignment="1">
      <alignment horizontal="center" vertical="center"/>
    </xf>
    <xf numFmtId="1" fontId="41" fillId="26" borderId="38" xfId="0" applyNumberFormat="1" applyFont="1" applyFill="1" applyBorder="1" applyAlignment="1">
      <alignment horizontal="center" vertical="center"/>
    </xf>
    <xf numFmtId="1" fontId="58" fillId="27" borderId="38" xfId="0" applyNumberFormat="1" applyFont="1" applyFill="1" applyBorder="1" applyAlignment="1">
      <alignment horizontal="center" vertical="center"/>
    </xf>
    <xf numFmtId="3" fontId="41" fillId="27" borderId="38" xfId="0" applyNumberFormat="1" applyFont="1" applyFill="1" applyBorder="1" applyAlignment="1">
      <alignment horizontal="center" vertical="center"/>
    </xf>
    <xf numFmtId="9" fontId="47" fillId="27" borderId="38" xfId="0" applyNumberFormat="1" applyFont="1" applyFill="1" applyBorder="1" applyAlignment="1">
      <alignment horizontal="center" vertical="center"/>
    </xf>
    <xf numFmtId="177" fontId="42" fillId="27" borderId="38" xfId="0" applyNumberFormat="1" applyFont="1" applyFill="1" applyBorder="1" applyAlignment="1">
      <alignment horizontal="center" vertical="center"/>
    </xf>
    <xf numFmtId="177" fontId="41" fillId="23" borderId="38" xfId="0" applyNumberFormat="1" applyFont="1" applyFill="1" applyBorder="1" applyAlignment="1">
      <alignment horizontal="center" vertical="center"/>
    </xf>
    <xf numFmtId="177" fontId="41" fillId="26" borderId="38" xfId="0" applyNumberFormat="1" applyFont="1" applyFill="1" applyBorder="1" applyAlignment="1">
      <alignment horizontal="center" vertical="center"/>
    </xf>
    <xf numFmtId="173" fontId="59" fillId="21" borderId="38" xfId="0" applyNumberFormat="1" applyFont="1" applyFill="1" applyBorder="1" applyAlignment="1">
      <alignment horizontal="center" vertical="center"/>
    </xf>
    <xf numFmtId="177" fontId="59" fillId="21" borderId="38" xfId="0" applyNumberFormat="1" applyFont="1" applyFill="1" applyBorder="1" applyAlignment="1">
      <alignment horizontal="center" vertical="center"/>
    </xf>
    <xf numFmtId="177" fontId="59" fillId="21" borderId="40" xfId="0" applyNumberFormat="1" applyFont="1" applyFill="1" applyBorder="1" applyAlignment="1">
      <alignment horizontal="center" vertical="center"/>
    </xf>
    <xf numFmtId="2" fontId="41" fillId="27" borderId="40" xfId="0" applyNumberFormat="1" applyFont="1" applyFill="1" applyBorder="1" applyAlignment="1">
      <alignment horizontal="center" vertical="center"/>
    </xf>
    <xf numFmtId="173" fontId="59" fillId="21" borderId="40" xfId="0" applyNumberFormat="1" applyFont="1" applyFill="1" applyBorder="1" applyAlignment="1">
      <alignment horizontal="center" vertical="center"/>
    </xf>
    <xf numFmtId="0" fontId="15" fillId="29" borderId="2" xfId="0" applyFont="1" applyFill="1" applyBorder="1"/>
    <xf numFmtId="0" fontId="15" fillId="29" borderId="13" xfId="0" applyFont="1" applyFill="1" applyBorder="1"/>
    <xf numFmtId="0" fontId="15" fillId="29" borderId="23" xfId="0" applyFont="1" applyFill="1" applyBorder="1"/>
    <xf numFmtId="0" fontId="39" fillId="25" borderId="41" xfId="0" applyFont="1" applyFill="1" applyBorder="1" applyAlignment="1">
      <alignment horizontal="center" vertical="center" wrapText="1"/>
    </xf>
    <xf numFmtId="0" fontId="39" fillId="25" borderId="42" xfId="0" applyFont="1" applyFill="1" applyBorder="1" applyAlignment="1">
      <alignment horizontal="center" vertical="center" wrapText="1"/>
    </xf>
    <xf numFmtId="0" fontId="41" fillId="0" borderId="43" xfId="0" applyFont="1" applyBorder="1" applyAlignment="1">
      <alignment horizontal="left" vertical="center"/>
    </xf>
    <xf numFmtId="173" fontId="42" fillId="27" borderId="42" xfId="0" applyNumberFormat="1" applyFont="1" applyFill="1" applyBorder="1" applyAlignment="1">
      <alignment horizontal="center" vertical="center"/>
    </xf>
    <xf numFmtId="0" fontId="41" fillId="0" borderId="3" xfId="0" applyFont="1" applyBorder="1" applyAlignment="1">
      <alignment horizontal="left" vertical="center"/>
    </xf>
    <xf numFmtId="173" fontId="42" fillId="27" borderId="44" xfId="0" applyNumberFormat="1" applyFont="1" applyFill="1" applyBorder="1" applyAlignment="1">
      <alignment horizontal="center" vertical="center"/>
    </xf>
    <xf numFmtId="0" fontId="42" fillId="0" borderId="15" xfId="0" applyFont="1" applyBorder="1" applyAlignment="1">
      <alignment horizontal="left" vertical="center"/>
    </xf>
    <xf numFmtId="2" fontId="42" fillId="27" borderId="45" xfId="0" applyNumberFormat="1" applyFont="1" applyFill="1" applyBorder="1" applyAlignment="1">
      <alignment horizontal="center" vertical="center"/>
    </xf>
    <xf numFmtId="173" fontId="42" fillId="27" borderId="45" xfId="0" applyNumberFormat="1" applyFont="1" applyFill="1" applyBorder="1" applyAlignment="1">
      <alignment horizontal="center" vertical="center"/>
    </xf>
    <xf numFmtId="173" fontId="42" fillId="27" borderId="46" xfId="0" applyNumberFormat="1" applyFont="1" applyFill="1" applyBorder="1" applyAlignment="1">
      <alignment horizontal="center" vertical="center"/>
    </xf>
    <xf numFmtId="177" fontId="60" fillId="21" borderId="38" xfId="0" applyNumberFormat="1" applyFont="1" applyFill="1" applyBorder="1" applyAlignment="1">
      <alignment horizontal="center" vertical="center"/>
    </xf>
    <xf numFmtId="0" fontId="39" fillId="25" borderId="47" xfId="0" applyFont="1" applyFill="1" applyBorder="1" applyAlignment="1">
      <alignment horizontal="center" vertical="center" wrapText="1"/>
    </xf>
    <xf numFmtId="0" fontId="39" fillId="25" borderId="0" xfId="0" applyFont="1" applyFill="1" applyAlignment="1">
      <alignment horizontal="center" vertical="center" wrapText="1"/>
    </xf>
    <xf numFmtId="175" fontId="59" fillId="21" borderId="38" xfId="0" applyNumberFormat="1" applyFont="1" applyFill="1" applyBorder="1" applyAlignment="1">
      <alignment horizontal="center" vertical="center"/>
    </xf>
    <xf numFmtId="0" fontId="43" fillId="12" borderId="3" xfId="0" applyFont="1" applyFill="1" applyBorder="1" applyAlignment="1">
      <alignment horizontal="left"/>
    </xf>
    <xf numFmtId="0" fontId="43" fillId="12" borderId="0" xfId="0" applyFont="1" applyFill="1" applyAlignment="1">
      <alignment horizontal="left"/>
    </xf>
    <xf numFmtId="0" fontId="43" fillId="12" borderId="0" xfId="0" applyFont="1" applyFill="1"/>
    <xf numFmtId="0" fontId="43" fillId="12" borderId="4" xfId="0" applyFont="1" applyFill="1" applyBorder="1"/>
    <xf numFmtId="0" fontId="0" fillId="0" borderId="3" xfId="0" applyBorder="1" applyAlignment="1">
      <alignment horizontal="left"/>
    </xf>
    <xf numFmtId="3" fontId="61" fillId="0" borderId="0" xfId="0" applyNumberFormat="1" applyFont="1" applyAlignment="1">
      <alignment horizontal="left"/>
    </xf>
    <xf numFmtId="9" fontId="61" fillId="0" borderId="0" xfId="0" applyNumberFormat="1" applyFont="1" applyAlignment="1">
      <alignment horizontal="left"/>
    </xf>
    <xf numFmtId="1" fontId="0" fillId="0" borderId="0" xfId="0" applyNumberFormat="1" applyAlignment="1">
      <alignment horizontal="left"/>
    </xf>
    <xf numFmtId="2" fontId="61" fillId="0" borderId="0" xfId="0" applyNumberFormat="1" applyFont="1"/>
    <xf numFmtId="6" fontId="0" fillId="0" borderId="0" xfId="0" applyNumberFormat="1"/>
    <xf numFmtId="6" fontId="0" fillId="0" borderId="4" xfId="0" applyNumberFormat="1" applyBorder="1"/>
    <xf numFmtId="0" fontId="0" fillId="0" borderId="5" xfId="0" applyBorder="1" applyAlignment="1">
      <alignment horizontal="left"/>
    </xf>
    <xf numFmtId="3" fontId="61" fillId="0" borderId="14" xfId="0" applyNumberFormat="1" applyFont="1" applyBorder="1" applyAlignment="1">
      <alignment horizontal="left"/>
    </xf>
    <xf numFmtId="9" fontId="61" fillId="0" borderId="14" xfId="0" applyNumberFormat="1" applyFont="1" applyBorder="1" applyAlignment="1">
      <alignment horizontal="left"/>
    </xf>
    <xf numFmtId="1" fontId="0" fillId="0" borderId="14" xfId="0" applyNumberFormat="1" applyBorder="1" applyAlignment="1">
      <alignment horizontal="left"/>
    </xf>
    <xf numFmtId="2" fontId="61" fillId="0" borderId="14" xfId="0" applyNumberFormat="1" applyFont="1" applyBorder="1"/>
    <xf numFmtId="6" fontId="0" fillId="0" borderId="14" xfId="0" applyNumberFormat="1" applyBorder="1"/>
    <xf numFmtId="6" fontId="0" fillId="0" borderId="6" xfId="0" applyNumberFormat="1" applyBorder="1"/>
    <xf numFmtId="1" fontId="61" fillId="0" borderId="4" xfId="0" applyNumberFormat="1" applyFont="1" applyBorder="1"/>
    <xf numFmtId="1" fontId="61" fillId="0" borderId="6" xfId="0" applyNumberFormat="1" applyFont="1" applyBorder="1"/>
    <xf numFmtId="49" fontId="47" fillId="21" borderId="38" xfId="0" applyNumberFormat="1" applyFont="1" applyFill="1" applyBorder="1" applyAlignment="1">
      <alignment horizontal="center" vertical="center"/>
    </xf>
    <xf numFmtId="9" fontId="62" fillId="22" borderId="0" xfId="0" applyNumberFormat="1" applyFont="1" applyFill="1" applyAlignment="1">
      <alignment horizontal="center" vertical="center"/>
    </xf>
    <xf numFmtId="9" fontId="63" fillId="2" borderId="1" xfId="0" applyNumberFormat="1" applyFont="1" applyFill="1" applyBorder="1"/>
    <xf numFmtId="3" fontId="59" fillId="21" borderId="38" xfId="0" applyNumberFormat="1" applyFont="1" applyFill="1" applyBorder="1" applyAlignment="1">
      <alignment horizontal="center" vertical="center"/>
    </xf>
    <xf numFmtId="174" fontId="62" fillId="0" borderId="38" xfId="0" applyNumberFormat="1" applyFont="1" applyBorder="1" applyAlignment="1">
      <alignment horizontal="center" vertical="center"/>
    </xf>
    <xf numFmtId="0" fontId="0" fillId="31" borderId="0" xfId="0" applyFill="1"/>
    <xf numFmtId="0" fontId="41" fillId="0" borderId="0" xfId="0" applyFont="1" applyAlignment="1">
      <alignment horizontal="left" vertical="center" wrapText="1"/>
    </xf>
    <xf numFmtId="173" fontId="47" fillId="21" borderId="40" xfId="0" applyNumberFormat="1" applyFont="1" applyFill="1" applyBorder="1" applyAlignment="1">
      <alignment horizontal="center" vertical="center"/>
    </xf>
    <xf numFmtId="173" fontId="60" fillId="21" borderId="40" xfId="0" applyNumberFormat="1" applyFont="1" applyFill="1" applyBorder="1" applyAlignment="1">
      <alignment horizontal="center" vertical="center"/>
    </xf>
    <xf numFmtId="0" fontId="41" fillId="0" borderId="13" xfId="0" applyFont="1" applyBorder="1" applyAlignment="1">
      <alignment horizontal="left" vertical="center" wrapText="1"/>
    </xf>
    <xf numFmtId="173" fontId="47" fillId="21" borderId="13" xfId="0" applyNumberFormat="1" applyFont="1" applyFill="1" applyBorder="1" applyAlignment="1">
      <alignment horizontal="center" vertical="center"/>
    </xf>
    <xf numFmtId="173" fontId="60" fillId="21" borderId="53" xfId="0" applyNumberFormat="1" applyFont="1" applyFill="1" applyBorder="1" applyAlignment="1">
      <alignment horizontal="center" vertical="center"/>
    </xf>
    <xf numFmtId="0" fontId="50" fillId="0" borderId="54" xfId="0" applyFont="1" applyBorder="1" applyAlignment="1">
      <alignment horizontal="left" vertical="center" wrapText="1"/>
    </xf>
    <xf numFmtId="0" fontId="32" fillId="16" borderId="1" xfId="10" applyFont="1" applyFill="1" applyBorder="1" applyAlignment="1">
      <alignment horizontal="center"/>
    </xf>
    <xf numFmtId="173" fontId="37" fillId="20" borderId="35" xfId="10" applyNumberFormat="1" applyFont="1" applyFill="1" applyBorder="1" applyAlignment="1">
      <alignment horizontal="center"/>
    </xf>
    <xf numFmtId="2" fontId="37" fillId="20" borderId="37" xfId="10" applyNumberFormat="1" applyFont="1" applyFill="1" applyBorder="1" applyAlignment="1">
      <alignment horizontal="center"/>
    </xf>
    <xf numFmtId="0" fontId="46" fillId="24" borderId="0" xfId="0" applyFont="1" applyFill="1" applyAlignment="1">
      <alignment horizontal="left" vertical="center"/>
    </xf>
    <xf numFmtId="0" fontId="0" fillId="0" borderId="0" xfId="0"/>
    <xf numFmtId="0" fontId="53" fillId="0" borderId="0" xfId="0" applyFont="1" applyAlignment="1">
      <alignment horizontal="left" vertical="center"/>
    </xf>
    <xf numFmtId="0" fontId="40" fillId="24" borderId="0" xfId="0" applyFont="1" applyFill="1" applyAlignment="1">
      <alignment horizontal="left" vertical="center"/>
    </xf>
    <xf numFmtId="0" fontId="50" fillId="0" borderId="48" xfId="0" applyFont="1" applyBorder="1" applyAlignment="1">
      <alignment horizontal="left" vertical="center" wrapText="1"/>
    </xf>
    <xf numFmtId="0" fontId="50" fillId="0" borderId="0" xfId="0" applyFont="1" applyAlignment="1">
      <alignment horizontal="left" vertical="center" wrapText="1"/>
    </xf>
    <xf numFmtId="0" fontId="50" fillId="0" borderId="49" xfId="0" applyFont="1" applyBorder="1" applyAlignment="1">
      <alignment horizontal="left" vertical="center" wrapText="1"/>
    </xf>
    <xf numFmtId="0" fontId="50" fillId="0" borderId="50" xfId="0" applyFont="1" applyBorder="1" applyAlignment="1">
      <alignment horizontal="left" vertical="center" wrapText="1"/>
    </xf>
    <xf numFmtId="0" fontId="50" fillId="0" borderId="52" xfId="0" applyFont="1" applyBorder="1" applyAlignment="1">
      <alignment horizontal="left" vertical="center" wrapText="1"/>
    </xf>
    <xf numFmtId="0" fontId="50" fillId="0" borderId="51" xfId="0" applyFont="1" applyBorder="1" applyAlignment="1">
      <alignment horizontal="left" vertical="center" wrapText="1"/>
    </xf>
    <xf numFmtId="0" fontId="51" fillId="0" borderId="0" xfId="0" applyFont="1" applyAlignment="1">
      <alignment horizontal="left" vertical="center" wrapText="1"/>
    </xf>
    <xf numFmtId="0" fontId="22" fillId="9" borderId="1" xfId="0" applyFont="1" applyFill="1" applyBorder="1" applyAlignment="1">
      <alignment vertical="center"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2" fillId="0" borderId="5" xfId="0" applyFont="1" applyBorder="1" applyAlignment="1">
      <alignment vertical="top" wrapText="1"/>
    </xf>
    <xf numFmtId="0" fontId="2" fillId="0" borderId="6" xfId="0" applyFont="1" applyBorder="1" applyAlignment="1">
      <alignment vertical="top" wrapText="1"/>
    </xf>
    <xf numFmtId="0" fontId="23" fillId="9" borderId="15" xfId="0" applyFont="1" applyFill="1" applyBorder="1" applyAlignment="1">
      <alignment horizontal="center" vertical="center"/>
    </xf>
    <xf numFmtId="0" fontId="23" fillId="9" borderId="17" xfId="0" applyFont="1" applyFill="1" applyBorder="1" applyAlignment="1">
      <alignment horizontal="center" vertical="center"/>
    </xf>
    <xf numFmtId="0" fontId="2" fillId="0" borderId="13" xfId="0" applyFont="1" applyBorder="1" applyAlignment="1">
      <alignment horizontal="left" vertical="top" wrapText="1"/>
    </xf>
    <xf numFmtId="0" fontId="2" fillId="0" borderId="23" xfId="0" applyFont="1" applyBorder="1" applyAlignment="1">
      <alignment horizontal="left" vertical="top" wrapText="1"/>
    </xf>
    <xf numFmtId="0" fontId="2" fillId="0" borderId="14" xfId="0" applyFont="1" applyBorder="1" applyAlignment="1">
      <alignment horizontal="left" vertical="top" wrapText="1"/>
    </xf>
    <xf numFmtId="0" fontId="2" fillId="0" borderId="0" xfId="0" applyFont="1" applyAlignment="1">
      <alignment horizontal="left" vertical="top" wrapText="1"/>
    </xf>
    <xf numFmtId="0" fontId="2" fillId="0" borderId="5" xfId="0" applyFont="1" applyBorder="1" applyAlignment="1">
      <alignment horizontal="left" vertical="top"/>
    </xf>
    <xf numFmtId="0" fontId="2" fillId="0" borderId="14" xfId="0" applyFont="1" applyBorder="1" applyAlignment="1">
      <alignment horizontal="left" vertical="top"/>
    </xf>
    <xf numFmtId="0" fontId="2" fillId="0" borderId="6" xfId="0" applyFont="1" applyBorder="1" applyAlignment="1">
      <alignment horizontal="left" vertical="top"/>
    </xf>
    <xf numFmtId="0" fontId="2" fillId="0" borderId="14" xfId="0" applyFont="1" applyBorder="1" applyAlignment="1">
      <alignment horizontal="left" vertical="center" wrapText="1"/>
    </xf>
    <xf numFmtId="0" fontId="2" fillId="0" borderId="6" xfId="0" applyFont="1" applyBorder="1" applyAlignment="1">
      <alignment horizontal="left" vertical="center" wrapText="1"/>
    </xf>
    <xf numFmtId="0" fontId="23" fillId="9" borderId="1" xfId="0" applyFont="1" applyFill="1" applyBorder="1" applyAlignment="1">
      <alignment horizontal="center" vertical="center" wrapText="1"/>
    </xf>
    <xf numFmtId="0" fontId="23" fillId="9" borderId="1" xfId="0" applyFont="1" applyFill="1" applyBorder="1" applyAlignment="1">
      <alignment vertical="center" wrapText="1"/>
    </xf>
    <xf numFmtId="0" fontId="23" fillId="9" borderId="5" xfId="0" applyFont="1" applyFill="1" applyBorder="1" applyAlignment="1">
      <alignment horizontal="center" vertical="center" wrapText="1"/>
    </xf>
    <xf numFmtId="0" fontId="23" fillId="9" borderId="14" xfId="0" applyFont="1" applyFill="1" applyBorder="1" applyAlignment="1">
      <alignment horizontal="center" vertical="center" wrapText="1"/>
    </xf>
    <xf numFmtId="0" fontId="23" fillId="9" borderId="6" xfId="0" applyFont="1" applyFill="1" applyBorder="1" applyAlignment="1">
      <alignment horizontal="center" vertical="center" wrapText="1"/>
    </xf>
    <xf numFmtId="0" fontId="15" fillId="7" borderId="16" xfId="0" applyFont="1" applyFill="1" applyBorder="1" applyAlignment="1">
      <alignment horizontal="center"/>
    </xf>
    <xf numFmtId="0" fontId="15" fillId="7" borderId="17" xfId="0" applyFont="1" applyFill="1" applyBorder="1" applyAlignment="1">
      <alignment horizontal="center"/>
    </xf>
    <xf numFmtId="0" fontId="15" fillId="7" borderId="15" xfId="0" applyFont="1" applyFill="1" applyBorder="1" applyAlignment="1">
      <alignment horizontal="center"/>
    </xf>
    <xf numFmtId="0" fontId="15" fillId="30" borderId="2" xfId="0" applyFont="1" applyFill="1" applyBorder="1" applyAlignment="1">
      <alignment horizontal="center"/>
    </xf>
    <xf numFmtId="0" fontId="15" fillId="30" borderId="13" xfId="0" applyFont="1" applyFill="1" applyBorder="1" applyAlignment="1">
      <alignment horizontal="center"/>
    </xf>
    <xf numFmtId="0" fontId="15" fillId="30" borderId="23" xfId="0" applyFont="1" applyFill="1" applyBorder="1" applyAlignment="1">
      <alignment horizontal="center"/>
    </xf>
  </cellXfs>
  <cellStyles count="11">
    <cellStyle name="Comma" xfId="9" builtinId="3"/>
    <cellStyle name="Currency" xfId="2" builtinId="4"/>
    <cellStyle name="Heading 1" xfId="3" builtinId="16"/>
    <cellStyle name="Heading 2" xfId="4" builtinId="17"/>
    <cellStyle name="Heading 4" xfId="5" builtinId="19"/>
    <cellStyle name="Hyperlink" xfId="1" builtinId="8"/>
    <cellStyle name="Hyperlink 2" xfId="7" xr:uid="{304C8883-2D05-433A-93CD-BB7137A396C1}"/>
    <cellStyle name="Normal" xfId="0" builtinId="0"/>
    <cellStyle name="Normal 2" xfId="10" xr:uid="{1182489C-EE0C-4061-93C1-6DDF10DD5327}"/>
    <cellStyle name="Normal 7" xfId="6" xr:uid="{39C09B7B-9AFF-4A61-96F1-6C02C073A05F}"/>
    <cellStyle name="Note" xfId="8" builtinId="10"/>
  </cellStyles>
  <dxfs count="21">
    <dxf>
      <font>
        <b val="0"/>
        <i val="0"/>
        <u val="none"/>
      </font>
      <fill>
        <patternFill>
          <bgColor theme="0" tint="-0.24994659260841701"/>
        </patternFill>
      </fill>
    </dxf>
    <dxf>
      <font>
        <b val="0"/>
        <i val="0"/>
        <u val="none"/>
      </font>
      <fill>
        <patternFill>
          <bgColor theme="0" tint="-0.24994659260841701"/>
        </patternFill>
      </fill>
    </dxf>
    <dxf>
      <font>
        <b val="0"/>
        <i val="0"/>
        <u val="none"/>
      </font>
      <fill>
        <patternFill>
          <bgColor theme="0" tint="-0.24994659260841701"/>
        </patternFill>
      </fill>
    </dxf>
    <dxf>
      <font>
        <b val="0"/>
        <i val="0"/>
        <u val="none"/>
      </font>
      <fill>
        <patternFill>
          <bgColor theme="0" tint="-0.24994659260841701"/>
        </patternFill>
      </fill>
    </dxf>
    <dxf>
      <font>
        <b val="0"/>
        <i/>
        <u val="none"/>
      </font>
      <fill>
        <patternFill>
          <bgColor theme="4" tint="0.39994506668294322"/>
        </patternFill>
      </fill>
    </dxf>
    <dxf>
      <font>
        <b val="0"/>
        <i val="0"/>
        <u val="none"/>
      </font>
      <fill>
        <patternFill>
          <bgColor theme="0" tint="-0.24994659260841701"/>
        </patternFill>
      </fill>
    </dxf>
    <dxf>
      <font>
        <b val="0"/>
        <i val="0"/>
        <u val="none"/>
      </font>
      <fill>
        <patternFill>
          <bgColor theme="0" tint="-0.24994659260841701"/>
        </patternFill>
      </fill>
    </dxf>
    <dxf>
      <font>
        <b val="0"/>
        <i val="0"/>
        <u val="none"/>
      </font>
      <fill>
        <patternFill>
          <bgColor theme="0" tint="-0.24994659260841701"/>
        </patternFill>
      </fill>
    </dxf>
    <dxf>
      <font>
        <b val="0"/>
        <i val="0"/>
        <u val="none"/>
      </font>
      <fill>
        <patternFill>
          <bgColor theme="0" tint="-0.24994659260841701"/>
        </patternFill>
      </fill>
    </dxf>
    <dxf>
      <font>
        <b val="0"/>
        <i val="0"/>
        <u val="none"/>
      </font>
      <fill>
        <patternFill>
          <bgColor theme="0" tint="-0.24994659260841701"/>
        </patternFill>
      </fill>
    </dxf>
    <dxf>
      <font>
        <b val="0"/>
        <i val="0"/>
        <u val="none"/>
      </font>
      <fill>
        <patternFill>
          <bgColor theme="0" tint="-0.24994659260841701"/>
        </patternFill>
      </fill>
    </dxf>
    <dxf>
      <font>
        <b val="0"/>
        <i val="0"/>
        <u val="none"/>
      </font>
      <fill>
        <patternFill>
          <bgColor theme="0" tint="-0.24994659260841701"/>
        </patternFill>
      </fill>
    </dxf>
    <dxf>
      <font>
        <b val="0"/>
        <i val="0"/>
        <u val="none"/>
      </font>
      <fill>
        <patternFill>
          <bgColor theme="0" tint="-0.24994659260841701"/>
        </patternFill>
      </fill>
    </dxf>
    <dxf>
      <font>
        <b val="0"/>
        <i val="0"/>
        <u val="none"/>
      </font>
      <fill>
        <patternFill>
          <bgColor theme="0" tint="-0.24994659260841701"/>
        </patternFill>
      </fill>
    </dxf>
    <dxf>
      <font>
        <b val="0"/>
        <i val="0"/>
        <u val="none"/>
      </font>
      <fill>
        <patternFill>
          <bgColor theme="0" tint="-0.24994659260841701"/>
        </patternFill>
      </fill>
    </dxf>
    <dxf>
      <font>
        <b val="0"/>
        <i val="0"/>
        <u val="none"/>
      </font>
      <fill>
        <patternFill>
          <bgColor theme="0" tint="-0.24994659260841701"/>
        </patternFill>
      </fill>
    </dxf>
    <dxf>
      <font>
        <b val="0"/>
        <i val="0"/>
        <u val="none"/>
      </font>
      <fill>
        <patternFill>
          <bgColor theme="0" tint="-0.24994659260841701"/>
        </patternFill>
      </fill>
    </dxf>
    <dxf>
      <font>
        <b val="0"/>
        <i val="0"/>
        <u val="none"/>
      </font>
      <fill>
        <patternFill>
          <bgColor theme="0" tint="-0.24994659260841701"/>
        </patternFill>
      </fill>
    </dxf>
    <dxf>
      <font>
        <b val="0"/>
        <i val="0"/>
        <u val="none"/>
      </font>
      <fill>
        <patternFill>
          <bgColor theme="0" tint="-0.24994659260841701"/>
        </patternFill>
      </fill>
    </dxf>
    <dxf>
      <font>
        <b val="0"/>
        <i val="0"/>
        <strike val="0"/>
        <u val="none"/>
      </font>
      <fill>
        <patternFill>
          <bgColor rgb="FFBFBFBF"/>
        </patternFill>
      </fill>
    </dxf>
    <dxf>
      <font>
        <b val="0"/>
        <i/>
      </font>
    </dxf>
  </dxfs>
  <tableStyles count="0" defaultTableStyle="TableStyleMedium2" defaultPivotStyle="PivotStyleLight16"/>
  <colors>
    <mruColors>
      <color rgb="FF1F497D"/>
      <color rgb="FFBFBFBF"/>
      <color rgb="FFA9D08E"/>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transportation.gov/mission/office-secretary/office-policy/transportation-policy/benefit-cost-analysis-guidan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1725B-2DCA-4575-9084-5801151E96AA}">
  <sheetPr>
    <tabColor rgb="FF002060"/>
  </sheetPr>
  <dimension ref="A2:G84"/>
  <sheetViews>
    <sheetView showGridLines="0" workbookViewId="0">
      <pane ySplit="2" topLeftCell="A3" activePane="bottomLeft" state="frozen"/>
      <selection activeCell="E20" sqref="E20"/>
      <selection pane="bottomLeft" activeCell="F62" sqref="F62"/>
    </sheetView>
    <sheetView workbookViewId="1"/>
  </sheetViews>
  <sheetFormatPr defaultRowHeight="14.5" outlineLevelRow="1" x14ac:dyDescent="0.35"/>
  <cols>
    <col min="1" max="1" width="44" customWidth="1"/>
    <col min="2" max="5" width="22" customWidth="1"/>
    <col min="6" max="7" width="46" customWidth="1"/>
  </cols>
  <sheetData>
    <row r="2" spans="1:7" ht="20" customHeight="1" x14ac:dyDescent="0.35">
      <c r="A2" s="347" t="s">
        <v>357</v>
      </c>
      <c r="B2" s="348"/>
      <c r="C2" s="348"/>
      <c r="D2" s="348"/>
      <c r="E2" s="348"/>
      <c r="F2" s="348"/>
      <c r="G2" s="336"/>
    </row>
    <row r="3" spans="1:7" ht="28" customHeight="1" outlineLevel="1" x14ac:dyDescent="0.35">
      <c r="A3" s="232" t="s">
        <v>358</v>
      </c>
      <c r="B3" s="232" t="s">
        <v>211</v>
      </c>
      <c r="C3" s="232" t="s">
        <v>359</v>
      </c>
      <c r="D3" s="232" t="s">
        <v>360</v>
      </c>
      <c r="E3" s="232" t="s">
        <v>361</v>
      </c>
    </row>
    <row r="4" spans="1:7" ht="16" customHeight="1" outlineLevel="1" x14ac:dyDescent="0.35">
      <c r="A4" s="233" t="s">
        <v>362</v>
      </c>
      <c r="B4" s="234">
        <v>7.0000000000000007E-2</v>
      </c>
      <c r="C4" s="235" t="s">
        <v>363</v>
      </c>
      <c r="D4" s="236"/>
      <c r="E4" s="237" t="s">
        <v>543</v>
      </c>
    </row>
    <row r="5" spans="1:7" ht="16" customHeight="1" outlineLevel="1" x14ac:dyDescent="0.35">
      <c r="A5" s="233" t="s">
        <v>364</v>
      </c>
      <c r="B5" s="238">
        <v>2024</v>
      </c>
      <c r="C5" s="235" t="s">
        <v>365</v>
      </c>
      <c r="D5" s="236"/>
      <c r="E5" s="237" t="s">
        <v>544</v>
      </c>
    </row>
    <row r="6" spans="1:7" ht="16" customHeight="1" outlineLevel="1" x14ac:dyDescent="0.35">
      <c r="A6" s="233" t="s">
        <v>366</v>
      </c>
      <c r="B6" s="238">
        <v>2028</v>
      </c>
      <c r="C6" s="235" t="s">
        <v>365</v>
      </c>
      <c r="D6" s="239"/>
      <c r="E6" s="240"/>
    </row>
    <row r="7" spans="1:7" ht="16" customHeight="1" outlineLevel="1" x14ac:dyDescent="0.35">
      <c r="A7" s="233" t="s">
        <v>367</v>
      </c>
      <c r="B7" s="238">
        <v>2032</v>
      </c>
      <c r="C7" s="235" t="s">
        <v>365</v>
      </c>
      <c r="D7" s="239"/>
      <c r="E7" s="240"/>
    </row>
    <row r="8" spans="1:7" ht="16" customHeight="1" outlineLevel="1" x14ac:dyDescent="0.35">
      <c r="A8" s="233" t="s">
        <v>522</v>
      </c>
      <c r="B8" s="238">
        <v>6</v>
      </c>
      <c r="C8" s="235"/>
      <c r="D8" s="239"/>
      <c r="E8" s="240"/>
    </row>
    <row r="9" spans="1:7" ht="16" customHeight="1" outlineLevel="1" x14ac:dyDescent="0.35">
      <c r="A9" s="233" t="s">
        <v>368</v>
      </c>
      <c r="B9" s="238">
        <v>2033</v>
      </c>
      <c r="C9" s="235" t="s">
        <v>365</v>
      </c>
      <c r="D9" s="239"/>
      <c r="E9" s="240"/>
    </row>
    <row r="10" spans="1:7" ht="16" customHeight="1" outlineLevel="1" x14ac:dyDescent="0.35">
      <c r="A10" s="233" t="s">
        <v>369</v>
      </c>
      <c r="B10" s="238">
        <v>30</v>
      </c>
      <c r="C10" s="235" t="s">
        <v>370</v>
      </c>
      <c r="D10" s="236"/>
      <c r="E10" s="237"/>
    </row>
    <row r="11" spans="1:7" ht="16" customHeight="1" outlineLevel="1" x14ac:dyDescent="0.35">
      <c r="A11" s="233" t="s">
        <v>371</v>
      </c>
      <c r="B11" s="241">
        <f>B9+B10-1</f>
        <v>2062</v>
      </c>
      <c r="C11" s="235" t="s">
        <v>365</v>
      </c>
      <c r="D11" s="239"/>
      <c r="E11" s="240"/>
    </row>
    <row r="12" spans="1:7" ht="16" customHeight="1" outlineLevel="1" x14ac:dyDescent="0.35">
      <c r="A12" s="233" t="s">
        <v>372</v>
      </c>
      <c r="B12" s="242">
        <v>119600000</v>
      </c>
      <c r="C12" s="235" t="s">
        <v>373</v>
      </c>
      <c r="D12" s="236"/>
      <c r="E12" s="237"/>
    </row>
    <row r="13" spans="1:7" ht="6" customHeight="1" x14ac:dyDescent="0.35"/>
    <row r="14" spans="1:7" ht="20" customHeight="1" x14ac:dyDescent="0.35">
      <c r="A14" s="347" t="s">
        <v>374</v>
      </c>
      <c r="B14" s="348"/>
      <c r="C14" s="348"/>
      <c r="D14" s="348"/>
      <c r="E14" s="348"/>
      <c r="F14" s="348"/>
      <c r="G14" s="336"/>
    </row>
    <row r="15" spans="1:7" ht="28" customHeight="1" outlineLevel="1" x14ac:dyDescent="0.35">
      <c r="A15" s="232" t="s">
        <v>375</v>
      </c>
      <c r="B15" s="232" t="s">
        <v>376</v>
      </c>
      <c r="C15" s="232" t="s">
        <v>377</v>
      </c>
      <c r="D15" s="232" t="s">
        <v>378</v>
      </c>
      <c r="E15" s="232" t="s">
        <v>379</v>
      </c>
      <c r="F15" s="232" t="s">
        <v>380</v>
      </c>
      <c r="G15" s="309"/>
    </row>
    <row r="16" spans="1:7" ht="16" customHeight="1" outlineLevel="1" x14ac:dyDescent="0.35">
      <c r="A16" s="243" t="s">
        <v>545</v>
      </c>
      <c r="B16" s="244" t="s">
        <v>381</v>
      </c>
      <c r="C16" s="242">
        <v>28000000</v>
      </c>
      <c r="D16" s="244">
        <v>27000</v>
      </c>
      <c r="E16" s="245">
        <v>0.09</v>
      </c>
      <c r="F16" s="237"/>
      <c r="G16" s="268"/>
    </row>
    <row r="17" spans="1:7" ht="16" customHeight="1" outlineLevel="1" x14ac:dyDescent="0.35">
      <c r="A17" s="243" t="s">
        <v>546</v>
      </c>
      <c r="B17" s="244" t="s">
        <v>382</v>
      </c>
      <c r="C17" s="242">
        <v>28000000</v>
      </c>
      <c r="D17" s="244">
        <v>27000</v>
      </c>
      <c r="E17" s="245">
        <v>0.09</v>
      </c>
      <c r="F17" s="237"/>
      <c r="G17" s="268"/>
    </row>
    <row r="18" spans="1:7" ht="16" customHeight="1" outlineLevel="1" x14ac:dyDescent="0.35">
      <c r="A18" s="243" t="s">
        <v>547</v>
      </c>
      <c r="B18" s="244" t="s">
        <v>383</v>
      </c>
      <c r="C18" s="242">
        <v>20000000</v>
      </c>
      <c r="D18" s="246">
        <v>10570</v>
      </c>
      <c r="E18" s="245">
        <v>0.24</v>
      </c>
      <c r="F18" s="237"/>
      <c r="G18" s="268"/>
    </row>
    <row r="19" spans="1:7" ht="16" customHeight="1" outlineLevel="1" x14ac:dyDescent="0.35">
      <c r="A19" s="243" t="s">
        <v>548</v>
      </c>
      <c r="B19" s="331" t="s">
        <v>540</v>
      </c>
      <c r="C19" s="242">
        <v>43600000</v>
      </c>
      <c r="D19" s="246">
        <v>4830</v>
      </c>
      <c r="E19" s="245">
        <v>0.16</v>
      </c>
      <c r="F19" s="240"/>
      <c r="G19" s="270"/>
    </row>
    <row r="20" spans="1:7" ht="16" customHeight="1" outlineLevel="1" x14ac:dyDescent="0.35">
      <c r="A20" s="247" t="s">
        <v>384</v>
      </c>
      <c r="C20" s="248">
        <f>SUM(C16:C19)</f>
        <v>119600000</v>
      </c>
    </row>
    <row r="21" spans="1:7" ht="6" customHeight="1" x14ac:dyDescent="0.35"/>
    <row r="22" spans="1:7" ht="20" customHeight="1" x14ac:dyDescent="0.35">
      <c r="A22" s="347" t="s">
        <v>551</v>
      </c>
      <c r="B22" s="348"/>
      <c r="C22" s="348"/>
      <c r="D22" s="348"/>
      <c r="E22" s="348"/>
      <c r="F22" s="348"/>
      <c r="G22" s="336"/>
    </row>
    <row r="23" spans="1:7" ht="28" customHeight="1" outlineLevel="1" x14ac:dyDescent="0.35">
      <c r="A23" s="232" t="s">
        <v>31</v>
      </c>
      <c r="B23" s="232" t="s">
        <v>211</v>
      </c>
      <c r="C23" s="232" t="s">
        <v>359</v>
      </c>
      <c r="D23" s="232" t="s">
        <v>360</v>
      </c>
      <c r="E23" s="232" t="s">
        <v>385</v>
      </c>
    </row>
    <row r="24" spans="1:7" ht="16" customHeight="1" outlineLevel="1" x14ac:dyDescent="0.35">
      <c r="A24" s="249" t="s">
        <v>386</v>
      </c>
      <c r="B24" s="250">
        <v>20.399999999999999</v>
      </c>
      <c r="C24" s="235" t="s">
        <v>387</v>
      </c>
      <c r="D24" s="236"/>
      <c r="E24" s="237" t="s">
        <v>388</v>
      </c>
    </row>
    <row r="25" spans="1:7" ht="16" customHeight="1" outlineLevel="1" x14ac:dyDescent="0.35">
      <c r="A25" s="249" t="s">
        <v>389</v>
      </c>
      <c r="B25" s="250">
        <v>39.9</v>
      </c>
      <c r="C25" s="235" t="s">
        <v>390</v>
      </c>
      <c r="D25" s="236"/>
      <c r="E25" s="237" t="s">
        <v>391</v>
      </c>
    </row>
    <row r="26" spans="1:7" ht="16" customHeight="1" outlineLevel="1" x14ac:dyDescent="0.35">
      <c r="A26" s="249" t="s">
        <v>526</v>
      </c>
      <c r="B26" s="310">
        <f>'Vehicle Operating Cost Savings'!$B$8</f>
        <v>0.56000000000000005</v>
      </c>
      <c r="C26" s="235" t="s">
        <v>392</v>
      </c>
      <c r="D26" s="236"/>
      <c r="E26" s="237" t="s">
        <v>393</v>
      </c>
    </row>
    <row r="27" spans="1:7" ht="16" customHeight="1" outlineLevel="1" x14ac:dyDescent="0.35">
      <c r="A27" s="249" t="s">
        <v>527</v>
      </c>
      <c r="B27" s="310">
        <f>'Vehicle Operating Cost Savings'!$B$9</f>
        <v>1.23</v>
      </c>
      <c r="C27" s="235" t="s">
        <v>392</v>
      </c>
      <c r="D27" s="236"/>
      <c r="E27" s="237" t="s">
        <v>394</v>
      </c>
    </row>
    <row r="28" spans="1:7" ht="16" customHeight="1" outlineLevel="1" x14ac:dyDescent="0.35">
      <c r="A28" s="249" t="s">
        <v>395</v>
      </c>
      <c r="B28" s="242">
        <v>13700000</v>
      </c>
      <c r="C28" s="235" t="s">
        <v>396</v>
      </c>
      <c r="D28" s="236"/>
      <c r="E28" s="237" t="s">
        <v>397</v>
      </c>
    </row>
    <row r="29" spans="1:7" ht="16" customHeight="1" outlineLevel="1" x14ac:dyDescent="0.35">
      <c r="A29" s="249" t="s">
        <v>398</v>
      </c>
      <c r="B29" s="242">
        <v>1302300</v>
      </c>
      <c r="C29" s="235" t="s">
        <v>396</v>
      </c>
      <c r="D29" s="236"/>
      <c r="E29" s="237" t="s">
        <v>399</v>
      </c>
    </row>
    <row r="30" spans="1:7" ht="16" customHeight="1" outlineLevel="1" x14ac:dyDescent="0.35">
      <c r="A30" s="249" t="s">
        <v>400</v>
      </c>
      <c r="B30" s="242">
        <v>256300</v>
      </c>
      <c r="C30" s="235" t="s">
        <v>396</v>
      </c>
      <c r="D30" s="236"/>
      <c r="E30" s="237" t="s">
        <v>399</v>
      </c>
    </row>
    <row r="31" spans="1:7" ht="16" customHeight="1" outlineLevel="1" x14ac:dyDescent="0.35">
      <c r="A31" s="249" t="s">
        <v>401</v>
      </c>
      <c r="B31" s="242">
        <v>122400</v>
      </c>
      <c r="C31" s="235" t="s">
        <v>396</v>
      </c>
      <c r="D31" s="236"/>
      <c r="E31" s="237" t="s">
        <v>399</v>
      </c>
    </row>
    <row r="32" spans="1:7" ht="16" customHeight="1" outlineLevel="1" x14ac:dyDescent="0.35">
      <c r="A32" s="249" t="s">
        <v>402</v>
      </c>
      <c r="B32" s="242">
        <v>5500</v>
      </c>
      <c r="C32" s="235" t="s">
        <v>396</v>
      </c>
      <c r="D32" s="236"/>
      <c r="E32" s="237" t="s">
        <v>399</v>
      </c>
    </row>
    <row r="33" spans="1:7" ht="16" customHeight="1" outlineLevel="1" x14ac:dyDescent="0.35">
      <c r="A33" s="249" t="s">
        <v>403</v>
      </c>
      <c r="B33" s="250">
        <v>3.7999999999999999E-2</v>
      </c>
      <c r="C33" s="235" t="s">
        <v>404</v>
      </c>
      <c r="D33" s="236"/>
      <c r="E33" s="237" t="s">
        <v>405</v>
      </c>
    </row>
    <row r="34" spans="1:7" ht="6" customHeight="1" x14ac:dyDescent="0.35"/>
    <row r="35" spans="1:7" ht="20" customHeight="1" x14ac:dyDescent="0.35">
      <c r="A35" s="347" t="s">
        <v>406</v>
      </c>
      <c r="B35" s="348"/>
      <c r="C35" s="348"/>
      <c r="D35" s="348"/>
      <c r="E35" s="348"/>
      <c r="F35" s="348"/>
      <c r="G35" s="336"/>
    </row>
    <row r="36" spans="1:7" ht="28" customHeight="1" outlineLevel="1" x14ac:dyDescent="0.35">
      <c r="A36" s="232" t="s">
        <v>407</v>
      </c>
      <c r="B36" s="232" t="s">
        <v>408</v>
      </c>
      <c r="C36" s="232" t="s">
        <v>409</v>
      </c>
      <c r="D36" s="232" t="s">
        <v>410</v>
      </c>
      <c r="E36" s="232" t="s">
        <v>411</v>
      </c>
    </row>
    <row r="37" spans="1:7" outlineLevel="1" x14ac:dyDescent="0.35">
      <c r="A37" s="249" t="s">
        <v>412</v>
      </c>
      <c r="B37" s="251">
        <v>0.38</v>
      </c>
      <c r="C37" s="251">
        <v>0.5</v>
      </c>
      <c r="D37" s="251">
        <v>0</v>
      </c>
      <c r="E37" s="251">
        <v>0.25</v>
      </c>
    </row>
    <row r="38" spans="1:7" outlineLevel="1" x14ac:dyDescent="0.35">
      <c r="A38" s="249" t="s">
        <v>413</v>
      </c>
      <c r="B38" s="251">
        <v>1.1200000000000001</v>
      </c>
      <c r="C38" s="251">
        <v>1.5</v>
      </c>
      <c r="D38" s="251">
        <v>0.12</v>
      </c>
      <c r="E38" s="251">
        <v>0.25</v>
      </c>
    </row>
    <row r="39" spans="1:7" outlineLevel="1" x14ac:dyDescent="0.35">
      <c r="A39" s="249" t="s">
        <v>414</v>
      </c>
      <c r="B39" s="251">
        <v>13.38</v>
      </c>
      <c r="C39" s="251">
        <v>11</v>
      </c>
      <c r="D39" s="251">
        <v>1.5</v>
      </c>
      <c r="E39" s="251">
        <v>1.38</v>
      </c>
    </row>
    <row r="40" spans="1:7" outlineLevel="1" x14ac:dyDescent="0.35">
      <c r="A40" s="249" t="s">
        <v>415</v>
      </c>
      <c r="B40" s="251">
        <v>12.88</v>
      </c>
      <c r="C40" s="251">
        <v>11.62</v>
      </c>
      <c r="D40" s="251">
        <v>1.5</v>
      </c>
      <c r="E40" s="251">
        <v>2</v>
      </c>
    </row>
    <row r="41" spans="1:7" outlineLevel="1" x14ac:dyDescent="0.35">
      <c r="A41" s="249" t="s">
        <v>416</v>
      </c>
      <c r="B41" s="251">
        <v>89.62</v>
      </c>
      <c r="C41" s="251">
        <v>79.88</v>
      </c>
      <c r="D41" s="251">
        <v>10.88</v>
      </c>
      <c r="E41" s="251">
        <v>8.5</v>
      </c>
    </row>
    <row r="42" spans="1:7" outlineLevel="1" x14ac:dyDescent="0.35">
      <c r="A42" s="252" t="s">
        <v>417</v>
      </c>
      <c r="B42" s="253">
        <f>SUM(B37:B41)</f>
        <v>117.38000000000001</v>
      </c>
      <c r="C42" s="253">
        <f>SUM(C37:C41)</f>
        <v>104.5</v>
      </c>
      <c r="D42" s="253">
        <f>SUM(D37:D41)</f>
        <v>14</v>
      </c>
      <c r="E42" s="253">
        <f>SUM(E37:E41)</f>
        <v>12.379999999999999</v>
      </c>
    </row>
    <row r="43" spans="1:7" ht="28" customHeight="1" outlineLevel="1" x14ac:dyDescent="0.35">
      <c r="A43" s="232" t="s">
        <v>418</v>
      </c>
      <c r="B43" s="232" t="s">
        <v>408</v>
      </c>
      <c r="C43" s="232" t="s">
        <v>409</v>
      </c>
      <c r="D43" s="232" t="s">
        <v>410</v>
      </c>
      <c r="E43" s="232" t="s">
        <v>411</v>
      </c>
    </row>
    <row r="44" spans="1:7" ht="16" customHeight="1" outlineLevel="1" x14ac:dyDescent="0.35">
      <c r="A44" s="254" t="s">
        <v>419</v>
      </c>
      <c r="B44" s="251">
        <v>0.25</v>
      </c>
      <c r="C44" s="251">
        <v>0.125</v>
      </c>
      <c r="D44" s="251">
        <v>0</v>
      </c>
      <c r="E44" s="251">
        <v>0</v>
      </c>
      <c r="F44" s="237" t="s">
        <v>420</v>
      </c>
      <c r="G44" s="268"/>
    </row>
    <row r="45" spans="1:7" ht="16" customHeight="1" outlineLevel="1" x14ac:dyDescent="0.35">
      <c r="A45" s="254" t="s">
        <v>421</v>
      </c>
      <c r="B45" s="251">
        <v>31</v>
      </c>
      <c r="C45" s="251">
        <v>32.125</v>
      </c>
      <c r="D45" s="251">
        <v>7.25</v>
      </c>
      <c r="E45" s="251">
        <v>6.125</v>
      </c>
      <c r="F45" s="237" t="s">
        <v>422</v>
      </c>
      <c r="G45" s="268"/>
    </row>
    <row r="46" spans="1:7" ht="6" customHeight="1" x14ac:dyDescent="0.35"/>
    <row r="47" spans="1:7" ht="20" customHeight="1" x14ac:dyDescent="0.35">
      <c r="A47" s="347" t="s">
        <v>423</v>
      </c>
      <c r="B47" s="348"/>
      <c r="C47" s="348"/>
      <c r="D47" s="348"/>
      <c r="E47" s="348"/>
      <c r="F47" s="348"/>
      <c r="G47" s="336"/>
    </row>
    <row r="48" spans="1:7" ht="28" customHeight="1" outlineLevel="1" x14ac:dyDescent="0.35">
      <c r="A48" s="232" t="s">
        <v>424</v>
      </c>
      <c r="B48" s="232" t="s">
        <v>425</v>
      </c>
      <c r="C48" s="232" t="s">
        <v>426</v>
      </c>
      <c r="D48" s="232" t="s">
        <v>427</v>
      </c>
      <c r="E48" s="232" t="s">
        <v>428</v>
      </c>
    </row>
    <row r="49" spans="1:7" ht="30" customHeight="1" outlineLevel="1" x14ac:dyDescent="0.35">
      <c r="A49" s="255" t="s">
        <v>429</v>
      </c>
      <c r="B49" s="256">
        <v>0.745</v>
      </c>
      <c r="C49" s="257" t="s">
        <v>430</v>
      </c>
      <c r="D49" s="258" t="s">
        <v>431</v>
      </c>
      <c r="E49" s="237" t="s">
        <v>432</v>
      </c>
    </row>
    <row r="50" spans="1:7" ht="30" customHeight="1" outlineLevel="1" x14ac:dyDescent="0.35">
      <c r="A50" s="255" t="s">
        <v>433</v>
      </c>
      <c r="B50" s="256">
        <v>0.11899999999999999</v>
      </c>
      <c r="C50" s="257" t="s">
        <v>434</v>
      </c>
      <c r="D50" s="258" t="s">
        <v>431</v>
      </c>
      <c r="E50" s="237" t="s">
        <v>435</v>
      </c>
    </row>
    <row r="51" spans="1:7" ht="30" customHeight="1" outlineLevel="1" x14ac:dyDescent="0.35">
      <c r="A51" s="255" t="s">
        <v>436</v>
      </c>
      <c r="B51" s="256">
        <v>1.2470000000000001</v>
      </c>
      <c r="C51" s="257" t="s">
        <v>437</v>
      </c>
      <c r="D51" s="258" t="s">
        <v>431</v>
      </c>
      <c r="E51" s="237" t="s">
        <v>549</v>
      </c>
    </row>
    <row r="52" spans="1:7" ht="30" customHeight="1" outlineLevel="1" x14ac:dyDescent="0.35">
      <c r="A52" s="255" t="s">
        <v>438</v>
      </c>
      <c r="B52" s="256">
        <v>0.84</v>
      </c>
      <c r="C52" s="257" t="s">
        <v>439</v>
      </c>
      <c r="D52" s="258" t="s">
        <v>440</v>
      </c>
      <c r="E52" s="237" t="s">
        <v>441</v>
      </c>
    </row>
    <row r="53" spans="1:7" ht="30" customHeight="1" outlineLevel="1" x14ac:dyDescent="0.35">
      <c r="A53" s="255" t="s">
        <v>442</v>
      </c>
      <c r="B53" s="256">
        <v>0.87</v>
      </c>
      <c r="C53" s="257" t="s">
        <v>443</v>
      </c>
      <c r="D53" s="258" t="s">
        <v>444</v>
      </c>
      <c r="E53" s="237" t="s">
        <v>550</v>
      </c>
    </row>
    <row r="54" spans="1:7" ht="6" customHeight="1" x14ac:dyDescent="0.35"/>
    <row r="55" spans="1:7" ht="20" customHeight="1" x14ac:dyDescent="0.35">
      <c r="A55" s="347" t="s">
        <v>445</v>
      </c>
      <c r="B55" s="348"/>
      <c r="C55" s="348"/>
      <c r="D55" s="348"/>
      <c r="E55" s="348"/>
      <c r="F55" s="348"/>
      <c r="G55" s="336"/>
    </row>
    <row r="56" spans="1:7" ht="28" customHeight="1" outlineLevel="1" x14ac:dyDescent="0.35">
      <c r="A56" s="232" t="s">
        <v>358</v>
      </c>
      <c r="B56" s="232" t="s">
        <v>211</v>
      </c>
      <c r="C56" s="232" t="s">
        <v>359</v>
      </c>
      <c r="D56" s="232" t="s">
        <v>360</v>
      </c>
      <c r="E56" s="232" t="s">
        <v>385</v>
      </c>
    </row>
    <row r="57" spans="1:7" ht="16" customHeight="1" outlineLevel="1" x14ac:dyDescent="0.35">
      <c r="A57" s="233" t="s">
        <v>552</v>
      </c>
      <c r="B57" s="335">
        <v>0.01</v>
      </c>
      <c r="C57" s="259" t="s">
        <v>446</v>
      </c>
      <c r="D57" s="260"/>
      <c r="E57" s="240"/>
    </row>
    <row r="58" spans="1:7" ht="16" customHeight="1" outlineLevel="1" x14ac:dyDescent="0.35">
      <c r="A58" s="233" t="s">
        <v>447</v>
      </c>
      <c r="B58" s="335">
        <v>5.0000000000000001E-3</v>
      </c>
      <c r="C58" s="259" t="s">
        <v>446</v>
      </c>
      <c r="D58" s="260"/>
      <c r="E58" s="240"/>
    </row>
    <row r="59" spans="1:7" ht="6" customHeight="1" x14ac:dyDescent="0.35"/>
    <row r="60" spans="1:7" ht="20" customHeight="1" x14ac:dyDescent="0.35">
      <c r="A60" s="347" t="s">
        <v>448</v>
      </c>
      <c r="B60" s="348"/>
      <c r="C60" s="348"/>
      <c r="D60" s="348"/>
      <c r="E60" s="348"/>
      <c r="F60" s="348"/>
      <c r="G60" s="336"/>
    </row>
    <row r="61" spans="1:7" ht="28" customHeight="1" outlineLevel="1" x14ac:dyDescent="0.35">
      <c r="A61" s="232" t="s">
        <v>358</v>
      </c>
      <c r="B61" s="232" t="s">
        <v>408</v>
      </c>
      <c r="C61" s="232" t="s">
        <v>409</v>
      </c>
      <c r="D61" s="232" t="s">
        <v>410</v>
      </c>
      <c r="E61" s="232" t="s">
        <v>411</v>
      </c>
      <c r="F61" s="308" t="s">
        <v>19</v>
      </c>
      <c r="G61" s="309"/>
    </row>
    <row r="62" spans="1:7" ht="28" customHeight="1" outlineLevel="1" x14ac:dyDescent="0.35">
      <c r="A62" s="337" t="s">
        <v>449</v>
      </c>
      <c r="B62" s="338">
        <v>25671451</v>
      </c>
      <c r="C62" s="338">
        <v>6959309</v>
      </c>
      <c r="D62" s="338">
        <v>2721822</v>
      </c>
      <c r="E62" s="338">
        <v>1605059</v>
      </c>
      <c r="F62" s="339">
        <f>SUM(B62:E62)</f>
        <v>36957641</v>
      </c>
    </row>
    <row r="63" spans="1:7" ht="28" customHeight="1" outlineLevel="1" x14ac:dyDescent="0.35">
      <c r="A63" s="340" t="s">
        <v>558</v>
      </c>
      <c r="B63" s="341"/>
      <c r="C63" s="341"/>
      <c r="D63" s="341"/>
      <c r="E63" s="341"/>
      <c r="F63" s="342">
        <f>F62*0.26</f>
        <v>9608986.6600000001</v>
      </c>
      <c r="G63" s="343" t="s">
        <v>557</v>
      </c>
    </row>
    <row r="64" spans="1:7" ht="6" customHeight="1" x14ac:dyDescent="0.35"/>
    <row r="65" spans="1:7" ht="20" customHeight="1" x14ac:dyDescent="0.35">
      <c r="A65" s="347" t="s">
        <v>553</v>
      </c>
      <c r="B65" s="348"/>
      <c r="C65" s="348"/>
      <c r="D65" s="348"/>
      <c r="E65" s="348"/>
      <c r="F65" s="348"/>
      <c r="G65" s="336"/>
    </row>
    <row r="66" spans="1:7" ht="28" customHeight="1" outlineLevel="1" x14ac:dyDescent="0.35">
      <c r="A66" s="232" t="s">
        <v>358</v>
      </c>
      <c r="B66" s="232" t="s">
        <v>450</v>
      </c>
      <c r="C66" s="232" t="s">
        <v>410</v>
      </c>
      <c r="D66" s="232" t="s">
        <v>411</v>
      </c>
      <c r="E66" s="232" t="s">
        <v>359</v>
      </c>
    </row>
    <row r="67" spans="1:7" ht="16" customHeight="1" outlineLevel="1" x14ac:dyDescent="0.35">
      <c r="A67" s="261" t="s">
        <v>451</v>
      </c>
      <c r="B67" s="251">
        <v>52</v>
      </c>
      <c r="C67" s="251">
        <f>(B67/D16)*$D$18</f>
        <v>20.357037037037038</v>
      </c>
      <c r="D67" s="251">
        <f>($B$67/D16)*$D$19</f>
        <v>9.3022222222222233</v>
      </c>
      <c r="E67" s="259" t="s">
        <v>452</v>
      </c>
      <c r="F67" s="240"/>
      <c r="G67" s="270"/>
    </row>
    <row r="68" spans="1:7" ht="16" customHeight="1" outlineLevel="1" x14ac:dyDescent="0.35">
      <c r="A68" s="261" t="s">
        <v>453</v>
      </c>
      <c r="B68" s="251">
        <v>30</v>
      </c>
      <c r="C68" s="251">
        <v>11</v>
      </c>
      <c r="D68" s="251">
        <v>10</v>
      </c>
      <c r="E68" s="259" t="s">
        <v>454</v>
      </c>
      <c r="F68" s="240"/>
      <c r="G68" s="270"/>
    </row>
    <row r="69" spans="1:7" ht="16" customHeight="1" outlineLevel="1" x14ac:dyDescent="0.35">
      <c r="A69" s="261" t="s">
        <v>455</v>
      </c>
      <c r="B69" s="245">
        <v>0.3</v>
      </c>
      <c r="C69" s="245">
        <v>0.25</v>
      </c>
      <c r="D69" s="245">
        <v>0.2</v>
      </c>
      <c r="E69" s="259" t="s">
        <v>456</v>
      </c>
      <c r="F69" s="240"/>
      <c r="G69" s="270"/>
    </row>
    <row r="70" spans="1:7" ht="16" customHeight="1" outlineLevel="1" x14ac:dyDescent="0.35">
      <c r="A70" s="261" t="s">
        <v>457</v>
      </c>
      <c r="B70" s="245">
        <v>0.02</v>
      </c>
      <c r="C70" s="245">
        <v>0.02</v>
      </c>
      <c r="D70" s="245">
        <v>0.02</v>
      </c>
      <c r="E70" s="259" t="s">
        <v>446</v>
      </c>
      <c r="F70" s="240"/>
      <c r="G70" s="270"/>
    </row>
    <row r="71" spans="1:7" ht="16" customHeight="1" outlineLevel="1" x14ac:dyDescent="0.35">
      <c r="A71" s="261" t="s">
        <v>458</v>
      </c>
      <c r="B71" s="245">
        <v>0</v>
      </c>
      <c r="C71" s="245">
        <v>0</v>
      </c>
      <c r="D71" s="245">
        <v>0</v>
      </c>
      <c r="E71" s="259" t="s">
        <v>446</v>
      </c>
      <c r="F71" s="237" t="s">
        <v>459</v>
      </c>
      <c r="G71" s="268"/>
    </row>
    <row r="72" spans="1:7" ht="16" customHeight="1" outlineLevel="1" x14ac:dyDescent="0.35">
      <c r="A72" s="261" t="s">
        <v>460</v>
      </c>
      <c r="B72" s="251">
        <v>-0.05</v>
      </c>
      <c r="C72" s="251">
        <v>1.5</v>
      </c>
      <c r="D72" s="251">
        <v>0.8</v>
      </c>
      <c r="E72" s="259" t="s">
        <v>461</v>
      </c>
      <c r="F72" s="237"/>
      <c r="G72" s="268"/>
    </row>
    <row r="73" spans="1:7" ht="6" customHeight="1" x14ac:dyDescent="0.35"/>
    <row r="74" spans="1:7" ht="20" customHeight="1" x14ac:dyDescent="0.35">
      <c r="A74" s="347" t="s">
        <v>542</v>
      </c>
      <c r="B74" s="348"/>
      <c r="C74" s="348"/>
      <c r="D74" s="348"/>
      <c r="E74" s="348"/>
      <c r="F74" s="348"/>
      <c r="G74" s="336"/>
    </row>
    <row r="75" spans="1:7" ht="28" customHeight="1" outlineLevel="1" x14ac:dyDescent="0.35">
      <c r="A75" s="232" t="s">
        <v>4</v>
      </c>
      <c r="B75" s="232" t="s">
        <v>462</v>
      </c>
      <c r="C75" s="232" t="s">
        <v>463</v>
      </c>
      <c r="D75" s="232" t="s">
        <v>360</v>
      </c>
      <c r="E75" s="232" t="s">
        <v>385</v>
      </c>
    </row>
    <row r="76" spans="1:7" ht="28" customHeight="1" outlineLevel="1" x14ac:dyDescent="0.35">
      <c r="A76" s="262">
        <v>2027</v>
      </c>
      <c r="B76" s="245">
        <v>0.1</v>
      </c>
      <c r="C76" s="263">
        <f t="shared" ref="C76:C81" si="0">B76*$B$12</f>
        <v>11960000</v>
      </c>
      <c r="D76" s="260"/>
      <c r="E76" s="240"/>
    </row>
    <row r="77" spans="1:7" ht="16" customHeight="1" outlineLevel="1" x14ac:dyDescent="0.35">
      <c r="A77" s="262">
        <v>2028</v>
      </c>
      <c r="B77" s="245">
        <v>0.35</v>
      </c>
      <c r="C77" s="263">
        <f t="shared" si="0"/>
        <v>41860000</v>
      </c>
      <c r="D77" s="260"/>
      <c r="E77" s="240"/>
    </row>
    <row r="78" spans="1:7" ht="16" customHeight="1" outlineLevel="1" x14ac:dyDescent="0.35">
      <c r="A78" s="262">
        <v>2029</v>
      </c>
      <c r="B78" s="245">
        <v>0.3</v>
      </c>
      <c r="C78" s="263">
        <f t="shared" si="0"/>
        <v>35880000</v>
      </c>
      <c r="D78" s="260"/>
      <c r="E78" s="240"/>
    </row>
    <row r="79" spans="1:7" ht="16" customHeight="1" outlineLevel="1" x14ac:dyDescent="0.35">
      <c r="A79" s="262">
        <v>2030</v>
      </c>
      <c r="B79" s="245">
        <v>0.1</v>
      </c>
      <c r="C79" s="263">
        <f t="shared" si="0"/>
        <v>11960000</v>
      </c>
      <c r="D79" s="260"/>
      <c r="E79" s="240"/>
    </row>
    <row r="80" spans="1:7" ht="16" customHeight="1" outlineLevel="1" x14ac:dyDescent="0.35">
      <c r="A80" s="262">
        <v>2031</v>
      </c>
      <c r="B80" s="245">
        <v>0.1</v>
      </c>
      <c r="C80" s="263">
        <f t="shared" si="0"/>
        <v>11960000</v>
      </c>
      <c r="D80" s="260"/>
      <c r="E80" s="240"/>
    </row>
    <row r="81" spans="1:5" ht="16" customHeight="1" outlineLevel="1" x14ac:dyDescent="0.35">
      <c r="A81" s="262">
        <v>2032</v>
      </c>
      <c r="B81" s="245">
        <v>0.05</v>
      </c>
      <c r="C81" s="263">
        <f t="shared" si="0"/>
        <v>5980000</v>
      </c>
      <c r="D81" s="260"/>
      <c r="E81" s="240"/>
    </row>
    <row r="82" spans="1:5" outlineLevel="1" x14ac:dyDescent="0.35">
      <c r="A82" s="252" t="s">
        <v>19</v>
      </c>
      <c r="B82" s="264">
        <f>SUM(B76:B81)</f>
        <v>1</v>
      </c>
      <c r="C82" s="265">
        <f>SUM(C76:C81)</f>
        <v>119600000</v>
      </c>
    </row>
    <row r="83" spans="1:5" ht="6" customHeight="1" outlineLevel="1" x14ac:dyDescent="0.35"/>
    <row r="84" spans="1:5" ht="20" customHeight="1" outlineLevel="1" x14ac:dyDescent="0.35">
      <c r="A84" t="s">
        <v>541</v>
      </c>
      <c r="B84" s="332">
        <v>0.03</v>
      </c>
    </row>
  </sheetData>
  <mergeCells count="9">
    <mergeCell ref="A55:F55"/>
    <mergeCell ref="A60:F60"/>
    <mergeCell ref="A65:F65"/>
    <mergeCell ref="A74:F74"/>
    <mergeCell ref="A2:F2"/>
    <mergeCell ref="A14:F14"/>
    <mergeCell ref="A22:F22"/>
    <mergeCell ref="A35:F35"/>
    <mergeCell ref="A47:F47"/>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52AF6-D5FB-40DE-935F-B23E8B0B3C6A}">
  <sheetPr>
    <tabColor theme="9" tint="0.39997558519241921"/>
  </sheetPr>
  <dimension ref="A1:BX246"/>
  <sheetViews>
    <sheetView workbookViewId="0"/>
    <sheetView workbookViewId="1"/>
  </sheetViews>
  <sheetFormatPr defaultRowHeight="14.5" x14ac:dyDescent="0.35"/>
  <cols>
    <col min="1" max="1" width="30.1796875" customWidth="1"/>
    <col min="2" max="5" width="20.7265625" customWidth="1"/>
    <col min="6" max="6" width="16.54296875" customWidth="1"/>
    <col min="7" max="7" width="17.453125" customWidth="1"/>
    <col min="8" max="8" width="21.1796875" customWidth="1"/>
    <col min="9" max="9" width="16.1796875" customWidth="1"/>
    <col min="10" max="10" width="16.81640625" customWidth="1"/>
    <col min="11" max="11" width="17.26953125" customWidth="1"/>
    <col min="12" max="12" width="16.81640625" customWidth="1"/>
    <col min="13" max="13" width="17.26953125" customWidth="1"/>
    <col min="14" max="76" width="9.1796875" style="5"/>
  </cols>
  <sheetData>
    <row r="1" spans="1:62" ht="20" thickBot="1" x14ac:dyDescent="0.5">
      <c r="A1" s="94" t="s">
        <v>288</v>
      </c>
      <c r="B1" s="5"/>
      <c r="C1" s="5"/>
      <c r="D1" s="5"/>
      <c r="E1" s="5"/>
      <c r="F1" s="5"/>
      <c r="G1" s="5"/>
      <c r="H1" s="5"/>
      <c r="I1" s="5"/>
      <c r="J1" s="5"/>
      <c r="K1" s="5"/>
      <c r="L1" s="5"/>
      <c r="M1" s="5"/>
    </row>
    <row r="2" spans="1:62" ht="15" thickTop="1" x14ac:dyDescent="0.35">
      <c r="A2" s="144" t="s">
        <v>312</v>
      </c>
      <c r="B2" s="144"/>
      <c r="C2" s="144"/>
      <c r="D2" s="144"/>
      <c r="E2" s="144"/>
      <c r="F2" s="144"/>
      <c r="G2" s="144"/>
      <c r="H2" s="144"/>
      <c r="I2" s="5"/>
      <c r="J2" s="5"/>
      <c r="K2" s="5"/>
      <c r="L2" s="5"/>
      <c r="M2" s="5"/>
    </row>
    <row r="3" spans="1:62" x14ac:dyDescent="0.35">
      <c r="A3" s="144" t="s">
        <v>289</v>
      </c>
      <c r="B3" s="144"/>
      <c r="C3" s="144"/>
      <c r="D3" s="144"/>
      <c r="E3" s="144"/>
      <c r="F3" s="144"/>
      <c r="G3" s="144"/>
      <c r="H3" s="144"/>
      <c r="I3" s="5"/>
      <c r="J3" s="5"/>
      <c r="K3" s="5"/>
      <c r="L3" s="5"/>
      <c r="M3" s="5"/>
    </row>
    <row r="4" spans="1:62" x14ac:dyDescent="0.35">
      <c r="A4" s="144" t="s">
        <v>213</v>
      </c>
      <c r="B4" s="144"/>
      <c r="C4" s="144"/>
      <c r="D4" s="144"/>
      <c r="E4" s="144"/>
      <c r="F4" s="5"/>
      <c r="G4" s="5"/>
      <c r="H4" s="5"/>
      <c r="I4" s="5"/>
      <c r="J4" s="5"/>
      <c r="K4" s="5"/>
      <c r="L4" s="5"/>
      <c r="M4" s="5"/>
    </row>
    <row r="5" spans="1:62" x14ac:dyDescent="0.35">
      <c r="A5" s="144" t="s">
        <v>212</v>
      </c>
      <c r="B5" s="144"/>
      <c r="C5" s="144"/>
      <c r="D5" s="144"/>
      <c r="E5" s="5"/>
      <c r="F5" s="5"/>
      <c r="G5" s="5"/>
      <c r="H5" s="5"/>
      <c r="I5" s="5"/>
      <c r="J5" s="5"/>
      <c r="K5" s="5"/>
      <c r="L5" s="5"/>
      <c r="M5" s="5"/>
    </row>
    <row r="6" spans="1:62" x14ac:dyDescent="0.35">
      <c r="A6" s="5" t="s">
        <v>203</v>
      </c>
      <c r="B6" s="5"/>
      <c r="C6" s="5"/>
      <c r="D6" s="5"/>
      <c r="E6" s="5"/>
      <c r="F6" s="5"/>
      <c r="G6" s="5"/>
      <c r="H6" s="5"/>
      <c r="I6" s="5"/>
      <c r="J6" s="5"/>
      <c r="K6" s="5"/>
      <c r="L6" s="5"/>
      <c r="M6" s="5"/>
    </row>
    <row r="7" spans="1:62" ht="15" thickBot="1" x14ac:dyDescent="0.4">
      <c r="A7" s="138" t="s">
        <v>215</v>
      </c>
      <c r="B7" s="5"/>
      <c r="C7" s="5"/>
      <c r="D7" s="5"/>
      <c r="E7" s="5"/>
      <c r="F7" s="5"/>
      <c r="G7" s="5"/>
      <c r="H7" s="5"/>
      <c r="I7" s="5"/>
      <c r="J7" s="5"/>
      <c r="K7" s="5"/>
      <c r="L7" s="5"/>
      <c r="M7" s="5"/>
    </row>
    <row r="8" spans="1:62" x14ac:dyDescent="0.35">
      <c r="A8" s="5"/>
      <c r="B8" s="385" t="s">
        <v>187</v>
      </c>
      <c r="C8" s="384"/>
      <c r="D8" s="383" t="s">
        <v>188</v>
      </c>
      <c r="E8" s="384"/>
      <c r="F8" s="383" t="s">
        <v>185</v>
      </c>
      <c r="G8" s="384"/>
      <c r="H8" s="383" t="s">
        <v>186</v>
      </c>
      <c r="I8" s="384"/>
      <c r="J8" s="383" t="s">
        <v>189</v>
      </c>
      <c r="K8" s="384"/>
      <c r="L8" s="383" t="s">
        <v>192</v>
      </c>
      <c r="M8" s="384"/>
      <c r="O8" s="10" t="s">
        <v>159</v>
      </c>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2"/>
    </row>
    <row r="9" spans="1:62" x14ac:dyDescent="0.35">
      <c r="A9" s="100" t="s">
        <v>4</v>
      </c>
      <c r="B9" s="101" t="s">
        <v>190</v>
      </c>
      <c r="C9" s="101" t="s">
        <v>191</v>
      </c>
      <c r="D9" s="101" t="s">
        <v>190</v>
      </c>
      <c r="E9" s="101" t="s">
        <v>191</v>
      </c>
      <c r="F9" s="101" t="s">
        <v>190</v>
      </c>
      <c r="G9" s="101" t="s">
        <v>191</v>
      </c>
      <c r="H9" s="101" t="s">
        <v>190</v>
      </c>
      <c r="I9" s="101" t="s">
        <v>191</v>
      </c>
      <c r="J9" s="101" t="s">
        <v>190</v>
      </c>
      <c r="K9" s="101" t="s">
        <v>191</v>
      </c>
      <c r="L9" s="101" t="s">
        <v>190</v>
      </c>
      <c r="M9" s="101" t="s">
        <v>191</v>
      </c>
      <c r="O9" s="13"/>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s="14"/>
    </row>
    <row r="10" spans="1:62" x14ac:dyDescent="0.35">
      <c r="A10" s="6">
        <f>'Project Information'!$B$9</f>
        <v>2033</v>
      </c>
      <c r="B10" s="41">
        <v>0</v>
      </c>
      <c r="C10" s="41">
        <v>0</v>
      </c>
      <c r="D10" s="41">
        <v>0</v>
      </c>
      <c r="E10" s="41">
        <v>0</v>
      </c>
      <c r="F10" s="41">
        <v>0</v>
      </c>
      <c r="G10" s="41">
        <v>0</v>
      </c>
      <c r="H10" s="41">
        <v>0</v>
      </c>
      <c r="I10" s="41">
        <v>0</v>
      </c>
      <c r="J10" s="41">
        <v>0</v>
      </c>
      <c r="K10" s="41">
        <v>0</v>
      </c>
      <c r="L10" s="41">
        <v>0</v>
      </c>
      <c r="M10" s="41">
        <v>0</v>
      </c>
      <c r="O10" s="13"/>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s="14"/>
    </row>
    <row r="11" spans="1:62" x14ac:dyDescent="0.35">
      <c r="A11" s="1">
        <f>IF(A10&lt;'Project Information'!B$11,A10+1,"")</f>
        <v>2034</v>
      </c>
      <c r="B11" s="41">
        <v>0</v>
      </c>
      <c r="C11" s="41">
        <v>0</v>
      </c>
      <c r="D11" s="41">
        <v>0</v>
      </c>
      <c r="E11" s="41">
        <v>0</v>
      </c>
      <c r="F11" s="41">
        <v>0</v>
      </c>
      <c r="G11" s="41">
        <v>0</v>
      </c>
      <c r="H11" s="41">
        <v>0</v>
      </c>
      <c r="I11" s="41">
        <v>0</v>
      </c>
      <c r="J11" s="41">
        <v>0</v>
      </c>
      <c r="K11" s="41">
        <v>0</v>
      </c>
      <c r="L11" s="41">
        <v>0</v>
      </c>
      <c r="M11" s="41">
        <v>0</v>
      </c>
      <c r="O11" s="13"/>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s="14"/>
    </row>
    <row r="12" spans="1:62" x14ac:dyDescent="0.35">
      <c r="A12" s="1">
        <f>IF(A11&lt;'Project Information'!B$11,A11+1,"")</f>
        <v>2035</v>
      </c>
      <c r="B12" s="41">
        <v>0</v>
      </c>
      <c r="C12" s="41">
        <v>0</v>
      </c>
      <c r="D12" s="41">
        <v>0</v>
      </c>
      <c r="E12" s="41">
        <v>0</v>
      </c>
      <c r="F12" s="41">
        <v>0</v>
      </c>
      <c r="G12" s="41">
        <v>0</v>
      </c>
      <c r="H12" s="41">
        <v>0</v>
      </c>
      <c r="I12" s="41">
        <v>0</v>
      </c>
      <c r="J12" s="41">
        <v>0</v>
      </c>
      <c r="K12" s="41">
        <v>0</v>
      </c>
      <c r="L12" s="41">
        <v>0</v>
      </c>
      <c r="M12" s="41">
        <v>0</v>
      </c>
      <c r="O12" s="13"/>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s="14"/>
    </row>
    <row r="13" spans="1:62" x14ac:dyDescent="0.35">
      <c r="A13" s="1">
        <f>IF(A12&lt;'Project Information'!B$11,A12+1,"")</f>
        <v>2036</v>
      </c>
      <c r="B13" s="41">
        <v>0</v>
      </c>
      <c r="C13" s="41">
        <v>0</v>
      </c>
      <c r="D13" s="41">
        <v>0</v>
      </c>
      <c r="E13" s="41">
        <v>0</v>
      </c>
      <c r="F13" s="41">
        <v>0</v>
      </c>
      <c r="G13" s="41">
        <v>0</v>
      </c>
      <c r="H13" s="41">
        <v>0</v>
      </c>
      <c r="I13" s="41">
        <v>0</v>
      </c>
      <c r="J13" s="41">
        <v>0</v>
      </c>
      <c r="K13" s="41">
        <v>0</v>
      </c>
      <c r="L13" s="41">
        <v>0</v>
      </c>
      <c r="M13" s="41">
        <v>0</v>
      </c>
      <c r="O13" s="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s="14"/>
    </row>
    <row r="14" spans="1:62" x14ac:dyDescent="0.35">
      <c r="A14" s="1">
        <f>IF(A13&lt;'Project Information'!B$11,A13+1,"")</f>
        <v>2037</v>
      </c>
      <c r="B14" s="41">
        <v>0</v>
      </c>
      <c r="C14" s="41">
        <v>0</v>
      </c>
      <c r="D14" s="41">
        <v>0</v>
      </c>
      <c r="E14" s="41">
        <v>0</v>
      </c>
      <c r="F14" s="41">
        <v>0</v>
      </c>
      <c r="G14" s="41">
        <v>0</v>
      </c>
      <c r="H14" s="41">
        <v>0</v>
      </c>
      <c r="I14" s="41">
        <v>0</v>
      </c>
      <c r="J14" s="41">
        <v>0</v>
      </c>
      <c r="K14" s="41">
        <v>0</v>
      </c>
      <c r="L14" s="41">
        <v>0</v>
      </c>
      <c r="M14" s="41">
        <v>0</v>
      </c>
      <c r="O14" s="13"/>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s="14"/>
    </row>
    <row r="15" spans="1:62" x14ac:dyDescent="0.35">
      <c r="A15" s="1">
        <f>IF(A14&lt;'Project Information'!B$11,A14+1,"")</f>
        <v>2038</v>
      </c>
      <c r="B15" s="41">
        <v>0</v>
      </c>
      <c r="C15" s="41">
        <v>0</v>
      </c>
      <c r="D15" s="41">
        <v>0</v>
      </c>
      <c r="E15" s="41">
        <v>0</v>
      </c>
      <c r="F15" s="41">
        <v>0</v>
      </c>
      <c r="G15" s="41">
        <v>0</v>
      </c>
      <c r="H15" s="41">
        <v>0</v>
      </c>
      <c r="I15" s="41">
        <v>0</v>
      </c>
      <c r="J15" s="41">
        <v>0</v>
      </c>
      <c r="K15" s="41">
        <v>0</v>
      </c>
      <c r="L15" s="41">
        <v>0</v>
      </c>
      <c r="M15" s="41">
        <v>0</v>
      </c>
      <c r="O15" s="13"/>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s="14"/>
    </row>
    <row r="16" spans="1:62" x14ac:dyDescent="0.35">
      <c r="A16" s="1">
        <f>IF(A15&lt;'Project Information'!B$11,A15+1,"")</f>
        <v>2039</v>
      </c>
      <c r="B16" s="41">
        <v>0</v>
      </c>
      <c r="C16" s="41">
        <v>0</v>
      </c>
      <c r="D16" s="41">
        <v>0</v>
      </c>
      <c r="E16" s="41">
        <v>0</v>
      </c>
      <c r="F16" s="41">
        <v>0</v>
      </c>
      <c r="G16" s="41">
        <v>0</v>
      </c>
      <c r="H16" s="41">
        <v>0</v>
      </c>
      <c r="I16" s="41">
        <v>0</v>
      </c>
      <c r="J16" s="41">
        <v>0</v>
      </c>
      <c r="K16" s="41">
        <v>0</v>
      </c>
      <c r="L16" s="41">
        <v>0</v>
      </c>
      <c r="M16" s="41">
        <v>0</v>
      </c>
      <c r="O16" s="13"/>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s="14"/>
    </row>
    <row r="17" spans="1:62" x14ac:dyDescent="0.35">
      <c r="A17" s="1">
        <f>IF(A16&lt;'Project Information'!B$11,A16+1,"")</f>
        <v>2040</v>
      </c>
      <c r="B17" s="41">
        <v>0</v>
      </c>
      <c r="C17" s="41">
        <v>0</v>
      </c>
      <c r="D17" s="41">
        <v>0</v>
      </c>
      <c r="E17" s="41">
        <v>0</v>
      </c>
      <c r="F17" s="41">
        <v>0</v>
      </c>
      <c r="G17" s="41">
        <v>0</v>
      </c>
      <c r="H17" s="41">
        <v>0</v>
      </c>
      <c r="I17" s="41">
        <v>0</v>
      </c>
      <c r="J17" s="41">
        <v>0</v>
      </c>
      <c r="K17" s="41">
        <v>0</v>
      </c>
      <c r="L17" s="41">
        <v>0</v>
      </c>
      <c r="M17" s="41">
        <v>0</v>
      </c>
      <c r="O17" s="13"/>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s="14"/>
    </row>
    <row r="18" spans="1:62" x14ac:dyDescent="0.35">
      <c r="A18" s="1">
        <f>IF(A17&lt;'Project Information'!B$11,A17+1,"")</f>
        <v>2041</v>
      </c>
      <c r="B18" s="41">
        <v>0</v>
      </c>
      <c r="C18" s="41">
        <v>0</v>
      </c>
      <c r="D18" s="41">
        <v>0</v>
      </c>
      <c r="E18" s="41">
        <v>0</v>
      </c>
      <c r="F18" s="41">
        <v>0</v>
      </c>
      <c r="G18" s="41">
        <v>0</v>
      </c>
      <c r="H18" s="41">
        <v>0</v>
      </c>
      <c r="I18" s="41">
        <v>0</v>
      </c>
      <c r="J18" s="41">
        <v>0</v>
      </c>
      <c r="K18" s="41">
        <v>0</v>
      </c>
      <c r="L18" s="41">
        <v>0</v>
      </c>
      <c r="M18" s="41">
        <v>0</v>
      </c>
      <c r="O18" s="13"/>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s="14"/>
    </row>
    <row r="19" spans="1:62" x14ac:dyDescent="0.35">
      <c r="A19" s="1">
        <f>IF(A18&lt;'Project Information'!B$11,A18+1,"")</f>
        <v>2042</v>
      </c>
      <c r="B19" s="41">
        <v>0</v>
      </c>
      <c r="C19" s="41">
        <v>0</v>
      </c>
      <c r="D19" s="41">
        <v>0</v>
      </c>
      <c r="E19" s="41">
        <v>0</v>
      </c>
      <c r="F19" s="41">
        <v>0</v>
      </c>
      <c r="G19" s="41">
        <v>0</v>
      </c>
      <c r="H19" s="41">
        <v>0</v>
      </c>
      <c r="I19" s="41">
        <v>0</v>
      </c>
      <c r="J19" s="41">
        <v>0</v>
      </c>
      <c r="K19" s="41">
        <v>0</v>
      </c>
      <c r="L19" s="41">
        <v>0</v>
      </c>
      <c r="M19" s="41">
        <v>0</v>
      </c>
      <c r="O19" s="13"/>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s="14"/>
    </row>
    <row r="20" spans="1:62" x14ac:dyDescent="0.35">
      <c r="A20" s="1">
        <f>IF(A19&lt;'Project Information'!B$11,A19+1,"")</f>
        <v>2043</v>
      </c>
      <c r="B20" s="41">
        <v>0</v>
      </c>
      <c r="C20" s="41">
        <v>0</v>
      </c>
      <c r="D20" s="41">
        <v>0</v>
      </c>
      <c r="E20" s="41">
        <v>0</v>
      </c>
      <c r="F20" s="41">
        <v>0</v>
      </c>
      <c r="G20" s="41">
        <v>0</v>
      </c>
      <c r="H20" s="41">
        <v>0</v>
      </c>
      <c r="I20" s="41">
        <v>0</v>
      </c>
      <c r="J20" s="41">
        <v>0</v>
      </c>
      <c r="K20" s="41">
        <v>0</v>
      </c>
      <c r="L20" s="41">
        <v>0</v>
      </c>
      <c r="M20" s="41">
        <v>0</v>
      </c>
      <c r="O20" s="13"/>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s="14"/>
    </row>
    <row r="21" spans="1:62" x14ac:dyDescent="0.35">
      <c r="A21" s="1">
        <f>IF(A20&lt;'Project Information'!B$11,A20+1,"")</f>
        <v>2044</v>
      </c>
      <c r="B21" s="41">
        <v>0</v>
      </c>
      <c r="C21" s="41">
        <v>0</v>
      </c>
      <c r="D21" s="41">
        <v>0</v>
      </c>
      <c r="E21" s="41">
        <v>0</v>
      </c>
      <c r="F21" s="41">
        <v>0</v>
      </c>
      <c r="G21" s="41">
        <v>0</v>
      </c>
      <c r="H21" s="41">
        <v>0</v>
      </c>
      <c r="I21" s="41">
        <v>0</v>
      </c>
      <c r="J21" s="41">
        <v>0</v>
      </c>
      <c r="K21" s="41">
        <v>0</v>
      </c>
      <c r="L21" s="41">
        <v>0</v>
      </c>
      <c r="M21" s="41">
        <v>0</v>
      </c>
      <c r="O21" s="13"/>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s="14"/>
    </row>
    <row r="22" spans="1:62" x14ac:dyDescent="0.35">
      <c r="A22" s="1">
        <f>IF(A21&lt;'Project Information'!B$11,A21+1,"")</f>
        <v>2045</v>
      </c>
      <c r="B22" s="41">
        <v>0</v>
      </c>
      <c r="C22" s="41">
        <v>0</v>
      </c>
      <c r="D22" s="41">
        <v>0</v>
      </c>
      <c r="E22" s="41">
        <v>0</v>
      </c>
      <c r="F22" s="41">
        <v>0</v>
      </c>
      <c r="G22" s="41">
        <v>0</v>
      </c>
      <c r="H22" s="41">
        <v>0</v>
      </c>
      <c r="I22" s="41">
        <v>0</v>
      </c>
      <c r="J22" s="41">
        <v>0</v>
      </c>
      <c r="K22" s="41">
        <v>0</v>
      </c>
      <c r="L22" s="41">
        <v>0</v>
      </c>
      <c r="M22" s="41">
        <v>0</v>
      </c>
      <c r="O22" s="13"/>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s="14"/>
    </row>
    <row r="23" spans="1:62" x14ac:dyDescent="0.35">
      <c r="A23" s="1">
        <f>IF(A22&lt;'Project Information'!B$11,A22+1,"")</f>
        <v>2046</v>
      </c>
      <c r="B23" s="41">
        <v>0</v>
      </c>
      <c r="C23" s="41">
        <v>0</v>
      </c>
      <c r="D23" s="41">
        <v>0</v>
      </c>
      <c r="E23" s="41">
        <v>0</v>
      </c>
      <c r="F23" s="41">
        <v>0</v>
      </c>
      <c r="G23" s="41">
        <v>0</v>
      </c>
      <c r="H23" s="41">
        <v>0</v>
      </c>
      <c r="I23" s="41">
        <v>0</v>
      </c>
      <c r="J23" s="41">
        <v>0</v>
      </c>
      <c r="K23" s="41">
        <v>0</v>
      </c>
      <c r="L23" s="41">
        <v>0</v>
      </c>
      <c r="M23" s="41">
        <v>0</v>
      </c>
      <c r="O23" s="1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s="14"/>
    </row>
    <row r="24" spans="1:62" x14ac:dyDescent="0.35">
      <c r="A24" s="1">
        <f>IF(A23&lt;'Project Information'!B$11,A23+1,"")</f>
        <v>2047</v>
      </c>
      <c r="B24" s="41">
        <v>0</v>
      </c>
      <c r="C24" s="41">
        <v>0</v>
      </c>
      <c r="D24" s="41">
        <v>0</v>
      </c>
      <c r="E24" s="41">
        <v>0</v>
      </c>
      <c r="F24" s="41">
        <v>0</v>
      </c>
      <c r="G24" s="41">
        <v>0</v>
      </c>
      <c r="H24" s="41">
        <v>0</v>
      </c>
      <c r="I24" s="41">
        <v>0</v>
      </c>
      <c r="J24" s="41">
        <v>0</v>
      </c>
      <c r="K24" s="41">
        <v>0</v>
      </c>
      <c r="L24" s="41">
        <v>0</v>
      </c>
      <c r="M24" s="41">
        <v>0</v>
      </c>
      <c r="O24" s="13"/>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s="14"/>
    </row>
    <row r="25" spans="1:62" x14ac:dyDescent="0.35">
      <c r="A25" s="1">
        <f>IF(A24&lt;'Project Information'!B$11,A24+1,"")</f>
        <v>2048</v>
      </c>
      <c r="B25" s="41">
        <v>0</v>
      </c>
      <c r="C25" s="41">
        <v>0</v>
      </c>
      <c r="D25" s="41">
        <v>0</v>
      </c>
      <c r="E25" s="41">
        <v>0</v>
      </c>
      <c r="F25" s="41">
        <v>0</v>
      </c>
      <c r="G25" s="41">
        <v>0</v>
      </c>
      <c r="H25" s="41">
        <v>0</v>
      </c>
      <c r="I25" s="41">
        <v>0</v>
      </c>
      <c r="J25" s="41">
        <v>0</v>
      </c>
      <c r="K25" s="41">
        <v>0</v>
      </c>
      <c r="L25" s="41">
        <v>0</v>
      </c>
      <c r="M25" s="41">
        <v>0</v>
      </c>
      <c r="O25" s="13"/>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s="14"/>
    </row>
    <row r="26" spans="1:62" x14ac:dyDescent="0.35">
      <c r="A26" s="1">
        <f>IF(A25&lt;'Project Information'!B$11,A25+1,"")</f>
        <v>2049</v>
      </c>
      <c r="B26" s="41">
        <v>0</v>
      </c>
      <c r="C26" s="41">
        <v>0</v>
      </c>
      <c r="D26" s="41">
        <v>0</v>
      </c>
      <c r="E26" s="41">
        <v>0</v>
      </c>
      <c r="F26" s="41">
        <v>0</v>
      </c>
      <c r="G26" s="41">
        <v>0</v>
      </c>
      <c r="H26" s="41">
        <v>0</v>
      </c>
      <c r="I26" s="41">
        <v>0</v>
      </c>
      <c r="J26" s="41">
        <v>0</v>
      </c>
      <c r="K26" s="41">
        <v>0</v>
      </c>
      <c r="L26" s="41">
        <v>0</v>
      </c>
      <c r="M26" s="41">
        <v>0</v>
      </c>
      <c r="O26" s="13"/>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s="14"/>
    </row>
    <row r="27" spans="1:62" x14ac:dyDescent="0.35">
      <c r="A27" s="1">
        <f>IF(A26&lt;'Project Information'!B$11,A26+1,"")</f>
        <v>2050</v>
      </c>
      <c r="B27" s="41">
        <v>0</v>
      </c>
      <c r="C27" s="41">
        <v>0</v>
      </c>
      <c r="D27" s="41">
        <v>0</v>
      </c>
      <c r="E27" s="41">
        <v>0</v>
      </c>
      <c r="F27" s="41">
        <v>0</v>
      </c>
      <c r="G27" s="41">
        <v>0</v>
      </c>
      <c r="H27" s="41">
        <v>0</v>
      </c>
      <c r="I27" s="41">
        <v>0</v>
      </c>
      <c r="J27" s="41">
        <v>0</v>
      </c>
      <c r="K27" s="41">
        <v>0</v>
      </c>
      <c r="L27" s="41">
        <v>0</v>
      </c>
      <c r="M27" s="41">
        <v>0</v>
      </c>
      <c r="O27" s="13"/>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s="14"/>
    </row>
    <row r="28" spans="1:62" x14ac:dyDescent="0.35">
      <c r="A28" s="1">
        <f>IF(A27&lt;'Project Information'!B$11,A27+1,"")</f>
        <v>2051</v>
      </c>
      <c r="B28" s="41">
        <v>0</v>
      </c>
      <c r="C28" s="41">
        <v>0</v>
      </c>
      <c r="D28" s="41">
        <v>0</v>
      </c>
      <c r="E28" s="41">
        <v>0</v>
      </c>
      <c r="F28" s="41">
        <v>0</v>
      </c>
      <c r="G28" s="41">
        <v>0</v>
      </c>
      <c r="H28" s="41">
        <v>0</v>
      </c>
      <c r="I28" s="41">
        <v>0</v>
      </c>
      <c r="J28" s="41">
        <v>0</v>
      </c>
      <c r="K28" s="41">
        <v>0</v>
      </c>
      <c r="L28" s="41">
        <v>0</v>
      </c>
      <c r="M28" s="41">
        <v>0</v>
      </c>
      <c r="O28" s="13"/>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s="14"/>
    </row>
    <row r="29" spans="1:62" x14ac:dyDescent="0.35">
      <c r="A29" s="1">
        <f>IF(A28&lt;'Project Information'!B$11,A28+1,"")</f>
        <v>2052</v>
      </c>
      <c r="B29" s="41">
        <v>0</v>
      </c>
      <c r="C29" s="41">
        <v>0</v>
      </c>
      <c r="D29" s="41">
        <v>0</v>
      </c>
      <c r="E29" s="41">
        <v>0</v>
      </c>
      <c r="F29" s="41">
        <v>0</v>
      </c>
      <c r="G29" s="41">
        <v>0</v>
      </c>
      <c r="H29" s="41">
        <v>0</v>
      </c>
      <c r="I29" s="41">
        <v>0</v>
      </c>
      <c r="J29" s="41">
        <v>0</v>
      </c>
      <c r="K29" s="41">
        <v>0</v>
      </c>
      <c r="L29" s="41">
        <v>0</v>
      </c>
      <c r="M29" s="41">
        <v>0</v>
      </c>
      <c r="O29" s="13"/>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s="14"/>
    </row>
    <row r="30" spans="1:62" x14ac:dyDescent="0.35">
      <c r="A30" s="1">
        <f>IF(A29&lt;'Project Information'!B$11,A29+1,"")</f>
        <v>2053</v>
      </c>
      <c r="B30" s="41">
        <v>0</v>
      </c>
      <c r="C30" s="41">
        <v>0</v>
      </c>
      <c r="D30" s="41">
        <v>0</v>
      </c>
      <c r="E30" s="41">
        <v>0</v>
      </c>
      <c r="F30" s="41">
        <v>0</v>
      </c>
      <c r="G30" s="41">
        <v>0</v>
      </c>
      <c r="H30" s="41">
        <v>0</v>
      </c>
      <c r="I30" s="41">
        <v>0</v>
      </c>
      <c r="J30" s="41">
        <v>0</v>
      </c>
      <c r="K30" s="41">
        <v>0</v>
      </c>
      <c r="L30" s="41">
        <v>0</v>
      </c>
      <c r="M30" s="41">
        <v>0</v>
      </c>
      <c r="O30" s="13"/>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s="14"/>
    </row>
    <row r="31" spans="1:62" x14ac:dyDescent="0.35">
      <c r="A31" s="1">
        <f>IF(A30&lt;'Project Information'!B$11,A30+1,"")</f>
        <v>2054</v>
      </c>
      <c r="B31" s="41">
        <v>0</v>
      </c>
      <c r="C31" s="41">
        <v>0</v>
      </c>
      <c r="D31" s="41">
        <v>0</v>
      </c>
      <c r="E31" s="41">
        <v>0</v>
      </c>
      <c r="F31" s="41">
        <v>0</v>
      </c>
      <c r="G31" s="41">
        <v>0</v>
      </c>
      <c r="H31" s="41">
        <v>0</v>
      </c>
      <c r="I31" s="41">
        <v>0</v>
      </c>
      <c r="J31" s="41">
        <v>0</v>
      </c>
      <c r="K31" s="41">
        <v>0</v>
      </c>
      <c r="L31" s="41">
        <v>0</v>
      </c>
      <c r="M31" s="41">
        <v>0</v>
      </c>
      <c r="O31" s="13"/>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s="14"/>
    </row>
    <row r="32" spans="1:62" x14ac:dyDescent="0.35">
      <c r="A32" s="1">
        <f>IF(A31&lt;'Project Information'!B$11,A31+1,"")</f>
        <v>2055</v>
      </c>
      <c r="B32" s="41">
        <v>0</v>
      </c>
      <c r="C32" s="41">
        <v>0</v>
      </c>
      <c r="D32" s="41">
        <v>0</v>
      </c>
      <c r="E32" s="41">
        <v>0</v>
      </c>
      <c r="F32" s="41">
        <v>0</v>
      </c>
      <c r="G32" s="41">
        <v>0</v>
      </c>
      <c r="H32" s="41">
        <v>0</v>
      </c>
      <c r="I32" s="41">
        <v>0</v>
      </c>
      <c r="J32" s="41">
        <v>0</v>
      </c>
      <c r="K32" s="41">
        <v>0</v>
      </c>
      <c r="L32" s="41">
        <v>0</v>
      </c>
      <c r="M32" s="41">
        <v>0</v>
      </c>
      <c r="O32" s="13"/>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s="14"/>
    </row>
    <row r="33" spans="1:62" x14ac:dyDescent="0.35">
      <c r="A33" s="1">
        <f>IF(A32&lt;'Project Information'!B$11,A32+1,"")</f>
        <v>2056</v>
      </c>
      <c r="B33" s="41">
        <v>0</v>
      </c>
      <c r="C33" s="41">
        <v>0</v>
      </c>
      <c r="D33" s="41">
        <v>0</v>
      </c>
      <c r="E33" s="41">
        <v>0</v>
      </c>
      <c r="F33" s="41">
        <v>0</v>
      </c>
      <c r="G33" s="41">
        <v>0</v>
      </c>
      <c r="H33" s="41">
        <v>0</v>
      </c>
      <c r="I33" s="41">
        <v>0</v>
      </c>
      <c r="J33" s="41">
        <v>0</v>
      </c>
      <c r="K33" s="41">
        <v>0</v>
      </c>
      <c r="L33" s="41">
        <v>0</v>
      </c>
      <c r="M33" s="41">
        <v>0</v>
      </c>
      <c r="O33" s="1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s="14"/>
    </row>
    <row r="34" spans="1:62" x14ac:dyDescent="0.35">
      <c r="A34" s="1">
        <f>IF(A33&lt;'Project Information'!B$11,A33+1,"")</f>
        <v>2057</v>
      </c>
      <c r="B34" s="41">
        <v>0</v>
      </c>
      <c r="C34" s="41">
        <v>0</v>
      </c>
      <c r="D34" s="41">
        <v>0</v>
      </c>
      <c r="E34" s="41">
        <v>0</v>
      </c>
      <c r="F34" s="41">
        <v>0</v>
      </c>
      <c r="G34" s="41">
        <v>0</v>
      </c>
      <c r="H34" s="41">
        <v>0</v>
      </c>
      <c r="I34" s="41">
        <v>0</v>
      </c>
      <c r="J34" s="41">
        <v>0</v>
      </c>
      <c r="K34" s="41">
        <v>0</v>
      </c>
      <c r="L34" s="41">
        <v>0</v>
      </c>
      <c r="M34" s="41">
        <v>0</v>
      </c>
      <c r="O34" s="13"/>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s="14"/>
    </row>
    <row r="35" spans="1:62" x14ac:dyDescent="0.35">
      <c r="A35" s="1">
        <f>IF(A34&lt;'Project Information'!B$11,A34+1,"")</f>
        <v>2058</v>
      </c>
      <c r="B35" s="41">
        <v>0</v>
      </c>
      <c r="C35" s="41">
        <v>0</v>
      </c>
      <c r="D35" s="41">
        <v>0</v>
      </c>
      <c r="E35" s="41">
        <v>0</v>
      </c>
      <c r="F35" s="41">
        <v>0</v>
      </c>
      <c r="G35" s="41">
        <v>0</v>
      </c>
      <c r="H35" s="41">
        <v>0</v>
      </c>
      <c r="I35" s="41">
        <v>0</v>
      </c>
      <c r="J35" s="41">
        <v>0</v>
      </c>
      <c r="K35" s="41">
        <v>0</v>
      </c>
      <c r="L35" s="41">
        <v>0</v>
      </c>
      <c r="M35" s="41">
        <v>0</v>
      </c>
      <c r="O35" s="13"/>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s="14"/>
    </row>
    <row r="36" spans="1:62" x14ac:dyDescent="0.35">
      <c r="A36" s="1">
        <f>IF(A35&lt;'Project Information'!B$11,A35+1,"")</f>
        <v>2059</v>
      </c>
      <c r="B36" s="41">
        <v>0</v>
      </c>
      <c r="C36" s="41">
        <v>0</v>
      </c>
      <c r="D36" s="41">
        <v>0</v>
      </c>
      <c r="E36" s="41">
        <v>0</v>
      </c>
      <c r="F36" s="41">
        <v>0</v>
      </c>
      <c r="G36" s="41">
        <v>0</v>
      </c>
      <c r="H36" s="41">
        <v>0</v>
      </c>
      <c r="I36" s="41">
        <v>0</v>
      </c>
      <c r="J36" s="41">
        <v>0</v>
      </c>
      <c r="K36" s="41">
        <v>0</v>
      </c>
      <c r="L36" s="41">
        <v>0</v>
      </c>
      <c r="M36" s="41">
        <v>0</v>
      </c>
      <c r="O36" s="13"/>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s="14"/>
    </row>
    <row r="37" spans="1:62" x14ac:dyDescent="0.35">
      <c r="A37" s="1">
        <f>IF(A36&lt;'Project Information'!B$11,A36+1,"")</f>
        <v>2060</v>
      </c>
      <c r="B37" s="41">
        <v>0</v>
      </c>
      <c r="C37" s="41">
        <v>0</v>
      </c>
      <c r="D37" s="41">
        <v>0</v>
      </c>
      <c r="E37" s="41">
        <v>0</v>
      </c>
      <c r="F37" s="41">
        <v>0</v>
      </c>
      <c r="G37" s="41">
        <v>0</v>
      </c>
      <c r="H37" s="41">
        <v>0</v>
      </c>
      <c r="I37" s="41">
        <v>0</v>
      </c>
      <c r="J37" s="41">
        <v>0</v>
      </c>
      <c r="K37" s="41">
        <v>0</v>
      </c>
      <c r="L37" s="41">
        <v>0</v>
      </c>
      <c r="M37" s="41">
        <v>0</v>
      </c>
      <c r="O37" s="13"/>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s="14"/>
    </row>
    <row r="38" spans="1:62" x14ac:dyDescent="0.35">
      <c r="A38" s="1">
        <f>IF(A37&lt;'Project Information'!B$11,A37+1,"")</f>
        <v>2061</v>
      </c>
      <c r="B38" s="41">
        <v>0</v>
      </c>
      <c r="C38" s="41">
        <v>0</v>
      </c>
      <c r="D38" s="41">
        <v>0</v>
      </c>
      <c r="E38" s="41">
        <v>0</v>
      </c>
      <c r="F38" s="41">
        <v>0</v>
      </c>
      <c r="G38" s="41">
        <v>0</v>
      </c>
      <c r="H38" s="41">
        <v>0</v>
      </c>
      <c r="I38" s="41">
        <v>0</v>
      </c>
      <c r="J38" s="41">
        <v>0</v>
      </c>
      <c r="K38" s="41">
        <v>0</v>
      </c>
      <c r="L38" s="41">
        <v>0</v>
      </c>
      <c r="M38" s="41">
        <v>0</v>
      </c>
      <c r="O38" s="13"/>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s="14"/>
    </row>
    <row r="39" spans="1:62" x14ac:dyDescent="0.35">
      <c r="A39" s="1">
        <f>IF(A38&lt;'Project Information'!B$11,A38+1,"")</f>
        <v>2062</v>
      </c>
      <c r="B39" s="41">
        <v>0</v>
      </c>
      <c r="C39" s="41">
        <v>0</v>
      </c>
      <c r="D39" s="41">
        <v>0</v>
      </c>
      <c r="E39" s="41">
        <v>0</v>
      </c>
      <c r="F39" s="41">
        <v>0</v>
      </c>
      <c r="G39" s="41">
        <v>0</v>
      </c>
      <c r="H39" s="41">
        <v>0</v>
      </c>
      <c r="I39" s="41">
        <v>0</v>
      </c>
      <c r="J39" s="41">
        <v>0</v>
      </c>
      <c r="K39" s="41">
        <v>0</v>
      </c>
      <c r="L39" s="41">
        <v>0</v>
      </c>
      <c r="M39" s="41">
        <v>0</v>
      </c>
      <c r="O39" s="13"/>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s="14"/>
    </row>
    <row r="40" spans="1:62" s="5" customFormat="1" x14ac:dyDescent="0.35">
      <c r="O40" s="139"/>
      <c r="BJ40" s="140"/>
    </row>
    <row r="41" spans="1:62" s="5" customFormat="1" x14ac:dyDescent="0.35">
      <c r="O41" s="139"/>
      <c r="BJ41" s="140"/>
    </row>
    <row r="42" spans="1:62" s="5" customFormat="1" x14ac:dyDescent="0.35">
      <c r="O42" s="139"/>
      <c r="BJ42" s="140"/>
    </row>
    <row r="43" spans="1:62" s="5" customFormat="1" x14ac:dyDescent="0.35">
      <c r="O43" s="139"/>
      <c r="BJ43" s="140"/>
    </row>
    <row r="44" spans="1:62" s="5" customFormat="1" x14ac:dyDescent="0.35">
      <c r="O44" s="139"/>
      <c r="BJ44" s="140"/>
    </row>
    <row r="45" spans="1:62" s="5" customFormat="1" x14ac:dyDescent="0.35">
      <c r="O45" s="139"/>
      <c r="BJ45" s="140"/>
    </row>
    <row r="46" spans="1:62" s="5" customFormat="1" x14ac:dyDescent="0.35">
      <c r="O46" s="139"/>
      <c r="BJ46" s="140"/>
    </row>
    <row r="47" spans="1:62" s="5" customFormat="1" x14ac:dyDescent="0.35">
      <c r="O47" s="139"/>
      <c r="BJ47" s="140"/>
    </row>
    <row r="48" spans="1:62" s="5" customFormat="1" ht="15" thickBot="1" x14ac:dyDescent="0.4">
      <c r="O48" s="141"/>
      <c r="P48" s="142"/>
      <c r="Q48" s="142"/>
      <c r="R48" s="142"/>
      <c r="S48" s="142"/>
      <c r="T48" s="142"/>
      <c r="U48" s="142"/>
      <c r="V48" s="142"/>
      <c r="W48" s="142"/>
      <c r="X48" s="142"/>
      <c r="Y48" s="142"/>
      <c r="Z48" s="142"/>
      <c r="AA48" s="142"/>
      <c r="AB48" s="142"/>
      <c r="AC48" s="142"/>
      <c r="AD48" s="142"/>
      <c r="AE48" s="142"/>
      <c r="AF48" s="142"/>
      <c r="AG48" s="142"/>
      <c r="AH48" s="142"/>
      <c r="AI48" s="142"/>
      <c r="AJ48" s="142"/>
      <c r="AK48" s="142"/>
      <c r="AL48" s="142"/>
      <c r="AM48" s="142"/>
      <c r="AN48" s="142"/>
      <c r="AO48" s="142"/>
      <c r="AP48" s="142"/>
      <c r="AQ48" s="142"/>
      <c r="AR48" s="142"/>
      <c r="AS48" s="142"/>
      <c r="AT48" s="142"/>
      <c r="AU48" s="142"/>
      <c r="AV48" s="142"/>
      <c r="AW48" s="142"/>
      <c r="AX48" s="142"/>
      <c r="AY48" s="142"/>
      <c r="AZ48" s="142"/>
      <c r="BA48" s="142"/>
      <c r="BB48" s="142"/>
      <c r="BC48" s="142"/>
      <c r="BD48" s="142"/>
      <c r="BE48" s="142"/>
      <c r="BF48" s="142"/>
      <c r="BG48" s="142"/>
      <c r="BH48" s="142"/>
      <c r="BI48" s="142"/>
      <c r="BJ48" s="143"/>
    </row>
    <row r="49" s="5" customFormat="1" x14ac:dyDescent="0.35"/>
    <row r="50" s="5" customFormat="1" x14ac:dyDescent="0.35"/>
    <row r="51" s="5" customFormat="1" x14ac:dyDescent="0.35"/>
    <row r="52" s="5" customFormat="1" x14ac:dyDescent="0.35"/>
    <row r="53" s="5" customFormat="1" x14ac:dyDescent="0.35"/>
    <row r="54" s="5" customFormat="1" x14ac:dyDescent="0.35"/>
    <row r="55" s="5" customFormat="1" x14ac:dyDescent="0.35"/>
    <row r="56" s="5" customFormat="1" x14ac:dyDescent="0.35"/>
    <row r="57" s="5" customFormat="1" x14ac:dyDescent="0.35"/>
    <row r="58" s="5" customFormat="1" x14ac:dyDescent="0.35"/>
    <row r="59" s="5" customFormat="1" x14ac:dyDescent="0.35"/>
    <row r="60" s="5" customFormat="1" x14ac:dyDescent="0.35"/>
    <row r="61" s="5" customFormat="1" x14ac:dyDescent="0.35"/>
    <row r="62" s="5" customFormat="1" x14ac:dyDescent="0.35"/>
    <row r="63" s="5" customFormat="1" x14ac:dyDescent="0.35"/>
    <row r="64" s="5" customFormat="1" x14ac:dyDescent="0.35"/>
    <row r="65" s="5" customFormat="1" x14ac:dyDescent="0.35"/>
    <row r="66" s="5" customFormat="1" x14ac:dyDescent="0.35"/>
    <row r="67" s="5" customFormat="1" x14ac:dyDescent="0.35"/>
    <row r="68" s="5" customFormat="1" x14ac:dyDescent="0.35"/>
    <row r="69" s="5" customFormat="1" x14ac:dyDescent="0.35"/>
    <row r="70" s="5" customFormat="1" x14ac:dyDescent="0.35"/>
    <row r="71" s="5" customFormat="1" x14ac:dyDescent="0.35"/>
    <row r="72" s="5" customFormat="1" x14ac:dyDescent="0.35"/>
    <row r="73" s="5" customFormat="1" x14ac:dyDescent="0.35"/>
    <row r="74" s="5" customFormat="1" x14ac:dyDescent="0.35"/>
    <row r="75" s="5" customFormat="1" x14ac:dyDescent="0.35"/>
    <row r="76" s="5" customFormat="1" x14ac:dyDescent="0.35"/>
    <row r="77" s="5" customFormat="1" x14ac:dyDescent="0.35"/>
    <row r="78" s="5" customFormat="1" x14ac:dyDescent="0.35"/>
    <row r="79" s="5" customFormat="1" x14ac:dyDescent="0.35"/>
    <row r="80" s="5" customFormat="1" x14ac:dyDescent="0.35"/>
    <row r="81" s="5" customFormat="1" x14ac:dyDescent="0.35"/>
    <row r="82" s="5" customFormat="1" x14ac:dyDescent="0.35"/>
    <row r="83" s="5" customFormat="1" x14ac:dyDescent="0.35"/>
    <row r="84" s="5" customFormat="1" x14ac:dyDescent="0.35"/>
    <row r="85" s="5" customFormat="1" x14ac:dyDescent="0.35"/>
    <row r="86" s="5" customFormat="1" x14ac:dyDescent="0.35"/>
    <row r="87" s="5" customFormat="1" x14ac:dyDescent="0.35"/>
    <row r="88" s="5" customFormat="1" x14ac:dyDescent="0.35"/>
    <row r="89" s="5" customFormat="1" x14ac:dyDescent="0.35"/>
    <row r="90" s="5" customFormat="1" x14ac:dyDescent="0.35"/>
    <row r="91" s="5" customFormat="1" x14ac:dyDescent="0.35"/>
    <row r="92" s="5" customFormat="1" x14ac:dyDescent="0.35"/>
    <row r="93" s="5" customFormat="1" x14ac:dyDescent="0.35"/>
    <row r="94" s="5" customFormat="1" x14ac:dyDescent="0.35"/>
    <row r="95" s="5" customFormat="1" x14ac:dyDescent="0.35"/>
    <row r="96" s="5" customFormat="1" x14ac:dyDescent="0.35"/>
    <row r="97" s="5" customFormat="1" x14ac:dyDescent="0.35"/>
    <row r="98" s="5" customFormat="1" x14ac:dyDescent="0.35"/>
    <row r="99" s="5" customFormat="1" x14ac:dyDescent="0.35"/>
    <row r="100" s="5" customFormat="1" x14ac:dyDescent="0.35"/>
    <row r="101" s="5" customFormat="1" x14ac:dyDescent="0.35"/>
    <row r="102" s="5" customFormat="1" x14ac:dyDescent="0.35"/>
    <row r="103" s="5" customFormat="1" x14ac:dyDescent="0.35"/>
    <row r="104" s="5" customFormat="1" x14ac:dyDescent="0.35"/>
    <row r="105" s="5" customFormat="1" x14ac:dyDescent="0.35"/>
    <row r="106" s="5" customFormat="1" x14ac:dyDescent="0.35"/>
    <row r="107" s="5" customFormat="1" x14ac:dyDescent="0.35"/>
    <row r="108" s="5" customFormat="1" x14ac:dyDescent="0.35"/>
    <row r="109" s="5" customFormat="1" x14ac:dyDescent="0.35"/>
    <row r="110" s="5" customFormat="1" x14ac:dyDescent="0.35"/>
    <row r="111" s="5" customFormat="1" x14ac:dyDescent="0.35"/>
    <row r="112" s="5" customFormat="1" x14ac:dyDescent="0.35"/>
    <row r="113" s="5" customFormat="1" x14ac:dyDescent="0.35"/>
    <row r="114" s="5" customFormat="1" x14ac:dyDescent="0.35"/>
    <row r="115" s="5" customFormat="1" x14ac:dyDescent="0.35"/>
    <row r="116" s="5" customFormat="1" x14ac:dyDescent="0.35"/>
    <row r="117" s="5" customFormat="1" x14ac:dyDescent="0.35"/>
    <row r="118" s="5" customFormat="1" x14ac:dyDescent="0.35"/>
    <row r="119" s="5" customFormat="1" x14ac:dyDescent="0.35"/>
    <row r="120" s="5" customFormat="1" x14ac:dyDescent="0.35"/>
    <row r="121" s="5" customFormat="1" x14ac:dyDescent="0.35"/>
    <row r="122" s="5" customFormat="1" x14ac:dyDescent="0.35"/>
    <row r="123" s="5" customFormat="1" x14ac:dyDescent="0.35"/>
    <row r="124" s="5" customFormat="1" x14ac:dyDescent="0.35"/>
    <row r="125" s="5" customFormat="1" x14ac:dyDescent="0.35"/>
    <row r="126" s="5" customFormat="1" x14ac:dyDescent="0.35"/>
    <row r="127" s="5" customFormat="1" x14ac:dyDescent="0.35"/>
    <row r="128" s="5" customFormat="1" x14ac:dyDescent="0.35"/>
    <row r="129" s="5" customFormat="1" x14ac:dyDescent="0.35"/>
    <row r="130" s="5" customFormat="1" x14ac:dyDescent="0.35"/>
    <row r="131" s="5" customFormat="1" x14ac:dyDescent="0.35"/>
    <row r="132" s="5" customFormat="1" x14ac:dyDescent="0.35"/>
    <row r="133" s="5" customFormat="1" x14ac:dyDescent="0.35"/>
    <row r="134" s="5" customFormat="1" x14ac:dyDescent="0.35"/>
    <row r="135" s="5" customFormat="1" x14ac:dyDescent="0.35"/>
    <row r="136" s="5" customFormat="1" x14ac:dyDescent="0.35"/>
    <row r="137" s="5" customFormat="1" x14ac:dyDescent="0.35"/>
    <row r="138" s="5" customFormat="1" x14ac:dyDescent="0.35"/>
    <row r="139" s="5" customFormat="1" x14ac:dyDescent="0.35"/>
    <row r="140" s="5" customFormat="1" x14ac:dyDescent="0.35"/>
    <row r="141" s="5" customFormat="1" x14ac:dyDescent="0.35"/>
    <row r="142" s="5" customFormat="1" x14ac:dyDescent="0.35"/>
    <row r="143" s="5" customFormat="1" x14ac:dyDescent="0.35"/>
    <row r="144" s="5" customFormat="1" x14ac:dyDescent="0.35"/>
    <row r="145" s="5" customFormat="1" x14ac:dyDescent="0.35"/>
    <row r="146" s="5" customFormat="1" x14ac:dyDescent="0.35"/>
    <row r="147" s="5" customFormat="1" x14ac:dyDescent="0.35"/>
    <row r="148" s="5" customFormat="1" x14ac:dyDescent="0.35"/>
    <row r="149" s="5" customFormat="1" x14ac:dyDescent="0.35"/>
    <row r="150" s="5" customFormat="1" x14ac:dyDescent="0.35"/>
    <row r="151" s="5" customFormat="1" x14ac:dyDescent="0.35"/>
    <row r="152" s="5" customFormat="1" x14ac:dyDescent="0.35"/>
    <row r="153" s="5" customFormat="1" x14ac:dyDescent="0.35"/>
    <row r="154" s="5" customFormat="1" x14ac:dyDescent="0.35"/>
    <row r="155" s="5" customFormat="1" x14ac:dyDescent="0.35"/>
    <row r="156" s="5" customFormat="1" x14ac:dyDescent="0.35"/>
    <row r="157" s="5" customFormat="1" x14ac:dyDescent="0.35"/>
    <row r="158" s="5" customFormat="1" x14ac:dyDescent="0.35"/>
    <row r="159" s="5" customFormat="1" x14ac:dyDescent="0.35"/>
    <row r="160" s="5" customFormat="1" x14ac:dyDescent="0.35"/>
    <row r="161" s="5" customFormat="1" x14ac:dyDescent="0.35"/>
    <row r="162" s="5" customFormat="1" x14ac:dyDescent="0.35"/>
    <row r="163" s="5" customFormat="1" x14ac:dyDescent="0.35"/>
    <row r="164" s="5" customFormat="1" x14ac:dyDescent="0.35"/>
    <row r="165" s="5" customFormat="1" x14ac:dyDescent="0.35"/>
    <row r="166" s="5" customFormat="1" x14ac:dyDescent="0.35"/>
    <row r="167" s="5" customFormat="1" x14ac:dyDescent="0.35"/>
    <row r="168" s="5" customFormat="1" x14ac:dyDescent="0.35"/>
    <row r="169" s="5" customFormat="1" x14ac:dyDescent="0.35"/>
    <row r="170" s="5" customFormat="1" x14ac:dyDescent="0.35"/>
    <row r="171" s="5" customFormat="1" x14ac:dyDescent="0.35"/>
    <row r="172" s="5" customFormat="1" x14ac:dyDescent="0.35"/>
    <row r="173" s="5" customFormat="1" x14ac:dyDescent="0.35"/>
    <row r="174" s="5" customFormat="1" x14ac:dyDescent="0.35"/>
    <row r="175" s="5" customFormat="1" x14ac:dyDescent="0.35"/>
    <row r="176" s="5" customFormat="1" x14ac:dyDescent="0.35"/>
    <row r="177" s="5" customFormat="1" x14ac:dyDescent="0.35"/>
    <row r="178" s="5" customFormat="1" x14ac:dyDescent="0.35"/>
    <row r="179" s="5" customFormat="1" x14ac:dyDescent="0.35"/>
    <row r="180" s="5" customFormat="1" x14ac:dyDescent="0.35"/>
    <row r="181" s="5" customFormat="1" x14ac:dyDescent="0.35"/>
    <row r="182" s="5" customFormat="1" x14ac:dyDescent="0.35"/>
    <row r="183" s="5" customFormat="1" x14ac:dyDescent="0.35"/>
    <row r="184" s="5" customFormat="1" x14ac:dyDescent="0.35"/>
    <row r="185" s="5" customFormat="1" x14ac:dyDescent="0.35"/>
    <row r="186" s="5" customFormat="1" x14ac:dyDescent="0.35"/>
    <row r="187" s="5" customFormat="1" x14ac:dyDescent="0.35"/>
    <row r="188" s="5" customFormat="1" x14ac:dyDescent="0.35"/>
    <row r="189" s="5" customFormat="1" x14ac:dyDescent="0.35"/>
    <row r="190" s="5" customFormat="1" x14ac:dyDescent="0.35"/>
    <row r="191" s="5" customFormat="1" x14ac:dyDescent="0.35"/>
    <row r="192" s="5" customFormat="1" x14ac:dyDescent="0.35"/>
    <row r="193" s="5" customFormat="1" x14ac:dyDescent="0.35"/>
    <row r="194" s="5" customFormat="1" x14ac:dyDescent="0.35"/>
    <row r="195" s="5" customFormat="1" x14ac:dyDescent="0.35"/>
    <row r="196" s="5" customFormat="1" x14ac:dyDescent="0.35"/>
    <row r="197" s="5" customFormat="1" x14ac:dyDescent="0.35"/>
    <row r="198" s="5" customFormat="1" x14ac:dyDescent="0.35"/>
    <row r="199" s="5" customFormat="1" x14ac:dyDescent="0.35"/>
    <row r="200" s="5" customFormat="1" x14ac:dyDescent="0.35"/>
    <row r="201" s="5" customFormat="1" x14ac:dyDescent="0.35"/>
    <row r="202" s="5" customFormat="1" x14ac:dyDescent="0.35"/>
    <row r="203" s="5" customFormat="1" x14ac:dyDescent="0.35"/>
    <row r="204" s="5" customFormat="1" x14ac:dyDescent="0.35"/>
    <row r="205" s="5" customFormat="1" x14ac:dyDescent="0.35"/>
    <row r="206" s="5" customFormat="1" x14ac:dyDescent="0.35"/>
    <row r="207" s="5" customFormat="1" x14ac:dyDescent="0.35"/>
    <row r="208" s="5" customFormat="1" x14ac:dyDescent="0.35"/>
    <row r="209" s="5" customFormat="1" x14ac:dyDescent="0.35"/>
    <row r="210" s="5" customFormat="1" x14ac:dyDescent="0.35"/>
    <row r="211" s="5" customFormat="1" x14ac:dyDescent="0.35"/>
    <row r="212" s="5" customFormat="1" x14ac:dyDescent="0.35"/>
    <row r="213" s="5" customFormat="1" x14ac:dyDescent="0.35"/>
    <row r="214" s="5" customFormat="1" x14ac:dyDescent="0.35"/>
    <row r="215" s="5" customFormat="1" x14ac:dyDescent="0.35"/>
    <row r="216" s="5" customFormat="1" x14ac:dyDescent="0.35"/>
    <row r="217" s="5" customFormat="1" x14ac:dyDescent="0.35"/>
    <row r="218" s="5" customFormat="1" x14ac:dyDescent="0.35"/>
    <row r="219" s="5" customFormat="1" x14ac:dyDescent="0.35"/>
    <row r="220" s="5" customFormat="1" x14ac:dyDescent="0.35"/>
    <row r="221" s="5" customFormat="1" x14ac:dyDescent="0.35"/>
    <row r="222" s="5" customFormat="1" x14ac:dyDescent="0.35"/>
    <row r="223" s="5" customFormat="1" x14ac:dyDescent="0.35"/>
    <row r="224" s="5" customFormat="1" x14ac:dyDescent="0.35"/>
    <row r="225" s="5" customFormat="1" x14ac:dyDescent="0.35"/>
    <row r="226" s="5" customFormat="1" x14ac:dyDescent="0.35"/>
    <row r="227" s="5" customFormat="1" x14ac:dyDescent="0.35"/>
    <row r="228" s="5" customFormat="1" x14ac:dyDescent="0.35"/>
    <row r="229" s="5" customFormat="1" x14ac:dyDescent="0.35"/>
    <row r="230" s="5" customFormat="1" x14ac:dyDescent="0.35"/>
    <row r="231" s="5" customFormat="1" x14ac:dyDescent="0.35"/>
    <row r="232" s="5" customFormat="1" x14ac:dyDescent="0.35"/>
    <row r="233" s="5" customFormat="1" x14ac:dyDescent="0.35"/>
    <row r="234" s="5" customFormat="1" x14ac:dyDescent="0.35"/>
    <row r="235" s="5" customFormat="1" x14ac:dyDescent="0.35"/>
    <row r="236" s="5" customFormat="1" x14ac:dyDescent="0.35"/>
    <row r="237" s="5" customFormat="1" x14ac:dyDescent="0.35"/>
    <row r="238" s="5" customFormat="1" x14ac:dyDescent="0.35"/>
    <row r="239" s="5" customFormat="1" x14ac:dyDescent="0.35"/>
    <row r="240" s="5" customFormat="1" x14ac:dyDescent="0.35"/>
    <row r="241" s="5" customFormat="1" x14ac:dyDescent="0.35"/>
    <row r="242" s="5" customFormat="1" x14ac:dyDescent="0.35"/>
    <row r="243" s="5" customFormat="1" x14ac:dyDescent="0.35"/>
    <row r="244" s="5" customFormat="1" x14ac:dyDescent="0.35"/>
    <row r="245" s="5" customFormat="1" x14ac:dyDescent="0.35"/>
    <row r="246" s="5" customFormat="1" x14ac:dyDescent="0.35"/>
  </sheetData>
  <mergeCells count="6">
    <mergeCell ref="L8:M8"/>
    <mergeCell ref="B8:C8"/>
    <mergeCell ref="D8:E8"/>
    <mergeCell ref="F8:G8"/>
    <mergeCell ref="H8:I8"/>
    <mergeCell ref="J8:K8"/>
  </mergeCells>
  <conditionalFormatting sqref="B10:M39">
    <cfRule type="expression" dxfId="19" priority="1">
      <formula>$A10=""</formula>
    </cfRule>
  </conditionalFormatting>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29D9F-FC46-4D85-90F6-7D1B96D1D401}">
  <sheetPr>
    <tabColor theme="9" tint="0.39997558519241921"/>
  </sheetPr>
  <dimension ref="A1:AZ48"/>
  <sheetViews>
    <sheetView zoomScale="115" zoomScaleNormal="115" workbookViewId="0"/>
    <sheetView workbookViewId="1"/>
  </sheetViews>
  <sheetFormatPr defaultColWidth="9.1796875" defaultRowHeight="14.5" x14ac:dyDescent="0.35"/>
  <cols>
    <col min="1" max="1" width="28.81640625" style="5" customWidth="1"/>
    <col min="2" max="2" width="39.54296875" style="5" bestFit="1" customWidth="1"/>
    <col min="3" max="3" width="30.1796875" style="5" customWidth="1"/>
    <col min="4" max="16384" width="9.1796875" style="5"/>
  </cols>
  <sheetData>
    <row r="1" spans="1:52" ht="20" thickBot="1" x14ac:dyDescent="0.5">
      <c r="A1" s="94" t="s">
        <v>216</v>
      </c>
    </row>
    <row r="2" spans="1:52" ht="15" thickTop="1" x14ac:dyDescent="0.35">
      <c r="A2" s="145" t="s">
        <v>179</v>
      </c>
      <c r="B2" s="144"/>
      <c r="C2" s="144"/>
      <c r="D2" s="144"/>
      <c r="E2" s="144"/>
      <c r="F2" s="144"/>
      <c r="G2" s="144"/>
      <c r="H2" s="144"/>
      <c r="I2" s="144"/>
    </row>
    <row r="3" spans="1:52" x14ac:dyDescent="0.35">
      <c r="A3" s="38" t="s">
        <v>203</v>
      </c>
    </row>
    <row r="4" spans="1:52" x14ac:dyDescent="0.35">
      <c r="A4" s="333">
        <v>0</v>
      </c>
      <c r="B4" s="5" t="s">
        <v>313</v>
      </c>
    </row>
    <row r="5" spans="1:52" x14ac:dyDescent="0.35">
      <c r="A5" s="117">
        <v>0</v>
      </c>
      <c r="B5" s="5" t="s">
        <v>343</v>
      </c>
    </row>
    <row r="6" spans="1:52" x14ac:dyDescent="0.35">
      <c r="A6" s="29" t="s">
        <v>203</v>
      </c>
    </row>
    <row r="7" spans="1:52" ht="15" thickBot="1" x14ac:dyDescent="0.4">
      <c r="A7" s="95" t="s">
        <v>248</v>
      </c>
    </row>
    <row r="8" spans="1:52" x14ac:dyDescent="0.35">
      <c r="A8" s="113" t="s">
        <v>4</v>
      </c>
      <c r="B8" s="111" t="s">
        <v>155</v>
      </c>
      <c r="C8" s="106" t="s">
        <v>349</v>
      </c>
      <c r="E8" s="10" t="s">
        <v>159</v>
      </c>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2"/>
    </row>
    <row r="9" spans="1:52" x14ac:dyDescent="0.35">
      <c r="A9" s="30">
        <f>'Project Information'!B7</f>
        <v>2027</v>
      </c>
      <c r="B9" s="22">
        <f>Inputs!C76</f>
        <v>11960000</v>
      </c>
      <c r="C9" s="8">
        <f>B9/(1+$A$4)^(A9-Overview!$B$22)</f>
        <v>11960000</v>
      </c>
      <c r="E9" s="13"/>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s="14"/>
    </row>
    <row r="10" spans="1:52" x14ac:dyDescent="0.35">
      <c r="A10" s="1">
        <f>IF(A9&lt;$A$9+'Project Information'!$B$8-1,A9+1,"")</f>
        <v>2028</v>
      </c>
      <c r="B10" s="22">
        <f>Inputs!C77</f>
        <v>41860000</v>
      </c>
      <c r="C10" s="8">
        <f>IFERROR(B10/(1+$A$4)^(A10-Overview!$B$22),0)</f>
        <v>41860000</v>
      </c>
      <c r="E10" s="13"/>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s="14"/>
    </row>
    <row r="11" spans="1:52" x14ac:dyDescent="0.35">
      <c r="A11" s="1">
        <f>IF(A10&lt;$A$9+'Project Information'!$B$8-1,A10+1,"")</f>
        <v>2029</v>
      </c>
      <c r="B11" s="22">
        <f>Inputs!C78</f>
        <v>35880000</v>
      </c>
      <c r="C11" s="8">
        <f>IFERROR(B11/(1+$A$4)^(A11-Overview!$B$22),0)</f>
        <v>35880000</v>
      </c>
      <c r="E11" s="13"/>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s="14"/>
    </row>
    <row r="12" spans="1:52" x14ac:dyDescent="0.35">
      <c r="A12" s="1">
        <f>IF(A11&lt;$A$9+'Project Information'!$B$8-1,A11+1,"")</f>
        <v>2030</v>
      </c>
      <c r="B12" s="22">
        <f>Inputs!C79</f>
        <v>11960000</v>
      </c>
      <c r="C12" s="8">
        <f>IFERROR(B12/(1+$A$4)^(A12-Overview!$B$22),0)</f>
        <v>11960000</v>
      </c>
      <c r="E12" s="13"/>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s="14"/>
    </row>
    <row r="13" spans="1:52" x14ac:dyDescent="0.35">
      <c r="A13" s="1">
        <f>IF(A12&lt;$A$9+'Project Information'!$B$8-1,A12+1,"")</f>
        <v>2031</v>
      </c>
      <c r="B13" s="22">
        <f>Inputs!C80</f>
        <v>11960000</v>
      </c>
      <c r="C13" s="8">
        <f>IFERROR(B13/(1+$A$4)^(A13-Overview!$B$22),0)</f>
        <v>11960000</v>
      </c>
      <c r="E13" s="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s="14"/>
    </row>
    <row r="14" spans="1:52" x14ac:dyDescent="0.35">
      <c r="A14" s="1">
        <f>IF(A13&lt;$A$9+'Project Information'!$B$8-1,A13+1,"")</f>
        <v>2032</v>
      </c>
      <c r="B14" s="22">
        <f>Inputs!C81</f>
        <v>5980000</v>
      </c>
      <c r="C14" s="8">
        <f>IFERROR(B14/(1+$A$4)^(A14-Overview!$B$22),0)</f>
        <v>5980000</v>
      </c>
      <c r="E14" s="13"/>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s="14"/>
    </row>
    <row r="15" spans="1:52" x14ac:dyDescent="0.35">
      <c r="A15" s="1" t="str">
        <f>IF(A14&lt;$A$9+'Project Information'!$B$8-1,A14+1,"")</f>
        <v/>
      </c>
      <c r="B15" s="22">
        <v>0</v>
      </c>
      <c r="C15" s="8">
        <f>IFERROR(B15/(1+$A$4)^(A15-Overview!$B$22),0)</f>
        <v>0</v>
      </c>
      <c r="E15" s="13"/>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s="14"/>
    </row>
    <row r="16" spans="1:52" x14ac:dyDescent="0.35">
      <c r="A16" s="1" t="str">
        <f>IF(A15&lt;$A$9+'Project Information'!$B$8-1,A15+1,"")</f>
        <v/>
      </c>
      <c r="B16" s="22">
        <v>0</v>
      </c>
      <c r="C16" s="8">
        <f>IFERROR(B16/(1+$A$4)^(A16-Overview!$B$22),0)</f>
        <v>0</v>
      </c>
      <c r="E16" s="13"/>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s="14"/>
    </row>
    <row r="17" spans="1:52" x14ac:dyDescent="0.35">
      <c r="A17" s="1" t="str">
        <f>IF(A16&lt;$A$9+'Project Information'!$B$8-1,A16+1,"")</f>
        <v/>
      </c>
      <c r="B17" s="22">
        <v>0</v>
      </c>
      <c r="C17" s="8">
        <f>IFERROR(B17/(1+$A$4)^(A17-Overview!$B$22),0)</f>
        <v>0</v>
      </c>
      <c r="E17" s="13"/>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s="14"/>
    </row>
    <row r="18" spans="1:52" x14ac:dyDescent="0.35">
      <c r="A18" s="1" t="str">
        <f>IF(A17&lt;$A$9+'Project Information'!$B$8-1,A17+1,"")</f>
        <v/>
      </c>
      <c r="B18" s="22">
        <v>0</v>
      </c>
      <c r="C18" s="8">
        <f>IFERROR(B18/(1+$A$4)^(A18-Overview!$B$22),0)</f>
        <v>0</v>
      </c>
      <c r="E18" s="13"/>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s="14"/>
    </row>
    <row r="19" spans="1:52" x14ac:dyDescent="0.35">
      <c r="A19" s="1" t="str">
        <f>IF(A18&lt;$A$9+'Project Information'!$B$8-1,A18+1,"")</f>
        <v/>
      </c>
      <c r="B19" s="22">
        <v>0</v>
      </c>
      <c r="C19" s="8">
        <f>IFERROR(B19/(1+$A$4)^(A19-Overview!$B$22),0)</f>
        <v>0</v>
      </c>
      <c r="E19" s="13"/>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s="14"/>
    </row>
    <row r="20" spans="1:52" x14ac:dyDescent="0.35">
      <c r="A20" s="1" t="str">
        <f>IF(A19&lt;$A$9+'Project Information'!$B$8-1,A19+1,"")</f>
        <v/>
      </c>
      <c r="B20" s="22">
        <v>0</v>
      </c>
      <c r="C20" s="8">
        <f>IFERROR(B20/(1+$A$4)^(A20-Overview!$B$22),0)</f>
        <v>0</v>
      </c>
      <c r="E20" s="13"/>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s="14"/>
    </row>
    <row r="21" spans="1:52" x14ac:dyDescent="0.35">
      <c r="A21" s="1" t="str">
        <f>IF(A20&lt;$A$9+'Project Information'!$B$8-1,A20+1,"")</f>
        <v/>
      </c>
      <c r="B21" s="22">
        <v>0</v>
      </c>
      <c r="C21" s="8">
        <f>IFERROR(B21/(1+$A$4)^(A21-Overview!$B$22),0)</f>
        <v>0</v>
      </c>
      <c r="E21" s="13"/>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s="14"/>
    </row>
    <row r="22" spans="1:52" x14ac:dyDescent="0.35">
      <c r="A22" s="1" t="str">
        <f>IF(A21&lt;$A$9+'Project Information'!$B$8-1,A21+1,"")</f>
        <v/>
      </c>
      <c r="B22" s="22">
        <v>0</v>
      </c>
      <c r="C22" s="8">
        <f>IFERROR(B22/(1+$A$4)^(A22-Overview!$B$22),0)</f>
        <v>0</v>
      </c>
      <c r="E22" s="13"/>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s="14"/>
    </row>
    <row r="23" spans="1:52" x14ac:dyDescent="0.35">
      <c r="A23" s="1" t="str">
        <f>IF(A22&lt;$A$9+'Project Information'!$B$8-1,A22+1,"")</f>
        <v/>
      </c>
      <c r="B23" s="22">
        <v>0</v>
      </c>
      <c r="C23" s="8">
        <f>IFERROR(B23/(1+$A$4)^(A23-Overview!$B$22),0)</f>
        <v>0</v>
      </c>
      <c r="E23" s="1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s="14"/>
    </row>
    <row r="24" spans="1:52" x14ac:dyDescent="0.35">
      <c r="A24" s="31"/>
      <c r="B24" s="32"/>
      <c r="C24" s="33"/>
      <c r="E24" s="13"/>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s="14"/>
    </row>
    <row r="25" spans="1:52" x14ac:dyDescent="0.35">
      <c r="B25" s="28"/>
      <c r="C25" s="29"/>
      <c r="E25" s="13"/>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s="14"/>
    </row>
    <row r="26" spans="1:52" x14ac:dyDescent="0.35">
      <c r="B26" s="28"/>
      <c r="C26" s="29"/>
      <c r="E26" s="13"/>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s="14"/>
    </row>
    <row r="27" spans="1:52" x14ac:dyDescent="0.35">
      <c r="B27" s="28"/>
      <c r="C27" s="29"/>
      <c r="E27" s="13"/>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s="14"/>
    </row>
    <row r="28" spans="1:52" x14ac:dyDescent="0.35">
      <c r="B28" s="28"/>
      <c r="C28" s="29"/>
      <c r="E28" s="13"/>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s="14"/>
    </row>
    <row r="29" spans="1:52" x14ac:dyDescent="0.35">
      <c r="B29" s="28"/>
      <c r="C29" s="29"/>
      <c r="E29" s="13"/>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s="14"/>
    </row>
    <row r="30" spans="1:52" x14ac:dyDescent="0.35">
      <c r="B30" s="28"/>
      <c r="C30" s="29"/>
      <c r="E30" s="13"/>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s="14"/>
    </row>
    <row r="31" spans="1:52" x14ac:dyDescent="0.35">
      <c r="B31" s="28"/>
      <c r="C31" s="29"/>
      <c r="E31" s="13"/>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s="14"/>
    </row>
    <row r="32" spans="1:52" x14ac:dyDescent="0.35">
      <c r="B32" s="28"/>
      <c r="C32" s="29"/>
      <c r="E32" s="13"/>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s="14"/>
    </row>
    <row r="33" spans="2:52" x14ac:dyDescent="0.35">
      <c r="B33" s="28"/>
      <c r="C33" s="29"/>
      <c r="E33" s="1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s="14"/>
    </row>
    <row r="34" spans="2:52" x14ac:dyDescent="0.35">
      <c r="B34" s="28"/>
      <c r="C34" s="29"/>
      <c r="E34" s="13"/>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s="14"/>
    </row>
    <row r="35" spans="2:52" x14ac:dyDescent="0.35">
      <c r="B35" s="28"/>
      <c r="C35" s="29"/>
      <c r="E35" s="13"/>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s="14"/>
    </row>
    <row r="36" spans="2:52" x14ac:dyDescent="0.35">
      <c r="B36" s="28"/>
      <c r="C36" s="29"/>
      <c r="E36" s="13"/>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s="14"/>
    </row>
    <row r="37" spans="2:52" x14ac:dyDescent="0.35">
      <c r="B37" s="28"/>
      <c r="C37" s="29"/>
      <c r="E37" s="13"/>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s="14"/>
    </row>
    <row r="38" spans="2:52" x14ac:dyDescent="0.35">
      <c r="B38" s="28"/>
      <c r="C38" s="29"/>
      <c r="E38" s="13"/>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s="14"/>
    </row>
    <row r="39" spans="2:52" x14ac:dyDescent="0.35">
      <c r="B39" s="28"/>
      <c r="C39" s="29"/>
      <c r="E39" s="13"/>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s="14"/>
    </row>
    <row r="40" spans="2:52" x14ac:dyDescent="0.35">
      <c r="B40" s="28"/>
      <c r="C40" s="29"/>
      <c r="E40" s="13"/>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s="14"/>
    </row>
    <row r="41" spans="2:52" x14ac:dyDescent="0.35">
      <c r="B41" s="28"/>
      <c r="C41" s="29"/>
      <c r="E41" s="13"/>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s="14"/>
    </row>
    <row r="42" spans="2:52" x14ac:dyDescent="0.35">
      <c r="B42" s="28"/>
      <c r="C42" s="29"/>
      <c r="E42" s="13"/>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s="14"/>
    </row>
    <row r="43" spans="2:52" x14ac:dyDescent="0.35">
      <c r="B43" s="28"/>
      <c r="C43" s="29"/>
      <c r="E43" s="1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s="14"/>
    </row>
    <row r="44" spans="2:52" x14ac:dyDescent="0.35">
      <c r="B44" s="28"/>
      <c r="C44" s="29"/>
      <c r="E44" s="13"/>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s="14"/>
    </row>
    <row r="45" spans="2:52" x14ac:dyDescent="0.35">
      <c r="B45" s="28"/>
      <c r="C45" s="29"/>
      <c r="E45" s="13"/>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s="14"/>
    </row>
    <row r="46" spans="2:52" x14ac:dyDescent="0.35">
      <c r="B46" s="28"/>
      <c r="C46" s="29"/>
      <c r="E46" s="13"/>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s="14"/>
    </row>
    <row r="47" spans="2:52" x14ac:dyDescent="0.35">
      <c r="B47" s="28"/>
      <c r="C47" s="29"/>
      <c r="E47" s="13"/>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s="14"/>
    </row>
    <row r="48" spans="2:52" ht="15" thickBot="1" x14ac:dyDescent="0.4">
      <c r="B48" s="28"/>
      <c r="C48" s="29"/>
      <c r="E48" s="15"/>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7"/>
    </row>
  </sheetData>
  <conditionalFormatting sqref="B9:B23">
    <cfRule type="expression" dxfId="18" priority="1">
      <formula>A9=""</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5E38E-8165-48A5-9087-43035F106B2B}">
  <sheetPr>
    <tabColor theme="9" tint="0.39997558519241921"/>
  </sheetPr>
  <dimension ref="A1:BB97"/>
  <sheetViews>
    <sheetView zoomScaleNormal="100" workbookViewId="0"/>
    <sheetView workbookViewId="1"/>
  </sheetViews>
  <sheetFormatPr defaultColWidth="9.1796875" defaultRowHeight="14.5" x14ac:dyDescent="0.35"/>
  <cols>
    <col min="1" max="1" width="28.54296875" style="5" customWidth="1"/>
    <col min="2" max="2" width="42" style="5" customWidth="1"/>
    <col min="3" max="3" width="37.81640625" style="5" customWidth="1"/>
    <col min="4" max="4" width="46.54296875" style="5" customWidth="1"/>
    <col min="5" max="16384" width="9.1796875" style="5"/>
  </cols>
  <sheetData>
    <row r="1" spans="1:54" ht="20" thickBot="1" x14ac:dyDescent="0.5">
      <c r="A1" s="94" t="s">
        <v>219</v>
      </c>
    </row>
    <row r="2" spans="1:54" ht="15" thickTop="1" x14ac:dyDescent="0.35">
      <c r="A2" s="145" t="s">
        <v>344</v>
      </c>
      <c r="B2" s="144"/>
      <c r="C2" s="144"/>
      <c r="D2" s="144"/>
      <c r="E2" s="144"/>
    </row>
    <row r="3" spans="1:54" x14ac:dyDescent="0.35">
      <c r="A3" s="5" t="s">
        <v>203</v>
      </c>
    </row>
    <row r="4" spans="1:54" x14ac:dyDescent="0.35">
      <c r="A4" s="145" t="s">
        <v>298</v>
      </c>
      <c r="B4" s="145"/>
      <c r="C4" s="145"/>
      <c r="D4" s="145"/>
      <c r="E4" s="145"/>
      <c r="F4" s="145"/>
    </row>
    <row r="5" spans="1:54" x14ac:dyDescent="0.35">
      <c r="A5" s="5" t="s">
        <v>203</v>
      </c>
    </row>
    <row r="6" spans="1:54" ht="15" thickBot="1" x14ac:dyDescent="0.4">
      <c r="A6" s="95" t="s">
        <v>247</v>
      </c>
    </row>
    <row r="7" spans="1:54" x14ac:dyDescent="0.35">
      <c r="A7" s="105" t="s">
        <v>4</v>
      </c>
      <c r="B7" s="106" t="s">
        <v>169</v>
      </c>
      <c r="C7" s="106" t="s">
        <v>170</v>
      </c>
      <c r="D7" s="106" t="s">
        <v>161</v>
      </c>
      <c r="G7" s="10" t="s">
        <v>159</v>
      </c>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2"/>
    </row>
    <row r="8" spans="1:54" x14ac:dyDescent="0.35">
      <c r="A8" s="6">
        <f>'Project Information'!$B$9</f>
        <v>2033</v>
      </c>
      <c r="B8" s="22">
        <f>Inputs!$F$63</f>
        <v>9608986.6600000001</v>
      </c>
      <c r="C8" s="22">
        <v>0</v>
      </c>
      <c r="D8" s="26">
        <f>C8-B8</f>
        <v>-9608986.6600000001</v>
      </c>
      <c r="G8" s="13"/>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s="14"/>
    </row>
    <row r="9" spans="1:54" x14ac:dyDescent="0.35">
      <c r="A9" s="1">
        <f>IF(A8&lt;'Project Information'!B$11,A8+1,"")</f>
        <v>2034</v>
      </c>
      <c r="B9" s="22">
        <f>Inputs!$F$63</f>
        <v>9608986.6600000001</v>
      </c>
      <c r="C9" s="22">
        <v>0</v>
      </c>
      <c r="D9" s="8">
        <f t="shared" ref="D9:D37" si="0">C9-B9</f>
        <v>-9608986.6600000001</v>
      </c>
      <c r="G9" s="13"/>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s="14"/>
    </row>
    <row r="10" spans="1:54" x14ac:dyDescent="0.35">
      <c r="A10" s="1">
        <f>IF(A9&lt;'Project Information'!B$11,A9+1,"")</f>
        <v>2035</v>
      </c>
      <c r="B10" s="22">
        <f>Inputs!$F$63</f>
        <v>9608986.6600000001</v>
      </c>
      <c r="C10" s="22">
        <v>0</v>
      </c>
      <c r="D10" s="8">
        <f t="shared" si="0"/>
        <v>-9608986.6600000001</v>
      </c>
      <c r="G10" s="13"/>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s="14"/>
    </row>
    <row r="11" spans="1:54" x14ac:dyDescent="0.35">
      <c r="A11" s="1">
        <f>IF(A10&lt;'Project Information'!B$11,A10+1,"")</f>
        <v>2036</v>
      </c>
      <c r="B11" s="22">
        <f>Inputs!$F$63</f>
        <v>9608986.6600000001</v>
      </c>
      <c r="C11" s="22">
        <v>0</v>
      </c>
      <c r="D11" s="8">
        <f t="shared" si="0"/>
        <v>-9608986.6600000001</v>
      </c>
      <c r="G11" s="13"/>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s="14"/>
    </row>
    <row r="12" spans="1:54" x14ac:dyDescent="0.35">
      <c r="A12" s="1">
        <f>IF(A11&lt;'Project Information'!B$11,A11+1,"")</f>
        <v>2037</v>
      </c>
      <c r="B12" s="22">
        <f>Inputs!$F$63</f>
        <v>9608986.6600000001</v>
      </c>
      <c r="C12" s="22">
        <v>0</v>
      </c>
      <c r="D12" s="8">
        <f t="shared" si="0"/>
        <v>-9608986.6600000001</v>
      </c>
      <c r="G12" s="13"/>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s="14"/>
    </row>
    <row r="13" spans="1:54" x14ac:dyDescent="0.35">
      <c r="A13" s="1">
        <f>IF(A12&lt;'Project Information'!B$11,A12+1,"")</f>
        <v>2038</v>
      </c>
      <c r="B13" s="22">
        <f>Inputs!$F$63</f>
        <v>9608986.6600000001</v>
      </c>
      <c r="C13" s="22">
        <v>0</v>
      </c>
      <c r="D13" s="8">
        <f t="shared" si="0"/>
        <v>-9608986.6600000001</v>
      </c>
      <c r="G13" s="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s="14"/>
    </row>
    <row r="14" spans="1:54" x14ac:dyDescent="0.35">
      <c r="A14" s="1">
        <f>IF(A13&lt;'Project Information'!B$11,A13+1,"")</f>
        <v>2039</v>
      </c>
      <c r="B14" s="22">
        <f>Inputs!$F$63</f>
        <v>9608986.6600000001</v>
      </c>
      <c r="C14" s="22">
        <v>0</v>
      </c>
      <c r="D14" s="8">
        <f t="shared" si="0"/>
        <v>-9608986.6600000001</v>
      </c>
      <c r="G14" s="13"/>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s="14"/>
    </row>
    <row r="15" spans="1:54" x14ac:dyDescent="0.35">
      <c r="A15" s="1">
        <f>IF(A14&lt;'Project Information'!B$11,A14+1,"")</f>
        <v>2040</v>
      </c>
      <c r="B15" s="22">
        <f>Inputs!$F$63</f>
        <v>9608986.6600000001</v>
      </c>
      <c r="C15" s="22">
        <v>0</v>
      </c>
      <c r="D15" s="8">
        <f t="shared" si="0"/>
        <v>-9608986.6600000001</v>
      </c>
      <c r="G15" s="13"/>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s="14"/>
    </row>
    <row r="16" spans="1:54" x14ac:dyDescent="0.35">
      <c r="A16" s="1">
        <f>IF(A15&lt;'Project Information'!B$11,A15+1,"")</f>
        <v>2041</v>
      </c>
      <c r="B16" s="22">
        <f>Inputs!$F$63</f>
        <v>9608986.6600000001</v>
      </c>
      <c r="C16" s="22">
        <v>0</v>
      </c>
      <c r="D16" s="8">
        <f t="shared" si="0"/>
        <v>-9608986.6600000001</v>
      </c>
      <c r="G16" s="13"/>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s="14"/>
    </row>
    <row r="17" spans="1:54" x14ac:dyDescent="0.35">
      <c r="A17" s="1">
        <f>IF(A16&lt;'Project Information'!B$11,A16+1,"")</f>
        <v>2042</v>
      </c>
      <c r="B17" s="22">
        <f>Inputs!$F$63</f>
        <v>9608986.6600000001</v>
      </c>
      <c r="C17" s="22">
        <v>0</v>
      </c>
      <c r="D17" s="8">
        <f t="shared" si="0"/>
        <v>-9608986.6600000001</v>
      </c>
      <c r="G17" s="13"/>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s="14"/>
    </row>
    <row r="18" spans="1:54" x14ac:dyDescent="0.35">
      <c r="A18" s="1">
        <f>IF(A17&lt;'Project Information'!B$11,A17+1,"")</f>
        <v>2043</v>
      </c>
      <c r="B18" s="22">
        <f>Inputs!$F$63</f>
        <v>9608986.6600000001</v>
      </c>
      <c r="C18" s="22">
        <v>0</v>
      </c>
      <c r="D18" s="8">
        <f t="shared" si="0"/>
        <v>-9608986.6600000001</v>
      </c>
      <c r="G18" s="13"/>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s="14"/>
    </row>
    <row r="19" spans="1:54" x14ac:dyDescent="0.35">
      <c r="A19" s="1">
        <f>IF(A18&lt;'Project Information'!B$11,A18+1,"")</f>
        <v>2044</v>
      </c>
      <c r="B19" s="22">
        <f>Inputs!$F$63</f>
        <v>9608986.6600000001</v>
      </c>
      <c r="C19" s="22">
        <v>0</v>
      </c>
      <c r="D19" s="8">
        <f t="shared" si="0"/>
        <v>-9608986.6600000001</v>
      </c>
      <c r="G19" s="13"/>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s="14"/>
    </row>
    <row r="20" spans="1:54" x14ac:dyDescent="0.35">
      <c r="A20" s="1">
        <f>IF(A19&lt;'Project Information'!B$11,A19+1,"")</f>
        <v>2045</v>
      </c>
      <c r="B20" s="22">
        <f>Inputs!$F$63</f>
        <v>9608986.6600000001</v>
      </c>
      <c r="C20" s="22">
        <v>0</v>
      </c>
      <c r="D20" s="8">
        <f t="shared" si="0"/>
        <v>-9608986.6600000001</v>
      </c>
      <c r="G20" s="13"/>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s="14"/>
    </row>
    <row r="21" spans="1:54" x14ac:dyDescent="0.35">
      <c r="A21" s="1">
        <f>IF(A20&lt;'Project Information'!B$11,A20+1,"")</f>
        <v>2046</v>
      </c>
      <c r="B21" s="22">
        <f>Inputs!$F$63</f>
        <v>9608986.6600000001</v>
      </c>
      <c r="C21" s="22">
        <v>0</v>
      </c>
      <c r="D21" s="8">
        <f t="shared" si="0"/>
        <v>-9608986.6600000001</v>
      </c>
      <c r="G21" s="13"/>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s="14"/>
    </row>
    <row r="22" spans="1:54" x14ac:dyDescent="0.35">
      <c r="A22" s="1">
        <f>IF(A21&lt;'Project Information'!B$11,A21+1,"")</f>
        <v>2047</v>
      </c>
      <c r="B22" s="22">
        <f>Inputs!$F$63</f>
        <v>9608986.6600000001</v>
      </c>
      <c r="C22" s="22">
        <v>0</v>
      </c>
      <c r="D22" s="8">
        <f t="shared" si="0"/>
        <v>-9608986.6600000001</v>
      </c>
      <c r="G22" s="13"/>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s="14"/>
    </row>
    <row r="23" spans="1:54" x14ac:dyDescent="0.35">
      <c r="A23" s="1">
        <f>IF(A22&lt;'Project Information'!B$11,A22+1,"")</f>
        <v>2048</v>
      </c>
      <c r="B23" s="22">
        <f>Inputs!$F$63</f>
        <v>9608986.6600000001</v>
      </c>
      <c r="C23" s="22">
        <v>0</v>
      </c>
      <c r="D23" s="8">
        <f t="shared" si="0"/>
        <v>-9608986.6600000001</v>
      </c>
      <c r="G23" s="1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s="14"/>
    </row>
    <row r="24" spans="1:54" x14ac:dyDescent="0.35">
      <c r="A24" s="1">
        <f>IF(A23&lt;'Project Information'!B$11,A23+1,"")</f>
        <v>2049</v>
      </c>
      <c r="B24" s="22">
        <f>Inputs!$F$63</f>
        <v>9608986.6600000001</v>
      </c>
      <c r="C24" s="22">
        <v>0</v>
      </c>
      <c r="D24" s="8">
        <f t="shared" si="0"/>
        <v>-9608986.6600000001</v>
      </c>
      <c r="G24" s="13"/>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s="14"/>
    </row>
    <row r="25" spans="1:54" x14ac:dyDescent="0.35">
      <c r="A25" s="1">
        <f>IF(A24&lt;'Project Information'!B$11,A24+1,"")</f>
        <v>2050</v>
      </c>
      <c r="B25" s="22">
        <f>Inputs!$F$63</f>
        <v>9608986.6600000001</v>
      </c>
      <c r="C25" s="22">
        <v>0</v>
      </c>
      <c r="D25" s="8">
        <f t="shared" si="0"/>
        <v>-9608986.6600000001</v>
      </c>
      <c r="G25" s="13"/>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s="14"/>
    </row>
    <row r="26" spans="1:54" x14ac:dyDescent="0.35">
      <c r="A26" s="1">
        <f>IF(A25&lt;'Project Information'!B$11,A25+1,"")</f>
        <v>2051</v>
      </c>
      <c r="B26" s="22">
        <f>Inputs!$F$63</f>
        <v>9608986.6600000001</v>
      </c>
      <c r="C26" s="22">
        <v>0</v>
      </c>
      <c r="D26" s="8">
        <f t="shared" si="0"/>
        <v>-9608986.6600000001</v>
      </c>
      <c r="G26" s="13"/>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s="14"/>
    </row>
    <row r="27" spans="1:54" x14ac:dyDescent="0.35">
      <c r="A27" s="1">
        <f>IF(A26&lt;'Project Information'!B$11,A26+1,"")</f>
        <v>2052</v>
      </c>
      <c r="B27" s="22">
        <f>Inputs!$F$63</f>
        <v>9608986.6600000001</v>
      </c>
      <c r="C27" s="22">
        <v>0</v>
      </c>
      <c r="D27" s="8">
        <f t="shared" si="0"/>
        <v>-9608986.6600000001</v>
      </c>
      <c r="G27" s="13"/>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s="14"/>
    </row>
    <row r="28" spans="1:54" x14ac:dyDescent="0.35">
      <c r="A28" s="1">
        <f>IF(A27&lt;'Project Information'!B$11,A27+1,"")</f>
        <v>2053</v>
      </c>
      <c r="B28" s="22">
        <f>Inputs!$F$63</f>
        <v>9608986.6600000001</v>
      </c>
      <c r="C28" s="22">
        <v>0</v>
      </c>
      <c r="D28" s="8">
        <f t="shared" si="0"/>
        <v>-9608986.6600000001</v>
      </c>
      <c r="G28" s="13"/>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s="14"/>
    </row>
    <row r="29" spans="1:54" x14ac:dyDescent="0.35">
      <c r="A29" s="1">
        <f>IF(A28&lt;'Project Information'!B$11,A28+1,"")</f>
        <v>2054</v>
      </c>
      <c r="B29" s="22">
        <f>Inputs!$F$63</f>
        <v>9608986.6600000001</v>
      </c>
      <c r="C29" s="22">
        <v>0</v>
      </c>
      <c r="D29" s="8">
        <f t="shared" si="0"/>
        <v>-9608986.6600000001</v>
      </c>
      <c r="G29" s="13"/>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s="14"/>
    </row>
    <row r="30" spans="1:54" x14ac:dyDescent="0.35">
      <c r="A30" s="1">
        <f>IF(A29&lt;'Project Information'!B$11,A29+1,"")</f>
        <v>2055</v>
      </c>
      <c r="B30" s="22">
        <f>Inputs!$F$63</f>
        <v>9608986.6600000001</v>
      </c>
      <c r="C30" s="22">
        <v>0</v>
      </c>
      <c r="D30" s="8">
        <f t="shared" si="0"/>
        <v>-9608986.6600000001</v>
      </c>
      <c r="G30" s="13"/>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s="14"/>
    </row>
    <row r="31" spans="1:54" x14ac:dyDescent="0.35">
      <c r="A31" s="1">
        <f>IF(A30&lt;'Project Information'!B$11,A30+1,"")</f>
        <v>2056</v>
      </c>
      <c r="B31" s="22">
        <f>Inputs!$F$63</f>
        <v>9608986.6600000001</v>
      </c>
      <c r="C31" s="22">
        <v>0</v>
      </c>
      <c r="D31" s="8">
        <f t="shared" si="0"/>
        <v>-9608986.6600000001</v>
      </c>
      <c r="G31" s="13"/>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s="14"/>
    </row>
    <row r="32" spans="1:54" x14ac:dyDescent="0.35">
      <c r="A32" s="1">
        <f>IF(A31&lt;'Project Information'!B$11,A31+1,"")</f>
        <v>2057</v>
      </c>
      <c r="B32" s="22">
        <f>Inputs!$F$63</f>
        <v>9608986.6600000001</v>
      </c>
      <c r="C32" s="22">
        <v>0</v>
      </c>
      <c r="D32" s="8">
        <f t="shared" si="0"/>
        <v>-9608986.6600000001</v>
      </c>
      <c r="G32" s="13"/>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s="14"/>
    </row>
    <row r="33" spans="1:54" x14ac:dyDescent="0.35">
      <c r="A33" s="1">
        <f>IF(A32&lt;'Project Information'!B$11,A32+1,"")</f>
        <v>2058</v>
      </c>
      <c r="B33" s="22">
        <f>Inputs!$F$63</f>
        <v>9608986.6600000001</v>
      </c>
      <c r="C33" s="22">
        <v>0</v>
      </c>
      <c r="D33" s="8">
        <f t="shared" si="0"/>
        <v>-9608986.6600000001</v>
      </c>
      <c r="G33" s="1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s="14"/>
    </row>
    <row r="34" spans="1:54" x14ac:dyDescent="0.35">
      <c r="A34" s="1">
        <f>IF(A33&lt;'Project Information'!B$11,A33+1,"")</f>
        <v>2059</v>
      </c>
      <c r="B34" s="22">
        <f>Inputs!$F$63</f>
        <v>9608986.6600000001</v>
      </c>
      <c r="C34" s="22">
        <v>0</v>
      </c>
      <c r="D34" s="8">
        <f t="shared" si="0"/>
        <v>-9608986.6600000001</v>
      </c>
      <c r="G34" s="13"/>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s="14"/>
    </row>
    <row r="35" spans="1:54" x14ac:dyDescent="0.35">
      <c r="A35" s="1">
        <f>IF(A34&lt;'Project Information'!B$11,A34+1,"")</f>
        <v>2060</v>
      </c>
      <c r="B35" s="22">
        <f>Inputs!$F$63</f>
        <v>9608986.6600000001</v>
      </c>
      <c r="C35" s="22">
        <v>0</v>
      </c>
      <c r="D35" s="8">
        <f t="shared" si="0"/>
        <v>-9608986.6600000001</v>
      </c>
      <c r="G35" s="13"/>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s="14"/>
    </row>
    <row r="36" spans="1:54" x14ac:dyDescent="0.35">
      <c r="A36" s="1">
        <f>IF(A35&lt;'Project Information'!B$11,A35+1,"")</f>
        <v>2061</v>
      </c>
      <c r="B36" s="22">
        <f>Inputs!$F$63</f>
        <v>9608986.6600000001</v>
      </c>
      <c r="C36" s="22">
        <v>0</v>
      </c>
      <c r="D36" s="8">
        <f t="shared" si="0"/>
        <v>-9608986.6600000001</v>
      </c>
      <c r="G36" s="13"/>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s="14"/>
    </row>
    <row r="37" spans="1:54" x14ac:dyDescent="0.35">
      <c r="A37" s="1">
        <f>IF(A36&lt;'Project Information'!B$11,A36+1,"")</f>
        <v>2062</v>
      </c>
      <c r="B37" s="22">
        <f>Inputs!$F$63</f>
        <v>9608986.6600000001</v>
      </c>
      <c r="C37" s="22">
        <v>0</v>
      </c>
      <c r="D37" s="8">
        <f t="shared" si="0"/>
        <v>-9608986.6600000001</v>
      </c>
      <c r="G37" s="13"/>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s="14"/>
    </row>
    <row r="38" spans="1:54" x14ac:dyDescent="0.35">
      <c r="A38" s="31"/>
      <c r="B38" s="32"/>
      <c r="C38" s="32"/>
      <c r="D38" s="33"/>
      <c r="G38" s="13"/>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s="14"/>
    </row>
    <row r="39" spans="1:54" x14ac:dyDescent="0.35">
      <c r="B39" s="28"/>
      <c r="C39" s="28"/>
      <c r="D39" s="29"/>
      <c r="G39" s="13"/>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s="14"/>
    </row>
    <row r="40" spans="1:54" x14ac:dyDescent="0.35">
      <c r="B40" s="28"/>
      <c r="C40" s="28"/>
      <c r="D40" s="29"/>
      <c r="G40" s="13"/>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s="14"/>
    </row>
    <row r="41" spans="1:54" x14ac:dyDescent="0.35">
      <c r="B41" s="28"/>
      <c r="C41" s="28"/>
      <c r="D41" s="29"/>
      <c r="G41" s="13"/>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s="14"/>
    </row>
    <row r="42" spans="1:54" x14ac:dyDescent="0.35">
      <c r="B42" s="28"/>
      <c r="C42" s="28"/>
      <c r="D42" s="29"/>
      <c r="G42" s="13"/>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s="14"/>
    </row>
    <row r="43" spans="1:54" x14ac:dyDescent="0.35">
      <c r="B43" s="28"/>
      <c r="C43" s="28"/>
      <c r="D43" s="29"/>
      <c r="G43" s="1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s="14"/>
    </row>
    <row r="44" spans="1:54" x14ac:dyDescent="0.35">
      <c r="B44" s="28"/>
      <c r="C44" s="28"/>
      <c r="D44" s="29"/>
      <c r="G44" s="13"/>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s="14"/>
    </row>
    <row r="45" spans="1:54" x14ac:dyDescent="0.35">
      <c r="B45" s="28"/>
      <c r="C45" s="28"/>
      <c r="D45" s="29"/>
      <c r="G45" s="13"/>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s="14"/>
    </row>
    <row r="46" spans="1:54" x14ac:dyDescent="0.35">
      <c r="B46" s="28"/>
      <c r="C46" s="28"/>
      <c r="D46" s="29"/>
      <c r="G46" s="13"/>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s="14"/>
    </row>
    <row r="47" spans="1:54" x14ac:dyDescent="0.35">
      <c r="B47" s="28"/>
      <c r="C47" s="28"/>
      <c r="D47" s="29"/>
      <c r="G47" s="13"/>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s="14"/>
    </row>
    <row r="48" spans="1:54" x14ac:dyDescent="0.35">
      <c r="G48" s="13"/>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s="14"/>
    </row>
    <row r="49" spans="7:54" x14ac:dyDescent="0.35">
      <c r="G49" s="13"/>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s="14"/>
    </row>
    <row r="50" spans="7:54" x14ac:dyDescent="0.35">
      <c r="G50" s="13"/>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s="14"/>
    </row>
    <row r="51" spans="7:54" x14ac:dyDescent="0.35">
      <c r="G51" s="13"/>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s="14"/>
    </row>
    <row r="52" spans="7:54" x14ac:dyDescent="0.35">
      <c r="G52" s="13"/>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s="14"/>
    </row>
    <row r="53" spans="7:54" x14ac:dyDescent="0.35">
      <c r="G53" s="1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s="14"/>
    </row>
    <row r="54" spans="7:54" x14ac:dyDescent="0.35">
      <c r="G54" s="13"/>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s="14"/>
    </row>
    <row r="55" spans="7:54" x14ac:dyDescent="0.35">
      <c r="G55" s="13"/>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s="14"/>
    </row>
    <row r="56" spans="7:54" x14ac:dyDescent="0.35">
      <c r="G56" s="13"/>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s="14"/>
    </row>
    <row r="57" spans="7:54" x14ac:dyDescent="0.35">
      <c r="G57" s="13"/>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s="14"/>
    </row>
    <row r="58" spans="7:54" x14ac:dyDescent="0.35">
      <c r="G58" s="13"/>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s="14"/>
    </row>
    <row r="59" spans="7:54" x14ac:dyDescent="0.35">
      <c r="G59" s="13"/>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s="14"/>
    </row>
    <row r="60" spans="7:54" x14ac:dyDescent="0.35">
      <c r="G60" s="13"/>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s="14"/>
    </row>
    <row r="61" spans="7:54" x14ac:dyDescent="0.35">
      <c r="G61" s="13"/>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s="14"/>
    </row>
    <row r="62" spans="7:54" x14ac:dyDescent="0.35">
      <c r="G62" s="13"/>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s="14"/>
    </row>
    <row r="63" spans="7:54" x14ac:dyDescent="0.35">
      <c r="G63" s="1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s="14"/>
    </row>
    <row r="64" spans="7:54" x14ac:dyDescent="0.35">
      <c r="G64" s="13"/>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s="14"/>
    </row>
    <row r="65" spans="7:54" x14ac:dyDescent="0.35">
      <c r="G65" s="13"/>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s="14"/>
    </row>
    <row r="66" spans="7:54" x14ac:dyDescent="0.35">
      <c r="G66" s="13"/>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s="14"/>
    </row>
    <row r="67" spans="7:54" x14ac:dyDescent="0.35">
      <c r="G67" s="13"/>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s="14"/>
    </row>
    <row r="68" spans="7:54" x14ac:dyDescent="0.35">
      <c r="G68" s="13"/>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s="14"/>
    </row>
    <row r="69" spans="7:54" x14ac:dyDescent="0.35">
      <c r="G69" s="13"/>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s="14"/>
    </row>
    <row r="70" spans="7:54" x14ac:dyDescent="0.35">
      <c r="G70" s="13"/>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s="14"/>
    </row>
    <row r="71" spans="7:54" x14ac:dyDescent="0.35">
      <c r="G71" s="13"/>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s="14"/>
    </row>
    <row r="72" spans="7:54" x14ac:dyDescent="0.35">
      <c r="G72" s="13"/>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s="14"/>
    </row>
    <row r="73" spans="7:54" x14ac:dyDescent="0.35">
      <c r="G73" s="1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s="14"/>
    </row>
    <row r="74" spans="7:54" x14ac:dyDescent="0.35">
      <c r="G74" s="13"/>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s="14"/>
    </row>
    <row r="75" spans="7:54" x14ac:dyDescent="0.35">
      <c r="G75" s="13"/>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s="14"/>
    </row>
    <row r="76" spans="7:54" x14ac:dyDescent="0.35">
      <c r="G76" s="13"/>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s="14"/>
    </row>
    <row r="77" spans="7:54" x14ac:dyDescent="0.35">
      <c r="G77" s="13"/>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s="14"/>
    </row>
    <row r="78" spans="7:54" x14ac:dyDescent="0.35">
      <c r="G78" s="13"/>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s="14"/>
    </row>
    <row r="79" spans="7:54" x14ac:dyDescent="0.35">
      <c r="G79" s="13"/>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s="14"/>
    </row>
    <row r="80" spans="7:54" x14ac:dyDescent="0.35">
      <c r="G80" s="13"/>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s="14"/>
    </row>
    <row r="81" spans="7:54" x14ac:dyDescent="0.35">
      <c r="G81" s="13"/>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s="14"/>
    </row>
    <row r="82" spans="7:54" x14ac:dyDescent="0.35">
      <c r="G82" s="13"/>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s="14"/>
    </row>
    <row r="83" spans="7:54" x14ac:dyDescent="0.35">
      <c r="G83" s="1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s="14"/>
    </row>
    <row r="84" spans="7:54" x14ac:dyDescent="0.35">
      <c r="G84" s="13"/>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s="14"/>
    </row>
    <row r="85" spans="7:54" x14ac:dyDescent="0.35">
      <c r="G85" s="13"/>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s="14"/>
    </row>
    <row r="86" spans="7:54" x14ac:dyDescent="0.35">
      <c r="G86" s="13"/>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s="14"/>
    </row>
    <row r="87" spans="7:54" x14ac:dyDescent="0.35">
      <c r="G87" s="13"/>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s="14"/>
    </row>
    <row r="88" spans="7:54" x14ac:dyDescent="0.35">
      <c r="G88" s="13"/>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s="14"/>
    </row>
    <row r="89" spans="7:54" x14ac:dyDescent="0.35">
      <c r="G89" s="13"/>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s="14"/>
    </row>
    <row r="90" spans="7:54" x14ac:dyDescent="0.35">
      <c r="G90" s="13"/>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s="14"/>
    </row>
    <row r="91" spans="7:54" x14ac:dyDescent="0.35">
      <c r="G91" s="13"/>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s="14"/>
    </row>
    <row r="92" spans="7:54" x14ac:dyDescent="0.35">
      <c r="G92" s="13"/>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s="14"/>
    </row>
    <row r="93" spans="7:54" x14ac:dyDescent="0.35">
      <c r="G93" s="1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s="14"/>
    </row>
    <row r="94" spans="7:54" x14ac:dyDescent="0.35">
      <c r="G94" s="13"/>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s="14"/>
    </row>
    <row r="95" spans="7:54" x14ac:dyDescent="0.35">
      <c r="G95" s="13"/>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s="14"/>
    </row>
    <row r="96" spans="7:54" x14ac:dyDescent="0.35">
      <c r="G96" s="13"/>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s="14"/>
    </row>
    <row r="97" spans="7:54" ht="15" thickBot="1" x14ac:dyDescent="0.4">
      <c r="G97" s="15"/>
      <c r="H97" s="16"/>
      <c r="I97" s="16"/>
      <c r="J97" s="16"/>
      <c r="K97" s="16"/>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c r="AS97" s="16"/>
      <c r="AT97" s="16"/>
      <c r="AU97" s="16"/>
      <c r="AV97" s="16"/>
      <c r="AW97" s="16"/>
      <c r="AX97" s="16"/>
      <c r="AY97" s="16"/>
      <c r="AZ97" s="16"/>
      <c r="BA97" s="16"/>
      <c r="BB97" s="17"/>
    </row>
  </sheetData>
  <conditionalFormatting sqref="B8:B37">
    <cfRule type="expression" dxfId="17" priority="2">
      <formula>A8=""</formula>
    </cfRule>
  </conditionalFormatting>
  <conditionalFormatting sqref="C8:C37">
    <cfRule type="expression" dxfId="16" priority="1">
      <formula>A8=""</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3ED40-5564-4F69-B498-62F7E290D6B9}">
  <sheetPr>
    <tabColor theme="9" tint="0.39997558519241921"/>
  </sheetPr>
  <dimension ref="A1:BB111"/>
  <sheetViews>
    <sheetView showGridLines="0" workbookViewId="0"/>
    <sheetView workbookViewId="1"/>
  </sheetViews>
  <sheetFormatPr defaultColWidth="9.1796875" defaultRowHeight="14.5" x14ac:dyDescent="0.35"/>
  <cols>
    <col min="1" max="1" width="38.453125" style="5" customWidth="1"/>
    <col min="2" max="2" width="25.26953125" style="5" customWidth="1"/>
    <col min="3" max="3" width="32.54296875" style="5" customWidth="1"/>
    <col min="4" max="4" width="22.7265625" style="5" customWidth="1"/>
    <col min="5" max="7" width="9.1796875" style="5"/>
    <col min="8" max="8" width="22.7265625" style="5" customWidth="1"/>
    <col min="9" max="13" width="9.1796875" style="5"/>
    <col min="14" max="14" width="9.90625" style="5" bestFit="1" customWidth="1"/>
    <col min="15" max="15" width="14.90625" style="5" customWidth="1"/>
    <col min="16" max="16" width="9.1796875" style="5"/>
    <col min="17" max="17" width="22.26953125" style="5" bestFit="1" customWidth="1"/>
    <col min="18" max="22" width="9.1796875" style="5"/>
    <col min="23" max="24" width="9.90625" style="5" bestFit="1" customWidth="1"/>
    <col min="25" max="16384" width="9.1796875" style="5"/>
  </cols>
  <sheetData>
    <row r="1" spans="1:9" ht="20" thickBot="1" x14ac:dyDescent="0.5">
      <c r="A1" s="94" t="s">
        <v>8</v>
      </c>
    </row>
    <row r="2" spans="1:9" ht="15" thickTop="1" x14ac:dyDescent="0.35">
      <c r="A2" s="144" t="s">
        <v>237</v>
      </c>
      <c r="B2" s="144"/>
      <c r="C2" s="144"/>
      <c r="D2" s="144"/>
      <c r="E2" s="144"/>
      <c r="F2" s="144"/>
    </row>
    <row r="3" spans="1:9" x14ac:dyDescent="0.35">
      <c r="A3" s="5" t="s">
        <v>203</v>
      </c>
    </row>
    <row r="4" spans="1:9" x14ac:dyDescent="0.35">
      <c r="A4" s="145" t="s">
        <v>344</v>
      </c>
      <c r="B4" s="144"/>
      <c r="C4" s="144"/>
      <c r="D4" s="144"/>
      <c r="E4" s="144"/>
      <c r="F4" s="144"/>
      <c r="G4" s="144"/>
      <c r="H4" s="144"/>
      <c r="I4" s="144"/>
    </row>
    <row r="5" spans="1:9" x14ac:dyDescent="0.35">
      <c r="A5" s="38" t="s">
        <v>203</v>
      </c>
    </row>
    <row r="6" spans="1:9" x14ac:dyDescent="0.35">
      <c r="A6" s="95" t="s">
        <v>238</v>
      </c>
    </row>
    <row r="7" spans="1:9" x14ac:dyDescent="0.35">
      <c r="A7" s="114" t="s">
        <v>20</v>
      </c>
      <c r="B7" s="114" t="str">
        <f>'Parameter Values'!B6</f>
        <v>Monetized Value (2024 $)</v>
      </c>
    </row>
    <row r="8" spans="1:9" x14ac:dyDescent="0.35">
      <c r="A8" s="35" t="s">
        <v>21</v>
      </c>
      <c r="B8" s="40">
        <f>'Parameter Values'!B7</f>
        <v>5500</v>
      </c>
    </row>
    <row r="9" spans="1:9" x14ac:dyDescent="0.35">
      <c r="A9" s="35" t="s">
        <v>22</v>
      </c>
      <c r="B9" s="40">
        <f>'Parameter Values'!B8</f>
        <v>122400</v>
      </c>
    </row>
    <row r="10" spans="1:9" x14ac:dyDescent="0.35">
      <c r="A10" s="35" t="s">
        <v>23</v>
      </c>
      <c r="B10" s="40">
        <f>'Parameter Values'!B9</f>
        <v>256300</v>
      </c>
    </row>
    <row r="11" spans="1:9" x14ac:dyDescent="0.35">
      <c r="A11" s="35" t="s">
        <v>24</v>
      </c>
      <c r="B11" s="40">
        <f>'Parameter Values'!B10</f>
        <v>1302300</v>
      </c>
    </row>
    <row r="12" spans="1:9" x14ac:dyDescent="0.35">
      <c r="A12" s="35" t="s">
        <v>25</v>
      </c>
      <c r="B12" s="40">
        <f>'Parameter Values'!B11</f>
        <v>13700000</v>
      </c>
    </row>
    <row r="13" spans="1:9" x14ac:dyDescent="0.35">
      <c r="A13" s="35" t="s">
        <v>26</v>
      </c>
      <c r="B13" s="40">
        <f>'Parameter Values'!B12</f>
        <v>238500</v>
      </c>
    </row>
    <row r="14" spans="1:9" x14ac:dyDescent="0.35">
      <c r="A14" s="123" t="s">
        <v>203</v>
      </c>
      <c r="B14" s="124"/>
    </row>
    <row r="15" spans="1:9" x14ac:dyDescent="0.35">
      <c r="A15" s="35" t="s">
        <v>27</v>
      </c>
    </row>
    <row r="16" spans="1:9" x14ac:dyDescent="0.35">
      <c r="A16" s="35" t="s">
        <v>259</v>
      </c>
      <c r="B16" s="40">
        <f>'Parameter Values'!B15</f>
        <v>9700</v>
      </c>
    </row>
    <row r="17" spans="1:54" x14ac:dyDescent="0.35">
      <c r="A17" s="35" t="s">
        <v>28</v>
      </c>
      <c r="B17" s="40">
        <f>'Parameter Values'!B16</f>
        <v>342400</v>
      </c>
    </row>
    <row r="18" spans="1:54" x14ac:dyDescent="0.35">
      <c r="A18" s="35" t="s">
        <v>29</v>
      </c>
      <c r="B18" s="40">
        <f>'Parameter Values'!B17</f>
        <v>15366900</v>
      </c>
    </row>
    <row r="19" spans="1:54" x14ac:dyDescent="0.35">
      <c r="A19" s="5" t="s">
        <v>203</v>
      </c>
    </row>
    <row r="20" spans="1:54" ht="15" thickBot="1" x14ac:dyDescent="0.4">
      <c r="A20" s="95" t="s">
        <v>239</v>
      </c>
    </row>
    <row r="21" spans="1:54" x14ac:dyDescent="0.35">
      <c r="A21" s="105" t="s">
        <v>4</v>
      </c>
      <c r="B21" s="106" t="s">
        <v>171</v>
      </c>
      <c r="C21" s="106" t="s">
        <v>172</v>
      </c>
      <c r="D21" s="112" t="s">
        <v>166</v>
      </c>
      <c r="G21" s="10" t="s">
        <v>159</v>
      </c>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2"/>
    </row>
    <row r="22" spans="1:54" x14ac:dyDescent="0.35">
      <c r="A22" s="6">
        <f>'Project Information'!$B$9</f>
        <v>2033</v>
      </c>
      <c r="B22" s="22">
        <f>$O$30-$X$30</f>
        <v>6245483</v>
      </c>
      <c r="C22" s="22">
        <v>0</v>
      </c>
      <c r="D22" s="26">
        <f>B22-C22</f>
        <v>6245483</v>
      </c>
      <c r="G22" s="13"/>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s="14"/>
    </row>
    <row r="23" spans="1:54" x14ac:dyDescent="0.35">
      <c r="A23" s="1">
        <f>IF(A22&lt;'Project Information'!B$11,A22+1,"")</f>
        <v>2034</v>
      </c>
      <c r="B23" s="22">
        <f>B22*(1+Inputs!$B$57)</f>
        <v>6307937.8300000001</v>
      </c>
      <c r="C23" s="22">
        <v>0</v>
      </c>
      <c r="D23" s="8">
        <f t="shared" ref="D23:D51" si="0">B23-C23</f>
        <v>6307937.8300000001</v>
      </c>
      <c r="G23" s="13"/>
      <c r="H23" s="294" t="s">
        <v>524</v>
      </c>
      <c r="I23" s="295"/>
      <c r="J23" s="295"/>
      <c r="K23" s="295"/>
      <c r="L23" s="295"/>
      <c r="M23" s="295"/>
      <c r="N23" s="295"/>
      <c r="O23" s="296"/>
      <c r="P23"/>
      <c r="Q23" s="294" t="s">
        <v>525</v>
      </c>
      <c r="R23" s="295"/>
      <c r="S23" s="295"/>
      <c r="T23" s="295"/>
      <c r="U23" s="295"/>
      <c r="V23" s="295"/>
      <c r="W23" s="295"/>
      <c r="X23" s="296"/>
      <c r="Y23"/>
      <c r="Z23"/>
      <c r="AA23"/>
      <c r="AB23"/>
      <c r="AC23"/>
      <c r="AD23"/>
      <c r="AE23"/>
      <c r="AF23"/>
      <c r="AG23"/>
      <c r="AH23"/>
      <c r="AI23"/>
      <c r="AJ23"/>
      <c r="AK23"/>
      <c r="AL23"/>
      <c r="AM23"/>
      <c r="AN23"/>
      <c r="AO23"/>
      <c r="AP23"/>
      <c r="AQ23"/>
      <c r="AR23"/>
      <c r="AS23"/>
      <c r="AT23"/>
      <c r="AU23"/>
      <c r="AV23"/>
      <c r="AW23"/>
      <c r="AX23"/>
      <c r="AY23"/>
      <c r="AZ23"/>
      <c r="BA23"/>
      <c r="BB23" s="14"/>
    </row>
    <row r="24" spans="1:54" ht="46" x14ac:dyDescent="0.35">
      <c r="A24" s="1">
        <f>IF(A23&lt;'Project Information'!B$11,A23+1,"")</f>
        <v>2035</v>
      </c>
      <c r="B24" s="22">
        <f>B23*(1+Inputs!$B$57)</f>
        <v>6371017.2083000001</v>
      </c>
      <c r="C24" s="22">
        <v>0</v>
      </c>
      <c r="D24" s="8">
        <f t="shared" si="0"/>
        <v>6371017.2083000001</v>
      </c>
      <c r="G24" s="13"/>
      <c r="H24" s="297" t="s">
        <v>466</v>
      </c>
      <c r="I24" s="232" t="s">
        <v>467</v>
      </c>
      <c r="J24" s="232" t="s">
        <v>468</v>
      </c>
      <c r="K24" s="232" t="s">
        <v>469</v>
      </c>
      <c r="L24" s="232" t="s">
        <v>470</v>
      </c>
      <c r="M24" s="232" t="s">
        <v>523</v>
      </c>
      <c r="N24" s="232" t="s">
        <v>472</v>
      </c>
      <c r="O24" s="298" t="s">
        <v>473</v>
      </c>
      <c r="P24"/>
      <c r="Q24" s="297" t="s">
        <v>466</v>
      </c>
      <c r="R24" s="232" t="s">
        <v>467</v>
      </c>
      <c r="S24" s="232" t="s">
        <v>468</v>
      </c>
      <c r="T24" s="232" t="s">
        <v>469</v>
      </c>
      <c r="U24" s="232" t="s">
        <v>470</v>
      </c>
      <c r="V24" s="232" t="s">
        <v>523</v>
      </c>
      <c r="W24" s="232" t="s">
        <v>472</v>
      </c>
      <c r="X24" s="298" t="s">
        <v>473</v>
      </c>
      <c r="Y24"/>
      <c r="Z24"/>
      <c r="AA24"/>
      <c r="AB24"/>
      <c r="AC24"/>
      <c r="AD24"/>
      <c r="AE24"/>
      <c r="AF24"/>
      <c r="AG24"/>
      <c r="AH24"/>
      <c r="AI24"/>
      <c r="AJ24"/>
      <c r="AK24"/>
      <c r="AL24"/>
      <c r="AM24"/>
      <c r="AN24"/>
      <c r="AO24"/>
      <c r="AP24"/>
      <c r="AQ24"/>
      <c r="AR24"/>
      <c r="AS24"/>
      <c r="AT24"/>
      <c r="AU24"/>
      <c r="AV24"/>
      <c r="AW24"/>
      <c r="AX24"/>
      <c r="AY24"/>
      <c r="AZ24"/>
      <c r="BA24"/>
      <c r="BB24" s="14"/>
    </row>
    <row r="25" spans="1:54" x14ac:dyDescent="0.35">
      <c r="A25" s="1">
        <f>IF(A24&lt;'Project Information'!B$11,A24+1,"")</f>
        <v>2036</v>
      </c>
      <c r="B25" s="22">
        <f>B24*(1+Inputs!$B$57)</f>
        <v>6434727.3803829998</v>
      </c>
      <c r="C25" s="22">
        <v>0</v>
      </c>
      <c r="D25" s="8">
        <f t="shared" si="0"/>
        <v>6434727.3803829998</v>
      </c>
      <c r="G25" s="13"/>
      <c r="H25" s="299" t="s">
        <v>412</v>
      </c>
      <c r="I25" s="290">
        <f>'Safety Data'!B5</f>
        <v>0.375</v>
      </c>
      <c r="J25" s="290">
        <f>'Safety Data'!C5</f>
        <v>0.375</v>
      </c>
      <c r="K25" s="290">
        <f>'Safety Data'!D5</f>
        <v>0</v>
      </c>
      <c r="L25" s="290">
        <f>'Safety Data'!E5</f>
        <v>0.25</v>
      </c>
      <c r="M25" s="267">
        <f>SUM(I25:L25)</f>
        <v>1</v>
      </c>
      <c r="N25" s="289">
        <f>Safety!$B$12</f>
        <v>13700000</v>
      </c>
      <c r="O25" s="300">
        <f>M25*N25</f>
        <v>13700000</v>
      </c>
      <c r="P25"/>
      <c r="Q25" s="299" t="s">
        <v>412</v>
      </c>
      <c r="R25" s="307">
        <f>I25*Inputs!$B$49</f>
        <v>0.27937499999999998</v>
      </c>
      <c r="S25" s="307">
        <f>J25*Inputs!$B$49</f>
        <v>0.27937499999999998</v>
      </c>
      <c r="T25" s="307">
        <f>K25*Inputs!$B$52</f>
        <v>0</v>
      </c>
      <c r="U25" s="307">
        <f>L25*Inputs!$B$52</f>
        <v>0.21</v>
      </c>
      <c r="V25" s="267">
        <f>SUM(R25:U25)</f>
        <v>0.76874999999999993</v>
      </c>
      <c r="W25" s="289">
        <f>Safety!$B$12</f>
        <v>13700000</v>
      </c>
      <c r="X25" s="300">
        <f>V25*W25</f>
        <v>10531875</v>
      </c>
      <c r="Y25"/>
      <c r="Z25"/>
      <c r="AA25"/>
      <c r="AB25"/>
      <c r="AC25"/>
      <c r="AD25"/>
      <c r="AE25"/>
      <c r="AF25"/>
      <c r="AG25"/>
      <c r="AH25"/>
      <c r="AI25"/>
      <c r="AJ25"/>
      <c r="AK25"/>
      <c r="AL25"/>
      <c r="AM25"/>
      <c r="AN25"/>
      <c r="AO25"/>
      <c r="AP25"/>
      <c r="AQ25"/>
      <c r="AR25"/>
      <c r="AS25"/>
      <c r="AT25"/>
      <c r="AU25"/>
      <c r="AV25"/>
      <c r="AW25"/>
      <c r="AX25"/>
      <c r="AY25"/>
      <c r="AZ25"/>
      <c r="BA25"/>
      <c r="BB25" s="14"/>
    </row>
    <row r="26" spans="1:54" x14ac:dyDescent="0.35">
      <c r="A26" s="1">
        <f>IF(A25&lt;'Project Information'!B$11,A25+1,"")</f>
        <v>2037</v>
      </c>
      <c r="B26" s="22">
        <f>B25*(1+Inputs!$B$57)</f>
        <v>6499074.6541868299</v>
      </c>
      <c r="C26" s="22">
        <v>0</v>
      </c>
      <c r="D26" s="8">
        <f t="shared" si="0"/>
        <v>6499074.6541868299</v>
      </c>
      <c r="G26" s="13"/>
      <c r="H26" s="299" t="s">
        <v>413</v>
      </c>
      <c r="I26" s="290">
        <f>'Safety Data'!B6</f>
        <v>1.125</v>
      </c>
      <c r="J26" s="290">
        <f>'Safety Data'!C6</f>
        <v>1.5</v>
      </c>
      <c r="K26" s="290">
        <f>'Safety Data'!D6</f>
        <v>0.125</v>
      </c>
      <c r="L26" s="290">
        <f>'Safety Data'!E6</f>
        <v>0.25</v>
      </c>
      <c r="M26" s="267">
        <f>SUM(I26:L26)</f>
        <v>3</v>
      </c>
      <c r="N26" s="289">
        <f>Safety!$B$11</f>
        <v>1302300</v>
      </c>
      <c r="O26" s="300">
        <f>M26*N26</f>
        <v>3906900</v>
      </c>
      <c r="P26"/>
      <c r="Q26" s="299" t="s">
        <v>413</v>
      </c>
      <c r="R26" s="307">
        <f>I26*Inputs!$B$49</f>
        <v>0.83812500000000001</v>
      </c>
      <c r="S26" s="307">
        <f>J26*Inputs!$B$49</f>
        <v>1.1174999999999999</v>
      </c>
      <c r="T26" s="307">
        <f>K26*Inputs!$B$52</f>
        <v>0.105</v>
      </c>
      <c r="U26" s="307">
        <f>L26*Inputs!$B$52</f>
        <v>0.21</v>
      </c>
      <c r="V26" s="267">
        <f>SUM(R26:U26)</f>
        <v>2.2706249999999999</v>
      </c>
      <c r="W26" s="289">
        <f>Safety!$B$11</f>
        <v>1302300</v>
      </c>
      <c r="X26" s="300">
        <f>V26*W26</f>
        <v>2957034.9375</v>
      </c>
      <c r="Y26"/>
      <c r="Z26"/>
      <c r="AA26"/>
      <c r="AB26"/>
      <c r="AC26"/>
      <c r="AD26"/>
      <c r="AE26"/>
      <c r="AF26"/>
      <c r="AG26"/>
      <c r="AH26"/>
      <c r="AI26"/>
      <c r="AJ26"/>
      <c r="AK26"/>
      <c r="AL26"/>
      <c r="AM26"/>
      <c r="AN26"/>
      <c r="AO26"/>
      <c r="AP26"/>
      <c r="AQ26"/>
      <c r="AR26"/>
      <c r="AS26"/>
      <c r="AT26"/>
      <c r="AU26"/>
      <c r="AV26"/>
      <c r="AW26"/>
      <c r="AX26"/>
      <c r="AY26"/>
      <c r="AZ26"/>
      <c r="BA26"/>
      <c r="BB26" s="14"/>
    </row>
    <row r="27" spans="1:54" x14ac:dyDescent="0.35">
      <c r="A27" s="1">
        <f>IF(A26&lt;'Project Information'!B$11,A26+1,"")</f>
        <v>2038</v>
      </c>
      <c r="B27" s="22">
        <f>B26*(1+Inputs!$B$57)</f>
        <v>6564065.4007286979</v>
      </c>
      <c r="C27" s="22">
        <v>0</v>
      </c>
      <c r="D27" s="8">
        <f t="shared" si="0"/>
        <v>6564065.4007286979</v>
      </c>
      <c r="G27" s="13"/>
      <c r="H27" s="299" t="s">
        <v>414</v>
      </c>
      <c r="I27" s="290">
        <f>'Safety Data'!B7</f>
        <v>13.375</v>
      </c>
      <c r="J27" s="290">
        <f>'Safety Data'!C7</f>
        <v>11</v>
      </c>
      <c r="K27" s="290">
        <f>'Safety Data'!D7</f>
        <v>1.5</v>
      </c>
      <c r="L27" s="290">
        <f>'Safety Data'!E7</f>
        <v>1.375</v>
      </c>
      <c r="M27" s="267">
        <f>SUM(I27:L27)</f>
        <v>27.25</v>
      </c>
      <c r="N27" s="289">
        <f>Safety!$B$10</f>
        <v>256300</v>
      </c>
      <c r="O27" s="300">
        <f>M27*N27</f>
        <v>6984175</v>
      </c>
      <c r="P27"/>
      <c r="Q27" s="299" t="s">
        <v>414</v>
      </c>
      <c r="R27" s="307">
        <f>I27*Inputs!$B$49</f>
        <v>9.9643750000000004</v>
      </c>
      <c r="S27" s="307">
        <f>J27*Inputs!$B$49</f>
        <v>8.1950000000000003</v>
      </c>
      <c r="T27" s="307">
        <f t="shared" ref="T27:U29" si="1">K27</f>
        <v>1.5</v>
      </c>
      <c r="U27" s="307">
        <f t="shared" si="1"/>
        <v>1.375</v>
      </c>
      <c r="V27" s="267">
        <f>SUM(R27:U27)</f>
        <v>21.034375000000001</v>
      </c>
      <c r="W27" s="289">
        <f>Safety!$B$10</f>
        <v>256300</v>
      </c>
      <c r="X27" s="300">
        <f>V27*W27</f>
        <v>5391110.3125</v>
      </c>
      <c r="Y27"/>
      <c r="Z27"/>
      <c r="AA27"/>
      <c r="AB27"/>
      <c r="AC27"/>
      <c r="AD27"/>
      <c r="AE27"/>
      <c r="AF27"/>
      <c r="AG27"/>
      <c r="AH27"/>
      <c r="AI27"/>
      <c r="AJ27"/>
      <c r="AK27"/>
      <c r="AL27"/>
      <c r="AM27"/>
      <c r="AN27"/>
      <c r="AO27"/>
      <c r="AP27"/>
      <c r="AQ27"/>
      <c r="AR27"/>
      <c r="AS27"/>
      <c r="AT27"/>
      <c r="AU27"/>
      <c r="AV27"/>
      <c r="AW27"/>
      <c r="AX27"/>
      <c r="AY27"/>
      <c r="AZ27"/>
      <c r="BA27"/>
      <c r="BB27" s="14"/>
    </row>
    <row r="28" spans="1:54" x14ac:dyDescent="0.35">
      <c r="A28" s="1">
        <f>IF(A27&lt;'Project Information'!B$11,A27+1,"")</f>
        <v>2039</v>
      </c>
      <c r="B28" s="22">
        <f>B27*(1+Inputs!$B$57)</f>
        <v>6629706.0547359847</v>
      </c>
      <c r="C28" s="22">
        <v>0</v>
      </c>
      <c r="D28" s="8">
        <f t="shared" si="0"/>
        <v>6629706.0547359847</v>
      </c>
      <c r="G28" s="13"/>
      <c r="H28" s="299" t="s">
        <v>415</v>
      </c>
      <c r="I28" s="290">
        <f>'Safety Data'!B8</f>
        <v>12.875</v>
      </c>
      <c r="J28" s="290">
        <f>'Safety Data'!C8</f>
        <v>11.625</v>
      </c>
      <c r="K28" s="290">
        <f>'Safety Data'!D8</f>
        <v>1.5</v>
      </c>
      <c r="L28" s="290">
        <f>'Safety Data'!E8</f>
        <v>2</v>
      </c>
      <c r="M28" s="267">
        <f>SUM(I28:L28)</f>
        <v>28</v>
      </c>
      <c r="N28" s="289">
        <f>Safety!$B$9</f>
        <v>122400</v>
      </c>
      <c r="O28" s="300">
        <f>M28*N28</f>
        <v>3427200</v>
      </c>
      <c r="P28"/>
      <c r="Q28" s="299" t="s">
        <v>415</v>
      </c>
      <c r="R28" s="307">
        <f>I28*Inputs!$B$49</f>
        <v>9.5918749999999999</v>
      </c>
      <c r="S28" s="307">
        <f>J28*Inputs!$B$49</f>
        <v>8.6606249999999996</v>
      </c>
      <c r="T28" s="307">
        <f t="shared" si="1"/>
        <v>1.5</v>
      </c>
      <c r="U28" s="307">
        <f t="shared" si="1"/>
        <v>2</v>
      </c>
      <c r="V28" s="267">
        <f>SUM(R28:U28)</f>
        <v>21.752499999999998</v>
      </c>
      <c r="W28" s="289">
        <f>Safety!$B$9</f>
        <v>122400</v>
      </c>
      <c r="X28" s="300">
        <f>V28*W28</f>
        <v>2662505.9999999995</v>
      </c>
      <c r="Y28"/>
      <c r="Z28"/>
      <c r="AA28"/>
      <c r="AB28"/>
      <c r="AC28"/>
      <c r="AD28"/>
      <c r="AE28"/>
      <c r="AF28"/>
      <c r="AG28"/>
      <c r="AH28"/>
      <c r="AI28"/>
      <c r="AJ28"/>
      <c r="AK28"/>
      <c r="AL28"/>
      <c r="AM28"/>
      <c r="AN28"/>
      <c r="AO28"/>
      <c r="AP28"/>
      <c r="AQ28"/>
      <c r="AR28"/>
      <c r="AS28"/>
      <c r="AT28"/>
      <c r="AU28"/>
      <c r="AV28"/>
      <c r="AW28"/>
      <c r="AX28"/>
      <c r="AY28"/>
      <c r="AZ28"/>
      <c r="BA28"/>
      <c r="BB28" s="14"/>
    </row>
    <row r="29" spans="1:54" x14ac:dyDescent="0.35">
      <c r="A29" s="1">
        <f>IF(A28&lt;'Project Information'!B$11,A28+1,"")</f>
        <v>2040</v>
      </c>
      <c r="B29" s="22">
        <f>B28*(1+Inputs!$B$57)</f>
        <v>6696003.1152833449</v>
      </c>
      <c r="C29" s="22">
        <v>0</v>
      </c>
      <c r="D29" s="8">
        <f t="shared" si="0"/>
        <v>6696003.1152833449</v>
      </c>
      <c r="G29" s="13"/>
      <c r="H29" s="301" t="s">
        <v>416</v>
      </c>
      <c r="I29" s="291">
        <f>'Safety Data'!B9</f>
        <v>89.625</v>
      </c>
      <c r="J29" s="291">
        <f>'Safety Data'!C9</f>
        <v>79.875</v>
      </c>
      <c r="K29" s="291">
        <f>'Safety Data'!D9</f>
        <v>10.875</v>
      </c>
      <c r="L29" s="291">
        <f>'Safety Data'!E9</f>
        <v>8.5</v>
      </c>
      <c r="M29" s="292">
        <f>SUM(I29:L29)</f>
        <v>188.875</v>
      </c>
      <c r="N29" s="293">
        <f>Safety!$B$8</f>
        <v>5500</v>
      </c>
      <c r="O29" s="302">
        <f>M29*N29</f>
        <v>1038812.5</v>
      </c>
      <c r="P29"/>
      <c r="Q29" s="301" t="s">
        <v>416</v>
      </c>
      <c r="R29" s="307">
        <f>I29*Inputs!$B$51</f>
        <v>111.76237500000001</v>
      </c>
      <c r="S29" s="307">
        <f>J29*Inputs!$B$51</f>
        <v>99.60412500000001</v>
      </c>
      <c r="T29" s="307">
        <f t="shared" si="1"/>
        <v>10.875</v>
      </c>
      <c r="U29" s="307">
        <f t="shared" si="1"/>
        <v>8.5</v>
      </c>
      <c r="V29" s="292">
        <f>SUM(R29:U29)</f>
        <v>230.74150000000003</v>
      </c>
      <c r="W29" s="293">
        <f>Safety!$B$8</f>
        <v>5500</v>
      </c>
      <c r="X29" s="302">
        <f>V29*W29</f>
        <v>1269078.2500000002</v>
      </c>
      <c r="Y29"/>
      <c r="Z29"/>
      <c r="AA29"/>
      <c r="AB29"/>
      <c r="AC29"/>
      <c r="AD29"/>
      <c r="AE29"/>
      <c r="AF29"/>
      <c r="AG29"/>
      <c r="AH29"/>
      <c r="AI29"/>
      <c r="AJ29"/>
      <c r="AK29"/>
      <c r="AL29"/>
      <c r="AM29"/>
      <c r="AN29"/>
      <c r="AO29"/>
      <c r="AP29"/>
      <c r="AQ29"/>
      <c r="AR29"/>
      <c r="AS29"/>
      <c r="AT29"/>
      <c r="AU29"/>
      <c r="AV29"/>
      <c r="AW29"/>
      <c r="AX29"/>
      <c r="AY29"/>
      <c r="AZ29"/>
      <c r="BA29"/>
      <c r="BB29" s="14"/>
    </row>
    <row r="30" spans="1:54" x14ac:dyDescent="0.35">
      <c r="A30" s="1">
        <f>IF(A29&lt;'Project Information'!B$11,A29+1,"")</f>
        <v>2041</v>
      </c>
      <c r="B30" s="22">
        <f>B29*(1+Inputs!$B$57)</f>
        <v>6762963.1464361781</v>
      </c>
      <c r="C30" s="22">
        <v>0</v>
      </c>
      <c r="D30" s="8">
        <f t="shared" si="0"/>
        <v>6762963.1464361781</v>
      </c>
      <c r="G30" s="13"/>
      <c r="H30" s="303" t="s">
        <v>417</v>
      </c>
      <c r="I30" s="304">
        <f t="shared" ref="I30:O30" si="2">SUM(I25:I29)</f>
        <v>117.375</v>
      </c>
      <c r="J30" s="304">
        <f t="shared" si="2"/>
        <v>104.375</v>
      </c>
      <c r="K30" s="304">
        <f t="shared" si="2"/>
        <v>14</v>
      </c>
      <c r="L30" s="304">
        <f t="shared" si="2"/>
        <v>12.375</v>
      </c>
      <c r="M30" s="304">
        <f t="shared" si="2"/>
        <v>248.125</v>
      </c>
      <c r="N30" s="305">
        <f t="shared" si="2"/>
        <v>15386500</v>
      </c>
      <c r="O30" s="306">
        <f t="shared" si="2"/>
        <v>29057087.5</v>
      </c>
      <c r="P30"/>
      <c r="Q30" s="303" t="s">
        <v>417</v>
      </c>
      <c r="R30" s="304">
        <f t="shared" ref="R30" si="3">SUM(R25:R29)</f>
        <v>132.436125</v>
      </c>
      <c r="S30" s="304">
        <f t="shared" ref="S30" si="4">SUM(S25:S29)</f>
        <v>117.85662500000001</v>
      </c>
      <c r="T30" s="304">
        <f t="shared" ref="T30" si="5">SUM(T25:T29)</f>
        <v>13.98</v>
      </c>
      <c r="U30" s="304">
        <f t="shared" ref="U30" si="6">SUM(U25:U29)</f>
        <v>12.295</v>
      </c>
      <c r="V30" s="304">
        <f t="shared" ref="V30" si="7">SUM(V25:V29)</f>
        <v>276.56775000000005</v>
      </c>
      <c r="W30" s="305">
        <f t="shared" ref="W30" si="8">SUM(W25:W29)</f>
        <v>15386500</v>
      </c>
      <c r="X30" s="306">
        <f t="shared" ref="X30" si="9">SUM(X25:X29)</f>
        <v>22811604.5</v>
      </c>
      <c r="Y30"/>
      <c r="Z30"/>
      <c r="AA30"/>
      <c r="AB30"/>
      <c r="AC30"/>
      <c r="AD30"/>
      <c r="AE30"/>
      <c r="AF30"/>
      <c r="AG30"/>
      <c r="AH30"/>
      <c r="AI30"/>
      <c r="AJ30"/>
      <c r="AK30"/>
      <c r="AL30"/>
      <c r="AM30"/>
      <c r="AN30"/>
      <c r="AO30"/>
      <c r="AP30"/>
      <c r="AQ30"/>
      <c r="AR30"/>
      <c r="AS30"/>
      <c r="AT30"/>
      <c r="AU30"/>
      <c r="AV30"/>
      <c r="AW30"/>
      <c r="AX30"/>
      <c r="AY30"/>
      <c r="AZ30"/>
      <c r="BA30"/>
      <c r="BB30" s="14"/>
    </row>
    <row r="31" spans="1:54" x14ac:dyDescent="0.35">
      <c r="A31" s="1">
        <f>IF(A30&lt;'Project Information'!B$11,A30+1,"")</f>
        <v>2042</v>
      </c>
      <c r="B31" s="22">
        <f>B30*(1+Inputs!$B$57)</f>
        <v>6830592.7779005403</v>
      </c>
      <c r="C31" s="22">
        <v>0</v>
      </c>
      <c r="D31" s="8">
        <f t="shared" si="0"/>
        <v>6830592.7779005403</v>
      </c>
      <c r="G31" s="13"/>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s="14"/>
    </row>
    <row r="32" spans="1:54" x14ac:dyDescent="0.35">
      <c r="A32" s="1">
        <f>IF(A31&lt;'Project Information'!B$11,A31+1,"")</f>
        <v>2043</v>
      </c>
      <c r="B32" s="22">
        <f>B31*(1+Inputs!$B$57)</f>
        <v>6898898.7056795461</v>
      </c>
      <c r="C32" s="22">
        <v>0</v>
      </c>
      <c r="D32" s="8">
        <f t="shared" si="0"/>
        <v>6898898.7056795461</v>
      </c>
      <c r="G32" s="13"/>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s="14"/>
    </row>
    <row r="33" spans="1:54" x14ac:dyDescent="0.35">
      <c r="A33" s="1">
        <f>IF(A32&lt;'Project Information'!B$11,A32+1,"")</f>
        <v>2044</v>
      </c>
      <c r="B33" s="22">
        <f>B32*(1+Inputs!$B$57)</f>
        <v>6967887.6927363416</v>
      </c>
      <c r="C33" s="22">
        <v>0</v>
      </c>
      <c r="D33" s="8">
        <f t="shared" si="0"/>
        <v>6967887.6927363416</v>
      </c>
      <c r="G33" s="1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s="14"/>
    </row>
    <row r="34" spans="1:54" x14ac:dyDescent="0.35">
      <c r="A34" s="1">
        <f>IF(A33&lt;'Project Information'!B$11,A33+1,"")</f>
        <v>2045</v>
      </c>
      <c r="B34" s="22">
        <f>B33*(1+Inputs!$B$57)</f>
        <v>7037566.5696637053</v>
      </c>
      <c r="C34" s="22">
        <v>0</v>
      </c>
      <c r="D34" s="8">
        <f t="shared" si="0"/>
        <v>7037566.5696637053</v>
      </c>
      <c r="G34" s="13"/>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s="14"/>
    </row>
    <row r="35" spans="1:54" x14ac:dyDescent="0.35">
      <c r="A35" s="1">
        <f>IF(A34&lt;'Project Information'!B$11,A34+1,"")</f>
        <v>2046</v>
      </c>
      <c r="B35" s="22">
        <f>B34*(1+Inputs!$B$57)</f>
        <v>7107942.2353603421</v>
      </c>
      <c r="C35" s="22">
        <v>0</v>
      </c>
      <c r="D35" s="8">
        <f t="shared" si="0"/>
        <v>7107942.2353603421</v>
      </c>
      <c r="G35" s="13"/>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s="14"/>
    </row>
    <row r="36" spans="1:54" x14ac:dyDescent="0.35">
      <c r="A36" s="1">
        <f>IF(A35&lt;'Project Information'!B$11,A35+1,"")</f>
        <v>2047</v>
      </c>
      <c r="B36" s="22">
        <f>B35*(1+Inputs!$B$57)</f>
        <v>7179021.657713946</v>
      </c>
      <c r="C36" s="22">
        <v>0</v>
      </c>
      <c r="D36" s="8">
        <f t="shared" si="0"/>
        <v>7179021.657713946</v>
      </c>
      <c r="G36" s="13"/>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s="14"/>
    </row>
    <row r="37" spans="1:54" x14ac:dyDescent="0.35">
      <c r="A37" s="1">
        <f>IF(A36&lt;'Project Information'!B$11,A36+1,"")</f>
        <v>2048</v>
      </c>
      <c r="B37" s="22">
        <f>B36*(1+Inputs!$B$57)</f>
        <v>7250811.8742910856</v>
      </c>
      <c r="C37" s="22">
        <v>0</v>
      </c>
      <c r="D37" s="8">
        <f t="shared" si="0"/>
        <v>7250811.8742910856</v>
      </c>
      <c r="G37" s="13"/>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s="14"/>
    </row>
    <row r="38" spans="1:54" x14ac:dyDescent="0.35">
      <c r="A38" s="1">
        <f>IF(A37&lt;'Project Information'!B$11,A37+1,"")</f>
        <v>2049</v>
      </c>
      <c r="B38" s="22">
        <f>B37*(1+Inputs!$B$57)</f>
        <v>7323319.9930339968</v>
      </c>
      <c r="C38" s="22">
        <v>0</v>
      </c>
      <c r="D38" s="8">
        <f t="shared" si="0"/>
        <v>7323319.9930339968</v>
      </c>
      <c r="G38" s="13"/>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s="14"/>
    </row>
    <row r="39" spans="1:54" x14ac:dyDescent="0.35">
      <c r="A39" s="1">
        <f>IF(A38&lt;'Project Information'!B$11,A38+1,"")</f>
        <v>2050</v>
      </c>
      <c r="B39" s="22">
        <f>B38*(1+Inputs!$B$57)</f>
        <v>7396553.1929643368</v>
      </c>
      <c r="C39" s="22">
        <v>0</v>
      </c>
      <c r="D39" s="8">
        <f t="shared" si="0"/>
        <v>7396553.1929643368</v>
      </c>
      <c r="G39" s="13"/>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s="14"/>
    </row>
    <row r="40" spans="1:54" x14ac:dyDescent="0.35">
      <c r="A40" s="1">
        <f>IF(A39&lt;'Project Information'!B$11,A39+1,"")</f>
        <v>2051</v>
      </c>
      <c r="B40" s="22">
        <f>B39*(1+Inputs!$B$57)</f>
        <v>7470518.7248939807</v>
      </c>
      <c r="C40" s="22">
        <v>0</v>
      </c>
      <c r="D40" s="8">
        <f t="shared" si="0"/>
        <v>7470518.7248939807</v>
      </c>
      <c r="G40" s="13"/>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s="14"/>
    </row>
    <row r="41" spans="1:54" x14ac:dyDescent="0.35">
      <c r="A41" s="1">
        <f>IF(A40&lt;'Project Information'!B$11,A40+1,"")</f>
        <v>2052</v>
      </c>
      <c r="B41" s="22">
        <f>B40*(1+Inputs!$B$57)</f>
        <v>7545223.9121429203</v>
      </c>
      <c r="C41" s="22">
        <v>0</v>
      </c>
      <c r="D41" s="8">
        <f t="shared" si="0"/>
        <v>7545223.9121429203</v>
      </c>
      <c r="G41" s="13"/>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s="14"/>
    </row>
    <row r="42" spans="1:54" x14ac:dyDescent="0.35">
      <c r="A42" s="1">
        <f>IF(A41&lt;'Project Information'!B$11,A41+1,"")</f>
        <v>2053</v>
      </c>
      <c r="B42" s="22">
        <f>B41*(1+Inputs!$B$57)</f>
        <v>7620676.1512643499</v>
      </c>
      <c r="C42" s="22">
        <v>0</v>
      </c>
      <c r="D42" s="8">
        <f t="shared" si="0"/>
        <v>7620676.1512643499</v>
      </c>
      <c r="G42" s="13"/>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s="14"/>
    </row>
    <row r="43" spans="1:54" x14ac:dyDescent="0.35">
      <c r="A43" s="1">
        <f>IF(A42&lt;'Project Information'!B$11,A42+1,"")</f>
        <v>2054</v>
      </c>
      <c r="B43" s="22">
        <f>B42*(1+Inputs!$B$57)</f>
        <v>7696882.9127769936</v>
      </c>
      <c r="C43" s="22">
        <v>0</v>
      </c>
      <c r="D43" s="8">
        <f t="shared" si="0"/>
        <v>7696882.9127769936</v>
      </c>
      <c r="G43" s="1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s="14"/>
    </row>
    <row r="44" spans="1:54" x14ac:dyDescent="0.35">
      <c r="A44" s="1">
        <f>IF(A43&lt;'Project Information'!B$11,A43+1,"")</f>
        <v>2055</v>
      </c>
      <c r="B44" s="22">
        <f>B43*(1+Inputs!$B$57)</f>
        <v>7773851.7419047635</v>
      </c>
      <c r="C44" s="22">
        <v>0</v>
      </c>
      <c r="D44" s="8">
        <f t="shared" si="0"/>
        <v>7773851.7419047635</v>
      </c>
      <c r="G44" s="13"/>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s="14"/>
    </row>
    <row r="45" spans="1:54" x14ac:dyDescent="0.35">
      <c r="A45" s="1">
        <f>IF(A44&lt;'Project Information'!B$11,A44+1,"")</f>
        <v>2056</v>
      </c>
      <c r="B45" s="22">
        <f>B44*(1+Inputs!$B$57)</f>
        <v>7851590.2593238112</v>
      </c>
      <c r="C45" s="22">
        <v>0</v>
      </c>
      <c r="D45" s="8">
        <f t="shared" si="0"/>
        <v>7851590.2593238112</v>
      </c>
      <c r="G45" s="13"/>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s="14"/>
    </row>
    <row r="46" spans="1:54" x14ac:dyDescent="0.35">
      <c r="A46" s="1">
        <f>IF(A45&lt;'Project Information'!B$11,A45+1,"")</f>
        <v>2057</v>
      </c>
      <c r="B46" s="22">
        <f>B45*(1+Inputs!$B$57)</f>
        <v>7930106.1619170494</v>
      </c>
      <c r="C46" s="22">
        <v>0</v>
      </c>
      <c r="D46" s="8">
        <f t="shared" si="0"/>
        <v>7930106.1619170494</v>
      </c>
      <c r="G46" s="13"/>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s="14"/>
    </row>
    <row r="47" spans="1:54" x14ac:dyDescent="0.35">
      <c r="A47" s="1">
        <f>IF(A46&lt;'Project Information'!B$11,A46+1,"")</f>
        <v>2058</v>
      </c>
      <c r="B47" s="22">
        <f>B46*(1+Inputs!$B$57)</f>
        <v>8009407.2235362204</v>
      </c>
      <c r="C47" s="22">
        <v>0</v>
      </c>
      <c r="D47" s="8">
        <f t="shared" si="0"/>
        <v>8009407.2235362204</v>
      </c>
      <c r="G47" s="13"/>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s="14"/>
    </row>
    <row r="48" spans="1:54" x14ac:dyDescent="0.35">
      <c r="A48" s="1">
        <f>IF(A47&lt;'Project Information'!B$11,A47+1,"")</f>
        <v>2059</v>
      </c>
      <c r="B48" s="22">
        <f>B47*(1+Inputs!$B$57)</f>
        <v>8089501.295771583</v>
      </c>
      <c r="C48" s="22">
        <v>0</v>
      </c>
      <c r="D48" s="8">
        <f t="shared" si="0"/>
        <v>8089501.295771583</v>
      </c>
      <c r="G48" s="13"/>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s="14"/>
    </row>
    <row r="49" spans="1:54" x14ac:dyDescent="0.35">
      <c r="A49" s="1">
        <f>IF(A48&lt;'Project Information'!B$11,A48+1,"")</f>
        <v>2060</v>
      </c>
      <c r="B49" s="22">
        <f>B48*(1+Inputs!$B$57)</f>
        <v>8170396.3087292993</v>
      </c>
      <c r="C49" s="22">
        <v>0</v>
      </c>
      <c r="D49" s="8">
        <f t="shared" si="0"/>
        <v>8170396.3087292993</v>
      </c>
      <c r="G49" s="13"/>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s="14"/>
    </row>
    <row r="50" spans="1:54" x14ac:dyDescent="0.35">
      <c r="A50" s="1">
        <f>IF(A49&lt;'Project Information'!B$11,A49+1,"")</f>
        <v>2061</v>
      </c>
      <c r="B50" s="22">
        <f>B49*(1+Inputs!$B$57)</f>
        <v>8252100.2718165927</v>
      </c>
      <c r="C50" s="22">
        <v>0</v>
      </c>
      <c r="D50" s="8">
        <f t="shared" si="0"/>
        <v>8252100.2718165927</v>
      </c>
      <c r="G50" s="13"/>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s="14"/>
    </row>
    <row r="51" spans="1:54" x14ac:dyDescent="0.35">
      <c r="A51" s="1">
        <f>IF(A50&lt;'Project Information'!B$11,A50+1,"")</f>
        <v>2062</v>
      </c>
      <c r="B51" s="22">
        <f>B50*(1+Inputs!$B$57)</f>
        <v>8334621.2745347591</v>
      </c>
      <c r="C51" s="22">
        <v>0</v>
      </c>
      <c r="D51" s="9">
        <f t="shared" si="0"/>
        <v>8334621.2745347591</v>
      </c>
      <c r="G51" s="13"/>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s="14"/>
    </row>
    <row r="52" spans="1:54" x14ac:dyDescent="0.35">
      <c r="A52" s="31"/>
      <c r="B52" s="32"/>
      <c r="C52" s="32"/>
      <c r="D52" s="29"/>
      <c r="G52" s="13"/>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s="14"/>
    </row>
    <row r="53" spans="1:54" x14ac:dyDescent="0.35">
      <c r="B53" s="28"/>
      <c r="C53" s="28"/>
      <c r="D53" s="29"/>
      <c r="G53" s="1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s="14"/>
    </row>
    <row r="54" spans="1:54" x14ac:dyDescent="0.35">
      <c r="B54" s="28"/>
      <c r="C54" s="28"/>
      <c r="D54" s="29"/>
      <c r="G54" s="13"/>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s="14"/>
    </row>
    <row r="55" spans="1:54" x14ac:dyDescent="0.35">
      <c r="B55" s="28"/>
      <c r="C55" s="28"/>
      <c r="D55" s="29"/>
      <c r="G55" s="13"/>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s="14"/>
    </row>
    <row r="56" spans="1:54" x14ac:dyDescent="0.35">
      <c r="B56" s="28"/>
      <c r="C56" s="28"/>
      <c r="D56" s="29"/>
      <c r="G56" s="13"/>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s="14"/>
    </row>
    <row r="57" spans="1:54" x14ac:dyDescent="0.35">
      <c r="B57" s="28"/>
      <c r="C57" s="28"/>
      <c r="D57" s="29"/>
      <c r="G57" s="13"/>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s="14"/>
    </row>
    <row r="58" spans="1:54" x14ac:dyDescent="0.35">
      <c r="B58" s="28"/>
      <c r="C58" s="28"/>
      <c r="D58" s="29"/>
      <c r="G58" s="13"/>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s="14"/>
    </row>
    <row r="59" spans="1:54" x14ac:dyDescent="0.35">
      <c r="B59" s="28"/>
      <c r="C59" s="28"/>
      <c r="D59" s="29"/>
      <c r="G59" s="13"/>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s="14"/>
    </row>
    <row r="60" spans="1:54" x14ac:dyDescent="0.35">
      <c r="B60" s="28"/>
      <c r="C60" s="28"/>
      <c r="D60" s="29"/>
      <c r="G60" s="13"/>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s="14"/>
    </row>
    <row r="61" spans="1:54" x14ac:dyDescent="0.35">
      <c r="B61" s="28"/>
      <c r="C61" s="28"/>
      <c r="D61" s="29"/>
      <c r="G61" s="13"/>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s="14"/>
    </row>
    <row r="62" spans="1:54" x14ac:dyDescent="0.35">
      <c r="G62" s="13"/>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s="14"/>
    </row>
    <row r="63" spans="1:54" x14ac:dyDescent="0.35">
      <c r="G63" s="1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s="14"/>
    </row>
    <row r="64" spans="1:54" x14ac:dyDescent="0.35">
      <c r="G64" s="13"/>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s="14"/>
    </row>
    <row r="65" spans="7:54" x14ac:dyDescent="0.35">
      <c r="G65" s="13"/>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s="14"/>
    </row>
    <row r="66" spans="7:54" x14ac:dyDescent="0.35">
      <c r="G66" s="13"/>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s="14"/>
    </row>
    <row r="67" spans="7:54" x14ac:dyDescent="0.35">
      <c r="G67" s="13"/>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s="14"/>
    </row>
    <row r="68" spans="7:54" x14ac:dyDescent="0.35">
      <c r="G68" s="13"/>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s="14"/>
    </row>
    <row r="69" spans="7:54" x14ac:dyDescent="0.35">
      <c r="G69" s="13"/>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s="14"/>
    </row>
    <row r="70" spans="7:54" x14ac:dyDescent="0.35">
      <c r="G70" s="13"/>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s="14"/>
    </row>
    <row r="71" spans="7:54" x14ac:dyDescent="0.35">
      <c r="G71" s="13"/>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s="14"/>
    </row>
    <row r="72" spans="7:54" x14ac:dyDescent="0.35">
      <c r="G72" s="13"/>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s="14"/>
    </row>
    <row r="73" spans="7:54" x14ac:dyDescent="0.35">
      <c r="G73" s="1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s="14"/>
    </row>
    <row r="74" spans="7:54" x14ac:dyDescent="0.35">
      <c r="G74" s="13"/>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s="14"/>
    </row>
    <row r="75" spans="7:54" x14ac:dyDescent="0.35">
      <c r="G75" s="13"/>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s="14"/>
    </row>
    <row r="76" spans="7:54" x14ac:dyDescent="0.35">
      <c r="G76" s="13"/>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s="14"/>
    </row>
    <row r="77" spans="7:54" x14ac:dyDescent="0.35">
      <c r="G77" s="13"/>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s="14"/>
    </row>
    <row r="78" spans="7:54" x14ac:dyDescent="0.35">
      <c r="G78" s="13"/>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s="14"/>
    </row>
    <row r="79" spans="7:54" x14ac:dyDescent="0.35">
      <c r="G79" s="13"/>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s="14"/>
    </row>
    <row r="80" spans="7:54" x14ac:dyDescent="0.35">
      <c r="G80" s="13"/>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s="14"/>
    </row>
    <row r="81" spans="7:54" x14ac:dyDescent="0.35">
      <c r="G81" s="13"/>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s="14"/>
    </row>
    <row r="82" spans="7:54" x14ac:dyDescent="0.35">
      <c r="G82" s="13"/>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s="14"/>
    </row>
    <row r="83" spans="7:54" x14ac:dyDescent="0.35">
      <c r="G83" s="1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s="14"/>
    </row>
    <row r="84" spans="7:54" x14ac:dyDescent="0.35">
      <c r="G84" s="13"/>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s="14"/>
    </row>
    <row r="85" spans="7:54" x14ac:dyDescent="0.35">
      <c r="G85" s="13"/>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s="14"/>
    </row>
    <row r="86" spans="7:54" x14ac:dyDescent="0.35">
      <c r="G86" s="13"/>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s="14"/>
    </row>
    <row r="87" spans="7:54" x14ac:dyDescent="0.35">
      <c r="G87" s="13"/>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s="14"/>
    </row>
    <row r="88" spans="7:54" x14ac:dyDescent="0.35">
      <c r="G88" s="13"/>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s="14"/>
    </row>
    <row r="89" spans="7:54" x14ac:dyDescent="0.35">
      <c r="G89" s="13"/>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s="14"/>
    </row>
    <row r="90" spans="7:54" x14ac:dyDescent="0.35">
      <c r="G90" s="13"/>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s="14"/>
    </row>
    <row r="91" spans="7:54" x14ac:dyDescent="0.35">
      <c r="G91" s="13"/>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s="14"/>
    </row>
    <row r="92" spans="7:54" x14ac:dyDescent="0.35">
      <c r="G92" s="13"/>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s="14"/>
    </row>
    <row r="93" spans="7:54" x14ac:dyDescent="0.35">
      <c r="G93" s="1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s="14"/>
    </row>
    <row r="94" spans="7:54" x14ac:dyDescent="0.35">
      <c r="G94" s="13"/>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s="14"/>
    </row>
    <row r="95" spans="7:54" x14ac:dyDescent="0.35">
      <c r="G95" s="13"/>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s="14"/>
    </row>
    <row r="96" spans="7:54" x14ac:dyDescent="0.35">
      <c r="G96" s="13"/>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s="14"/>
    </row>
    <row r="97" spans="7:54" x14ac:dyDescent="0.35">
      <c r="G97" s="13"/>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s="14"/>
    </row>
    <row r="98" spans="7:54" x14ac:dyDescent="0.35">
      <c r="G98" s="13"/>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s="14"/>
    </row>
    <row r="99" spans="7:54" x14ac:dyDescent="0.35">
      <c r="G99" s="13"/>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s="14"/>
    </row>
    <row r="100" spans="7:54" x14ac:dyDescent="0.35">
      <c r="G100" s="13"/>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s="14"/>
    </row>
    <row r="101" spans="7:54" x14ac:dyDescent="0.35">
      <c r="G101" s="13"/>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s="14"/>
    </row>
    <row r="102" spans="7:54" x14ac:dyDescent="0.35">
      <c r="G102" s="13"/>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s="14"/>
    </row>
    <row r="103" spans="7:54" x14ac:dyDescent="0.35">
      <c r="G103" s="1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s="14"/>
    </row>
    <row r="104" spans="7:54" x14ac:dyDescent="0.35">
      <c r="G104" s="13"/>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s="14"/>
    </row>
    <row r="105" spans="7:54" x14ac:dyDescent="0.35">
      <c r="G105" s="13"/>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s="14"/>
    </row>
    <row r="106" spans="7:54" x14ac:dyDescent="0.35">
      <c r="G106" s="13"/>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s="14"/>
    </row>
    <row r="107" spans="7:54" x14ac:dyDescent="0.35">
      <c r="G107" s="13"/>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s="14"/>
    </row>
    <row r="108" spans="7:54" x14ac:dyDescent="0.35">
      <c r="G108" s="13"/>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s="14"/>
    </row>
    <row r="109" spans="7:54" x14ac:dyDescent="0.35">
      <c r="G109" s="13"/>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s="14"/>
    </row>
    <row r="110" spans="7:54" x14ac:dyDescent="0.35">
      <c r="G110" s="13"/>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s="14"/>
    </row>
    <row r="111" spans="7:54" ht="15" thickBot="1" x14ac:dyDescent="0.4">
      <c r="G111" s="15"/>
      <c r="H111" s="16"/>
      <c r="I111" s="16"/>
      <c r="J111" s="16"/>
      <c r="K111" s="16"/>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c r="AX111" s="16"/>
      <c r="AY111" s="16"/>
      <c r="AZ111" s="16"/>
      <c r="BA111" s="16"/>
      <c r="BB111" s="17"/>
    </row>
  </sheetData>
  <conditionalFormatting sqref="B22:B51">
    <cfRule type="expression" dxfId="15" priority="2">
      <formula>A22=""</formula>
    </cfRule>
  </conditionalFormatting>
  <conditionalFormatting sqref="C22:C51">
    <cfRule type="expression" dxfId="14" priority="1">
      <formula>A22=""</formula>
    </cfRule>
  </conditionalFormatting>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A464A-8D12-4AB5-8A49-F5EA91C50422}">
  <sheetPr>
    <tabColor theme="9" tint="0.39997558519241921"/>
  </sheetPr>
  <dimension ref="A1:BB109"/>
  <sheetViews>
    <sheetView topLeftCell="C1" workbookViewId="0">
      <selection activeCell="H22" sqref="H22"/>
    </sheetView>
    <sheetView workbookViewId="1"/>
  </sheetViews>
  <sheetFormatPr defaultColWidth="9.1796875" defaultRowHeight="14.5" x14ac:dyDescent="0.35"/>
  <cols>
    <col min="1" max="1" width="28.54296875" style="5" customWidth="1"/>
    <col min="2" max="2" width="27.453125" style="5" customWidth="1"/>
    <col min="3" max="3" width="28.81640625" style="5" customWidth="1"/>
    <col min="4" max="4" width="30.81640625" style="5" customWidth="1"/>
    <col min="5" max="32" width="9.1796875" style="5"/>
    <col min="33" max="43" width="17" style="5" customWidth="1"/>
    <col min="44" max="16384" width="9.1796875" style="5"/>
  </cols>
  <sheetData>
    <row r="1" spans="1:10" ht="20" thickBot="1" x14ac:dyDescent="0.5">
      <c r="A1" s="94" t="s">
        <v>9</v>
      </c>
    </row>
    <row r="2" spans="1:10" ht="15" thickTop="1" x14ac:dyDescent="0.35">
      <c r="A2" s="144" t="s">
        <v>237</v>
      </c>
      <c r="B2" s="144"/>
      <c r="C2" s="144"/>
      <c r="D2" s="144"/>
      <c r="E2" s="144"/>
      <c r="F2" s="144"/>
      <c r="G2" s="144"/>
    </row>
    <row r="3" spans="1:10" x14ac:dyDescent="0.35">
      <c r="A3" s="5" t="s">
        <v>203</v>
      </c>
    </row>
    <row r="4" spans="1:10" x14ac:dyDescent="0.35">
      <c r="A4" s="145" t="s">
        <v>344</v>
      </c>
      <c r="B4" s="144"/>
      <c r="C4" s="144"/>
      <c r="D4" s="144"/>
      <c r="E4" s="144"/>
      <c r="F4" s="144"/>
      <c r="G4" s="144"/>
      <c r="H4" s="144"/>
      <c r="I4" s="144"/>
      <c r="J4" s="144"/>
    </row>
    <row r="5" spans="1:10" x14ac:dyDescent="0.35">
      <c r="A5" s="38" t="s">
        <v>203</v>
      </c>
    </row>
    <row r="6" spans="1:10" x14ac:dyDescent="0.35">
      <c r="A6" s="95" t="s">
        <v>238</v>
      </c>
    </row>
    <row r="7" spans="1:10" x14ac:dyDescent="0.35">
      <c r="A7" s="114" t="s">
        <v>31</v>
      </c>
      <c r="B7" s="114" t="s">
        <v>345</v>
      </c>
    </row>
    <row r="8" spans="1:10" x14ac:dyDescent="0.35">
      <c r="A8" s="35" t="s">
        <v>184</v>
      </c>
      <c r="B8" s="39">
        <f>'Parameter Values'!B24</f>
        <v>20.100000000000001</v>
      </c>
    </row>
    <row r="9" spans="1:10" x14ac:dyDescent="0.35">
      <c r="A9" s="35" t="s">
        <v>180</v>
      </c>
      <c r="B9" s="39">
        <f>'Parameter Values'!B25</f>
        <v>34.6</v>
      </c>
    </row>
    <row r="10" spans="1:10" x14ac:dyDescent="0.35">
      <c r="A10" s="35" t="s">
        <v>181</v>
      </c>
      <c r="B10" s="39">
        <f>'Parameter Values'!B26</f>
        <v>21.8</v>
      </c>
    </row>
    <row r="11" spans="1:10" ht="29" x14ac:dyDescent="0.35">
      <c r="A11" s="35" t="s">
        <v>182</v>
      </c>
      <c r="B11" s="39">
        <f>'Parameter Values'!B28</f>
        <v>40.200000000000003</v>
      </c>
    </row>
    <row r="12" spans="1:10" x14ac:dyDescent="0.35">
      <c r="A12" s="35" t="s">
        <v>183</v>
      </c>
      <c r="B12" s="39"/>
    </row>
    <row r="13" spans="1:10" x14ac:dyDescent="0.35">
      <c r="A13" s="35" t="s">
        <v>34</v>
      </c>
      <c r="B13" s="39">
        <f>'Parameter Values'!B31</f>
        <v>37.200000000000003</v>
      </c>
    </row>
    <row r="14" spans="1:10" x14ac:dyDescent="0.35">
      <c r="A14" s="35" t="s">
        <v>35</v>
      </c>
      <c r="B14" s="39">
        <f>'Parameter Values'!B32</f>
        <v>40.299999999999997</v>
      </c>
    </row>
    <row r="15" spans="1:10" x14ac:dyDescent="0.35">
      <c r="A15" s="35" t="s">
        <v>36</v>
      </c>
      <c r="B15" s="39">
        <f>'Parameter Values'!B33</f>
        <v>59.5</v>
      </c>
    </row>
    <row r="16" spans="1:10" x14ac:dyDescent="0.35">
      <c r="A16" s="35" t="s">
        <v>37</v>
      </c>
      <c r="B16" s="39">
        <f>'Parameter Values'!B34</f>
        <v>54.2</v>
      </c>
    </row>
    <row r="17" spans="1:54" x14ac:dyDescent="0.35">
      <c r="A17" s="38" t="s">
        <v>203</v>
      </c>
    </row>
    <row r="18" spans="1:54" ht="15" thickBot="1" x14ac:dyDescent="0.4">
      <c r="A18" s="95" t="s">
        <v>240</v>
      </c>
    </row>
    <row r="19" spans="1:54" x14ac:dyDescent="0.35">
      <c r="A19" s="105" t="s">
        <v>4</v>
      </c>
      <c r="B19" s="106" t="s">
        <v>173</v>
      </c>
      <c r="C19" s="106" t="s">
        <v>174</v>
      </c>
      <c r="D19" s="112" t="s">
        <v>167</v>
      </c>
      <c r="G19" s="10" t="s">
        <v>159</v>
      </c>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2"/>
    </row>
    <row r="20" spans="1:54" x14ac:dyDescent="0.35">
      <c r="A20" s="6">
        <f>'Project Information'!$B$9</f>
        <v>2033</v>
      </c>
      <c r="B20" s="22">
        <f t="shared" ref="B20:B49" si="0">((P23+Q23)*R23)+((AC23+AD23)*AE23)+((AO23+AP23)*AQ23)</f>
        <v>6699227.7234235806</v>
      </c>
      <c r="C20" s="22">
        <v>0</v>
      </c>
      <c r="D20" s="26">
        <f>B20-C20</f>
        <v>6699227.7234235806</v>
      </c>
      <c r="G20" s="13"/>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s="14"/>
    </row>
    <row r="21" spans="1:54" x14ac:dyDescent="0.35">
      <c r="A21" s="1">
        <f>IF(A20&lt;'Project Information'!B$11,A20+1,"")</f>
        <v>2034</v>
      </c>
      <c r="B21" s="22">
        <f t="shared" si="0"/>
        <v>6764407.0888904762</v>
      </c>
      <c r="C21" s="22">
        <v>0</v>
      </c>
      <c r="D21" s="8">
        <f t="shared" ref="D21:D49" si="1">B21-C21</f>
        <v>6764407.0888904762</v>
      </c>
      <c r="G21" s="13"/>
      <c r="H21" s="386" t="s">
        <v>410</v>
      </c>
      <c r="I21" s="387"/>
      <c r="J21" s="387"/>
      <c r="K21" s="387"/>
      <c r="L21" s="387"/>
      <c r="M21" s="387"/>
      <c r="N21" s="387"/>
      <c r="O21" s="387"/>
      <c r="P21" s="387"/>
      <c r="Q21" s="387"/>
      <c r="R21" s="388"/>
      <c r="U21" s="386" t="s">
        <v>411</v>
      </c>
      <c r="V21" s="387"/>
      <c r="W21" s="387"/>
      <c r="X21" s="387"/>
      <c r="Y21" s="387"/>
      <c r="Z21" s="387"/>
      <c r="AA21" s="387"/>
      <c r="AB21" s="387"/>
      <c r="AC21" s="387"/>
      <c r="AD21" s="387"/>
      <c r="AE21" s="388"/>
      <c r="AF21"/>
      <c r="AG21" s="386" t="s">
        <v>539</v>
      </c>
      <c r="AH21" s="387"/>
      <c r="AI21" s="387"/>
      <c r="AJ21" s="387"/>
      <c r="AK21" s="387"/>
      <c r="AL21" s="387"/>
      <c r="AM21" s="387"/>
      <c r="AN21" s="387"/>
      <c r="AO21" s="387"/>
      <c r="AP21" s="387"/>
      <c r="AQ21" s="388"/>
      <c r="AR21"/>
      <c r="AS21"/>
      <c r="AT21"/>
      <c r="AU21"/>
      <c r="AV21"/>
      <c r="AW21"/>
      <c r="AX21"/>
      <c r="AY21"/>
      <c r="AZ21"/>
      <c r="BA21"/>
      <c r="BB21" s="14"/>
    </row>
    <row r="22" spans="1:54" x14ac:dyDescent="0.35">
      <c r="A22" s="1">
        <f>IF(A21&lt;'Project Information'!B$11,A21+1,"")</f>
        <v>2035</v>
      </c>
      <c r="B22" s="22">
        <f t="shared" si="0"/>
        <v>6830238.3301533731</v>
      </c>
      <c r="C22" s="22">
        <v>0</v>
      </c>
      <c r="D22" s="8">
        <f t="shared" si="1"/>
        <v>6830238.3301533731</v>
      </c>
      <c r="G22" s="13"/>
      <c r="H22" s="311" t="s">
        <v>4</v>
      </c>
      <c r="I22" s="312" t="s">
        <v>528</v>
      </c>
      <c r="J22" s="312" t="s">
        <v>529</v>
      </c>
      <c r="K22" s="312" t="s">
        <v>530</v>
      </c>
      <c r="L22" s="312" t="s">
        <v>531</v>
      </c>
      <c r="M22" s="312" t="s">
        <v>532</v>
      </c>
      <c r="N22" s="312" t="s">
        <v>533</v>
      </c>
      <c r="O22" s="313" t="s">
        <v>538</v>
      </c>
      <c r="P22" s="313" t="s">
        <v>535</v>
      </c>
      <c r="Q22" s="314" t="s">
        <v>534</v>
      </c>
      <c r="R22" s="314" t="s">
        <v>537</v>
      </c>
      <c r="U22" s="311" t="s">
        <v>4</v>
      </c>
      <c r="V22" s="312" t="s">
        <v>528</v>
      </c>
      <c r="W22" s="312" t="s">
        <v>529</v>
      </c>
      <c r="X22" s="312" t="s">
        <v>530</v>
      </c>
      <c r="Y22" s="312" t="s">
        <v>531</v>
      </c>
      <c r="Z22" s="312" t="s">
        <v>532</v>
      </c>
      <c r="AA22" s="312" t="s">
        <v>533</v>
      </c>
      <c r="AB22" s="313" t="s">
        <v>538</v>
      </c>
      <c r="AC22" s="313" t="s">
        <v>535</v>
      </c>
      <c r="AD22" s="314" t="s">
        <v>534</v>
      </c>
      <c r="AE22" s="314" t="s">
        <v>537</v>
      </c>
      <c r="AF22"/>
      <c r="AG22" s="311" t="s">
        <v>4</v>
      </c>
      <c r="AH22" s="312" t="s">
        <v>528</v>
      </c>
      <c r="AI22" s="312" t="s">
        <v>529</v>
      </c>
      <c r="AJ22" s="312" t="s">
        <v>530</v>
      </c>
      <c r="AK22" s="312" t="s">
        <v>531</v>
      </c>
      <c r="AL22" s="312" t="s">
        <v>532</v>
      </c>
      <c r="AM22" s="312" t="s">
        <v>533</v>
      </c>
      <c r="AN22" s="313" t="s">
        <v>538</v>
      </c>
      <c r="AO22" s="313" t="s">
        <v>535</v>
      </c>
      <c r="AP22" s="314" t="s">
        <v>534</v>
      </c>
      <c r="AQ22" s="314" t="s">
        <v>537</v>
      </c>
      <c r="AR22"/>
      <c r="AS22"/>
      <c r="AT22"/>
      <c r="AU22"/>
      <c r="AV22"/>
      <c r="AW22"/>
      <c r="AX22"/>
      <c r="AY22"/>
      <c r="AZ22"/>
      <c r="BA22"/>
      <c r="BB22" s="14"/>
    </row>
    <row r="23" spans="1:54" x14ac:dyDescent="0.35">
      <c r="A23" s="1">
        <f>IF(A22&lt;'Project Information'!B$11,A22+1,"")</f>
        <v>2036</v>
      </c>
      <c r="B23" s="22">
        <f t="shared" si="0"/>
        <v>6896748.8763043303</v>
      </c>
      <c r="C23" s="22">
        <v>0</v>
      </c>
      <c r="D23" s="8">
        <f t="shared" si="1"/>
        <v>6896748.8763043303</v>
      </c>
      <c r="G23" s="13"/>
      <c r="H23" s="315">
        <v>2033</v>
      </c>
      <c r="I23" s="316">
        <f>'Traffic Volumes'!$F22</f>
        <v>11000</v>
      </c>
      <c r="J23" s="317">
        <f>Inputs!$C$69</f>
        <v>0.25</v>
      </c>
      <c r="K23" s="318">
        <f>I23*J23</f>
        <v>2750</v>
      </c>
      <c r="L23" s="317">
        <f>Inputs!$E$18</f>
        <v>0.24</v>
      </c>
      <c r="M23" s="318">
        <f>K23*L23</f>
        <v>660</v>
      </c>
      <c r="N23" s="318">
        <f>K23*(1-L23)</f>
        <v>2090</v>
      </c>
      <c r="O23" s="319">
        <f>Inputs!$C$68/60</f>
        <v>0.18333333333333332</v>
      </c>
      <c r="P23" s="320">
        <f>M23*O23*$B$13</f>
        <v>4501.2</v>
      </c>
      <c r="Q23" s="321">
        <f>N23*O23*$B$8*'Parameter Values'!$B$44</f>
        <v>10320.210999999999</v>
      </c>
      <c r="R23" s="329">
        <f>Inputs!$C$67</f>
        <v>20.357037037037038</v>
      </c>
      <c r="U23" s="315">
        <v>2033</v>
      </c>
      <c r="V23" s="316">
        <f>'Traffic Volumes'!$H22</f>
        <v>5027</v>
      </c>
      <c r="W23" s="317">
        <f>Inputs!$D$69</f>
        <v>0.2</v>
      </c>
      <c r="X23" s="318">
        <f>V23*W23</f>
        <v>1005.4000000000001</v>
      </c>
      <c r="Y23" s="317">
        <f>Inputs!$E$19</f>
        <v>0.16</v>
      </c>
      <c r="Z23" s="318">
        <f>X23*Y23</f>
        <v>160.864</v>
      </c>
      <c r="AA23" s="318">
        <f>X23*(1-Y23)</f>
        <v>844.53600000000006</v>
      </c>
      <c r="AB23" s="319">
        <f>Inputs!$D$68/60</f>
        <v>0.16666666666666666</v>
      </c>
      <c r="AC23" s="320">
        <f>Z23*AB23*$B$13</f>
        <v>997.35680000000002</v>
      </c>
      <c r="AD23" s="321">
        <f>AA23*AB23*$B$8*'Parameter Values'!$B$44</f>
        <v>3791.122104</v>
      </c>
      <c r="AE23" s="329">
        <f>Inputs!$D$67</f>
        <v>9.3022222222222233</v>
      </c>
      <c r="AF23"/>
      <c r="AG23" s="315">
        <v>2033</v>
      </c>
      <c r="AH23" s="316">
        <f>'Traffic Volumes'!B22</f>
        <v>29237</v>
      </c>
      <c r="AI23" s="317">
        <f>Inputs!$B$69</f>
        <v>0.3</v>
      </c>
      <c r="AJ23" s="318">
        <f>AH23*AI23</f>
        <v>8771.1</v>
      </c>
      <c r="AK23" s="317">
        <f>Inputs!$E$16</f>
        <v>0.09</v>
      </c>
      <c r="AL23" s="318">
        <f>AJ23*AK23</f>
        <v>789.399</v>
      </c>
      <c r="AM23" s="318">
        <f>AJ23*(1-AK23)</f>
        <v>7981.7010000000009</v>
      </c>
      <c r="AN23" s="319">
        <f>Inputs!$B$68/60</f>
        <v>0.5</v>
      </c>
      <c r="AO23" s="320">
        <f>AL23*AN23*$B$13</f>
        <v>14682.821400000001</v>
      </c>
      <c r="AP23" s="321">
        <f>AM23*AN23*$B$8*'Parameter Values'!$B$44</f>
        <v>107489.56736700003</v>
      </c>
      <c r="AQ23" s="329">
        <f>Inputs!$B$67</f>
        <v>52</v>
      </c>
      <c r="AR23"/>
      <c r="AS23"/>
      <c r="AT23"/>
      <c r="AU23"/>
      <c r="AV23"/>
      <c r="AW23"/>
      <c r="AX23"/>
      <c r="AY23"/>
      <c r="AZ23"/>
      <c r="BA23"/>
      <c r="BB23" s="14"/>
    </row>
    <row r="24" spans="1:54" x14ac:dyDescent="0.35">
      <c r="A24" s="1">
        <f>IF(A23&lt;'Project Information'!B$11,A23+1,"")</f>
        <v>2037</v>
      </c>
      <c r="B24" s="22">
        <f t="shared" si="0"/>
        <v>6963920.1591016687</v>
      </c>
      <c r="C24" s="22">
        <v>0</v>
      </c>
      <c r="D24" s="8">
        <f t="shared" si="1"/>
        <v>6963920.1591016687</v>
      </c>
      <c r="G24" s="13"/>
      <c r="H24" s="315">
        <f>H23+1</f>
        <v>2034</v>
      </c>
      <c r="I24" s="316">
        <f>'Traffic Volumes'!$F23</f>
        <v>11055</v>
      </c>
      <c r="J24" s="317">
        <f>Inputs!$C$69</f>
        <v>0.25</v>
      </c>
      <c r="K24" s="318">
        <f>I24*J24</f>
        <v>2763.75</v>
      </c>
      <c r="L24" s="317">
        <f>Inputs!$E$18</f>
        <v>0.24</v>
      </c>
      <c r="M24" s="318">
        <f>K24*L24</f>
        <v>663.3</v>
      </c>
      <c r="N24" s="318">
        <f>K24*(1-L24)</f>
        <v>2100.4499999999998</v>
      </c>
      <c r="O24" s="319">
        <f>Inputs!$C$68/60</f>
        <v>0.18333333333333332</v>
      </c>
      <c r="P24" s="320">
        <f t="shared" ref="P24:P52" si="2">M24*O24*$B$13</f>
        <v>4523.7060000000001</v>
      </c>
      <c r="Q24" s="321">
        <f>N24*O24*$B$8*'Parameter Values'!$B$44</f>
        <v>10371.812054999999</v>
      </c>
      <c r="R24" s="329">
        <f>Inputs!$C$67</f>
        <v>20.357037037037038</v>
      </c>
      <c r="U24" s="315">
        <f>U23+1</f>
        <v>2034</v>
      </c>
      <c r="V24" s="316">
        <f>'Traffic Volumes'!$H23</f>
        <v>5052</v>
      </c>
      <c r="W24" s="317">
        <f>Inputs!$D$69</f>
        <v>0.2</v>
      </c>
      <c r="X24" s="318">
        <f>V24*W24</f>
        <v>1010.4000000000001</v>
      </c>
      <c r="Y24" s="317">
        <f>Inputs!$E$19</f>
        <v>0.16</v>
      </c>
      <c r="Z24" s="318">
        <f>X24*Y24</f>
        <v>161.66400000000002</v>
      </c>
      <c r="AA24" s="318">
        <f>X24*(1-Y24)</f>
        <v>848.73599999999999</v>
      </c>
      <c r="AB24" s="319">
        <f>Inputs!$D$68/60</f>
        <v>0.16666666666666666</v>
      </c>
      <c r="AC24" s="320">
        <f t="shared" ref="AC24:AC52" si="3">Z24*AB24*$B$13</f>
        <v>1002.3168000000002</v>
      </c>
      <c r="AD24" s="321">
        <f>AA24*AB24*$B$8*'Parameter Values'!$B$44</f>
        <v>3809.9759040000004</v>
      </c>
      <c r="AE24" s="329">
        <f>Inputs!$D$67</f>
        <v>9.3022222222222233</v>
      </c>
      <c r="AF24"/>
      <c r="AG24" s="315">
        <f>AG23+1</f>
        <v>2034</v>
      </c>
      <c r="AH24" s="316">
        <f>'Traffic Volumes'!B23</f>
        <v>29529</v>
      </c>
      <c r="AI24" s="317">
        <f>Inputs!$B$69</f>
        <v>0.3</v>
      </c>
      <c r="AJ24" s="318">
        <f>AH24*AI24</f>
        <v>8858.6999999999989</v>
      </c>
      <c r="AK24" s="317">
        <f>Inputs!$E$16</f>
        <v>0.09</v>
      </c>
      <c r="AL24" s="318">
        <f>AJ24*AK24</f>
        <v>797.2829999999999</v>
      </c>
      <c r="AM24" s="318">
        <f>AJ24*(1-AK24)</f>
        <v>8061.4169999999995</v>
      </c>
      <c r="AN24" s="319">
        <f>Inputs!$B$68/60</f>
        <v>0.5</v>
      </c>
      <c r="AO24" s="320">
        <f t="shared" ref="AO24:AO52" si="4">AL24*AN24*$B$13</f>
        <v>14829.4638</v>
      </c>
      <c r="AP24" s="321">
        <f>AM24*AN24*$B$8*'Parameter Values'!$B$44</f>
        <v>108563.10273900001</v>
      </c>
      <c r="AQ24" s="329">
        <f>Inputs!$B$67</f>
        <v>52</v>
      </c>
      <c r="AR24"/>
      <c r="AS24"/>
      <c r="AT24"/>
      <c r="AU24"/>
      <c r="AV24"/>
      <c r="AW24"/>
      <c r="AX24"/>
      <c r="AY24"/>
      <c r="AZ24"/>
      <c r="BA24"/>
      <c r="BB24" s="14"/>
    </row>
    <row r="25" spans="1:54" x14ac:dyDescent="0.35">
      <c r="A25" s="1">
        <f>IF(A24&lt;'Project Information'!B$11,A24+1,"")</f>
        <v>2038</v>
      </c>
      <c r="B25" s="22">
        <f t="shared" si="0"/>
        <v>7031743.3176950086</v>
      </c>
      <c r="C25" s="22">
        <v>0</v>
      </c>
      <c r="D25" s="8">
        <f t="shared" si="1"/>
        <v>7031743.3176950086</v>
      </c>
      <c r="G25" s="13"/>
      <c r="H25" s="315">
        <f t="shared" ref="H25:H52" si="5">H24+1</f>
        <v>2035</v>
      </c>
      <c r="I25" s="316">
        <f>'Traffic Volumes'!$F24</f>
        <v>11110</v>
      </c>
      <c r="J25" s="317">
        <f>Inputs!$C$69</f>
        <v>0.25</v>
      </c>
      <c r="K25" s="318">
        <f t="shared" ref="K25:K52" si="6">I25*J25</f>
        <v>2777.5</v>
      </c>
      <c r="L25" s="317">
        <f>Inputs!$E$18</f>
        <v>0.24</v>
      </c>
      <c r="M25" s="318">
        <f t="shared" ref="M25:M52" si="7">K25*L25</f>
        <v>666.6</v>
      </c>
      <c r="N25" s="318">
        <f t="shared" ref="N25:N52" si="8">K25*(1-L25)</f>
        <v>2110.9</v>
      </c>
      <c r="O25" s="319">
        <f>Inputs!$C$68/60</f>
        <v>0.18333333333333332</v>
      </c>
      <c r="P25" s="320">
        <f t="shared" si="2"/>
        <v>4546.2120000000004</v>
      </c>
      <c r="Q25" s="321">
        <f>N25*O25*$B$8*'Parameter Values'!$B$44</f>
        <v>10423.413110000001</v>
      </c>
      <c r="R25" s="329">
        <f>Inputs!$C$67</f>
        <v>20.357037037037038</v>
      </c>
      <c r="U25" s="315">
        <f t="shared" ref="U25:U52" si="9">U24+1</f>
        <v>2035</v>
      </c>
      <c r="V25" s="316">
        <f>'Traffic Volumes'!$H24</f>
        <v>5077</v>
      </c>
      <c r="W25" s="317">
        <f>Inputs!$D$69</f>
        <v>0.2</v>
      </c>
      <c r="X25" s="318">
        <f t="shared" ref="X25:X52" si="10">V25*W25</f>
        <v>1015.4000000000001</v>
      </c>
      <c r="Y25" s="317">
        <f>Inputs!$E$19</f>
        <v>0.16</v>
      </c>
      <c r="Z25" s="318">
        <f t="shared" ref="Z25:Z52" si="11">X25*Y25</f>
        <v>162.46400000000003</v>
      </c>
      <c r="AA25" s="318">
        <f t="shared" ref="AA25:AA52" si="12">X25*(1-Y25)</f>
        <v>852.93600000000004</v>
      </c>
      <c r="AB25" s="319">
        <f>Inputs!$D$68/60</f>
        <v>0.16666666666666666</v>
      </c>
      <c r="AC25" s="320">
        <f t="shared" si="3"/>
        <v>1007.2768000000002</v>
      </c>
      <c r="AD25" s="321">
        <f>AA25*AB25*$B$8*'Parameter Values'!$B$44</f>
        <v>3828.8297040000007</v>
      </c>
      <c r="AE25" s="329">
        <f>Inputs!$D$67</f>
        <v>9.3022222222222233</v>
      </c>
      <c r="AF25"/>
      <c r="AG25" s="315">
        <f t="shared" ref="AG25:AG52" si="13">AG24+1</f>
        <v>2035</v>
      </c>
      <c r="AH25" s="316">
        <f>'Traffic Volumes'!B24</f>
        <v>29824</v>
      </c>
      <c r="AI25" s="317">
        <f>Inputs!$B$69</f>
        <v>0.3</v>
      </c>
      <c r="AJ25" s="318">
        <f t="shared" ref="AJ25:AJ52" si="14">AH25*AI25</f>
        <v>8947.1999999999989</v>
      </c>
      <c r="AK25" s="317">
        <f>Inputs!$E$16</f>
        <v>0.09</v>
      </c>
      <c r="AL25" s="318">
        <f t="shared" ref="AL25:AL52" si="15">AJ25*AK25</f>
        <v>805.24799999999982</v>
      </c>
      <c r="AM25" s="318">
        <f t="shared" ref="AM25:AM52" si="16">AJ25*(1-AK25)</f>
        <v>8141.9519999999993</v>
      </c>
      <c r="AN25" s="319">
        <f>Inputs!$B$68/60</f>
        <v>0.5</v>
      </c>
      <c r="AO25" s="320">
        <f t="shared" si="4"/>
        <v>14977.612799999997</v>
      </c>
      <c r="AP25" s="321">
        <f>AM25*AN25*$B$8*'Parameter Values'!$B$44</f>
        <v>109647.66758400001</v>
      </c>
      <c r="AQ25" s="329">
        <f>Inputs!$B$67</f>
        <v>52</v>
      </c>
      <c r="AR25"/>
      <c r="AS25"/>
      <c r="AT25"/>
      <c r="AU25"/>
      <c r="AV25"/>
      <c r="AW25"/>
      <c r="AX25"/>
      <c r="AY25"/>
      <c r="AZ25"/>
      <c r="BA25"/>
      <c r="BB25" s="14"/>
    </row>
    <row r="26" spans="1:54" x14ac:dyDescent="0.35">
      <c r="A26" s="1">
        <f>IF(A25&lt;'Project Information'!B$11,A25+1,"")</f>
        <v>2039</v>
      </c>
      <c r="B26" s="22">
        <f t="shared" si="0"/>
        <v>7100218.352084347</v>
      </c>
      <c r="C26" s="22">
        <v>0</v>
      </c>
      <c r="D26" s="8">
        <f t="shared" si="1"/>
        <v>7100218.352084347</v>
      </c>
      <c r="G26" s="13"/>
      <c r="H26" s="315">
        <f t="shared" si="5"/>
        <v>2036</v>
      </c>
      <c r="I26" s="316">
        <f>'Traffic Volumes'!$F25</f>
        <v>11166</v>
      </c>
      <c r="J26" s="317">
        <f>Inputs!$C$69</f>
        <v>0.25</v>
      </c>
      <c r="K26" s="318">
        <f t="shared" si="6"/>
        <v>2791.5</v>
      </c>
      <c r="L26" s="317">
        <f>Inputs!$E$18</f>
        <v>0.24</v>
      </c>
      <c r="M26" s="318">
        <f t="shared" si="7"/>
        <v>669.95999999999992</v>
      </c>
      <c r="N26" s="318">
        <f t="shared" si="8"/>
        <v>2121.54</v>
      </c>
      <c r="O26" s="319">
        <f>Inputs!$C$68/60</f>
        <v>0.18333333333333332</v>
      </c>
      <c r="P26" s="320">
        <f t="shared" si="2"/>
        <v>4569.1271999999999</v>
      </c>
      <c r="Q26" s="321">
        <f>N26*O26*$B$8*'Parameter Values'!$B$44</f>
        <v>10475.952366</v>
      </c>
      <c r="R26" s="329">
        <f>Inputs!$C$67</f>
        <v>20.357037037037038</v>
      </c>
      <c r="U26" s="315">
        <f t="shared" si="9"/>
        <v>2036</v>
      </c>
      <c r="V26" s="316">
        <f>'Traffic Volumes'!$H25</f>
        <v>5102</v>
      </c>
      <c r="W26" s="317">
        <f>Inputs!$D$69</f>
        <v>0.2</v>
      </c>
      <c r="X26" s="318">
        <f t="shared" si="10"/>
        <v>1020.4000000000001</v>
      </c>
      <c r="Y26" s="317">
        <f>Inputs!$E$19</f>
        <v>0.16</v>
      </c>
      <c r="Z26" s="318">
        <f t="shared" si="11"/>
        <v>163.26400000000001</v>
      </c>
      <c r="AA26" s="318">
        <f t="shared" si="12"/>
        <v>857.13600000000008</v>
      </c>
      <c r="AB26" s="319">
        <f>Inputs!$D$68/60</f>
        <v>0.16666666666666666</v>
      </c>
      <c r="AC26" s="320">
        <f t="shared" si="3"/>
        <v>1012.2368000000001</v>
      </c>
      <c r="AD26" s="321">
        <f>AA26*AB26*$B$8*'Parameter Values'!$B$44</f>
        <v>3847.6835040000001</v>
      </c>
      <c r="AE26" s="329">
        <f>Inputs!$D$67</f>
        <v>9.3022222222222233</v>
      </c>
      <c r="AF26"/>
      <c r="AG26" s="315">
        <f t="shared" si="13"/>
        <v>2036</v>
      </c>
      <c r="AH26" s="316">
        <f>'Traffic Volumes'!B25</f>
        <v>30122</v>
      </c>
      <c r="AI26" s="317">
        <f>Inputs!$B$69</f>
        <v>0.3</v>
      </c>
      <c r="AJ26" s="318">
        <f t="shared" si="14"/>
        <v>9036.6</v>
      </c>
      <c r="AK26" s="317">
        <f>Inputs!$E$16</f>
        <v>0.09</v>
      </c>
      <c r="AL26" s="318">
        <f t="shared" si="15"/>
        <v>813.29399999999998</v>
      </c>
      <c r="AM26" s="318">
        <f t="shared" si="16"/>
        <v>8223.3060000000005</v>
      </c>
      <c r="AN26" s="319">
        <f>Inputs!$B$68/60</f>
        <v>0.5</v>
      </c>
      <c r="AO26" s="320">
        <f t="shared" si="4"/>
        <v>15127.268400000001</v>
      </c>
      <c r="AP26" s="321">
        <f>AM26*AN26*$B$8*'Parameter Values'!$B$44</f>
        <v>110743.26190200001</v>
      </c>
      <c r="AQ26" s="329">
        <f>Inputs!$B$67</f>
        <v>52</v>
      </c>
      <c r="AR26"/>
      <c r="AS26"/>
      <c r="AT26"/>
      <c r="AU26"/>
      <c r="AV26"/>
      <c r="AW26"/>
      <c r="AX26"/>
      <c r="AY26"/>
      <c r="AZ26"/>
      <c r="BA26"/>
      <c r="BB26" s="14"/>
    </row>
    <row r="27" spans="1:54" x14ac:dyDescent="0.35">
      <c r="A27" s="1">
        <f>IF(A26&lt;'Project Information'!B$11,A26+1,"")</f>
        <v>2040</v>
      </c>
      <c r="B27" s="22">
        <f t="shared" si="0"/>
        <v>7169372.6913617477</v>
      </c>
      <c r="C27" s="22">
        <v>0</v>
      </c>
      <c r="D27" s="8">
        <f t="shared" si="1"/>
        <v>7169372.6913617477</v>
      </c>
      <c r="G27" s="13"/>
      <c r="H27" s="315">
        <f t="shared" si="5"/>
        <v>2037</v>
      </c>
      <c r="I27" s="316">
        <f>'Traffic Volumes'!$F26</f>
        <v>11222</v>
      </c>
      <c r="J27" s="317">
        <f>Inputs!$C$69</f>
        <v>0.25</v>
      </c>
      <c r="K27" s="318">
        <f t="shared" si="6"/>
        <v>2805.5</v>
      </c>
      <c r="L27" s="317">
        <f>Inputs!$E$18</f>
        <v>0.24</v>
      </c>
      <c r="M27" s="318">
        <f t="shared" si="7"/>
        <v>673.31999999999994</v>
      </c>
      <c r="N27" s="318">
        <f t="shared" si="8"/>
        <v>2132.1799999999998</v>
      </c>
      <c r="O27" s="319">
        <f>Inputs!$C$68/60</f>
        <v>0.18333333333333332</v>
      </c>
      <c r="P27" s="320">
        <f t="shared" si="2"/>
        <v>4592.0423999999994</v>
      </c>
      <c r="Q27" s="321">
        <f>N27*O27*$B$8*'Parameter Values'!$B$44</f>
        <v>10528.491622000001</v>
      </c>
      <c r="R27" s="329">
        <f>Inputs!$C$67</f>
        <v>20.357037037037038</v>
      </c>
      <c r="U27" s="315">
        <f t="shared" si="9"/>
        <v>2037</v>
      </c>
      <c r="V27" s="316">
        <f>'Traffic Volumes'!$H26</f>
        <v>5128</v>
      </c>
      <c r="W27" s="317">
        <f>Inputs!$D$69</f>
        <v>0.2</v>
      </c>
      <c r="X27" s="318">
        <f t="shared" si="10"/>
        <v>1025.6000000000001</v>
      </c>
      <c r="Y27" s="317">
        <f>Inputs!$E$19</f>
        <v>0.16</v>
      </c>
      <c r="Z27" s="318">
        <f t="shared" si="11"/>
        <v>164.09600000000003</v>
      </c>
      <c r="AA27" s="318">
        <f t="shared" si="12"/>
        <v>861.50400000000013</v>
      </c>
      <c r="AB27" s="319">
        <f>Inputs!$D$68/60</f>
        <v>0.16666666666666666</v>
      </c>
      <c r="AC27" s="320">
        <f t="shared" si="3"/>
        <v>1017.3952000000003</v>
      </c>
      <c r="AD27" s="321">
        <f>AA27*AB27*$B$8*'Parameter Values'!$B$44</f>
        <v>3867.2914560000008</v>
      </c>
      <c r="AE27" s="329">
        <f>Inputs!$D$67</f>
        <v>9.3022222222222233</v>
      </c>
      <c r="AF27"/>
      <c r="AG27" s="315">
        <f t="shared" si="13"/>
        <v>2037</v>
      </c>
      <c r="AH27" s="316">
        <f>'Traffic Volumes'!B26</f>
        <v>30423</v>
      </c>
      <c r="AI27" s="317">
        <f>Inputs!$B$69</f>
        <v>0.3</v>
      </c>
      <c r="AJ27" s="318">
        <f t="shared" si="14"/>
        <v>9126.9</v>
      </c>
      <c r="AK27" s="317">
        <f>Inputs!$E$16</f>
        <v>0.09</v>
      </c>
      <c r="AL27" s="318">
        <f t="shared" si="15"/>
        <v>821.42099999999994</v>
      </c>
      <c r="AM27" s="318">
        <f t="shared" si="16"/>
        <v>8305.4789999999994</v>
      </c>
      <c r="AN27" s="319">
        <f>Inputs!$B$68/60</f>
        <v>0.5</v>
      </c>
      <c r="AO27" s="320">
        <f t="shared" si="4"/>
        <v>15278.4306</v>
      </c>
      <c r="AP27" s="321">
        <f>AM27*AN27*$B$8*'Parameter Values'!$B$44</f>
        <v>111849.885693</v>
      </c>
      <c r="AQ27" s="329">
        <f>Inputs!$B$67</f>
        <v>52</v>
      </c>
      <c r="AR27"/>
      <c r="AS27"/>
      <c r="AT27"/>
      <c r="AU27"/>
      <c r="AV27"/>
      <c r="AW27"/>
      <c r="AX27"/>
      <c r="AY27"/>
      <c r="AZ27"/>
      <c r="BA27"/>
      <c r="BB27" s="14"/>
    </row>
    <row r="28" spans="1:54" x14ac:dyDescent="0.35">
      <c r="A28" s="1">
        <f>IF(A27&lt;'Project Information'!B$11,A27+1,"")</f>
        <v>2041</v>
      </c>
      <c r="B28" s="22">
        <f t="shared" si="0"/>
        <v>7239178.9064351488</v>
      </c>
      <c r="C28" s="22">
        <v>0</v>
      </c>
      <c r="D28" s="8">
        <f t="shared" si="1"/>
        <v>7239178.9064351488</v>
      </c>
      <c r="G28" s="13"/>
      <c r="H28" s="315">
        <f t="shared" si="5"/>
        <v>2038</v>
      </c>
      <c r="I28" s="316">
        <f>'Traffic Volumes'!$F27</f>
        <v>11278</v>
      </c>
      <c r="J28" s="317">
        <f>Inputs!$C$69</f>
        <v>0.25</v>
      </c>
      <c r="K28" s="318">
        <f t="shared" si="6"/>
        <v>2819.5</v>
      </c>
      <c r="L28" s="317">
        <f>Inputs!$E$18</f>
        <v>0.24</v>
      </c>
      <c r="M28" s="318">
        <f t="shared" si="7"/>
        <v>676.68</v>
      </c>
      <c r="N28" s="318">
        <f t="shared" si="8"/>
        <v>2142.8200000000002</v>
      </c>
      <c r="O28" s="319">
        <f>Inputs!$C$68/60</f>
        <v>0.18333333333333332</v>
      </c>
      <c r="P28" s="320">
        <f t="shared" si="2"/>
        <v>4614.9575999999997</v>
      </c>
      <c r="Q28" s="321">
        <f>N28*O28*$B$8*'Parameter Values'!$B$44</f>
        <v>10581.030878</v>
      </c>
      <c r="R28" s="329">
        <f>Inputs!$C$67</f>
        <v>20.357037037037038</v>
      </c>
      <c r="U28" s="315">
        <f t="shared" si="9"/>
        <v>2038</v>
      </c>
      <c r="V28" s="316">
        <f>'Traffic Volumes'!$H27</f>
        <v>5154</v>
      </c>
      <c r="W28" s="317">
        <f>Inputs!$D$69</f>
        <v>0.2</v>
      </c>
      <c r="X28" s="318">
        <f t="shared" si="10"/>
        <v>1030.8</v>
      </c>
      <c r="Y28" s="317">
        <f>Inputs!$E$19</f>
        <v>0.16</v>
      </c>
      <c r="Z28" s="318">
        <f t="shared" si="11"/>
        <v>164.928</v>
      </c>
      <c r="AA28" s="318">
        <f t="shared" si="12"/>
        <v>865.87199999999996</v>
      </c>
      <c r="AB28" s="319">
        <f>Inputs!$D$68/60</f>
        <v>0.16666666666666666</v>
      </c>
      <c r="AC28" s="320">
        <f t="shared" si="3"/>
        <v>1022.5536000000001</v>
      </c>
      <c r="AD28" s="321">
        <f>AA28*AB28*$B$8*'Parameter Values'!$B$44</f>
        <v>3886.8994079999998</v>
      </c>
      <c r="AE28" s="329">
        <f>Inputs!$D$67</f>
        <v>9.3022222222222233</v>
      </c>
      <c r="AF28"/>
      <c r="AG28" s="315">
        <f t="shared" si="13"/>
        <v>2038</v>
      </c>
      <c r="AH28" s="316">
        <f>'Traffic Volumes'!B27</f>
        <v>30727</v>
      </c>
      <c r="AI28" s="317">
        <f>Inputs!$B$69</f>
        <v>0.3</v>
      </c>
      <c r="AJ28" s="318">
        <f t="shared" si="14"/>
        <v>9218.1</v>
      </c>
      <c r="AK28" s="317">
        <f>Inputs!$E$16</f>
        <v>0.09</v>
      </c>
      <c r="AL28" s="318">
        <f t="shared" si="15"/>
        <v>829.62900000000002</v>
      </c>
      <c r="AM28" s="318">
        <f t="shared" si="16"/>
        <v>8388.4710000000014</v>
      </c>
      <c r="AN28" s="319">
        <f>Inputs!$B$68/60</f>
        <v>0.5</v>
      </c>
      <c r="AO28" s="320">
        <f t="shared" si="4"/>
        <v>15431.099400000001</v>
      </c>
      <c r="AP28" s="321">
        <f>AM28*AN28*$B$8*'Parameter Values'!$B$44</f>
        <v>112967.53895700003</v>
      </c>
      <c r="AQ28" s="329">
        <f>Inputs!$B$67</f>
        <v>52</v>
      </c>
      <c r="AR28"/>
      <c r="AS28"/>
      <c r="AT28"/>
      <c r="AU28"/>
      <c r="AV28"/>
      <c r="AW28"/>
      <c r="AX28"/>
      <c r="AY28"/>
      <c r="AZ28"/>
      <c r="BA28"/>
      <c r="BB28" s="14"/>
    </row>
    <row r="29" spans="1:54" x14ac:dyDescent="0.35">
      <c r="A29" s="1">
        <f>IF(A28&lt;'Project Information'!B$11,A28+1,"")</f>
        <v>2042</v>
      </c>
      <c r="B29" s="22">
        <f t="shared" si="0"/>
        <v>7309854.2892365474</v>
      </c>
      <c r="C29" s="22">
        <v>0</v>
      </c>
      <c r="D29" s="8">
        <f t="shared" si="1"/>
        <v>7309854.2892365474</v>
      </c>
      <c r="G29" s="13"/>
      <c r="H29" s="315">
        <f t="shared" si="5"/>
        <v>2039</v>
      </c>
      <c r="I29" s="316">
        <f>'Traffic Volumes'!$F28</f>
        <v>11334</v>
      </c>
      <c r="J29" s="317">
        <f>Inputs!$C$69</f>
        <v>0.25</v>
      </c>
      <c r="K29" s="318">
        <f t="shared" si="6"/>
        <v>2833.5</v>
      </c>
      <c r="L29" s="317">
        <f>Inputs!$E$18</f>
        <v>0.24</v>
      </c>
      <c r="M29" s="318">
        <f t="shared" si="7"/>
        <v>680.04</v>
      </c>
      <c r="N29" s="318">
        <f t="shared" si="8"/>
        <v>2153.46</v>
      </c>
      <c r="O29" s="319">
        <f>Inputs!$C$68/60</f>
        <v>0.18333333333333332</v>
      </c>
      <c r="P29" s="320">
        <f t="shared" si="2"/>
        <v>4637.8727999999992</v>
      </c>
      <c r="Q29" s="321">
        <f>N29*O29*$B$8*'Parameter Values'!$B$44</f>
        <v>10633.570134000001</v>
      </c>
      <c r="R29" s="329">
        <f>Inputs!$C$67</f>
        <v>20.357037037037038</v>
      </c>
      <c r="U29" s="315">
        <f t="shared" si="9"/>
        <v>2039</v>
      </c>
      <c r="V29" s="316">
        <f>'Traffic Volumes'!$H28</f>
        <v>5180</v>
      </c>
      <c r="W29" s="317">
        <f>Inputs!$D$69</f>
        <v>0.2</v>
      </c>
      <c r="X29" s="318">
        <f t="shared" si="10"/>
        <v>1036</v>
      </c>
      <c r="Y29" s="317">
        <f>Inputs!$E$19</f>
        <v>0.16</v>
      </c>
      <c r="Z29" s="318">
        <f t="shared" si="11"/>
        <v>165.76</v>
      </c>
      <c r="AA29" s="318">
        <f t="shared" si="12"/>
        <v>870.24</v>
      </c>
      <c r="AB29" s="319">
        <f>Inputs!$D$68/60</f>
        <v>0.16666666666666666</v>
      </c>
      <c r="AC29" s="320">
        <f t="shared" si="3"/>
        <v>1027.712</v>
      </c>
      <c r="AD29" s="321">
        <f>AA29*AB29*$B$8*'Parameter Values'!$B$44</f>
        <v>3906.5073600000005</v>
      </c>
      <c r="AE29" s="329">
        <f>Inputs!$D$67</f>
        <v>9.3022222222222233</v>
      </c>
      <c r="AF29"/>
      <c r="AG29" s="315">
        <f t="shared" si="13"/>
        <v>2039</v>
      </c>
      <c r="AH29" s="316">
        <f>'Traffic Volumes'!B28</f>
        <v>31034</v>
      </c>
      <c r="AI29" s="317">
        <f>Inputs!$B$69</f>
        <v>0.3</v>
      </c>
      <c r="AJ29" s="318">
        <f t="shared" si="14"/>
        <v>9310.1999999999989</v>
      </c>
      <c r="AK29" s="317">
        <f>Inputs!$E$16</f>
        <v>0.09</v>
      </c>
      <c r="AL29" s="318">
        <f t="shared" si="15"/>
        <v>837.91799999999989</v>
      </c>
      <c r="AM29" s="318">
        <f t="shared" si="16"/>
        <v>8472.2819999999992</v>
      </c>
      <c r="AN29" s="319">
        <f>Inputs!$B$68/60</f>
        <v>0.5</v>
      </c>
      <c r="AO29" s="320">
        <f t="shared" si="4"/>
        <v>15585.274799999999</v>
      </c>
      <c r="AP29" s="321">
        <f>AM29*AN29*$B$8*'Parameter Values'!$B$44</f>
        <v>114096.22169400001</v>
      </c>
      <c r="AQ29" s="329">
        <f>Inputs!$B$67</f>
        <v>52</v>
      </c>
      <c r="AR29"/>
      <c r="AS29"/>
      <c r="AT29"/>
      <c r="AU29"/>
      <c r="AV29"/>
      <c r="AW29"/>
      <c r="AX29"/>
      <c r="AY29"/>
      <c r="AZ29"/>
      <c r="BA29"/>
      <c r="BB29" s="14"/>
    </row>
    <row r="30" spans="1:54" x14ac:dyDescent="0.35">
      <c r="A30" s="1">
        <f>IF(A29&lt;'Project Information'!B$11,A29+1,"")</f>
        <v>2043</v>
      </c>
      <c r="B30" s="22">
        <f t="shared" si="0"/>
        <v>7381208.9769260082</v>
      </c>
      <c r="C30" s="22">
        <v>0</v>
      </c>
      <c r="D30" s="8">
        <f t="shared" si="1"/>
        <v>7381208.9769260082</v>
      </c>
      <c r="G30" s="13"/>
      <c r="H30" s="315">
        <f t="shared" si="5"/>
        <v>2040</v>
      </c>
      <c r="I30" s="316">
        <f>'Traffic Volumes'!$F29</f>
        <v>11391</v>
      </c>
      <c r="J30" s="317">
        <f>Inputs!$C$69</f>
        <v>0.25</v>
      </c>
      <c r="K30" s="318">
        <f t="shared" si="6"/>
        <v>2847.75</v>
      </c>
      <c r="L30" s="317">
        <f>Inputs!$E$18</f>
        <v>0.24</v>
      </c>
      <c r="M30" s="318">
        <f t="shared" si="7"/>
        <v>683.45999999999992</v>
      </c>
      <c r="N30" s="318">
        <f t="shared" si="8"/>
        <v>2164.29</v>
      </c>
      <c r="O30" s="319">
        <f>Inputs!$C$68/60</f>
        <v>0.18333333333333332</v>
      </c>
      <c r="P30" s="320">
        <f t="shared" si="2"/>
        <v>4661.1971999999996</v>
      </c>
      <c r="Q30" s="321">
        <f>N30*O30*$B$8*'Parameter Values'!$B$44</f>
        <v>10687.047591</v>
      </c>
      <c r="R30" s="329">
        <f>Inputs!$C$67</f>
        <v>20.357037037037038</v>
      </c>
      <c r="U30" s="315">
        <f t="shared" si="9"/>
        <v>2040</v>
      </c>
      <c r="V30" s="316">
        <f>'Traffic Volumes'!$H29</f>
        <v>5206</v>
      </c>
      <c r="W30" s="317">
        <f>Inputs!$D$69</f>
        <v>0.2</v>
      </c>
      <c r="X30" s="318">
        <f t="shared" si="10"/>
        <v>1041.2</v>
      </c>
      <c r="Y30" s="317">
        <f>Inputs!$E$19</f>
        <v>0.16</v>
      </c>
      <c r="Z30" s="318">
        <f t="shared" si="11"/>
        <v>166.59200000000001</v>
      </c>
      <c r="AA30" s="318">
        <f t="shared" si="12"/>
        <v>874.60800000000006</v>
      </c>
      <c r="AB30" s="319">
        <f>Inputs!$D$68/60</f>
        <v>0.16666666666666666</v>
      </c>
      <c r="AC30" s="320">
        <f t="shared" si="3"/>
        <v>1032.8704</v>
      </c>
      <c r="AD30" s="321">
        <f>AA30*AB30*$B$8*'Parameter Values'!$B$44</f>
        <v>3926.1153120000008</v>
      </c>
      <c r="AE30" s="329">
        <f>Inputs!$D$67</f>
        <v>9.3022222222222233</v>
      </c>
      <c r="AF30"/>
      <c r="AG30" s="315">
        <f t="shared" si="13"/>
        <v>2040</v>
      </c>
      <c r="AH30" s="316">
        <f>'Traffic Volumes'!B29</f>
        <v>31344</v>
      </c>
      <c r="AI30" s="317">
        <f>Inputs!$B$69</f>
        <v>0.3</v>
      </c>
      <c r="AJ30" s="318">
        <f t="shared" si="14"/>
        <v>9403.1999999999989</v>
      </c>
      <c r="AK30" s="317">
        <f>Inputs!$E$16</f>
        <v>0.09</v>
      </c>
      <c r="AL30" s="318">
        <f t="shared" si="15"/>
        <v>846.2879999999999</v>
      </c>
      <c r="AM30" s="318">
        <f t="shared" si="16"/>
        <v>8556.9119999999984</v>
      </c>
      <c r="AN30" s="319">
        <f>Inputs!$B$68/60</f>
        <v>0.5</v>
      </c>
      <c r="AO30" s="320">
        <f t="shared" si="4"/>
        <v>15740.9568</v>
      </c>
      <c r="AP30" s="321">
        <f>AM30*AN30*$B$8*'Parameter Values'!$B$44</f>
        <v>115235.933904</v>
      </c>
      <c r="AQ30" s="329">
        <f>Inputs!$B$67</f>
        <v>52</v>
      </c>
      <c r="AR30"/>
      <c r="AS30"/>
      <c r="AT30"/>
      <c r="AU30"/>
      <c r="AV30"/>
      <c r="AW30"/>
      <c r="AX30"/>
      <c r="AY30"/>
      <c r="AZ30"/>
      <c r="BA30"/>
      <c r="BB30" s="14"/>
    </row>
    <row r="31" spans="1:54" x14ac:dyDescent="0.35">
      <c r="A31" s="1">
        <f>IF(A30&lt;'Project Information'!B$11,A30+1,"")</f>
        <v>2044</v>
      </c>
      <c r="B31" s="22">
        <f t="shared" si="0"/>
        <v>7453215.5404114695</v>
      </c>
      <c r="C31" s="22">
        <v>0</v>
      </c>
      <c r="D31" s="8">
        <f t="shared" si="1"/>
        <v>7453215.5404114695</v>
      </c>
      <c r="G31" s="13"/>
      <c r="H31" s="315">
        <f t="shared" si="5"/>
        <v>2041</v>
      </c>
      <c r="I31" s="316">
        <f>'Traffic Volumes'!$F30</f>
        <v>11448</v>
      </c>
      <c r="J31" s="317">
        <f>Inputs!$C$69</f>
        <v>0.25</v>
      </c>
      <c r="K31" s="318">
        <f t="shared" si="6"/>
        <v>2862</v>
      </c>
      <c r="L31" s="317">
        <f>Inputs!$E$18</f>
        <v>0.24</v>
      </c>
      <c r="M31" s="318">
        <f t="shared" si="7"/>
        <v>686.88</v>
      </c>
      <c r="N31" s="318">
        <f t="shared" si="8"/>
        <v>2175.12</v>
      </c>
      <c r="O31" s="319">
        <f>Inputs!$C$68/60</f>
        <v>0.18333333333333332</v>
      </c>
      <c r="P31" s="320">
        <f t="shared" si="2"/>
        <v>4684.5216</v>
      </c>
      <c r="Q31" s="321">
        <f>N31*O31*$B$8*'Parameter Values'!$B$44</f>
        <v>10740.525048</v>
      </c>
      <c r="R31" s="329">
        <f>Inputs!$C$67</f>
        <v>20.357037037037038</v>
      </c>
      <c r="U31" s="315">
        <f t="shared" si="9"/>
        <v>2041</v>
      </c>
      <c r="V31" s="316">
        <f>'Traffic Volumes'!$H30</f>
        <v>5232</v>
      </c>
      <c r="W31" s="317">
        <f>Inputs!$D$69</f>
        <v>0.2</v>
      </c>
      <c r="X31" s="318">
        <f t="shared" si="10"/>
        <v>1046.4000000000001</v>
      </c>
      <c r="Y31" s="317">
        <f>Inputs!$E$19</f>
        <v>0.16</v>
      </c>
      <c r="Z31" s="318">
        <f t="shared" si="11"/>
        <v>167.42400000000001</v>
      </c>
      <c r="AA31" s="318">
        <f t="shared" si="12"/>
        <v>878.976</v>
      </c>
      <c r="AB31" s="319">
        <f>Inputs!$D$68/60</f>
        <v>0.16666666666666666</v>
      </c>
      <c r="AC31" s="320">
        <f t="shared" si="3"/>
        <v>1038.0288</v>
      </c>
      <c r="AD31" s="321">
        <f>AA31*AB31*$B$8*'Parameter Values'!$B$44</f>
        <v>3945.7232640000002</v>
      </c>
      <c r="AE31" s="329">
        <f>Inputs!$D$67</f>
        <v>9.3022222222222233</v>
      </c>
      <c r="AF31"/>
      <c r="AG31" s="315">
        <f t="shared" si="13"/>
        <v>2041</v>
      </c>
      <c r="AH31" s="316">
        <f>'Traffic Volumes'!B30</f>
        <v>31657</v>
      </c>
      <c r="AI31" s="317">
        <f>Inputs!$B$69</f>
        <v>0.3</v>
      </c>
      <c r="AJ31" s="318">
        <f t="shared" si="14"/>
        <v>9497.1</v>
      </c>
      <c r="AK31" s="317">
        <f>Inputs!$E$16</f>
        <v>0.09</v>
      </c>
      <c r="AL31" s="318">
        <f t="shared" si="15"/>
        <v>854.73900000000003</v>
      </c>
      <c r="AM31" s="318">
        <f t="shared" si="16"/>
        <v>8642.3610000000008</v>
      </c>
      <c r="AN31" s="319">
        <f>Inputs!$B$68/60</f>
        <v>0.5</v>
      </c>
      <c r="AO31" s="320">
        <f t="shared" si="4"/>
        <v>15898.145400000001</v>
      </c>
      <c r="AP31" s="321">
        <f>AM31*AN31*$B$8*'Parameter Values'!$B$44</f>
        <v>116386.67558700003</v>
      </c>
      <c r="AQ31" s="329">
        <f>Inputs!$B$67</f>
        <v>52</v>
      </c>
      <c r="AR31"/>
      <c r="AS31"/>
      <c r="AT31"/>
      <c r="AU31"/>
      <c r="AV31"/>
      <c r="AW31"/>
      <c r="AX31"/>
      <c r="AY31"/>
      <c r="AZ31"/>
      <c r="BA31"/>
      <c r="BB31" s="14"/>
    </row>
    <row r="32" spans="1:54" x14ac:dyDescent="0.35">
      <c r="A32" s="1">
        <f>IF(A31&lt;'Project Information'!B$11,A31+1,"")</f>
        <v>2045</v>
      </c>
      <c r="B32" s="22">
        <f t="shared" si="0"/>
        <v>7525882.8405433111</v>
      </c>
      <c r="C32" s="22">
        <v>0</v>
      </c>
      <c r="D32" s="8">
        <f t="shared" si="1"/>
        <v>7525882.8405433111</v>
      </c>
      <c r="G32" s="13"/>
      <c r="H32" s="315">
        <f t="shared" si="5"/>
        <v>2042</v>
      </c>
      <c r="I32" s="316">
        <f>'Traffic Volumes'!$F31</f>
        <v>11505</v>
      </c>
      <c r="J32" s="317">
        <f>Inputs!$C$69</f>
        <v>0.25</v>
      </c>
      <c r="K32" s="318">
        <f t="shared" si="6"/>
        <v>2876.25</v>
      </c>
      <c r="L32" s="317">
        <f>Inputs!$E$18</f>
        <v>0.24</v>
      </c>
      <c r="M32" s="318">
        <f t="shared" si="7"/>
        <v>690.3</v>
      </c>
      <c r="N32" s="318">
        <f t="shared" si="8"/>
        <v>2185.9499999999998</v>
      </c>
      <c r="O32" s="319">
        <f>Inputs!$C$68/60</f>
        <v>0.18333333333333332</v>
      </c>
      <c r="P32" s="320">
        <f t="shared" si="2"/>
        <v>4707.8459999999995</v>
      </c>
      <c r="Q32" s="321">
        <f>N32*O32*$B$8*'Parameter Values'!$B$44</f>
        <v>10794.002505</v>
      </c>
      <c r="R32" s="329">
        <f>Inputs!$C$67</f>
        <v>20.357037037037038</v>
      </c>
      <c r="U32" s="315">
        <f t="shared" si="9"/>
        <v>2042</v>
      </c>
      <c r="V32" s="316">
        <f>'Traffic Volumes'!$H31</f>
        <v>5258</v>
      </c>
      <c r="W32" s="317">
        <f>Inputs!$D$69</f>
        <v>0.2</v>
      </c>
      <c r="X32" s="318">
        <f t="shared" si="10"/>
        <v>1051.6000000000001</v>
      </c>
      <c r="Y32" s="317">
        <f>Inputs!$E$19</f>
        <v>0.16</v>
      </c>
      <c r="Z32" s="318">
        <f t="shared" si="11"/>
        <v>168.25600000000003</v>
      </c>
      <c r="AA32" s="318">
        <f t="shared" si="12"/>
        <v>883.34400000000005</v>
      </c>
      <c r="AB32" s="319">
        <f>Inputs!$D$68/60</f>
        <v>0.16666666666666666</v>
      </c>
      <c r="AC32" s="320">
        <f t="shared" si="3"/>
        <v>1043.1872000000001</v>
      </c>
      <c r="AD32" s="321">
        <f>AA32*AB32*$B$8*'Parameter Values'!$B$44</f>
        <v>3965.3312160000005</v>
      </c>
      <c r="AE32" s="329">
        <f>Inputs!$D$67</f>
        <v>9.3022222222222233</v>
      </c>
      <c r="AF32"/>
      <c r="AG32" s="315">
        <f t="shared" si="13"/>
        <v>2042</v>
      </c>
      <c r="AH32" s="316">
        <f>'Traffic Volumes'!B31</f>
        <v>31974</v>
      </c>
      <c r="AI32" s="317">
        <f>Inputs!$B$69</f>
        <v>0.3</v>
      </c>
      <c r="AJ32" s="318">
        <f t="shared" si="14"/>
        <v>9592.1999999999989</v>
      </c>
      <c r="AK32" s="317">
        <f>Inputs!$E$16</f>
        <v>0.09</v>
      </c>
      <c r="AL32" s="318">
        <f t="shared" si="15"/>
        <v>863.29799999999989</v>
      </c>
      <c r="AM32" s="318">
        <f t="shared" si="16"/>
        <v>8728.902</v>
      </c>
      <c r="AN32" s="319">
        <f>Inputs!$B$68/60</f>
        <v>0.5</v>
      </c>
      <c r="AO32" s="320">
        <f t="shared" si="4"/>
        <v>16057.342799999999</v>
      </c>
      <c r="AP32" s="321">
        <f>AM32*AN32*$B$8*'Parameter Values'!$B$44</f>
        <v>117552.12323400001</v>
      </c>
      <c r="AQ32" s="329">
        <f>Inputs!$B$67</f>
        <v>52</v>
      </c>
      <c r="AR32"/>
      <c r="AS32"/>
      <c r="AT32"/>
      <c r="AU32"/>
      <c r="AV32"/>
      <c r="AW32"/>
      <c r="AX32"/>
      <c r="AY32"/>
      <c r="AZ32"/>
      <c r="BA32"/>
      <c r="BB32" s="14"/>
    </row>
    <row r="33" spans="1:54" x14ac:dyDescent="0.35">
      <c r="A33" s="1">
        <f>IF(A32&lt;'Project Information'!B$11,A32+1,"")</f>
        <v>2046</v>
      </c>
      <c r="B33" s="22">
        <f t="shared" si="0"/>
        <v>7599202.0164711559</v>
      </c>
      <c r="C33" s="22">
        <v>0</v>
      </c>
      <c r="D33" s="8">
        <f t="shared" si="1"/>
        <v>7599202.0164711559</v>
      </c>
      <c r="G33" s="13"/>
      <c r="H33" s="315">
        <f t="shared" si="5"/>
        <v>2043</v>
      </c>
      <c r="I33" s="316">
        <f>'Traffic Volumes'!$F32</f>
        <v>11563</v>
      </c>
      <c r="J33" s="317">
        <f>Inputs!$C$69</f>
        <v>0.25</v>
      </c>
      <c r="K33" s="318">
        <f t="shared" si="6"/>
        <v>2890.75</v>
      </c>
      <c r="L33" s="317">
        <f>Inputs!$E$18</f>
        <v>0.24</v>
      </c>
      <c r="M33" s="318">
        <f t="shared" si="7"/>
        <v>693.78</v>
      </c>
      <c r="N33" s="318">
        <f t="shared" si="8"/>
        <v>2196.9699999999998</v>
      </c>
      <c r="O33" s="319">
        <f>Inputs!$C$68/60</f>
        <v>0.18333333333333332</v>
      </c>
      <c r="P33" s="320">
        <f t="shared" si="2"/>
        <v>4731.5796</v>
      </c>
      <c r="Q33" s="321">
        <f>N33*O33*$B$8*'Parameter Values'!$B$44</f>
        <v>10848.418163</v>
      </c>
      <c r="R33" s="329">
        <f>Inputs!$C$67</f>
        <v>20.357037037037038</v>
      </c>
      <c r="U33" s="315">
        <f t="shared" si="9"/>
        <v>2043</v>
      </c>
      <c r="V33" s="316">
        <f>'Traffic Volumes'!$H32</f>
        <v>5284</v>
      </c>
      <c r="W33" s="317">
        <f>Inputs!$D$69</f>
        <v>0.2</v>
      </c>
      <c r="X33" s="318">
        <f t="shared" si="10"/>
        <v>1056.8</v>
      </c>
      <c r="Y33" s="317">
        <f>Inputs!$E$19</f>
        <v>0.16</v>
      </c>
      <c r="Z33" s="318">
        <f t="shared" si="11"/>
        <v>169.08799999999999</v>
      </c>
      <c r="AA33" s="318">
        <f t="shared" si="12"/>
        <v>887.71199999999988</v>
      </c>
      <c r="AB33" s="319">
        <f>Inputs!$D$68/60</f>
        <v>0.16666666666666666</v>
      </c>
      <c r="AC33" s="320">
        <f t="shared" si="3"/>
        <v>1048.3456000000001</v>
      </c>
      <c r="AD33" s="321">
        <f>AA33*AB33*$B$8*'Parameter Values'!$B$44</f>
        <v>3984.9391679999994</v>
      </c>
      <c r="AE33" s="329">
        <f>Inputs!$D$67</f>
        <v>9.3022222222222233</v>
      </c>
      <c r="AF33"/>
      <c r="AG33" s="315">
        <f t="shared" si="13"/>
        <v>2043</v>
      </c>
      <c r="AH33" s="316">
        <f>'Traffic Volumes'!B32</f>
        <v>32294</v>
      </c>
      <c r="AI33" s="317">
        <f>Inputs!$B$69</f>
        <v>0.3</v>
      </c>
      <c r="AJ33" s="318">
        <f t="shared" si="14"/>
        <v>9688.1999999999989</v>
      </c>
      <c r="AK33" s="317">
        <f>Inputs!$E$16</f>
        <v>0.09</v>
      </c>
      <c r="AL33" s="318">
        <f t="shared" si="15"/>
        <v>871.93799999999987</v>
      </c>
      <c r="AM33" s="318">
        <f t="shared" si="16"/>
        <v>8816.2619999999988</v>
      </c>
      <c r="AN33" s="319">
        <f>Inputs!$B$68/60</f>
        <v>0.5</v>
      </c>
      <c r="AO33" s="320">
        <f t="shared" si="4"/>
        <v>16218.046799999998</v>
      </c>
      <c r="AP33" s="321">
        <f>AM33*AN33*$B$8*'Parameter Values'!$B$44</f>
        <v>118728.60035399999</v>
      </c>
      <c r="AQ33" s="329">
        <f>Inputs!$B$67</f>
        <v>52</v>
      </c>
      <c r="AR33"/>
      <c r="AS33"/>
      <c r="AT33"/>
      <c r="AU33"/>
      <c r="AV33"/>
      <c r="AW33"/>
      <c r="AX33"/>
      <c r="AY33"/>
      <c r="AZ33"/>
      <c r="BA33"/>
      <c r="BB33" s="14"/>
    </row>
    <row r="34" spans="1:54" x14ac:dyDescent="0.35">
      <c r="A34" s="1">
        <f>IF(A33&lt;'Project Information'!B$11,A33+1,"")</f>
        <v>2047</v>
      </c>
      <c r="B34" s="22">
        <f t="shared" si="0"/>
        <v>7673417.7892190591</v>
      </c>
      <c r="C34" s="22">
        <v>0</v>
      </c>
      <c r="D34" s="8">
        <f t="shared" si="1"/>
        <v>7673417.7892190591</v>
      </c>
      <c r="G34" s="13"/>
      <c r="H34" s="315">
        <f t="shared" si="5"/>
        <v>2044</v>
      </c>
      <c r="I34" s="316">
        <f>'Traffic Volumes'!$F33</f>
        <v>11621</v>
      </c>
      <c r="J34" s="317">
        <f>Inputs!$C$69</f>
        <v>0.25</v>
      </c>
      <c r="K34" s="318">
        <f t="shared" si="6"/>
        <v>2905.25</v>
      </c>
      <c r="L34" s="317">
        <f>Inputs!$E$18</f>
        <v>0.24</v>
      </c>
      <c r="M34" s="318">
        <f t="shared" si="7"/>
        <v>697.26</v>
      </c>
      <c r="N34" s="318">
        <f t="shared" si="8"/>
        <v>2207.9900000000002</v>
      </c>
      <c r="O34" s="319">
        <f>Inputs!$C$68/60</f>
        <v>0.18333333333333332</v>
      </c>
      <c r="P34" s="320">
        <f t="shared" si="2"/>
        <v>4755.3131999999996</v>
      </c>
      <c r="Q34" s="321">
        <f>N34*O34*$B$8*'Parameter Values'!$B$44</f>
        <v>10902.833821000002</v>
      </c>
      <c r="R34" s="329">
        <f>Inputs!$C$67</f>
        <v>20.357037037037038</v>
      </c>
      <c r="U34" s="315">
        <f t="shared" si="9"/>
        <v>2044</v>
      </c>
      <c r="V34" s="316">
        <f>'Traffic Volumes'!$H33</f>
        <v>5310</v>
      </c>
      <c r="W34" s="317">
        <f>Inputs!$D$69</f>
        <v>0.2</v>
      </c>
      <c r="X34" s="318">
        <f t="shared" si="10"/>
        <v>1062</v>
      </c>
      <c r="Y34" s="317">
        <f>Inputs!$E$19</f>
        <v>0.16</v>
      </c>
      <c r="Z34" s="318">
        <f t="shared" si="11"/>
        <v>169.92000000000002</v>
      </c>
      <c r="AA34" s="318">
        <f t="shared" si="12"/>
        <v>892.07999999999993</v>
      </c>
      <c r="AB34" s="319">
        <f>Inputs!$D$68/60</f>
        <v>0.16666666666666666</v>
      </c>
      <c r="AC34" s="320">
        <f t="shared" si="3"/>
        <v>1053.5040000000001</v>
      </c>
      <c r="AD34" s="321">
        <f>AA34*AB34*$B$8*'Parameter Values'!$B$44</f>
        <v>4004.5471200000002</v>
      </c>
      <c r="AE34" s="329">
        <f>Inputs!$D$67</f>
        <v>9.3022222222222233</v>
      </c>
      <c r="AF34"/>
      <c r="AG34" s="315">
        <f t="shared" si="13"/>
        <v>2044</v>
      </c>
      <c r="AH34" s="316">
        <f>'Traffic Volumes'!B33</f>
        <v>32617</v>
      </c>
      <c r="AI34" s="317">
        <f>Inputs!$B$69</f>
        <v>0.3</v>
      </c>
      <c r="AJ34" s="318">
        <f t="shared" si="14"/>
        <v>9785.1</v>
      </c>
      <c r="AK34" s="317">
        <f>Inputs!$E$16</f>
        <v>0.09</v>
      </c>
      <c r="AL34" s="318">
        <f t="shared" si="15"/>
        <v>880.65899999999999</v>
      </c>
      <c r="AM34" s="318">
        <f t="shared" si="16"/>
        <v>8904.4410000000007</v>
      </c>
      <c r="AN34" s="319">
        <f>Inputs!$B$68/60</f>
        <v>0.5</v>
      </c>
      <c r="AO34" s="320">
        <f t="shared" si="4"/>
        <v>16380.2574</v>
      </c>
      <c r="AP34" s="321">
        <f>AM34*AN34*$B$8*'Parameter Values'!$B$44</f>
        <v>119916.10694700002</v>
      </c>
      <c r="AQ34" s="329">
        <f>Inputs!$B$67</f>
        <v>52</v>
      </c>
      <c r="AR34"/>
      <c r="AS34"/>
      <c r="AT34"/>
      <c r="AU34"/>
      <c r="AV34"/>
      <c r="AW34"/>
      <c r="AX34"/>
      <c r="AY34"/>
      <c r="AZ34"/>
      <c r="BA34"/>
      <c r="BB34" s="14"/>
    </row>
    <row r="35" spans="1:54" x14ac:dyDescent="0.35">
      <c r="A35" s="1">
        <f>IF(A34&lt;'Project Information'!B$11,A34+1,"")</f>
        <v>2048</v>
      </c>
      <c r="B35" s="22">
        <f t="shared" si="0"/>
        <v>7748285.4377629627</v>
      </c>
      <c r="C35" s="22">
        <v>0</v>
      </c>
      <c r="D35" s="8">
        <f t="shared" si="1"/>
        <v>7748285.4377629627</v>
      </c>
      <c r="G35" s="13"/>
      <c r="H35" s="315">
        <f t="shared" si="5"/>
        <v>2045</v>
      </c>
      <c r="I35" s="316">
        <f>'Traffic Volumes'!$F34</f>
        <v>11679</v>
      </c>
      <c r="J35" s="317">
        <f>Inputs!$C$69</f>
        <v>0.25</v>
      </c>
      <c r="K35" s="318">
        <f t="shared" si="6"/>
        <v>2919.75</v>
      </c>
      <c r="L35" s="317">
        <f>Inputs!$E$18</f>
        <v>0.24</v>
      </c>
      <c r="M35" s="318">
        <f t="shared" si="7"/>
        <v>700.74</v>
      </c>
      <c r="N35" s="318">
        <f t="shared" si="8"/>
        <v>2219.0100000000002</v>
      </c>
      <c r="O35" s="319">
        <f>Inputs!$C$68/60</f>
        <v>0.18333333333333332</v>
      </c>
      <c r="P35" s="320">
        <f t="shared" si="2"/>
        <v>4779.0468000000001</v>
      </c>
      <c r="Q35" s="321">
        <f>N35*O35*$B$8*'Parameter Values'!$B$44</f>
        <v>10957.249479000002</v>
      </c>
      <c r="R35" s="329">
        <f>Inputs!$C$67</f>
        <v>20.357037037037038</v>
      </c>
      <c r="U35" s="315">
        <f t="shared" si="9"/>
        <v>2045</v>
      </c>
      <c r="V35" s="316">
        <f>'Traffic Volumes'!$H34</f>
        <v>5337</v>
      </c>
      <c r="W35" s="317">
        <f>Inputs!$D$69</f>
        <v>0.2</v>
      </c>
      <c r="X35" s="318">
        <f t="shared" si="10"/>
        <v>1067.4000000000001</v>
      </c>
      <c r="Y35" s="317">
        <f>Inputs!$E$19</f>
        <v>0.16</v>
      </c>
      <c r="Z35" s="318">
        <f t="shared" si="11"/>
        <v>170.78400000000002</v>
      </c>
      <c r="AA35" s="318">
        <f t="shared" si="12"/>
        <v>896.6160000000001</v>
      </c>
      <c r="AB35" s="319">
        <f>Inputs!$D$68/60</f>
        <v>0.16666666666666666</v>
      </c>
      <c r="AC35" s="320">
        <f t="shared" si="3"/>
        <v>1058.8608000000002</v>
      </c>
      <c r="AD35" s="321">
        <f>AA35*AB35*$B$8*'Parameter Values'!$B$44</f>
        <v>4024.9092240000004</v>
      </c>
      <c r="AE35" s="329">
        <f>Inputs!$D$67</f>
        <v>9.3022222222222233</v>
      </c>
      <c r="AF35"/>
      <c r="AG35" s="315">
        <f t="shared" si="13"/>
        <v>2045</v>
      </c>
      <c r="AH35" s="316">
        <f>'Traffic Volumes'!B34</f>
        <v>32943</v>
      </c>
      <c r="AI35" s="317">
        <f>Inputs!$B$69</f>
        <v>0.3</v>
      </c>
      <c r="AJ35" s="318">
        <f t="shared" si="14"/>
        <v>9882.9</v>
      </c>
      <c r="AK35" s="317">
        <f>Inputs!$E$16</f>
        <v>0.09</v>
      </c>
      <c r="AL35" s="318">
        <f t="shared" si="15"/>
        <v>889.4609999999999</v>
      </c>
      <c r="AM35" s="318">
        <f t="shared" si="16"/>
        <v>8993.4390000000003</v>
      </c>
      <c r="AN35" s="319">
        <f>Inputs!$B$68/60</f>
        <v>0.5</v>
      </c>
      <c r="AO35" s="320">
        <f t="shared" si="4"/>
        <v>16543.974599999998</v>
      </c>
      <c r="AP35" s="321">
        <f>AM35*AN35*$B$8*'Parameter Values'!$B$44</f>
        <v>121114.64301300001</v>
      </c>
      <c r="AQ35" s="329">
        <f>Inputs!$B$67</f>
        <v>52</v>
      </c>
      <c r="AR35"/>
      <c r="AS35"/>
      <c r="AT35"/>
      <c r="AU35"/>
      <c r="AV35"/>
      <c r="AW35"/>
      <c r="AX35"/>
      <c r="AY35"/>
      <c r="AZ35"/>
      <c r="BA35"/>
      <c r="BB35" s="14"/>
    </row>
    <row r="36" spans="1:54" x14ac:dyDescent="0.35">
      <c r="A36" s="1">
        <f>IF(A35&lt;'Project Information'!B$11,A35+1,"")</f>
        <v>2049</v>
      </c>
      <c r="B36" s="22">
        <f t="shared" si="0"/>
        <v>7823804.9621028658</v>
      </c>
      <c r="C36" s="22">
        <v>0</v>
      </c>
      <c r="D36" s="8">
        <f t="shared" si="1"/>
        <v>7823804.9621028658</v>
      </c>
      <c r="G36" s="13"/>
      <c r="H36" s="315">
        <f t="shared" si="5"/>
        <v>2046</v>
      </c>
      <c r="I36" s="316">
        <f>'Traffic Volumes'!$F35</f>
        <v>11737</v>
      </c>
      <c r="J36" s="317">
        <f>Inputs!$C$69</f>
        <v>0.25</v>
      </c>
      <c r="K36" s="318">
        <f t="shared" si="6"/>
        <v>2934.25</v>
      </c>
      <c r="L36" s="317">
        <f>Inputs!$E$18</f>
        <v>0.24</v>
      </c>
      <c r="M36" s="318">
        <f t="shared" si="7"/>
        <v>704.22</v>
      </c>
      <c r="N36" s="318">
        <f t="shared" si="8"/>
        <v>2230.0300000000002</v>
      </c>
      <c r="O36" s="319">
        <f>Inputs!$C$68/60</f>
        <v>0.18333333333333332</v>
      </c>
      <c r="P36" s="320">
        <f t="shared" si="2"/>
        <v>4802.7804000000006</v>
      </c>
      <c r="Q36" s="321">
        <f>N36*O36*$B$8*'Parameter Values'!$B$44</f>
        <v>11011.665137000002</v>
      </c>
      <c r="R36" s="329">
        <f>Inputs!$C$67</f>
        <v>20.357037037037038</v>
      </c>
      <c r="U36" s="315">
        <f t="shared" si="9"/>
        <v>2046</v>
      </c>
      <c r="V36" s="316">
        <f>'Traffic Volumes'!$H35</f>
        <v>5364</v>
      </c>
      <c r="W36" s="317">
        <f>Inputs!$D$69</f>
        <v>0.2</v>
      </c>
      <c r="X36" s="318">
        <f t="shared" si="10"/>
        <v>1072.8</v>
      </c>
      <c r="Y36" s="317">
        <f>Inputs!$E$19</f>
        <v>0.16</v>
      </c>
      <c r="Z36" s="318">
        <f t="shared" si="11"/>
        <v>171.648</v>
      </c>
      <c r="AA36" s="318">
        <f t="shared" si="12"/>
        <v>901.15199999999993</v>
      </c>
      <c r="AB36" s="319">
        <f>Inputs!$D$68/60</f>
        <v>0.16666666666666666</v>
      </c>
      <c r="AC36" s="320">
        <f t="shared" si="3"/>
        <v>1064.2175999999999</v>
      </c>
      <c r="AD36" s="321">
        <f>AA36*AB36*$B$8*'Parameter Values'!$B$44</f>
        <v>4045.2713280000003</v>
      </c>
      <c r="AE36" s="329">
        <f>Inputs!$D$67</f>
        <v>9.3022222222222233</v>
      </c>
      <c r="AF36"/>
      <c r="AG36" s="315">
        <f t="shared" si="13"/>
        <v>2046</v>
      </c>
      <c r="AH36" s="316">
        <f>'Traffic Volumes'!B35</f>
        <v>33272</v>
      </c>
      <c r="AI36" s="317">
        <f>Inputs!$B$69</f>
        <v>0.3</v>
      </c>
      <c r="AJ36" s="318">
        <f t="shared" si="14"/>
        <v>9981.6</v>
      </c>
      <c r="AK36" s="317">
        <f>Inputs!$E$16</f>
        <v>0.09</v>
      </c>
      <c r="AL36" s="318">
        <f t="shared" si="15"/>
        <v>898.34400000000005</v>
      </c>
      <c r="AM36" s="318">
        <f t="shared" si="16"/>
        <v>9083.2560000000012</v>
      </c>
      <c r="AN36" s="319">
        <f>Inputs!$B$68/60</f>
        <v>0.5</v>
      </c>
      <c r="AO36" s="320">
        <f t="shared" si="4"/>
        <v>16709.198400000001</v>
      </c>
      <c r="AP36" s="321">
        <f>AM36*AN36*$B$8*'Parameter Values'!$B$44</f>
        <v>122324.20855200003</v>
      </c>
      <c r="AQ36" s="329">
        <f>Inputs!$B$67</f>
        <v>52</v>
      </c>
      <c r="AR36"/>
      <c r="AS36"/>
      <c r="AT36"/>
      <c r="AU36"/>
      <c r="AV36"/>
      <c r="AW36"/>
      <c r="AX36"/>
      <c r="AY36"/>
      <c r="AZ36"/>
      <c r="BA36"/>
      <c r="BB36" s="14"/>
    </row>
    <row r="37" spans="1:54" x14ac:dyDescent="0.35">
      <c r="A37" s="1">
        <f>IF(A36&lt;'Project Information'!B$11,A36+1,"")</f>
        <v>2050</v>
      </c>
      <c r="B37" s="22">
        <f t="shared" si="0"/>
        <v>7900221.0832628291</v>
      </c>
      <c r="C37" s="22">
        <v>0</v>
      </c>
      <c r="D37" s="8">
        <f t="shared" si="1"/>
        <v>7900221.0832628291</v>
      </c>
      <c r="G37" s="13"/>
      <c r="H37" s="315">
        <f t="shared" si="5"/>
        <v>2047</v>
      </c>
      <c r="I37" s="316">
        <f>'Traffic Volumes'!$F36</f>
        <v>11796</v>
      </c>
      <c r="J37" s="317">
        <f>Inputs!$C$69</f>
        <v>0.25</v>
      </c>
      <c r="K37" s="318">
        <f t="shared" si="6"/>
        <v>2949</v>
      </c>
      <c r="L37" s="317">
        <f>Inputs!$E$18</f>
        <v>0.24</v>
      </c>
      <c r="M37" s="318">
        <f t="shared" si="7"/>
        <v>707.76</v>
      </c>
      <c r="N37" s="318">
        <f t="shared" si="8"/>
        <v>2241.2400000000002</v>
      </c>
      <c r="O37" s="319">
        <f>Inputs!$C$68/60</f>
        <v>0.18333333333333332</v>
      </c>
      <c r="P37" s="320">
        <f t="shared" si="2"/>
        <v>4826.9232000000002</v>
      </c>
      <c r="Q37" s="321">
        <f>N37*O37*$B$8*'Parameter Values'!$B$44</f>
        <v>11067.018996000001</v>
      </c>
      <c r="R37" s="329">
        <f>Inputs!$C$67</f>
        <v>20.357037037037038</v>
      </c>
      <c r="U37" s="315">
        <f t="shared" si="9"/>
        <v>2047</v>
      </c>
      <c r="V37" s="316">
        <f>'Traffic Volumes'!$H36</f>
        <v>5391</v>
      </c>
      <c r="W37" s="317">
        <f>Inputs!$D$69</f>
        <v>0.2</v>
      </c>
      <c r="X37" s="318">
        <f t="shared" si="10"/>
        <v>1078.2</v>
      </c>
      <c r="Y37" s="317">
        <f>Inputs!$E$19</f>
        <v>0.16</v>
      </c>
      <c r="Z37" s="318">
        <f t="shared" si="11"/>
        <v>172.512</v>
      </c>
      <c r="AA37" s="318">
        <f t="shared" si="12"/>
        <v>905.68799999999999</v>
      </c>
      <c r="AB37" s="319">
        <f>Inputs!$D$68/60</f>
        <v>0.16666666666666666</v>
      </c>
      <c r="AC37" s="320">
        <f t="shared" si="3"/>
        <v>1069.5744</v>
      </c>
      <c r="AD37" s="321">
        <f>AA37*AB37*$B$8*'Parameter Values'!$B$44</f>
        <v>4065.6334320000001</v>
      </c>
      <c r="AE37" s="329">
        <f>Inputs!$D$67</f>
        <v>9.3022222222222233</v>
      </c>
      <c r="AF37"/>
      <c r="AG37" s="315">
        <f t="shared" si="13"/>
        <v>2047</v>
      </c>
      <c r="AH37" s="316">
        <f>'Traffic Volumes'!B36</f>
        <v>33605</v>
      </c>
      <c r="AI37" s="317">
        <f>Inputs!$B$69</f>
        <v>0.3</v>
      </c>
      <c r="AJ37" s="318">
        <f t="shared" si="14"/>
        <v>10081.5</v>
      </c>
      <c r="AK37" s="317">
        <f>Inputs!$E$16</f>
        <v>0.09</v>
      </c>
      <c r="AL37" s="318">
        <f t="shared" si="15"/>
        <v>907.33499999999992</v>
      </c>
      <c r="AM37" s="318">
        <f t="shared" si="16"/>
        <v>9174.1650000000009</v>
      </c>
      <c r="AN37" s="319">
        <f>Inputs!$B$68/60</f>
        <v>0.5</v>
      </c>
      <c r="AO37" s="320">
        <f t="shared" si="4"/>
        <v>16876.431</v>
      </c>
      <c r="AP37" s="321">
        <f>AM37*AN37*$B$8*'Parameter Values'!$B$44</f>
        <v>123548.48005500004</v>
      </c>
      <c r="AQ37" s="329">
        <f>Inputs!$B$67</f>
        <v>52</v>
      </c>
      <c r="AR37"/>
      <c r="AS37"/>
      <c r="AT37"/>
      <c r="AU37"/>
      <c r="AV37"/>
      <c r="AW37"/>
      <c r="AX37"/>
      <c r="AY37"/>
      <c r="AZ37"/>
      <c r="BA37"/>
      <c r="BB37" s="14"/>
    </row>
    <row r="38" spans="1:54" x14ac:dyDescent="0.35">
      <c r="A38" s="1">
        <f>IF(A37&lt;'Project Information'!B$11,A37+1,"")</f>
        <v>2051</v>
      </c>
      <c r="B38" s="22">
        <f t="shared" si="0"/>
        <v>7977289.0802187948</v>
      </c>
      <c r="C38" s="22">
        <v>0</v>
      </c>
      <c r="D38" s="8">
        <f t="shared" si="1"/>
        <v>7977289.0802187948</v>
      </c>
      <c r="G38" s="13"/>
      <c r="H38" s="315">
        <f t="shared" si="5"/>
        <v>2048</v>
      </c>
      <c r="I38" s="316">
        <f>'Traffic Volumes'!$F37</f>
        <v>11855</v>
      </c>
      <c r="J38" s="317">
        <f>Inputs!$C$69</f>
        <v>0.25</v>
      </c>
      <c r="K38" s="318">
        <f t="shared" si="6"/>
        <v>2963.75</v>
      </c>
      <c r="L38" s="317">
        <f>Inputs!$E$18</f>
        <v>0.24</v>
      </c>
      <c r="M38" s="318">
        <f t="shared" si="7"/>
        <v>711.3</v>
      </c>
      <c r="N38" s="318">
        <f t="shared" si="8"/>
        <v>2252.4499999999998</v>
      </c>
      <c r="O38" s="319">
        <f>Inputs!$C$68/60</f>
        <v>0.18333333333333332</v>
      </c>
      <c r="P38" s="320">
        <f t="shared" si="2"/>
        <v>4851.0659999999998</v>
      </c>
      <c r="Q38" s="321">
        <f>N38*O38*$B$8*'Parameter Values'!$B$44</f>
        <v>11122.372855</v>
      </c>
      <c r="R38" s="329">
        <f>Inputs!$C$67</f>
        <v>20.357037037037038</v>
      </c>
      <c r="U38" s="315">
        <f t="shared" si="9"/>
        <v>2048</v>
      </c>
      <c r="V38" s="316">
        <f>'Traffic Volumes'!$H37</f>
        <v>5418</v>
      </c>
      <c r="W38" s="317">
        <f>Inputs!$D$69</f>
        <v>0.2</v>
      </c>
      <c r="X38" s="318">
        <f t="shared" si="10"/>
        <v>1083.6000000000001</v>
      </c>
      <c r="Y38" s="317">
        <f>Inputs!$E$19</f>
        <v>0.16</v>
      </c>
      <c r="Z38" s="318">
        <f t="shared" si="11"/>
        <v>173.37600000000003</v>
      </c>
      <c r="AA38" s="318">
        <f t="shared" si="12"/>
        <v>910.22400000000005</v>
      </c>
      <c r="AB38" s="319">
        <f>Inputs!$D$68/60</f>
        <v>0.16666666666666666</v>
      </c>
      <c r="AC38" s="320">
        <f t="shared" si="3"/>
        <v>1074.9312000000002</v>
      </c>
      <c r="AD38" s="321">
        <f>AA38*AB38*$B$8*'Parameter Values'!$B$44</f>
        <v>4085.9955360000008</v>
      </c>
      <c r="AE38" s="329">
        <f>Inputs!$D$67</f>
        <v>9.3022222222222233</v>
      </c>
      <c r="AF38"/>
      <c r="AG38" s="315">
        <f t="shared" si="13"/>
        <v>2048</v>
      </c>
      <c r="AH38" s="316">
        <f>'Traffic Volumes'!B37</f>
        <v>33941</v>
      </c>
      <c r="AI38" s="317">
        <f>Inputs!$B$69</f>
        <v>0.3</v>
      </c>
      <c r="AJ38" s="318">
        <f t="shared" si="14"/>
        <v>10182.299999999999</v>
      </c>
      <c r="AK38" s="317">
        <f>Inputs!$E$16</f>
        <v>0.09</v>
      </c>
      <c r="AL38" s="318">
        <f t="shared" si="15"/>
        <v>916.40699999999993</v>
      </c>
      <c r="AM38" s="318">
        <f t="shared" si="16"/>
        <v>9265.893</v>
      </c>
      <c r="AN38" s="319">
        <f>Inputs!$B$68/60</f>
        <v>0.5</v>
      </c>
      <c r="AO38" s="320">
        <f t="shared" si="4"/>
        <v>17045.1702</v>
      </c>
      <c r="AP38" s="321">
        <f>AM38*AN38*$B$8*'Parameter Values'!$B$44</f>
        <v>124783.78103100001</v>
      </c>
      <c r="AQ38" s="329">
        <f>Inputs!$B$67</f>
        <v>52</v>
      </c>
      <c r="AR38"/>
      <c r="AS38"/>
      <c r="AT38"/>
      <c r="AU38"/>
      <c r="AV38"/>
      <c r="AW38"/>
      <c r="AX38"/>
      <c r="AY38"/>
      <c r="AZ38"/>
      <c r="BA38"/>
      <c r="BB38" s="14"/>
    </row>
    <row r="39" spans="1:54" x14ac:dyDescent="0.35">
      <c r="A39" s="1">
        <f>IF(A38&lt;'Project Information'!B$11,A38+1,"")</f>
        <v>2052</v>
      </c>
      <c r="B39" s="22">
        <f t="shared" si="0"/>
        <v>8055226.2449027598</v>
      </c>
      <c r="C39" s="22">
        <v>0</v>
      </c>
      <c r="D39" s="8">
        <f t="shared" si="1"/>
        <v>8055226.2449027598</v>
      </c>
      <c r="G39" s="13"/>
      <c r="H39" s="315">
        <f t="shared" si="5"/>
        <v>2049</v>
      </c>
      <c r="I39" s="316">
        <f>'Traffic Volumes'!$F38</f>
        <v>11914</v>
      </c>
      <c r="J39" s="317">
        <f>Inputs!$C$69</f>
        <v>0.25</v>
      </c>
      <c r="K39" s="318">
        <f t="shared" si="6"/>
        <v>2978.5</v>
      </c>
      <c r="L39" s="317">
        <f>Inputs!$E$18</f>
        <v>0.24</v>
      </c>
      <c r="M39" s="318">
        <f t="shared" si="7"/>
        <v>714.83999999999992</v>
      </c>
      <c r="N39" s="318">
        <f t="shared" si="8"/>
        <v>2263.66</v>
      </c>
      <c r="O39" s="319">
        <f>Inputs!$C$68/60</f>
        <v>0.18333333333333332</v>
      </c>
      <c r="P39" s="320">
        <f t="shared" si="2"/>
        <v>4875.2087999999994</v>
      </c>
      <c r="Q39" s="321">
        <f>N39*O39*$B$8*'Parameter Values'!$B$44</f>
        <v>11177.726713999999</v>
      </c>
      <c r="R39" s="329">
        <f>Inputs!$C$67</f>
        <v>20.357037037037038</v>
      </c>
      <c r="U39" s="315">
        <f t="shared" si="9"/>
        <v>2049</v>
      </c>
      <c r="V39" s="316">
        <f>'Traffic Volumes'!$H38</f>
        <v>5445</v>
      </c>
      <c r="W39" s="317">
        <f>Inputs!$D$69</f>
        <v>0.2</v>
      </c>
      <c r="X39" s="318">
        <f t="shared" si="10"/>
        <v>1089</v>
      </c>
      <c r="Y39" s="317">
        <f>Inputs!$E$19</f>
        <v>0.16</v>
      </c>
      <c r="Z39" s="318">
        <f t="shared" si="11"/>
        <v>174.24</v>
      </c>
      <c r="AA39" s="318">
        <f t="shared" si="12"/>
        <v>914.76</v>
      </c>
      <c r="AB39" s="319">
        <f>Inputs!$D$68/60</f>
        <v>0.16666666666666666</v>
      </c>
      <c r="AC39" s="320">
        <f t="shared" si="3"/>
        <v>1080.288</v>
      </c>
      <c r="AD39" s="321">
        <f>AA39*AB39*$B$8*'Parameter Values'!$B$44</f>
        <v>4106.3576400000002</v>
      </c>
      <c r="AE39" s="329">
        <f>Inputs!$D$67</f>
        <v>9.3022222222222233</v>
      </c>
      <c r="AF39"/>
      <c r="AG39" s="315">
        <f t="shared" si="13"/>
        <v>2049</v>
      </c>
      <c r="AH39" s="316">
        <f>'Traffic Volumes'!B38</f>
        <v>34280</v>
      </c>
      <c r="AI39" s="317">
        <f>Inputs!$B$69</f>
        <v>0.3</v>
      </c>
      <c r="AJ39" s="318">
        <f t="shared" si="14"/>
        <v>10284</v>
      </c>
      <c r="AK39" s="317">
        <f>Inputs!$E$16</f>
        <v>0.09</v>
      </c>
      <c r="AL39" s="318">
        <f t="shared" si="15"/>
        <v>925.56</v>
      </c>
      <c r="AM39" s="318">
        <f t="shared" si="16"/>
        <v>9358.44</v>
      </c>
      <c r="AN39" s="319">
        <f>Inputs!$B$68/60</f>
        <v>0.5</v>
      </c>
      <c r="AO39" s="320">
        <f t="shared" si="4"/>
        <v>17215.416000000001</v>
      </c>
      <c r="AP39" s="321">
        <f>AM39*AN39*$B$8*'Parameter Values'!$B$44</f>
        <v>126030.11148000002</v>
      </c>
      <c r="AQ39" s="329">
        <f>Inputs!$B$67</f>
        <v>52</v>
      </c>
      <c r="AR39"/>
      <c r="AS39"/>
      <c r="AT39"/>
      <c r="AU39"/>
      <c r="AV39"/>
      <c r="AW39"/>
      <c r="AX39"/>
      <c r="AY39"/>
      <c r="AZ39"/>
      <c r="BA39"/>
      <c r="BB39" s="14"/>
    </row>
    <row r="40" spans="1:54" x14ac:dyDescent="0.35">
      <c r="A40" s="1">
        <f>IF(A39&lt;'Project Information'!B$11,A39+1,"")</f>
        <v>2053</v>
      </c>
      <c r="B40" s="22">
        <f t="shared" si="0"/>
        <v>8133824.146233106</v>
      </c>
      <c r="C40" s="22">
        <v>0</v>
      </c>
      <c r="D40" s="8">
        <f t="shared" si="1"/>
        <v>8133824.146233106</v>
      </c>
      <c r="G40" s="13"/>
      <c r="H40" s="315">
        <f t="shared" si="5"/>
        <v>2050</v>
      </c>
      <c r="I40" s="316">
        <f>'Traffic Volumes'!$F39</f>
        <v>11974</v>
      </c>
      <c r="J40" s="317">
        <f>Inputs!$C$69</f>
        <v>0.25</v>
      </c>
      <c r="K40" s="318">
        <f t="shared" si="6"/>
        <v>2993.5</v>
      </c>
      <c r="L40" s="317">
        <f>Inputs!$E$18</f>
        <v>0.24</v>
      </c>
      <c r="M40" s="318">
        <f t="shared" si="7"/>
        <v>718.43999999999994</v>
      </c>
      <c r="N40" s="318">
        <f t="shared" si="8"/>
        <v>2275.06</v>
      </c>
      <c r="O40" s="319">
        <f>Inputs!$C$68/60</f>
        <v>0.18333333333333332</v>
      </c>
      <c r="P40" s="320">
        <f t="shared" si="2"/>
        <v>4899.7607999999991</v>
      </c>
      <c r="Q40" s="321">
        <f>N40*O40*$B$8*'Parameter Values'!$B$44</f>
        <v>11234.018773999998</v>
      </c>
      <c r="R40" s="329">
        <f>Inputs!$C$67</f>
        <v>20.357037037037038</v>
      </c>
      <c r="U40" s="315">
        <f t="shared" si="9"/>
        <v>2050</v>
      </c>
      <c r="V40" s="316">
        <f>'Traffic Volumes'!$H39</f>
        <v>5472</v>
      </c>
      <c r="W40" s="317">
        <f>Inputs!$D$69</f>
        <v>0.2</v>
      </c>
      <c r="X40" s="318">
        <f t="shared" si="10"/>
        <v>1094.4000000000001</v>
      </c>
      <c r="Y40" s="317">
        <f>Inputs!$E$19</f>
        <v>0.16</v>
      </c>
      <c r="Z40" s="318">
        <f t="shared" si="11"/>
        <v>175.10400000000001</v>
      </c>
      <c r="AA40" s="318">
        <f t="shared" si="12"/>
        <v>919.29600000000005</v>
      </c>
      <c r="AB40" s="319">
        <f>Inputs!$D$68/60</f>
        <v>0.16666666666666666</v>
      </c>
      <c r="AC40" s="320">
        <f t="shared" si="3"/>
        <v>1085.6448</v>
      </c>
      <c r="AD40" s="321">
        <f>AA40*AB40*$B$8*'Parameter Values'!$B$44</f>
        <v>4126.7197440000009</v>
      </c>
      <c r="AE40" s="329">
        <f>Inputs!$D$67</f>
        <v>9.3022222222222233</v>
      </c>
      <c r="AF40"/>
      <c r="AG40" s="315">
        <f t="shared" si="13"/>
        <v>2050</v>
      </c>
      <c r="AH40" s="316">
        <f>'Traffic Volumes'!B39</f>
        <v>34623</v>
      </c>
      <c r="AI40" s="317">
        <f>Inputs!$B$69</f>
        <v>0.3</v>
      </c>
      <c r="AJ40" s="318">
        <f t="shared" si="14"/>
        <v>10386.9</v>
      </c>
      <c r="AK40" s="317">
        <f>Inputs!$E$16</f>
        <v>0.09</v>
      </c>
      <c r="AL40" s="318">
        <f t="shared" si="15"/>
        <v>934.82099999999991</v>
      </c>
      <c r="AM40" s="318">
        <f t="shared" si="16"/>
        <v>9452.0789999999997</v>
      </c>
      <c r="AN40" s="319">
        <f>Inputs!$B$68/60</f>
        <v>0.5</v>
      </c>
      <c r="AO40" s="320">
        <f t="shared" si="4"/>
        <v>17387.670600000001</v>
      </c>
      <c r="AP40" s="321">
        <f>AM40*AN40*$B$8*'Parameter Values'!$B$44</f>
        <v>127291.147893</v>
      </c>
      <c r="AQ40" s="329">
        <f>Inputs!$B$67</f>
        <v>52</v>
      </c>
      <c r="AR40"/>
      <c r="AS40"/>
      <c r="AT40"/>
      <c r="AU40"/>
      <c r="AV40"/>
      <c r="AW40"/>
      <c r="AX40"/>
      <c r="AY40"/>
      <c r="AZ40"/>
      <c r="BA40"/>
      <c r="BB40" s="14"/>
    </row>
    <row r="41" spans="1:54" x14ac:dyDescent="0.35">
      <c r="A41" s="1">
        <f>IF(A40&lt;'Project Information'!B$11,A40+1,"")</f>
        <v>2054</v>
      </c>
      <c r="B41" s="22">
        <f t="shared" si="0"/>
        <v>8213318.6443835143</v>
      </c>
      <c r="C41" s="22">
        <v>0</v>
      </c>
      <c r="D41" s="8">
        <f t="shared" si="1"/>
        <v>8213318.6443835143</v>
      </c>
      <c r="G41" s="13"/>
      <c r="H41" s="315">
        <f t="shared" si="5"/>
        <v>2051</v>
      </c>
      <c r="I41" s="316">
        <f>'Traffic Volumes'!$F40</f>
        <v>12034</v>
      </c>
      <c r="J41" s="317">
        <f>Inputs!$C$69</f>
        <v>0.25</v>
      </c>
      <c r="K41" s="318">
        <f t="shared" si="6"/>
        <v>3008.5</v>
      </c>
      <c r="L41" s="317">
        <f>Inputs!$E$18</f>
        <v>0.24</v>
      </c>
      <c r="M41" s="318">
        <f t="shared" si="7"/>
        <v>722.04</v>
      </c>
      <c r="N41" s="318">
        <f t="shared" si="8"/>
        <v>2286.46</v>
      </c>
      <c r="O41" s="319">
        <f>Inputs!$C$68/60</f>
        <v>0.18333333333333332</v>
      </c>
      <c r="P41" s="320">
        <f t="shared" si="2"/>
        <v>4924.3128000000006</v>
      </c>
      <c r="Q41" s="321">
        <f>N41*O41*$B$8*'Parameter Values'!$B$44</f>
        <v>11290.310834000002</v>
      </c>
      <c r="R41" s="329">
        <f>Inputs!$C$67</f>
        <v>20.357037037037038</v>
      </c>
      <c r="U41" s="315">
        <f t="shared" si="9"/>
        <v>2051</v>
      </c>
      <c r="V41" s="316">
        <f>'Traffic Volumes'!$H40</f>
        <v>5499</v>
      </c>
      <c r="W41" s="317">
        <f>Inputs!$D$69</f>
        <v>0.2</v>
      </c>
      <c r="X41" s="318">
        <f t="shared" si="10"/>
        <v>1099.8</v>
      </c>
      <c r="Y41" s="317">
        <f>Inputs!$E$19</f>
        <v>0.16</v>
      </c>
      <c r="Z41" s="318">
        <f t="shared" si="11"/>
        <v>175.96799999999999</v>
      </c>
      <c r="AA41" s="318">
        <f t="shared" si="12"/>
        <v>923.83199999999988</v>
      </c>
      <c r="AB41" s="319">
        <f>Inputs!$D$68/60</f>
        <v>0.16666666666666666</v>
      </c>
      <c r="AC41" s="320">
        <f t="shared" si="3"/>
        <v>1091.0015999999998</v>
      </c>
      <c r="AD41" s="321">
        <f>AA41*AB41*$B$8*'Parameter Values'!$B$44</f>
        <v>4147.0818479999998</v>
      </c>
      <c r="AE41" s="329">
        <f>Inputs!$D$67</f>
        <v>9.3022222222222233</v>
      </c>
      <c r="AF41"/>
      <c r="AG41" s="315">
        <f t="shared" si="13"/>
        <v>2051</v>
      </c>
      <c r="AH41" s="316">
        <f>'Traffic Volumes'!B40</f>
        <v>34969</v>
      </c>
      <c r="AI41" s="317">
        <f>Inputs!$B$69</f>
        <v>0.3</v>
      </c>
      <c r="AJ41" s="318">
        <f t="shared" si="14"/>
        <v>10490.699999999999</v>
      </c>
      <c r="AK41" s="317">
        <f>Inputs!$E$16</f>
        <v>0.09</v>
      </c>
      <c r="AL41" s="318">
        <f t="shared" si="15"/>
        <v>944.1629999999999</v>
      </c>
      <c r="AM41" s="318">
        <f t="shared" si="16"/>
        <v>9546.5369999999984</v>
      </c>
      <c r="AN41" s="319">
        <f>Inputs!$B$68/60</f>
        <v>0.5</v>
      </c>
      <c r="AO41" s="320">
        <f t="shared" si="4"/>
        <v>17561.431799999998</v>
      </c>
      <c r="AP41" s="321">
        <f>AM41*AN41*$B$8*'Parameter Values'!$B$44</f>
        <v>128563.213779</v>
      </c>
      <c r="AQ41" s="329">
        <f>Inputs!$B$67</f>
        <v>52</v>
      </c>
      <c r="AR41"/>
      <c r="AS41"/>
      <c r="AT41"/>
      <c r="AU41"/>
      <c r="AV41"/>
      <c r="AW41"/>
      <c r="AX41"/>
      <c r="AY41"/>
      <c r="AZ41"/>
      <c r="BA41"/>
      <c r="BB41" s="14"/>
    </row>
    <row r="42" spans="1:54" x14ac:dyDescent="0.35">
      <c r="A42" s="1">
        <f>IF(A41&lt;'Project Information'!B$11,A41+1,"")</f>
        <v>2055</v>
      </c>
      <c r="B42" s="22">
        <f t="shared" si="0"/>
        <v>8293465.0183299212</v>
      </c>
      <c r="C42" s="22">
        <v>0</v>
      </c>
      <c r="D42" s="8">
        <f t="shared" si="1"/>
        <v>8293465.0183299212</v>
      </c>
      <c r="G42" s="13"/>
      <c r="H42" s="315">
        <f t="shared" si="5"/>
        <v>2052</v>
      </c>
      <c r="I42" s="316">
        <f>'Traffic Volumes'!$F41</f>
        <v>12094</v>
      </c>
      <c r="J42" s="317">
        <f>Inputs!$C$69</f>
        <v>0.25</v>
      </c>
      <c r="K42" s="318">
        <f t="shared" si="6"/>
        <v>3023.5</v>
      </c>
      <c r="L42" s="317">
        <f>Inputs!$E$18</f>
        <v>0.24</v>
      </c>
      <c r="M42" s="318">
        <f t="shared" si="7"/>
        <v>725.64</v>
      </c>
      <c r="N42" s="318">
        <f t="shared" si="8"/>
        <v>2297.86</v>
      </c>
      <c r="O42" s="319">
        <f>Inputs!$C$68/60</f>
        <v>0.18333333333333332</v>
      </c>
      <c r="P42" s="320">
        <f t="shared" si="2"/>
        <v>4948.8648000000003</v>
      </c>
      <c r="Q42" s="321">
        <f>N42*O42*$B$8*'Parameter Values'!$B$44</f>
        <v>11346.602894000001</v>
      </c>
      <c r="R42" s="329">
        <f>Inputs!$C$67</f>
        <v>20.357037037037038</v>
      </c>
      <c r="U42" s="315">
        <f t="shared" si="9"/>
        <v>2052</v>
      </c>
      <c r="V42" s="316">
        <f>'Traffic Volumes'!$H41</f>
        <v>5526</v>
      </c>
      <c r="W42" s="317">
        <f>Inputs!$D$69</f>
        <v>0.2</v>
      </c>
      <c r="X42" s="318">
        <f t="shared" si="10"/>
        <v>1105.2</v>
      </c>
      <c r="Y42" s="317">
        <f>Inputs!$E$19</f>
        <v>0.16</v>
      </c>
      <c r="Z42" s="318">
        <f t="shared" si="11"/>
        <v>176.83200000000002</v>
      </c>
      <c r="AA42" s="318">
        <f t="shared" si="12"/>
        <v>928.36800000000005</v>
      </c>
      <c r="AB42" s="319">
        <f>Inputs!$D$68/60</f>
        <v>0.16666666666666666</v>
      </c>
      <c r="AC42" s="320">
        <f t="shared" si="3"/>
        <v>1096.3584000000001</v>
      </c>
      <c r="AD42" s="321">
        <f>AA42*AB42*$B$8*'Parameter Values'!$B$44</f>
        <v>4167.4439520000005</v>
      </c>
      <c r="AE42" s="329">
        <f>Inputs!$D$67</f>
        <v>9.3022222222222233</v>
      </c>
      <c r="AF42"/>
      <c r="AG42" s="315">
        <f t="shared" si="13"/>
        <v>2052</v>
      </c>
      <c r="AH42" s="316">
        <f>'Traffic Volumes'!B41</f>
        <v>35319</v>
      </c>
      <c r="AI42" s="317">
        <f>Inputs!$B$69</f>
        <v>0.3</v>
      </c>
      <c r="AJ42" s="318">
        <f t="shared" si="14"/>
        <v>10595.699999999999</v>
      </c>
      <c r="AK42" s="317">
        <f>Inputs!$E$16</f>
        <v>0.09</v>
      </c>
      <c r="AL42" s="318">
        <f t="shared" si="15"/>
        <v>953.61299999999983</v>
      </c>
      <c r="AM42" s="318">
        <f t="shared" si="16"/>
        <v>9642.0869999999995</v>
      </c>
      <c r="AN42" s="319">
        <f>Inputs!$B$68/60</f>
        <v>0.5</v>
      </c>
      <c r="AO42" s="320">
        <f t="shared" si="4"/>
        <v>17737.201799999999</v>
      </c>
      <c r="AP42" s="321">
        <f>AM42*AN42*$B$8*'Parameter Values'!$B$44</f>
        <v>129849.98562900002</v>
      </c>
      <c r="AQ42" s="329">
        <f>Inputs!$B$67</f>
        <v>52</v>
      </c>
      <c r="AR42"/>
      <c r="AS42"/>
      <c r="AT42"/>
      <c r="AU42"/>
      <c r="AV42"/>
      <c r="AW42"/>
      <c r="AX42"/>
      <c r="AY42"/>
      <c r="AZ42"/>
      <c r="BA42"/>
      <c r="BB42" s="14"/>
    </row>
    <row r="43" spans="1:54" x14ac:dyDescent="0.35">
      <c r="A43" s="1">
        <f>IF(A42&lt;'Project Information'!B$11,A42+1,"")</f>
        <v>2056</v>
      </c>
      <c r="B43" s="22">
        <f t="shared" si="0"/>
        <v>8374480.5600043284</v>
      </c>
      <c r="C43" s="22">
        <v>0</v>
      </c>
      <c r="D43" s="8">
        <f t="shared" si="1"/>
        <v>8374480.5600043284</v>
      </c>
      <c r="G43" s="13"/>
      <c r="H43" s="315">
        <f t="shared" si="5"/>
        <v>2053</v>
      </c>
      <c r="I43" s="316">
        <f>'Traffic Volumes'!$F42</f>
        <v>12154</v>
      </c>
      <c r="J43" s="317">
        <f>Inputs!$C$69</f>
        <v>0.25</v>
      </c>
      <c r="K43" s="318">
        <f t="shared" si="6"/>
        <v>3038.5</v>
      </c>
      <c r="L43" s="317">
        <f>Inputs!$E$18</f>
        <v>0.24</v>
      </c>
      <c r="M43" s="318">
        <f t="shared" si="7"/>
        <v>729.24</v>
      </c>
      <c r="N43" s="318">
        <f t="shared" si="8"/>
        <v>2309.2600000000002</v>
      </c>
      <c r="O43" s="319">
        <f>Inputs!$C$68/60</f>
        <v>0.18333333333333332</v>
      </c>
      <c r="P43" s="320">
        <f t="shared" si="2"/>
        <v>4973.4168</v>
      </c>
      <c r="Q43" s="321">
        <f>N43*O43*$B$8*'Parameter Values'!$B$44</f>
        <v>11402.894954000001</v>
      </c>
      <c r="R43" s="329">
        <f>Inputs!$C$67</f>
        <v>20.357037037037038</v>
      </c>
      <c r="U43" s="315">
        <f t="shared" si="9"/>
        <v>2053</v>
      </c>
      <c r="V43" s="316">
        <f>'Traffic Volumes'!$H42</f>
        <v>5554</v>
      </c>
      <c r="W43" s="317">
        <f>Inputs!$D$69</f>
        <v>0.2</v>
      </c>
      <c r="X43" s="318">
        <f t="shared" si="10"/>
        <v>1110.8</v>
      </c>
      <c r="Y43" s="317">
        <f>Inputs!$E$19</f>
        <v>0.16</v>
      </c>
      <c r="Z43" s="318">
        <f t="shared" si="11"/>
        <v>177.72800000000001</v>
      </c>
      <c r="AA43" s="318">
        <f t="shared" si="12"/>
        <v>933.07199999999989</v>
      </c>
      <c r="AB43" s="319">
        <f>Inputs!$D$68/60</f>
        <v>0.16666666666666666</v>
      </c>
      <c r="AC43" s="320">
        <f t="shared" si="3"/>
        <v>1101.9136000000001</v>
      </c>
      <c r="AD43" s="321">
        <f>AA43*AB43*$B$8*'Parameter Values'!$B$44</f>
        <v>4188.5602079999999</v>
      </c>
      <c r="AE43" s="329">
        <f>Inputs!$D$67</f>
        <v>9.3022222222222233</v>
      </c>
      <c r="AF43"/>
      <c r="AG43" s="315">
        <f t="shared" si="13"/>
        <v>2053</v>
      </c>
      <c r="AH43" s="316">
        <f>'Traffic Volumes'!B42</f>
        <v>35672</v>
      </c>
      <c r="AI43" s="317">
        <f>Inputs!$B$69</f>
        <v>0.3</v>
      </c>
      <c r="AJ43" s="318">
        <f t="shared" si="14"/>
        <v>10701.6</v>
      </c>
      <c r="AK43" s="317">
        <f>Inputs!$E$16</f>
        <v>0.09</v>
      </c>
      <c r="AL43" s="318">
        <f t="shared" si="15"/>
        <v>963.14400000000001</v>
      </c>
      <c r="AM43" s="318">
        <f t="shared" si="16"/>
        <v>9738.4560000000001</v>
      </c>
      <c r="AN43" s="319">
        <f>Inputs!$B$68/60</f>
        <v>0.5</v>
      </c>
      <c r="AO43" s="320">
        <f t="shared" si="4"/>
        <v>17914.4784</v>
      </c>
      <c r="AP43" s="321">
        <f>AM43*AN43*$B$8*'Parameter Values'!$B$44</f>
        <v>131147.78695200002</v>
      </c>
      <c r="AQ43" s="329">
        <f>Inputs!$B$67</f>
        <v>52</v>
      </c>
      <c r="AR43"/>
      <c r="AS43"/>
      <c r="AT43"/>
      <c r="AU43"/>
      <c r="AV43"/>
      <c r="AW43"/>
      <c r="AX43"/>
      <c r="AY43"/>
      <c r="AZ43"/>
      <c r="BA43"/>
      <c r="BB43" s="14"/>
    </row>
    <row r="44" spans="1:54" x14ac:dyDescent="0.35">
      <c r="A44" s="1">
        <f>IF(A43&lt;'Project Information'!B$11,A43+1,"")</f>
        <v>2057</v>
      </c>
      <c r="B44" s="22">
        <f t="shared" si="0"/>
        <v>8456392.6984987967</v>
      </c>
      <c r="C44" s="22">
        <v>0</v>
      </c>
      <c r="D44" s="8">
        <f t="shared" si="1"/>
        <v>8456392.6984987967</v>
      </c>
      <c r="G44" s="13"/>
      <c r="H44" s="315">
        <f t="shared" si="5"/>
        <v>2054</v>
      </c>
      <c r="I44" s="316">
        <f>'Traffic Volumes'!$F43</f>
        <v>12215</v>
      </c>
      <c r="J44" s="317">
        <f>Inputs!$C$69</f>
        <v>0.25</v>
      </c>
      <c r="K44" s="318">
        <f t="shared" si="6"/>
        <v>3053.75</v>
      </c>
      <c r="L44" s="317">
        <f>Inputs!$E$18</f>
        <v>0.24</v>
      </c>
      <c r="M44" s="318">
        <f t="shared" si="7"/>
        <v>732.9</v>
      </c>
      <c r="N44" s="318">
        <f t="shared" si="8"/>
        <v>2320.85</v>
      </c>
      <c r="O44" s="319">
        <f>Inputs!$C$68/60</f>
        <v>0.18333333333333332</v>
      </c>
      <c r="P44" s="320">
        <f t="shared" si="2"/>
        <v>4998.3779999999997</v>
      </c>
      <c r="Q44" s="321">
        <f>N44*O44*$B$8*'Parameter Values'!$B$44</f>
        <v>11460.125215</v>
      </c>
      <c r="R44" s="329">
        <f>Inputs!$C$67</f>
        <v>20.357037037037038</v>
      </c>
      <c r="U44" s="315">
        <f t="shared" si="9"/>
        <v>2054</v>
      </c>
      <c r="V44" s="316">
        <f>'Traffic Volumes'!$H43</f>
        <v>5582</v>
      </c>
      <c r="W44" s="317">
        <f>Inputs!$D$69</f>
        <v>0.2</v>
      </c>
      <c r="X44" s="318">
        <f t="shared" si="10"/>
        <v>1116.4000000000001</v>
      </c>
      <c r="Y44" s="317">
        <f>Inputs!$E$19</f>
        <v>0.16</v>
      </c>
      <c r="Z44" s="318">
        <f t="shared" si="11"/>
        <v>178.62400000000002</v>
      </c>
      <c r="AA44" s="318">
        <f t="shared" si="12"/>
        <v>937.77600000000007</v>
      </c>
      <c r="AB44" s="319">
        <f>Inputs!$D$68/60</f>
        <v>0.16666666666666666</v>
      </c>
      <c r="AC44" s="320">
        <f t="shared" si="3"/>
        <v>1107.4688000000003</v>
      </c>
      <c r="AD44" s="321">
        <f>AA44*AB44*$B$8*'Parameter Values'!$B$44</f>
        <v>4209.676464000001</v>
      </c>
      <c r="AE44" s="329">
        <f>Inputs!$D$67</f>
        <v>9.3022222222222233</v>
      </c>
      <c r="AF44"/>
      <c r="AG44" s="315">
        <f t="shared" si="13"/>
        <v>2054</v>
      </c>
      <c r="AH44" s="316">
        <f>'Traffic Volumes'!B43</f>
        <v>36029</v>
      </c>
      <c r="AI44" s="317">
        <f>Inputs!$B$69</f>
        <v>0.3</v>
      </c>
      <c r="AJ44" s="318">
        <f t="shared" si="14"/>
        <v>10808.699999999999</v>
      </c>
      <c r="AK44" s="317">
        <f>Inputs!$E$16</f>
        <v>0.09</v>
      </c>
      <c r="AL44" s="318">
        <f t="shared" si="15"/>
        <v>972.7829999999999</v>
      </c>
      <c r="AM44" s="318">
        <f t="shared" si="16"/>
        <v>9835.9169999999995</v>
      </c>
      <c r="AN44" s="319">
        <f>Inputs!$B$68/60</f>
        <v>0.5</v>
      </c>
      <c r="AO44" s="320">
        <f t="shared" si="4"/>
        <v>18093.763800000001</v>
      </c>
      <c r="AP44" s="321">
        <f>AM44*AN44*$B$8*'Parameter Values'!$B$44</f>
        <v>132460.29423900001</v>
      </c>
      <c r="AQ44" s="329">
        <f>Inputs!$B$67</f>
        <v>52</v>
      </c>
      <c r="AR44"/>
      <c r="AS44"/>
      <c r="AT44"/>
      <c r="AU44"/>
      <c r="AV44"/>
      <c r="AW44"/>
      <c r="AX44"/>
      <c r="AY44"/>
      <c r="AZ44"/>
      <c r="BA44"/>
      <c r="BB44" s="14"/>
    </row>
    <row r="45" spans="1:54" x14ac:dyDescent="0.35">
      <c r="A45" s="1">
        <f>IF(A44&lt;'Project Information'!B$11,A44+1,"")</f>
        <v>2058</v>
      </c>
      <c r="B45" s="22">
        <f t="shared" si="0"/>
        <v>8538956.7127892654</v>
      </c>
      <c r="C45" s="22">
        <v>0</v>
      </c>
      <c r="D45" s="8">
        <f t="shared" si="1"/>
        <v>8538956.7127892654</v>
      </c>
      <c r="G45" s="13"/>
      <c r="H45" s="315">
        <f t="shared" si="5"/>
        <v>2055</v>
      </c>
      <c r="I45" s="316">
        <f>'Traffic Volumes'!$F44</f>
        <v>12276</v>
      </c>
      <c r="J45" s="317">
        <f>Inputs!$C$69</f>
        <v>0.25</v>
      </c>
      <c r="K45" s="318">
        <f t="shared" si="6"/>
        <v>3069</v>
      </c>
      <c r="L45" s="317">
        <f>Inputs!$E$18</f>
        <v>0.24</v>
      </c>
      <c r="M45" s="318">
        <f t="shared" si="7"/>
        <v>736.56</v>
      </c>
      <c r="N45" s="318">
        <f t="shared" si="8"/>
        <v>2332.44</v>
      </c>
      <c r="O45" s="319">
        <f>Inputs!$C$68/60</f>
        <v>0.18333333333333332</v>
      </c>
      <c r="P45" s="320">
        <f t="shared" si="2"/>
        <v>5023.3391999999994</v>
      </c>
      <c r="Q45" s="321">
        <f>N45*O45*$B$8*'Parameter Values'!$B$44</f>
        <v>11517.355476000001</v>
      </c>
      <c r="R45" s="329">
        <f>Inputs!$C$67</f>
        <v>20.357037037037038</v>
      </c>
      <c r="U45" s="315">
        <f t="shared" si="9"/>
        <v>2055</v>
      </c>
      <c r="V45" s="316">
        <f>'Traffic Volumes'!$H44</f>
        <v>5610</v>
      </c>
      <c r="W45" s="317">
        <f>Inputs!$D$69</f>
        <v>0.2</v>
      </c>
      <c r="X45" s="318">
        <f t="shared" si="10"/>
        <v>1122</v>
      </c>
      <c r="Y45" s="317">
        <f>Inputs!$E$19</f>
        <v>0.16</v>
      </c>
      <c r="Z45" s="318">
        <f t="shared" si="11"/>
        <v>179.52</v>
      </c>
      <c r="AA45" s="318">
        <f t="shared" si="12"/>
        <v>942.48</v>
      </c>
      <c r="AB45" s="319">
        <f>Inputs!$D$68/60</f>
        <v>0.16666666666666666</v>
      </c>
      <c r="AC45" s="320">
        <f t="shared" si="3"/>
        <v>1113.0240000000001</v>
      </c>
      <c r="AD45" s="321">
        <f>AA45*AB45*$B$8*'Parameter Values'!$B$44</f>
        <v>4230.7927200000004</v>
      </c>
      <c r="AE45" s="329">
        <f>Inputs!$D$67</f>
        <v>9.3022222222222233</v>
      </c>
      <c r="AF45"/>
      <c r="AG45" s="315">
        <f t="shared" si="13"/>
        <v>2055</v>
      </c>
      <c r="AH45" s="316">
        <f>'Traffic Volumes'!B44</f>
        <v>36389</v>
      </c>
      <c r="AI45" s="317">
        <f>Inputs!$B$69</f>
        <v>0.3</v>
      </c>
      <c r="AJ45" s="318">
        <f t="shared" si="14"/>
        <v>10916.699999999999</v>
      </c>
      <c r="AK45" s="317">
        <f>Inputs!$E$16</f>
        <v>0.09</v>
      </c>
      <c r="AL45" s="318">
        <f t="shared" si="15"/>
        <v>982.50299999999982</v>
      </c>
      <c r="AM45" s="318">
        <f t="shared" si="16"/>
        <v>9934.1970000000001</v>
      </c>
      <c r="AN45" s="319">
        <f>Inputs!$B$68/60</f>
        <v>0.5</v>
      </c>
      <c r="AO45" s="320">
        <f t="shared" si="4"/>
        <v>18274.555799999998</v>
      </c>
      <c r="AP45" s="321">
        <f>AM45*AN45*$B$8*'Parameter Values'!$B$44</f>
        <v>133783.83099900003</v>
      </c>
      <c r="AQ45" s="329">
        <f>Inputs!$B$67</f>
        <v>52</v>
      </c>
      <c r="AR45"/>
      <c r="AS45"/>
      <c r="AT45"/>
      <c r="AU45"/>
      <c r="AV45"/>
      <c r="AW45"/>
      <c r="AX45"/>
      <c r="AY45"/>
      <c r="AZ45"/>
      <c r="BA45"/>
      <c r="BB45" s="14"/>
    </row>
    <row r="46" spans="1:54" x14ac:dyDescent="0.35">
      <c r="A46" s="1">
        <f>IF(A45&lt;'Project Information'!B$11,A45+1,"")</f>
        <v>2059</v>
      </c>
      <c r="B46" s="22">
        <f t="shared" si="0"/>
        <v>8622389.8948077336</v>
      </c>
      <c r="C46" s="22">
        <v>0</v>
      </c>
      <c r="D46" s="8">
        <f t="shared" si="1"/>
        <v>8622389.8948077336</v>
      </c>
      <c r="G46" s="13"/>
      <c r="H46" s="315">
        <f t="shared" si="5"/>
        <v>2056</v>
      </c>
      <c r="I46" s="316">
        <f>'Traffic Volumes'!$F45</f>
        <v>12337</v>
      </c>
      <c r="J46" s="317">
        <f>Inputs!$C$69</f>
        <v>0.25</v>
      </c>
      <c r="K46" s="318">
        <f t="shared" si="6"/>
        <v>3084.25</v>
      </c>
      <c r="L46" s="317">
        <f>Inputs!$E$18</f>
        <v>0.24</v>
      </c>
      <c r="M46" s="318">
        <f t="shared" si="7"/>
        <v>740.22</v>
      </c>
      <c r="N46" s="318">
        <f t="shared" si="8"/>
        <v>2344.0300000000002</v>
      </c>
      <c r="O46" s="319">
        <f>Inputs!$C$68/60</f>
        <v>0.18333333333333332</v>
      </c>
      <c r="P46" s="320">
        <f t="shared" si="2"/>
        <v>5048.3004000000001</v>
      </c>
      <c r="Q46" s="321">
        <f>N46*O46*$B$8*'Parameter Values'!$B$44</f>
        <v>11574.585737000001</v>
      </c>
      <c r="R46" s="329">
        <f>Inputs!$C$67</f>
        <v>20.357037037037038</v>
      </c>
      <c r="U46" s="315">
        <f t="shared" si="9"/>
        <v>2056</v>
      </c>
      <c r="V46" s="316">
        <f>'Traffic Volumes'!$H45</f>
        <v>5638</v>
      </c>
      <c r="W46" s="317">
        <f>Inputs!$D$69</f>
        <v>0.2</v>
      </c>
      <c r="X46" s="318">
        <f t="shared" si="10"/>
        <v>1127.6000000000001</v>
      </c>
      <c r="Y46" s="317">
        <f>Inputs!$E$19</f>
        <v>0.16</v>
      </c>
      <c r="Z46" s="318">
        <f t="shared" si="11"/>
        <v>180.41600000000003</v>
      </c>
      <c r="AA46" s="318">
        <f t="shared" si="12"/>
        <v>947.18400000000008</v>
      </c>
      <c r="AB46" s="319">
        <f>Inputs!$D$68/60</f>
        <v>0.16666666666666666</v>
      </c>
      <c r="AC46" s="320">
        <f t="shared" si="3"/>
        <v>1118.5792000000001</v>
      </c>
      <c r="AD46" s="321">
        <f>AA46*AB46*$B$8*'Parameter Values'!$B$44</f>
        <v>4251.9089760000006</v>
      </c>
      <c r="AE46" s="329">
        <f>Inputs!$D$67</f>
        <v>9.3022222222222233</v>
      </c>
      <c r="AF46"/>
      <c r="AG46" s="315">
        <f t="shared" si="13"/>
        <v>2056</v>
      </c>
      <c r="AH46" s="316">
        <f>'Traffic Volumes'!B45</f>
        <v>36753</v>
      </c>
      <c r="AI46" s="317">
        <f>Inputs!$B$69</f>
        <v>0.3</v>
      </c>
      <c r="AJ46" s="318">
        <f t="shared" si="14"/>
        <v>11025.9</v>
      </c>
      <c r="AK46" s="317">
        <f>Inputs!$E$16</f>
        <v>0.09</v>
      </c>
      <c r="AL46" s="318">
        <f t="shared" si="15"/>
        <v>992.3309999999999</v>
      </c>
      <c r="AM46" s="318">
        <f t="shared" si="16"/>
        <v>10033.569</v>
      </c>
      <c r="AN46" s="319">
        <f>Inputs!$B$68/60</f>
        <v>0.5</v>
      </c>
      <c r="AO46" s="320">
        <f t="shared" si="4"/>
        <v>18457.356599999999</v>
      </c>
      <c r="AP46" s="321">
        <f>AM46*AN46*$B$8*'Parameter Values'!$B$44</f>
        <v>135122.07372300001</v>
      </c>
      <c r="AQ46" s="329">
        <f>Inputs!$B$67</f>
        <v>52</v>
      </c>
      <c r="AR46"/>
      <c r="AS46"/>
      <c r="AT46"/>
      <c r="AU46"/>
      <c r="AV46"/>
      <c r="AW46"/>
      <c r="AX46"/>
      <c r="AY46"/>
      <c r="AZ46"/>
      <c r="BA46"/>
      <c r="BB46" s="14"/>
    </row>
    <row r="47" spans="1:54" x14ac:dyDescent="0.35">
      <c r="A47" s="1">
        <f>IF(A46&lt;'Project Information'!B$11,A46+1,"")</f>
        <v>2060</v>
      </c>
      <c r="B47" s="22">
        <f t="shared" si="0"/>
        <v>8706728.5344966445</v>
      </c>
      <c r="C47" s="22">
        <v>0</v>
      </c>
      <c r="D47" s="8">
        <f t="shared" si="1"/>
        <v>8706728.5344966445</v>
      </c>
      <c r="G47" s="13"/>
      <c r="H47" s="315">
        <f t="shared" si="5"/>
        <v>2057</v>
      </c>
      <c r="I47" s="316">
        <f>'Traffic Volumes'!$F46</f>
        <v>12399</v>
      </c>
      <c r="J47" s="317">
        <f>Inputs!$C$69</f>
        <v>0.25</v>
      </c>
      <c r="K47" s="318">
        <f t="shared" si="6"/>
        <v>3099.75</v>
      </c>
      <c r="L47" s="317">
        <f>Inputs!$E$18</f>
        <v>0.24</v>
      </c>
      <c r="M47" s="318">
        <f t="shared" si="7"/>
        <v>743.93999999999994</v>
      </c>
      <c r="N47" s="318">
        <f t="shared" si="8"/>
        <v>2355.81</v>
      </c>
      <c r="O47" s="319">
        <f>Inputs!$C$68/60</f>
        <v>0.18333333333333332</v>
      </c>
      <c r="P47" s="320">
        <f t="shared" si="2"/>
        <v>5073.6707999999999</v>
      </c>
      <c r="Q47" s="321">
        <f>N47*O47*$B$8*'Parameter Values'!$B$44</f>
        <v>11632.754199000001</v>
      </c>
      <c r="R47" s="329">
        <f>Inputs!$C$67</f>
        <v>20.357037037037038</v>
      </c>
      <c r="U47" s="315">
        <f t="shared" si="9"/>
        <v>2057</v>
      </c>
      <c r="V47" s="316">
        <f>'Traffic Volumes'!$H46</f>
        <v>5666</v>
      </c>
      <c r="W47" s="317">
        <f>Inputs!$D$69</f>
        <v>0.2</v>
      </c>
      <c r="X47" s="318">
        <f t="shared" si="10"/>
        <v>1133.2</v>
      </c>
      <c r="Y47" s="317">
        <f>Inputs!$E$19</f>
        <v>0.16</v>
      </c>
      <c r="Z47" s="318">
        <f t="shared" si="11"/>
        <v>181.31200000000001</v>
      </c>
      <c r="AA47" s="318">
        <f t="shared" si="12"/>
        <v>951.88800000000003</v>
      </c>
      <c r="AB47" s="319">
        <f>Inputs!$D$68/60</f>
        <v>0.16666666666666666</v>
      </c>
      <c r="AC47" s="320">
        <f t="shared" si="3"/>
        <v>1124.1344000000001</v>
      </c>
      <c r="AD47" s="321">
        <f>AA47*AB47*$B$8*'Parameter Values'!$B$44</f>
        <v>4273.0252320000009</v>
      </c>
      <c r="AE47" s="329">
        <f>Inputs!$D$67</f>
        <v>9.3022222222222233</v>
      </c>
      <c r="AF47"/>
      <c r="AG47" s="315">
        <f t="shared" si="13"/>
        <v>2057</v>
      </c>
      <c r="AH47" s="316">
        <f>'Traffic Volumes'!B46</f>
        <v>37121</v>
      </c>
      <c r="AI47" s="317">
        <f>Inputs!$B$69</f>
        <v>0.3</v>
      </c>
      <c r="AJ47" s="318">
        <f t="shared" si="14"/>
        <v>11136.3</v>
      </c>
      <c r="AK47" s="317">
        <f>Inputs!$E$16</f>
        <v>0.09</v>
      </c>
      <c r="AL47" s="318">
        <f t="shared" si="15"/>
        <v>1002.2669999999999</v>
      </c>
      <c r="AM47" s="318">
        <f t="shared" si="16"/>
        <v>10134.032999999999</v>
      </c>
      <c r="AN47" s="319">
        <f>Inputs!$B$68/60</f>
        <v>0.5</v>
      </c>
      <c r="AO47" s="320">
        <f t="shared" si="4"/>
        <v>18642.1662</v>
      </c>
      <c r="AP47" s="321">
        <f>AM47*AN47*$B$8*'Parameter Values'!$B$44</f>
        <v>136475.02241100001</v>
      </c>
      <c r="AQ47" s="329">
        <f>Inputs!$B$67</f>
        <v>52</v>
      </c>
      <c r="AR47"/>
      <c r="AS47"/>
      <c r="AT47"/>
      <c r="AU47"/>
      <c r="AV47"/>
      <c r="AW47"/>
      <c r="AX47"/>
      <c r="AY47"/>
      <c r="AZ47"/>
      <c r="BA47"/>
      <c r="BB47" s="14"/>
    </row>
    <row r="48" spans="1:54" x14ac:dyDescent="0.35">
      <c r="A48" s="1">
        <f>IF(A47&lt;'Project Information'!B$11,A47+1,"")</f>
        <v>2061</v>
      </c>
      <c r="B48" s="22">
        <f t="shared" si="0"/>
        <v>8791719.049981555</v>
      </c>
      <c r="C48" s="22">
        <v>0</v>
      </c>
      <c r="D48" s="8">
        <f t="shared" si="1"/>
        <v>8791719.049981555</v>
      </c>
      <c r="G48" s="13"/>
      <c r="H48" s="315">
        <f t="shared" si="5"/>
        <v>2058</v>
      </c>
      <c r="I48" s="316">
        <f>'Traffic Volumes'!$F47</f>
        <v>12461</v>
      </c>
      <c r="J48" s="317">
        <f>Inputs!$C$69</f>
        <v>0.25</v>
      </c>
      <c r="K48" s="318">
        <f t="shared" si="6"/>
        <v>3115.25</v>
      </c>
      <c r="L48" s="317">
        <f>Inputs!$E$18</f>
        <v>0.24</v>
      </c>
      <c r="M48" s="318">
        <f t="shared" si="7"/>
        <v>747.66</v>
      </c>
      <c r="N48" s="318">
        <f t="shared" si="8"/>
        <v>2367.59</v>
      </c>
      <c r="O48" s="319">
        <f>Inputs!$C$68/60</f>
        <v>0.18333333333333332</v>
      </c>
      <c r="P48" s="320">
        <f t="shared" si="2"/>
        <v>5099.0412000000006</v>
      </c>
      <c r="Q48" s="321">
        <f>N48*O48*$B$8*'Parameter Values'!$B$44</f>
        <v>11690.922661000001</v>
      </c>
      <c r="R48" s="329">
        <f>Inputs!$C$67</f>
        <v>20.357037037037038</v>
      </c>
      <c r="U48" s="315">
        <f t="shared" si="9"/>
        <v>2058</v>
      </c>
      <c r="V48" s="316">
        <f>'Traffic Volumes'!$H47</f>
        <v>5694</v>
      </c>
      <c r="W48" s="317">
        <f>Inputs!$D$69</f>
        <v>0.2</v>
      </c>
      <c r="X48" s="318">
        <f t="shared" si="10"/>
        <v>1138.8</v>
      </c>
      <c r="Y48" s="317">
        <f>Inputs!$E$19</f>
        <v>0.16</v>
      </c>
      <c r="Z48" s="318">
        <f t="shared" si="11"/>
        <v>182.208</v>
      </c>
      <c r="AA48" s="318">
        <f t="shared" si="12"/>
        <v>956.59199999999987</v>
      </c>
      <c r="AB48" s="319">
        <f>Inputs!$D$68/60</f>
        <v>0.16666666666666666</v>
      </c>
      <c r="AC48" s="320">
        <f t="shared" si="3"/>
        <v>1129.6895999999999</v>
      </c>
      <c r="AD48" s="321">
        <f>AA48*AB48*$B$8*'Parameter Values'!$B$44</f>
        <v>4294.1414879999993</v>
      </c>
      <c r="AE48" s="329">
        <f>Inputs!$D$67</f>
        <v>9.3022222222222233</v>
      </c>
      <c r="AF48"/>
      <c r="AG48" s="315">
        <f t="shared" si="13"/>
        <v>2058</v>
      </c>
      <c r="AH48" s="316">
        <f>'Traffic Volumes'!B47</f>
        <v>37492</v>
      </c>
      <c r="AI48" s="317">
        <f>Inputs!$B$69</f>
        <v>0.3</v>
      </c>
      <c r="AJ48" s="318">
        <f t="shared" si="14"/>
        <v>11247.6</v>
      </c>
      <c r="AK48" s="317">
        <f>Inputs!$E$16</f>
        <v>0.09</v>
      </c>
      <c r="AL48" s="318">
        <f t="shared" si="15"/>
        <v>1012.284</v>
      </c>
      <c r="AM48" s="318">
        <f t="shared" si="16"/>
        <v>10235.316000000001</v>
      </c>
      <c r="AN48" s="319">
        <f>Inputs!$B$68/60</f>
        <v>0.5</v>
      </c>
      <c r="AO48" s="320">
        <f t="shared" si="4"/>
        <v>18828.482400000001</v>
      </c>
      <c r="AP48" s="321">
        <f>AM48*AN48*$B$8*'Parameter Values'!$B$44</f>
        <v>137839.00057200002</v>
      </c>
      <c r="AQ48" s="329">
        <f>Inputs!$B$67</f>
        <v>52</v>
      </c>
      <c r="AR48"/>
      <c r="AS48"/>
      <c r="AT48"/>
      <c r="AU48"/>
      <c r="AV48"/>
      <c r="AW48"/>
      <c r="AX48"/>
      <c r="AY48"/>
      <c r="AZ48"/>
      <c r="BA48"/>
      <c r="BB48" s="14"/>
    </row>
    <row r="49" spans="1:54" x14ac:dyDescent="0.35">
      <c r="A49" s="1">
        <f>IF(A48&lt;'Project Information'!B$11,A48+1,"")</f>
        <v>2062</v>
      </c>
      <c r="B49" s="22">
        <f t="shared" si="0"/>
        <v>8877578.7331944667</v>
      </c>
      <c r="C49" s="22">
        <v>0</v>
      </c>
      <c r="D49" s="9">
        <f t="shared" si="1"/>
        <v>8877578.7331944667</v>
      </c>
      <c r="G49" s="13"/>
      <c r="H49" s="315">
        <f t="shared" si="5"/>
        <v>2059</v>
      </c>
      <c r="I49" s="316">
        <f>'Traffic Volumes'!$F48</f>
        <v>12523</v>
      </c>
      <c r="J49" s="317">
        <f>Inputs!$C$69</f>
        <v>0.25</v>
      </c>
      <c r="K49" s="318">
        <f t="shared" si="6"/>
        <v>3130.75</v>
      </c>
      <c r="L49" s="317">
        <f>Inputs!$E$18</f>
        <v>0.24</v>
      </c>
      <c r="M49" s="318">
        <f t="shared" si="7"/>
        <v>751.38</v>
      </c>
      <c r="N49" s="318">
        <f t="shared" si="8"/>
        <v>2379.37</v>
      </c>
      <c r="O49" s="319">
        <f>Inputs!$C$68/60</f>
        <v>0.18333333333333332</v>
      </c>
      <c r="P49" s="320">
        <f t="shared" si="2"/>
        <v>5124.4115999999995</v>
      </c>
      <c r="Q49" s="321">
        <f>N49*O49*$B$8*'Parameter Values'!$B$44</f>
        <v>11749.091122999998</v>
      </c>
      <c r="R49" s="329">
        <f>Inputs!$C$67</f>
        <v>20.357037037037038</v>
      </c>
      <c r="U49" s="315">
        <f t="shared" si="9"/>
        <v>2059</v>
      </c>
      <c r="V49" s="316">
        <f>'Traffic Volumes'!$H48</f>
        <v>5722</v>
      </c>
      <c r="W49" s="317">
        <f>Inputs!$D$69</f>
        <v>0.2</v>
      </c>
      <c r="X49" s="318">
        <f t="shared" si="10"/>
        <v>1144.4000000000001</v>
      </c>
      <c r="Y49" s="317">
        <f>Inputs!$E$19</f>
        <v>0.16</v>
      </c>
      <c r="Z49" s="318">
        <f t="shared" si="11"/>
        <v>183.10400000000001</v>
      </c>
      <c r="AA49" s="318">
        <f t="shared" si="12"/>
        <v>961.29600000000005</v>
      </c>
      <c r="AB49" s="319">
        <f>Inputs!$D$68/60</f>
        <v>0.16666666666666666</v>
      </c>
      <c r="AC49" s="320">
        <f t="shared" si="3"/>
        <v>1135.2448000000002</v>
      </c>
      <c r="AD49" s="321">
        <f>AA49*AB49*$B$8*'Parameter Values'!$B$44</f>
        <v>4315.2577440000005</v>
      </c>
      <c r="AE49" s="329">
        <f>Inputs!$D$67</f>
        <v>9.3022222222222233</v>
      </c>
      <c r="AF49"/>
      <c r="AG49" s="315">
        <f t="shared" si="13"/>
        <v>2059</v>
      </c>
      <c r="AH49" s="316">
        <f>'Traffic Volumes'!B48</f>
        <v>37867</v>
      </c>
      <c r="AI49" s="317">
        <f>Inputs!$B$69</f>
        <v>0.3</v>
      </c>
      <c r="AJ49" s="318">
        <f t="shared" si="14"/>
        <v>11360.1</v>
      </c>
      <c r="AK49" s="317">
        <f>Inputs!$E$16</f>
        <v>0.09</v>
      </c>
      <c r="AL49" s="318">
        <f t="shared" si="15"/>
        <v>1022.409</v>
      </c>
      <c r="AM49" s="318">
        <f t="shared" si="16"/>
        <v>10337.691000000001</v>
      </c>
      <c r="AN49" s="319">
        <f>Inputs!$B$68/60</f>
        <v>0.5</v>
      </c>
      <c r="AO49" s="320">
        <f t="shared" si="4"/>
        <v>19016.807400000002</v>
      </c>
      <c r="AP49" s="321">
        <f>AM49*AN49*$B$8*'Parameter Values'!$B$44</f>
        <v>139217.68469700005</v>
      </c>
      <c r="AQ49" s="329">
        <f>Inputs!$B$67</f>
        <v>52</v>
      </c>
      <c r="AR49"/>
      <c r="AS49"/>
      <c r="AT49"/>
      <c r="AU49"/>
      <c r="AV49"/>
      <c r="AW49"/>
      <c r="AX49"/>
      <c r="AY49"/>
      <c r="AZ49"/>
      <c r="BA49"/>
      <c r="BB49" s="14"/>
    </row>
    <row r="50" spans="1:54" x14ac:dyDescent="0.35">
      <c r="A50" s="31"/>
      <c r="B50" s="32"/>
      <c r="C50" s="32"/>
      <c r="D50" s="29"/>
      <c r="G50" s="13"/>
      <c r="H50" s="315">
        <f t="shared" si="5"/>
        <v>2060</v>
      </c>
      <c r="I50" s="316">
        <f>'Traffic Volumes'!$F49</f>
        <v>12586</v>
      </c>
      <c r="J50" s="317">
        <f>Inputs!$C$69</f>
        <v>0.25</v>
      </c>
      <c r="K50" s="318">
        <f t="shared" si="6"/>
        <v>3146.5</v>
      </c>
      <c r="L50" s="317">
        <f>Inputs!$E$18</f>
        <v>0.24</v>
      </c>
      <c r="M50" s="318">
        <f t="shared" si="7"/>
        <v>755.16</v>
      </c>
      <c r="N50" s="318">
        <f t="shared" si="8"/>
        <v>2391.34</v>
      </c>
      <c r="O50" s="319">
        <f>Inputs!$C$68/60</f>
        <v>0.18333333333333332</v>
      </c>
      <c r="P50" s="320">
        <f t="shared" si="2"/>
        <v>5150.1912000000002</v>
      </c>
      <c r="Q50" s="321">
        <f>N50*O50*$B$8*'Parameter Values'!$B$44</f>
        <v>11808.197786000001</v>
      </c>
      <c r="R50" s="329">
        <f>Inputs!$C$67</f>
        <v>20.357037037037038</v>
      </c>
      <c r="U50" s="315">
        <f t="shared" si="9"/>
        <v>2060</v>
      </c>
      <c r="V50" s="316">
        <f>'Traffic Volumes'!$H49</f>
        <v>5751</v>
      </c>
      <c r="W50" s="317">
        <f>Inputs!$D$69</f>
        <v>0.2</v>
      </c>
      <c r="X50" s="318">
        <f t="shared" si="10"/>
        <v>1150.2</v>
      </c>
      <c r="Y50" s="317">
        <f>Inputs!$E$19</f>
        <v>0.16</v>
      </c>
      <c r="Z50" s="318">
        <f t="shared" si="11"/>
        <v>184.03200000000001</v>
      </c>
      <c r="AA50" s="318">
        <f t="shared" si="12"/>
        <v>966.16800000000001</v>
      </c>
      <c r="AB50" s="319">
        <f>Inputs!$D$68/60</f>
        <v>0.16666666666666666</v>
      </c>
      <c r="AC50" s="320">
        <f t="shared" si="3"/>
        <v>1140.9984000000002</v>
      </c>
      <c r="AD50" s="321">
        <f>AA50*AB50*$B$8*'Parameter Values'!$B$44</f>
        <v>4337.1281520000002</v>
      </c>
      <c r="AE50" s="329">
        <f>Inputs!$D$67</f>
        <v>9.3022222222222233</v>
      </c>
      <c r="AF50"/>
      <c r="AG50" s="315">
        <f t="shared" si="13"/>
        <v>2060</v>
      </c>
      <c r="AH50" s="316">
        <f>'Traffic Volumes'!B49</f>
        <v>38246</v>
      </c>
      <c r="AI50" s="317">
        <f>Inputs!$B$69</f>
        <v>0.3</v>
      </c>
      <c r="AJ50" s="318">
        <f t="shared" si="14"/>
        <v>11473.8</v>
      </c>
      <c r="AK50" s="317">
        <f>Inputs!$E$16</f>
        <v>0.09</v>
      </c>
      <c r="AL50" s="318">
        <f t="shared" si="15"/>
        <v>1032.6419999999998</v>
      </c>
      <c r="AM50" s="318">
        <f t="shared" si="16"/>
        <v>10441.157999999999</v>
      </c>
      <c r="AN50" s="319">
        <f>Inputs!$B$68/60</f>
        <v>0.5</v>
      </c>
      <c r="AO50" s="320">
        <f t="shared" si="4"/>
        <v>19207.141199999998</v>
      </c>
      <c r="AP50" s="321">
        <f>AM50*AN50*$B$8*'Parameter Values'!$B$44</f>
        <v>140611.07478600001</v>
      </c>
      <c r="AQ50" s="329">
        <f>Inputs!$B$67</f>
        <v>52</v>
      </c>
      <c r="AR50"/>
      <c r="AS50"/>
      <c r="AT50"/>
      <c r="AU50"/>
      <c r="AV50"/>
      <c r="AW50"/>
      <c r="AX50"/>
      <c r="AY50"/>
      <c r="AZ50"/>
      <c r="BA50"/>
      <c r="BB50" s="14"/>
    </row>
    <row r="51" spans="1:54" x14ac:dyDescent="0.35">
      <c r="B51" s="28"/>
      <c r="C51" s="28"/>
      <c r="D51" s="29"/>
      <c r="G51" s="13"/>
      <c r="H51" s="315">
        <f t="shared" si="5"/>
        <v>2061</v>
      </c>
      <c r="I51" s="316">
        <f>'Traffic Volumes'!$F50</f>
        <v>12649</v>
      </c>
      <c r="J51" s="317">
        <f>Inputs!$C$69</f>
        <v>0.25</v>
      </c>
      <c r="K51" s="318">
        <f t="shared" si="6"/>
        <v>3162.25</v>
      </c>
      <c r="L51" s="317">
        <f>Inputs!$E$18</f>
        <v>0.24</v>
      </c>
      <c r="M51" s="318">
        <f t="shared" si="7"/>
        <v>758.93999999999994</v>
      </c>
      <c r="N51" s="318">
        <f t="shared" si="8"/>
        <v>2403.31</v>
      </c>
      <c r="O51" s="319">
        <f>Inputs!$C$68/60</f>
        <v>0.18333333333333332</v>
      </c>
      <c r="P51" s="320">
        <f t="shared" si="2"/>
        <v>5175.9708000000001</v>
      </c>
      <c r="Q51" s="321">
        <f>N51*O51*$B$8*'Parameter Values'!$B$44</f>
        <v>11867.304448999999</v>
      </c>
      <c r="R51" s="329">
        <f>Inputs!$C$67</f>
        <v>20.357037037037038</v>
      </c>
      <c r="U51" s="315">
        <f t="shared" si="9"/>
        <v>2061</v>
      </c>
      <c r="V51" s="316">
        <f>'Traffic Volumes'!$H50</f>
        <v>5780</v>
      </c>
      <c r="W51" s="317">
        <f>Inputs!$D$69</f>
        <v>0.2</v>
      </c>
      <c r="X51" s="318">
        <f t="shared" si="10"/>
        <v>1156</v>
      </c>
      <c r="Y51" s="317">
        <f>Inputs!$E$19</f>
        <v>0.16</v>
      </c>
      <c r="Z51" s="318">
        <f t="shared" si="11"/>
        <v>184.96</v>
      </c>
      <c r="AA51" s="318">
        <f t="shared" si="12"/>
        <v>971.04</v>
      </c>
      <c r="AB51" s="319">
        <f>Inputs!$D$68/60</f>
        <v>0.16666666666666666</v>
      </c>
      <c r="AC51" s="320">
        <f t="shared" si="3"/>
        <v>1146.7520000000002</v>
      </c>
      <c r="AD51" s="321">
        <f>AA51*AB51*$B$8*'Parameter Values'!$B$44</f>
        <v>4358.99856</v>
      </c>
      <c r="AE51" s="329">
        <f>Inputs!$D$67</f>
        <v>9.3022222222222233</v>
      </c>
      <c r="AF51"/>
      <c r="AG51" s="315">
        <f t="shared" si="13"/>
        <v>2061</v>
      </c>
      <c r="AH51" s="316">
        <f>'Traffic Volumes'!B50</f>
        <v>38628</v>
      </c>
      <c r="AI51" s="317">
        <f>Inputs!$B$69</f>
        <v>0.3</v>
      </c>
      <c r="AJ51" s="318">
        <f t="shared" si="14"/>
        <v>11588.4</v>
      </c>
      <c r="AK51" s="317">
        <f>Inputs!$E$16</f>
        <v>0.09</v>
      </c>
      <c r="AL51" s="318">
        <f t="shared" si="15"/>
        <v>1042.9559999999999</v>
      </c>
      <c r="AM51" s="318">
        <f t="shared" si="16"/>
        <v>10545.444</v>
      </c>
      <c r="AN51" s="319">
        <f>Inputs!$B$68/60</f>
        <v>0.5</v>
      </c>
      <c r="AO51" s="320">
        <f t="shared" si="4"/>
        <v>19398.981599999999</v>
      </c>
      <c r="AP51" s="321">
        <f>AM51*AN51*$B$8*'Parameter Values'!$B$44</f>
        <v>142015.49434800001</v>
      </c>
      <c r="AQ51" s="329">
        <f>Inputs!$B$67</f>
        <v>52</v>
      </c>
      <c r="AR51"/>
      <c r="AS51"/>
      <c r="AT51"/>
      <c r="AU51"/>
      <c r="AV51"/>
      <c r="AW51"/>
      <c r="AX51"/>
      <c r="AY51"/>
      <c r="AZ51"/>
      <c r="BA51"/>
      <c r="BB51" s="14"/>
    </row>
    <row r="52" spans="1:54" x14ac:dyDescent="0.35">
      <c r="B52" s="28"/>
      <c r="C52" s="28"/>
      <c r="D52" s="29"/>
      <c r="G52" s="13"/>
      <c r="H52" s="322">
        <f t="shared" si="5"/>
        <v>2062</v>
      </c>
      <c r="I52" s="323">
        <f>'Traffic Volumes'!$F51</f>
        <v>12712</v>
      </c>
      <c r="J52" s="324">
        <f>Inputs!$C$69</f>
        <v>0.25</v>
      </c>
      <c r="K52" s="325">
        <f t="shared" si="6"/>
        <v>3178</v>
      </c>
      <c r="L52" s="324">
        <f>Inputs!$E$18</f>
        <v>0.24</v>
      </c>
      <c r="M52" s="325">
        <f t="shared" si="7"/>
        <v>762.72</v>
      </c>
      <c r="N52" s="325">
        <f t="shared" si="8"/>
        <v>2415.2800000000002</v>
      </c>
      <c r="O52" s="319">
        <f>Inputs!$C$68/60</f>
        <v>0.18333333333333332</v>
      </c>
      <c r="P52" s="320">
        <f t="shared" si="2"/>
        <v>5201.7503999999999</v>
      </c>
      <c r="Q52" s="321">
        <f>N52*O52*$B$8*'Parameter Values'!$B$44</f>
        <v>11926.411112000002</v>
      </c>
      <c r="R52" s="330">
        <f>Inputs!$C$67</f>
        <v>20.357037037037038</v>
      </c>
      <c r="U52" s="322">
        <f t="shared" si="9"/>
        <v>2062</v>
      </c>
      <c r="V52" s="323">
        <f>'Traffic Volumes'!$H51</f>
        <v>5809</v>
      </c>
      <c r="W52" s="324">
        <f>Inputs!$D$69</f>
        <v>0.2</v>
      </c>
      <c r="X52" s="325">
        <f t="shared" si="10"/>
        <v>1161.8</v>
      </c>
      <c r="Y52" s="324">
        <f>Inputs!$E$19</f>
        <v>0.16</v>
      </c>
      <c r="Z52" s="325">
        <f t="shared" si="11"/>
        <v>185.88800000000001</v>
      </c>
      <c r="AA52" s="325">
        <f t="shared" si="12"/>
        <v>975.91199999999992</v>
      </c>
      <c r="AB52" s="319">
        <f>Inputs!$D$68/60</f>
        <v>0.16666666666666666</v>
      </c>
      <c r="AC52" s="320">
        <f t="shared" si="3"/>
        <v>1152.5056</v>
      </c>
      <c r="AD52" s="321">
        <f>AA52*AB52*$B$8*'Parameter Values'!$B$44</f>
        <v>4380.8689679999998</v>
      </c>
      <c r="AE52" s="330">
        <f>Inputs!$D$67</f>
        <v>9.3022222222222233</v>
      </c>
      <c r="AF52"/>
      <c r="AG52" s="322">
        <f t="shared" si="13"/>
        <v>2062</v>
      </c>
      <c r="AH52" s="316">
        <f>'Traffic Volumes'!B51</f>
        <v>39014</v>
      </c>
      <c r="AI52" s="317">
        <f>Inputs!$B$69</f>
        <v>0.3</v>
      </c>
      <c r="AJ52" s="325">
        <f t="shared" si="14"/>
        <v>11704.199999999999</v>
      </c>
      <c r="AK52" s="317">
        <f>Inputs!$E$16</f>
        <v>0.09</v>
      </c>
      <c r="AL52" s="325">
        <f t="shared" si="15"/>
        <v>1053.3779999999999</v>
      </c>
      <c r="AM52" s="325">
        <f t="shared" si="16"/>
        <v>10650.822</v>
      </c>
      <c r="AN52" s="319">
        <f>Inputs!$B$68/60</f>
        <v>0.5</v>
      </c>
      <c r="AO52" s="320">
        <f t="shared" si="4"/>
        <v>19592.8308</v>
      </c>
      <c r="AP52" s="321">
        <f>AM52*AN52*$B$8*'Parameter Values'!$B$44</f>
        <v>143434.61987400003</v>
      </c>
      <c r="AQ52" s="329">
        <f>Inputs!$B$67</f>
        <v>52</v>
      </c>
      <c r="AR52"/>
      <c r="AS52"/>
      <c r="AT52"/>
      <c r="AU52"/>
      <c r="AV52"/>
      <c r="AW52"/>
      <c r="AX52"/>
      <c r="AY52"/>
      <c r="AZ52"/>
      <c r="BA52"/>
      <c r="BB52" s="14"/>
    </row>
    <row r="53" spans="1:54" x14ac:dyDescent="0.35">
      <c r="B53" s="28"/>
      <c r="C53" s="28"/>
      <c r="D53" s="29"/>
      <c r="G53" s="13"/>
      <c r="AR53"/>
      <c r="AS53"/>
      <c r="AT53"/>
      <c r="AU53"/>
      <c r="AV53"/>
      <c r="AW53"/>
      <c r="AX53"/>
      <c r="AY53"/>
      <c r="AZ53"/>
      <c r="BA53"/>
      <c r="BB53" s="14"/>
    </row>
    <row r="54" spans="1:54" x14ac:dyDescent="0.35">
      <c r="B54" s="28"/>
      <c r="C54" s="28"/>
      <c r="D54" s="29"/>
      <c r="G54" s="13"/>
      <c r="AR54"/>
      <c r="AS54"/>
      <c r="AT54"/>
      <c r="AU54"/>
      <c r="AV54"/>
      <c r="AW54"/>
      <c r="AX54"/>
      <c r="AY54"/>
      <c r="AZ54"/>
      <c r="BA54"/>
      <c r="BB54" s="14"/>
    </row>
    <row r="55" spans="1:54" x14ac:dyDescent="0.35">
      <c r="B55" s="28"/>
      <c r="C55" s="28"/>
      <c r="D55" s="29"/>
      <c r="G55" s="13"/>
      <c r="AR55"/>
      <c r="AS55"/>
      <c r="AT55"/>
      <c r="AU55"/>
      <c r="AV55"/>
      <c r="AW55"/>
      <c r="AX55"/>
      <c r="AY55"/>
      <c r="AZ55"/>
      <c r="BA55"/>
      <c r="BB55" s="14"/>
    </row>
    <row r="56" spans="1:54" x14ac:dyDescent="0.35">
      <c r="B56" s="28"/>
      <c r="C56" s="28"/>
      <c r="D56" s="29"/>
      <c r="G56" s="13"/>
      <c r="AR56"/>
      <c r="AS56"/>
      <c r="AT56"/>
      <c r="AU56"/>
      <c r="AV56"/>
      <c r="AW56"/>
      <c r="AX56"/>
      <c r="AY56"/>
      <c r="AZ56"/>
      <c r="BA56"/>
      <c r="BB56" s="14"/>
    </row>
    <row r="57" spans="1:54" x14ac:dyDescent="0.35">
      <c r="B57" s="28"/>
      <c r="C57" s="28"/>
      <c r="D57" s="29"/>
      <c r="G57" s="13"/>
      <c r="AR57"/>
      <c r="AS57"/>
      <c r="AT57"/>
      <c r="AU57"/>
      <c r="AV57"/>
      <c r="AW57"/>
      <c r="AX57"/>
      <c r="AY57"/>
      <c r="AZ57"/>
      <c r="BA57"/>
      <c r="BB57" s="14"/>
    </row>
    <row r="58" spans="1:54" x14ac:dyDescent="0.35">
      <c r="B58" s="28"/>
      <c r="C58" s="28"/>
      <c r="D58" s="29"/>
      <c r="G58" s="13"/>
      <c r="AR58"/>
      <c r="AS58"/>
      <c r="AT58"/>
      <c r="AU58"/>
      <c r="AV58"/>
      <c r="AW58"/>
      <c r="AX58"/>
      <c r="AY58"/>
      <c r="AZ58"/>
      <c r="BA58"/>
      <c r="BB58" s="14"/>
    </row>
    <row r="59" spans="1:54" x14ac:dyDescent="0.35">
      <c r="B59" s="28"/>
      <c r="C59" s="28"/>
      <c r="D59" s="29"/>
      <c r="G59" s="13"/>
      <c r="AR59"/>
      <c r="AS59"/>
      <c r="AT59"/>
      <c r="AU59"/>
      <c r="AV59"/>
      <c r="AW59"/>
      <c r="AX59"/>
      <c r="AY59"/>
      <c r="AZ59"/>
      <c r="BA59"/>
      <c r="BB59" s="14"/>
    </row>
    <row r="60" spans="1:54" x14ac:dyDescent="0.35">
      <c r="G60" s="13"/>
      <c r="AR60"/>
      <c r="AS60"/>
      <c r="AT60"/>
      <c r="AU60"/>
      <c r="AV60"/>
      <c r="AW60"/>
      <c r="AX60"/>
      <c r="AY60"/>
      <c r="AZ60"/>
      <c r="BA60"/>
      <c r="BB60" s="14"/>
    </row>
    <row r="61" spans="1:54" x14ac:dyDescent="0.35">
      <c r="G61" s="13"/>
      <c r="AR61"/>
      <c r="AS61"/>
      <c r="AT61"/>
      <c r="AU61"/>
      <c r="AV61"/>
      <c r="AW61"/>
      <c r="AX61"/>
      <c r="AY61"/>
      <c r="AZ61"/>
      <c r="BA61"/>
      <c r="BB61" s="14"/>
    </row>
    <row r="62" spans="1:54" x14ac:dyDescent="0.35">
      <c r="G62" s="13"/>
      <c r="AR62"/>
      <c r="AS62"/>
      <c r="AT62"/>
      <c r="AU62"/>
      <c r="AV62"/>
      <c r="AW62"/>
      <c r="AX62"/>
      <c r="AY62"/>
      <c r="AZ62"/>
      <c r="BA62"/>
      <c r="BB62" s="14"/>
    </row>
    <row r="63" spans="1:54" x14ac:dyDescent="0.35">
      <c r="G63" s="13"/>
      <c r="AR63"/>
      <c r="AS63"/>
      <c r="AT63"/>
      <c r="AU63"/>
      <c r="AV63"/>
      <c r="AW63"/>
      <c r="AX63"/>
      <c r="AY63"/>
      <c r="AZ63"/>
      <c r="BA63"/>
      <c r="BB63" s="14"/>
    </row>
    <row r="64" spans="1:54" x14ac:dyDescent="0.35">
      <c r="G64" s="13"/>
      <c r="AR64"/>
      <c r="AS64"/>
      <c r="AT64"/>
      <c r="AU64"/>
      <c r="AV64"/>
      <c r="AW64"/>
      <c r="AX64"/>
      <c r="AY64"/>
      <c r="AZ64"/>
      <c r="BA64"/>
      <c r="BB64" s="14"/>
    </row>
    <row r="65" spans="7:54" x14ac:dyDescent="0.35">
      <c r="G65" s="13"/>
      <c r="AR65"/>
      <c r="AS65"/>
      <c r="AT65"/>
      <c r="AU65"/>
      <c r="AV65"/>
      <c r="AW65"/>
      <c r="AX65"/>
      <c r="AY65"/>
      <c r="AZ65"/>
      <c r="BA65"/>
      <c r="BB65" s="14"/>
    </row>
    <row r="66" spans="7:54" x14ac:dyDescent="0.35">
      <c r="G66" s="13"/>
      <c r="AR66"/>
      <c r="AS66"/>
      <c r="AT66"/>
      <c r="AU66"/>
      <c r="AV66"/>
      <c r="AW66"/>
      <c r="AX66"/>
      <c r="AY66"/>
      <c r="AZ66"/>
      <c r="BA66"/>
      <c r="BB66" s="14"/>
    </row>
    <row r="67" spans="7:54" x14ac:dyDescent="0.35">
      <c r="G67" s="13"/>
      <c r="AR67"/>
      <c r="AS67"/>
      <c r="AT67"/>
      <c r="AU67"/>
      <c r="AV67"/>
      <c r="AW67"/>
      <c r="AX67"/>
      <c r="AY67"/>
      <c r="AZ67"/>
      <c r="BA67"/>
      <c r="BB67" s="14"/>
    </row>
    <row r="68" spans="7:54" x14ac:dyDescent="0.35">
      <c r="G68" s="13"/>
      <c r="AR68"/>
      <c r="AS68"/>
      <c r="AT68"/>
      <c r="AU68"/>
      <c r="AV68"/>
      <c r="AW68"/>
      <c r="AX68"/>
      <c r="AY68"/>
      <c r="AZ68"/>
      <c r="BA68"/>
      <c r="BB68" s="14"/>
    </row>
    <row r="69" spans="7:54" x14ac:dyDescent="0.35">
      <c r="G69" s="13"/>
      <c r="AR69"/>
      <c r="AS69"/>
      <c r="AT69"/>
      <c r="AU69"/>
      <c r="AV69"/>
      <c r="AW69"/>
      <c r="AX69"/>
      <c r="AY69"/>
      <c r="AZ69"/>
      <c r="BA69"/>
      <c r="BB69" s="14"/>
    </row>
    <row r="70" spans="7:54" x14ac:dyDescent="0.35">
      <c r="G70" s="13"/>
      <c r="AR70"/>
      <c r="AS70"/>
      <c r="AT70"/>
      <c r="AU70"/>
      <c r="AV70"/>
      <c r="AW70"/>
      <c r="AX70"/>
      <c r="AY70"/>
      <c r="AZ70"/>
      <c r="BA70"/>
      <c r="BB70" s="14"/>
    </row>
    <row r="71" spans="7:54" x14ac:dyDescent="0.35">
      <c r="G71" s="13"/>
      <c r="AR71"/>
      <c r="AS71"/>
      <c r="AT71"/>
      <c r="AU71"/>
      <c r="AV71"/>
      <c r="AW71"/>
      <c r="AX71"/>
      <c r="AY71"/>
      <c r="AZ71"/>
      <c r="BA71"/>
      <c r="BB71" s="14"/>
    </row>
    <row r="72" spans="7:54" x14ac:dyDescent="0.35">
      <c r="G72" s="13"/>
      <c r="AR72"/>
      <c r="AS72"/>
      <c r="AT72"/>
      <c r="AU72"/>
      <c r="AV72"/>
      <c r="AW72"/>
      <c r="AX72"/>
      <c r="AY72"/>
      <c r="AZ72"/>
      <c r="BA72"/>
      <c r="BB72" s="14"/>
    </row>
    <row r="73" spans="7:54" x14ac:dyDescent="0.35">
      <c r="G73" s="13"/>
      <c r="AR73"/>
      <c r="AS73"/>
      <c r="AT73"/>
      <c r="AU73"/>
      <c r="AV73"/>
      <c r="AW73"/>
      <c r="AX73"/>
      <c r="AY73"/>
      <c r="AZ73"/>
      <c r="BA73"/>
      <c r="BB73" s="14"/>
    </row>
    <row r="74" spans="7:54" x14ac:dyDescent="0.35">
      <c r="G74" s="13"/>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s="14"/>
    </row>
    <row r="75" spans="7:54" x14ac:dyDescent="0.35">
      <c r="G75" s="13"/>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s="14"/>
    </row>
    <row r="76" spans="7:54" x14ac:dyDescent="0.35">
      <c r="G76" s="13"/>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s="14"/>
    </row>
    <row r="77" spans="7:54" x14ac:dyDescent="0.35">
      <c r="G77" s="13"/>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s="14"/>
    </row>
    <row r="78" spans="7:54" x14ac:dyDescent="0.35">
      <c r="G78" s="13"/>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s="14"/>
    </row>
    <row r="79" spans="7:54" x14ac:dyDescent="0.35">
      <c r="G79" s="13"/>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s="14"/>
    </row>
    <row r="80" spans="7:54" x14ac:dyDescent="0.35">
      <c r="G80" s="13"/>
      <c r="AR80"/>
      <c r="AS80"/>
      <c r="AT80"/>
      <c r="AU80"/>
      <c r="AV80"/>
      <c r="AW80"/>
      <c r="AX80"/>
      <c r="AY80"/>
      <c r="AZ80"/>
      <c r="BA80"/>
      <c r="BB80" s="14"/>
    </row>
    <row r="81" spans="7:54" x14ac:dyDescent="0.35">
      <c r="G81" s="13"/>
      <c r="AR81"/>
      <c r="AS81"/>
      <c r="AT81"/>
      <c r="AU81"/>
      <c r="AV81"/>
      <c r="AW81"/>
      <c r="AX81"/>
      <c r="AY81"/>
      <c r="AZ81"/>
      <c r="BA81"/>
      <c r="BB81" s="14"/>
    </row>
    <row r="82" spans="7:54" x14ac:dyDescent="0.35">
      <c r="G82" s="13"/>
      <c r="AR82"/>
      <c r="AS82"/>
      <c r="AT82"/>
      <c r="AU82"/>
      <c r="AV82"/>
      <c r="AW82"/>
      <c r="AX82"/>
      <c r="AY82"/>
      <c r="AZ82"/>
      <c r="BA82"/>
      <c r="BB82" s="14"/>
    </row>
    <row r="83" spans="7:54" x14ac:dyDescent="0.35">
      <c r="G83" s="13"/>
      <c r="AR83"/>
      <c r="AS83"/>
      <c r="AT83"/>
      <c r="AU83"/>
      <c r="AV83"/>
      <c r="AW83"/>
      <c r="AX83"/>
      <c r="AY83"/>
      <c r="AZ83"/>
      <c r="BA83"/>
      <c r="BB83" s="14"/>
    </row>
    <row r="84" spans="7:54" x14ac:dyDescent="0.35">
      <c r="G84" s="13"/>
      <c r="AR84"/>
      <c r="AS84"/>
      <c r="AT84"/>
      <c r="AU84"/>
      <c r="AV84"/>
      <c r="AW84"/>
      <c r="AX84"/>
      <c r="AY84"/>
      <c r="AZ84"/>
      <c r="BA84"/>
      <c r="BB84" s="14"/>
    </row>
    <row r="85" spans="7:54" x14ac:dyDescent="0.35">
      <c r="G85" s="13"/>
      <c r="AR85"/>
      <c r="AS85"/>
      <c r="AT85"/>
      <c r="AU85"/>
      <c r="AV85"/>
      <c r="AW85"/>
      <c r="AX85"/>
      <c r="AY85"/>
      <c r="AZ85"/>
      <c r="BA85"/>
      <c r="BB85" s="14"/>
    </row>
    <row r="86" spans="7:54" x14ac:dyDescent="0.35">
      <c r="G86" s="13"/>
      <c r="AR86"/>
      <c r="AS86"/>
      <c r="AT86"/>
      <c r="AU86"/>
      <c r="AV86"/>
      <c r="AW86"/>
      <c r="AX86"/>
      <c r="AY86"/>
      <c r="AZ86"/>
      <c r="BA86"/>
      <c r="BB86" s="14"/>
    </row>
    <row r="87" spans="7:54" x14ac:dyDescent="0.35">
      <c r="G87" s="13"/>
      <c r="AR87"/>
      <c r="AS87"/>
      <c r="AT87"/>
      <c r="AU87"/>
      <c r="AV87"/>
      <c r="AW87"/>
      <c r="AX87"/>
      <c r="AY87"/>
      <c r="AZ87"/>
      <c r="BA87"/>
      <c r="BB87" s="14"/>
    </row>
    <row r="88" spans="7:54" x14ac:dyDescent="0.35">
      <c r="G88" s="13"/>
      <c r="AR88"/>
      <c r="AS88"/>
      <c r="AT88"/>
      <c r="AU88"/>
      <c r="AV88"/>
      <c r="AW88"/>
      <c r="AX88"/>
      <c r="AY88"/>
      <c r="AZ88"/>
      <c r="BA88"/>
      <c r="BB88" s="14"/>
    </row>
    <row r="89" spans="7:54" x14ac:dyDescent="0.35">
      <c r="G89" s="13"/>
      <c r="AR89"/>
      <c r="AS89"/>
      <c r="AT89"/>
      <c r="AU89"/>
      <c r="AV89"/>
      <c r="AW89"/>
      <c r="AX89"/>
      <c r="AY89"/>
      <c r="AZ89"/>
      <c r="BA89"/>
      <c r="BB89" s="14"/>
    </row>
    <row r="90" spans="7:54" x14ac:dyDescent="0.35">
      <c r="G90" s="13"/>
      <c r="AR90"/>
      <c r="AS90"/>
      <c r="AT90"/>
      <c r="AU90"/>
      <c r="AV90"/>
      <c r="AW90"/>
      <c r="AX90"/>
      <c r="AY90"/>
      <c r="AZ90"/>
      <c r="BA90"/>
      <c r="BB90" s="14"/>
    </row>
    <row r="91" spans="7:54" x14ac:dyDescent="0.35">
      <c r="G91" s="13"/>
      <c r="AR91"/>
      <c r="AS91"/>
      <c r="AT91"/>
      <c r="AU91"/>
      <c r="AV91"/>
      <c r="AW91"/>
      <c r="AX91"/>
      <c r="AY91"/>
      <c r="AZ91"/>
      <c r="BA91"/>
      <c r="BB91" s="14"/>
    </row>
    <row r="92" spans="7:54" x14ac:dyDescent="0.35">
      <c r="G92" s="13"/>
      <c r="AR92"/>
      <c r="AS92"/>
      <c r="AT92"/>
      <c r="AU92"/>
      <c r="AV92"/>
      <c r="AW92"/>
      <c r="AX92"/>
      <c r="AY92"/>
      <c r="AZ92"/>
      <c r="BA92"/>
      <c r="BB92" s="14"/>
    </row>
    <row r="93" spans="7:54" x14ac:dyDescent="0.35">
      <c r="G93" s="13"/>
      <c r="AR93"/>
      <c r="AS93"/>
      <c r="AT93"/>
      <c r="AU93"/>
      <c r="AV93"/>
      <c r="AW93"/>
      <c r="AX93"/>
      <c r="AY93"/>
      <c r="AZ93"/>
      <c r="BA93"/>
      <c r="BB93" s="14"/>
    </row>
    <row r="94" spans="7:54" x14ac:dyDescent="0.35">
      <c r="G94" s="13"/>
      <c r="AR94"/>
      <c r="AS94"/>
      <c r="AT94"/>
      <c r="AU94"/>
      <c r="AV94"/>
      <c r="AW94"/>
      <c r="AX94"/>
      <c r="AY94"/>
      <c r="AZ94"/>
      <c r="BA94"/>
      <c r="BB94" s="14"/>
    </row>
    <row r="95" spans="7:54" x14ac:dyDescent="0.35">
      <c r="G95" s="13"/>
      <c r="AR95"/>
      <c r="AS95"/>
      <c r="AT95"/>
      <c r="AU95"/>
      <c r="AV95"/>
      <c r="AW95"/>
      <c r="AX95"/>
      <c r="AY95"/>
      <c r="AZ95"/>
      <c r="BA95"/>
      <c r="BB95" s="14"/>
    </row>
    <row r="96" spans="7:54" x14ac:dyDescent="0.35">
      <c r="G96" s="13"/>
      <c r="AR96"/>
      <c r="AS96"/>
      <c r="AT96"/>
      <c r="AU96"/>
      <c r="AV96"/>
      <c r="AW96"/>
      <c r="AX96"/>
      <c r="AY96"/>
      <c r="AZ96"/>
      <c r="BA96"/>
      <c r="BB96" s="14"/>
    </row>
    <row r="97" spans="7:54" x14ac:dyDescent="0.35">
      <c r="G97" s="13"/>
      <c r="AR97"/>
      <c r="AS97"/>
      <c r="AT97"/>
      <c r="AU97"/>
      <c r="AV97"/>
      <c r="AW97"/>
      <c r="AX97"/>
      <c r="AY97"/>
      <c r="AZ97"/>
      <c r="BA97"/>
      <c r="BB97" s="14"/>
    </row>
    <row r="98" spans="7:54" x14ac:dyDescent="0.35">
      <c r="G98" s="13"/>
      <c r="AR98"/>
      <c r="AS98"/>
      <c r="AT98"/>
      <c r="AU98"/>
      <c r="AV98"/>
      <c r="AW98"/>
      <c r="AX98"/>
      <c r="AY98"/>
      <c r="AZ98"/>
      <c r="BA98"/>
      <c r="BB98" s="14"/>
    </row>
    <row r="99" spans="7:54" x14ac:dyDescent="0.35">
      <c r="G99" s="13"/>
      <c r="AR99"/>
      <c r="AS99"/>
      <c r="AT99"/>
      <c r="AU99"/>
      <c r="AV99"/>
      <c r="AW99"/>
      <c r="AX99"/>
      <c r="AY99"/>
      <c r="AZ99"/>
      <c r="BA99"/>
      <c r="BB99" s="14"/>
    </row>
    <row r="100" spans="7:54" x14ac:dyDescent="0.35">
      <c r="G100" s="13"/>
      <c r="AR100"/>
      <c r="AS100"/>
      <c r="AT100"/>
      <c r="AU100"/>
      <c r="AV100"/>
      <c r="AW100"/>
      <c r="AX100"/>
      <c r="AY100"/>
      <c r="AZ100"/>
      <c r="BA100"/>
      <c r="BB100" s="14"/>
    </row>
    <row r="101" spans="7:54" x14ac:dyDescent="0.35">
      <c r="G101" s="13"/>
      <c r="AR101"/>
      <c r="AS101"/>
      <c r="AT101"/>
      <c r="AU101"/>
      <c r="AV101"/>
      <c r="AW101"/>
      <c r="AX101"/>
      <c r="AY101"/>
      <c r="AZ101"/>
      <c r="BA101"/>
      <c r="BB101" s="14"/>
    </row>
    <row r="102" spans="7:54" x14ac:dyDescent="0.35">
      <c r="G102" s="13"/>
      <c r="AR102"/>
      <c r="AS102"/>
      <c r="AT102"/>
      <c r="AU102"/>
      <c r="AV102"/>
      <c r="AW102"/>
      <c r="AX102"/>
      <c r="AY102"/>
      <c r="AZ102"/>
      <c r="BA102"/>
      <c r="BB102" s="14"/>
    </row>
    <row r="103" spans="7:54" x14ac:dyDescent="0.35">
      <c r="G103" s="13"/>
      <c r="AR103"/>
      <c r="AS103"/>
      <c r="AT103"/>
      <c r="AU103"/>
      <c r="AV103"/>
      <c r="AW103"/>
      <c r="AX103"/>
      <c r="AY103"/>
      <c r="AZ103"/>
      <c r="BA103"/>
      <c r="BB103" s="14"/>
    </row>
    <row r="104" spans="7:54" x14ac:dyDescent="0.35">
      <c r="G104" s="13"/>
      <c r="AR104"/>
      <c r="AS104"/>
      <c r="AT104"/>
      <c r="AU104"/>
      <c r="AV104"/>
      <c r="AW104"/>
      <c r="AX104"/>
      <c r="AY104"/>
      <c r="AZ104"/>
      <c r="BA104"/>
      <c r="BB104" s="14"/>
    </row>
    <row r="105" spans="7:54" x14ac:dyDescent="0.35">
      <c r="G105" s="13"/>
      <c r="AR105"/>
      <c r="AS105"/>
      <c r="AT105"/>
      <c r="AU105"/>
      <c r="AV105"/>
      <c r="AW105"/>
      <c r="AX105"/>
      <c r="AY105"/>
      <c r="AZ105"/>
      <c r="BA105"/>
      <c r="BB105" s="14"/>
    </row>
    <row r="106" spans="7:54" x14ac:dyDescent="0.35">
      <c r="G106" s="13"/>
      <c r="AR106"/>
      <c r="AS106"/>
      <c r="AT106"/>
      <c r="AU106"/>
      <c r="AV106"/>
      <c r="AW106"/>
      <c r="AX106"/>
      <c r="AY106"/>
      <c r="AZ106"/>
      <c r="BA106"/>
      <c r="BB106" s="14"/>
    </row>
    <row r="107" spans="7:54" x14ac:dyDescent="0.35">
      <c r="G107" s="13"/>
      <c r="AR107"/>
      <c r="AS107"/>
      <c r="AT107"/>
      <c r="AU107"/>
      <c r="AV107"/>
      <c r="AW107"/>
      <c r="AX107"/>
      <c r="AY107"/>
      <c r="AZ107"/>
      <c r="BA107"/>
      <c r="BB107" s="14"/>
    </row>
    <row r="108" spans="7:54" x14ac:dyDescent="0.35">
      <c r="G108" s="13"/>
      <c r="AR108"/>
      <c r="AS108"/>
      <c r="AT108"/>
      <c r="AU108"/>
      <c r="AV108"/>
      <c r="AW108"/>
      <c r="AX108"/>
      <c r="AY108"/>
      <c r="AZ108"/>
      <c r="BA108"/>
      <c r="BB108" s="14"/>
    </row>
    <row r="109" spans="7:54" ht="15" thickBot="1" x14ac:dyDescent="0.4">
      <c r="G109" s="15"/>
      <c r="AR109" s="16"/>
      <c r="AS109" s="16"/>
      <c r="AT109" s="16"/>
      <c r="AU109" s="16"/>
      <c r="AV109" s="16"/>
      <c r="AW109" s="16"/>
      <c r="AX109" s="16"/>
      <c r="AY109" s="16"/>
      <c r="AZ109" s="16"/>
      <c r="BA109" s="16"/>
      <c r="BB109" s="17"/>
    </row>
  </sheetData>
  <mergeCells count="3">
    <mergeCell ref="H21:R21"/>
    <mergeCell ref="U21:AE21"/>
    <mergeCell ref="AG21:AQ21"/>
  </mergeCells>
  <conditionalFormatting sqref="B20:B49">
    <cfRule type="expression" dxfId="13" priority="1">
      <formula>A20=""</formula>
    </cfRule>
  </conditionalFormatting>
  <conditionalFormatting sqref="C20:C49">
    <cfRule type="expression" dxfId="12" priority="2">
      <formula>A20=""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ED953-AF08-43EF-9881-0B9B5BDB7205}">
  <sheetPr>
    <tabColor theme="9" tint="0.39997558519241921"/>
  </sheetPr>
  <dimension ref="A1:AT115"/>
  <sheetViews>
    <sheetView topLeftCell="B1" zoomScale="70" zoomScaleNormal="70" workbookViewId="0">
      <selection activeCell="H27" sqref="H27:AE58"/>
    </sheetView>
    <sheetView workbookViewId="1"/>
  </sheetViews>
  <sheetFormatPr defaultColWidth="9.1796875" defaultRowHeight="14.5" x14ac:dyDescent="0.35"/>
  <cols>
    <col min="1" max="1" width="28.54296875" style="5" customWidth="1"/>
    <col min="2" max="2" width="35.1796875" style="5" customWidth="1"/>
    <col min="3" max="3" width="30.7265625" style="5" customWidth="1"/>
    <col min="4" max="4" width="29.1796875" style="5" customWidth="1"/>
    <col min="5" max="7" width="9.1796875" style="5"/>
    <col min="8" max="8" width="13" style="5" customWidth="1"/>
    <col min="9" max="9" width="14.54296875" style="5" customWidth="1"/>
    <col min="10" max="10" width="19.26953125" style="5" customWidth="1"/>
    <col min="11" max="11" width="24" style="5" bestFit="1" customWidth="1"/>
    <col min="12" max="12" width="21.36328125" style="5" customWidth="1"/>
    <col min="13" max="13" width="11" style="5" bestFit="1" customWidth="1"/>
    <col min="14" max="14" width="12.36328125" style="5" bestFit="1" customWidth="1"/>
    <col min="15" max="15" width="15.90625" style="5" bestFit="1" customWidth="1"/>
    <col min="16" max="16" width="9.6328125" style="5" bestFit="1" customWidth="1"/>
    <col min="17" max="17" width="11" style="5" bestFit="1" customWidth="1"/>
    <col min="18" max="18" width="9.1796875" style="5"/>
    <col min="19" max="19" width="5.08984375" style="5" bestFit="1" customWidth="1"/>
    <col min="20" max="20" width="11.26953125" style="5" bestFit="1" customWidth="1"/>
    <col min="21" max="16384" width="9.1796875" style="5"/>
  </cols>
  <sheetData>
    <row r="1" spans="1:9" ht="20" thickBot="1" x14ac:dyDescent="0.5">
      <c r="A1" s="94" t="s">
        <v>220</v>
      </c>
    </row>
    <row r="2" spans="1:9" ht="15" thickTop="1" x14ac:dyDescent="0.35">
      <c r="A2" s="144" t="s">
        <v>237</v>
      </c>
      <c r="B2" s="144"/>
      <c r="C2" s="144"/>
      <c r="D2" s="144"/>
      <c r="E2" s="144"/>
      <c r="F2" s="144"/>
    </row>
    <row r="3" spans="1:9" x14ac:dyDescent="0.35">
      <c r="A3" s="5" t="s">
        <v>203</v>
      </c>
    </row>
    <row r="4" spans="1:9" x14ac:dyDescent="0.35">
      <c r="A4" s="145" t="s">
        <v>344</v>
      </c>
      <c r="B4" s="144"/>
      <c r="C4" s="144"/>
      <c r="D4" s="144"/>
      <c r="E4" s="144"/>
      <c r="F4" s="144"/>
      <c r="G4" s="144"/>
      <c r="H4" s="144"/>
      <c r="I4" s="144"/>
    </row>
    <row r="5" spans="1:9" x14ac:dyDescent="0.35">
      <c r="A5" s="38" t="s">
        <v>203</v>
      </c>
    </row>
    <row r="6" spans="1:9" x14ac:dyDescent="0.35">
      <c r="A6" s="95" t="s">
        <v>238</v>
      </c>
    </row>
    <row r="7" spans="1:9" x14ac:dyDescent="0.35">
      <c r="A7" s="114" t="s">
        <v>46</v>
      </c>
      <c r="B7" s="114" t="s">
        <v>331</v>
      </c>
    </row>
    <row r="8" spans="1:9" x14ac:dyDescent="0.35">
      <c r="A8" s="35" t="s">
        <v>193</v>
      </c>
      <c r="B8" s="42">
        <f>'Parameter Values'!B53</f>
        <v>0.56000000000000005</v>
      </c>
    </row>
    <row r="9" spans="1:9" x14ac:dyDescent="0.35">
      <c r="A9" s="35" t="s">
        <v>194</v>
      </c>
      <c r="B9" s="42">
        <f>'Parameter Values'!B54</f>
        <v>1.23</v>
      </c>
    </row>
    <row r="10" spans="1:9" x14ac:dyDescent="0.35">
      <c r="A10" s="114" t="s">
        <v>265</v>
      </c>
      <c r="B10" s="114" t="s">
        <v>332</v>
      </c>
    </row>
    <row r="11" spans="1:9" x14ac:dyDescent="0.35">
      <c r="A11" s="125" t="s">
        <v>266</v>
      </c>
      <c r="B11" s="126" t="s">
        <v>274</v>
      </c>
    </row>
    <row r="12" spans="1:9" x14ac:dyDescent="0.35">
      <c r="A12" s="35" t="s">
        <v>267</v>
      </c>
      <c r="B12" s="127">
        <f>'Parameter Values'!B63</f>
        <v>259</v>
      </c>
    </row>
    <row r="13" spans="1:9" x14ac:dyDescent="0.35">
      <c r="A13" s="35" t="s">
        <v>268</v>
      </c>
      <c r="B13" s="127">
        <f>'Parameter Values'!B64</f>
        <v>281</v>
      </c>
    </row>
    <row r="14" spans="1:9" x14ac:dyDescent="0.35">
      <c r="A14" s="35" t="s">
        <v>269</v>
      </c>
      <c r="B14" s="127">
        <f>'Parameter Values'!B65</f>
        <v>723</v>
      </c>
    </row>
    <row r="15" spans="1:9" x14ac:dyDescent="0.35">
      <c r="A15" s="35" t="s">
        <v>270</v>
      </c>
      <c r="B15" s="127">
        <f>'Parameter Values'!B66</f>
        <v>327</v>
      </c>
    </row>
    <row r="16" spans="1:9" x14ac:dyDescent="0.35">
      <c r="A16" s="125" t="s">
        <v>271</v>
      </c>
      <c r="B16" s="126" t="s">
        <v>274</v>
      </c>
    </row>
    <row r="17" spans="1:46" x14ac:dyDescent="0.35">
      <c r="A17" s="35" t="s">
        <v>267</v>
      </c>
      <c r="B17" s="127">
        <f>'Parameter Values'!B68</f>
        <v>655</v>
      </c>
    </row>
    <row r="18" spans="1:46" x14ac:dyDescent="0.35">
      <c r="A18" s="35" t="s">
        <v>268</v>
      </c>
      <c r="B18" s="127">
        <f>'Parameter Values'!B69</f>
        <v>642</v>
      </c>
    </row>
    <row r="19" spans="1:46" x14ac:dyDescent="0.35">
      <c r="A19" s="35" t="s">
        <v>269</v>
      </c>
      <c r="B19" s="127">
        <f>'Parameter Values'!B70</f>
        <v>1084</v>
      </c>
    </row>
    <row r="20" spans="1:46" x14ac:dyDescent="0.35">
      <c r="A20" s="35" t="s">
        <v>270</v>
      </c>
      <c r="B20" s="127">
        <f>'Parameter Values'!B71</f>
        <v>688</v>
      </c>
    </row>
    <row r="21" spans="1:46" x14ac:dyDescent="0.35">
      <c r="A21" s="125" t="s">
        <v>272</v>
      </c>
      <c r="B21" s="126" t="s">
        <v>274</v>
      </c>
    </row>
    <row r="22" spans="1:46" x14ac:dyDescent="0.35">
      <c r="A22" s="35" t="s">
        <v>273</v>
      </c>
      <c r="B22" s="42">
        <f>'Parameter Values'!B73</f>
        <v>1.0900000000000001</v>
      </c>
    </row>
    <row r="23" spans="1:46" x14ac:dyDescent="0.35">
      <c r="A23" s="38" t="s">
        <v>203</v>
      </c>
      <c r="B23" s="38"/>
    </row>
    <row r="24" spans="1:46" ht="15" thickBot="1" x14ac:dyDescent="0.4">
      <c r="A24" s="95" t="s">
        <v>241</v>
      </c>
    </row>
    <row r="25" spans="1:46" x14ac:dyDescent="0.35">
      <c r="A25" s="105" t="s">
        <v>4</v>
      </c>
      <c r="B25" s="106" t="s">
        <v>175</v>
      </c>
      <c r="C25" s="106" t="s">
        <v>176</v>
      </c>
      <c r="D25" s="112" t="s">
        <v>10</v>
      </c>
      <c r="G25" s="10" t="s">
        <v>159</v>
      </c>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2"/>
    </row>
    <row r="26" spans="1:46" x14ac:dyDescent="0.35">
      <c r="A26" s="6">
        <f>'Project Information'!$B$9</f>
        <v>2033</v>
      </c>
      <c r="B26" s="22">
        <f t="shared" ref="B26:B55" si="0">((P29+Q29)*R29)+((AC29+AD29)*AE29)</f>
        <v>65519.544187875566</v>
      </c>
      <c r="C26" s="22">
        <v>0</v>
      </c>
      <c r="D26" s="26">
        <f>B26-C26</f>
        <v>65519.544187875566</v>
      </c>
      <c r="G26" s="13"/>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s="14"/>
    </row>
    <row r="27" spans="1:46" x14ac:dyDescent="0.35">
      <c r="A27" s="1">
        <f>IF(A26&lt;'Project Information'!B$11,A26+1,"")</f>
        <v>2034</v>
      </c>
      <c r="B27" s="22">
        <f t="shared" si="0"/>
        <v>65847.007849653339</v>
      </c>
      <c r="C27" s="22">
        <v>0</v>
      </c>
      <c r="D27" s="8">
        <f t="shared" ref="D27:D55" si="1">B27-C27</f>
        <v>65847.007849653339</v>
      </c>
      <c r="G27" s="13"/>
      <c r="H27" s="386" t="s">
        <v>410</v>
      </c>
      <c r="I27" s="387"/>
      <c r="J27" s="387"/>
      <c r="K27" s="387"/>
      <c r="L27" s="387"/>
      <c r="M27" s="387"/>
      <c r="N27" s="387"/>
      <c r="O27" s="387"/>
      <c r="P27" s="387"/>
      <c r="Q27" s="387"/>
      <c r="R27" s="388"/>
      <c r="U27" s="386" t="s">
        <v>411</v>
      </c>
      <c r="V27" s="387"/>
      <c r="W27" s="387"/>
      <c r="X27" s="387"/>
      <c r="Y27" s="387"/>
      <c r="Z27" s="387"/>
      <c r="AA27" s="387"/>
      <c r="AB27" s="387"/>
      <c r="AC27" s="387"/>
      <c r="AD27" s="387"/>
      <c r="AE27" s="388"/>
      <c r="AF27"/>
      <c r="AG27"/>
      <c r="AH27"/>
      <c r="AI27"/>
      <c r="AJ27"/>
      <c r="AK27"/>
      <c r="AL27"/>
      <c r="AM27"/>
      <c r="AN27"/>
      <c r="AO27"/>
      <c r="AP27"/>
      <c r="AQ27"/>
      <c r="AR27"/>
      <c r="AS27"/>
      <c r="AT27" s="14"/>
    </row>
    <row r="28" spans="1:46" x14ac:dyDescent="0.35">
      <c r="A28" s="1">
        <f>IF(A27&lt;'Project Information'!B$11,A27+1,"")</f>
        <v>2035</v>
      </c>
      <c r="B28" s="22">
        <f t="shared" si="0"/>
        <v>66174.471511431126</v>
      </c>
      <c r="C28" s="22">
        <v>0</v>
      </c>
      <c r="D28" s="8">
        <f t="shared" si="1"/>
        <v>66174.471511431126</v>
      </c>
      <c r="G28" s="13"/>
      <c r="H28" s="311" t="s">
        <v>4</v>
      </c>
      <c r="I28" s="312" t="s">
        <v>528</v>
      </c>
      <c r="J28" s="312" t="s">
        <v>529</v>
      </c>
      <c r="K28" s="312" t="s">
        <v>530</v>
      </c>
      <c r="L28" s="312" t="s">
        <v>531</v>
      </c>
      <c r="M28" s="312" t="s">
        <v>532</v>
      </c>
      <c r="N28" s="312" t="s">
        <v>533</v>
      </c>
      <c r="O28" s="313" t="s">
        <v>536</v>
      </c>
      <c r="P28" s="313" t="s">
        <v>535</v>
      </c>
      <c r="Q28" s="314" t="s">
        <v>534</v>
      </c>
      <c r="R28" s="314" t="s">
        <v>537</v>
      </c>
      <c r="U28" s="311" t="s">
        <v>4</v>
      </c>
      <c r="V28" s="312" t="s">
        <v>528</v>
      </c>
      <c r="W28" s="312" t="s">
        <v>529</v>
      </c>
      <c r="X28" s="312" t="s">
        <v>530</v>
      </c>
      <c r="Y28" s="312" t="s">
        <v>531</v>
      </c>
      <c r="Z28" s="312" t="s">
        <v>532</v>
      </c>
      <c r="AA28" s="312" t="s">
        <v>533</v>
      </c>
      <c r="AB28" s="313" t="s">
        <v>536</v>
      </c>
      <c r="AC28" s="313" t="s">
        <v>535</v>
      </c>
      <c r="AD28" s="314" t="s">
        <v>534</v>
      </c>
      <c r="AE28" s="314" t="s">
        <v>537</v>
      </c>
      <c r="AF28"/>
      <c r="AG28"/>
      <c r="AH28"/>
      <c r="AI28"/>
      <c r="AJ28"/>
      <c r="AK28"/>
      <c r="AL28"/>
      <c r="AM28"/>
      <c r="AN28"/>
      <c r="AO28"/>
      <c r="AP28"/>
      <c r="AQ28"/>
      <c r="AR28"/>
      <c r="AS28"/>
      <c r="AT28" s="14"/>
    </row>
    <row r="29" spans="1:46" x14ac:dyDescent="0.35">
      <c r="A29" s="1">
        <f>IF(A28&lt;'Project Information'!B$11,A28+1,"")</f>
        <v>2036</v>
      </c>
      <c r="B29" s="22">
        <f t="shared" si="0"/>
        <v>66507.437680319999</v>
      </c>
      <c r="C29" s="22">
        <v>0</v>
      </c>
      <c r="D29" s="8">
        <f t="shared" si="1"/>
        <v>66507.437680319999</v>
      </c>
      <c r="G29" s="13"/>
      <c r="H29" s="315">
        <v>2033</v>
      </c>
      <c r="I29" s="316">
        <f>'Traffic Volumes'!$F22</f>
        <v>11000</v>
      </c>
      <c r="J29" s="317">
        <f>Inputs!$C$69</f>
        <v>0.25</v>
      </c>
      <c r="K29" s="318">
        <f>I29*J29</f>
        <v>2750</v>
      </c>
      <c r="L29" s="317">
        <f>Inputs!$E$18</f>
        <v>0.24</v>
      </c>
      <c r="M29" s="318">
        <f>K29*L29</f>
        <v>660</v>
      </c>
      <c r="N29" s="318">
        <f>K29*(1-L29)</f>
        <v>2090</v>
      </c>
      <c r="O29" s="319">
        <f>Inputs!$C$72</f>
        <v>1.5</v>
      </c>
      <c r="P29" s="320">
        <f>M29*O29*$B$9</f>
        <v>1217.7</v>
      </c>
      <c r="Q29" s="321">
        <f>N29*O29*$B$8</f>
        <v>1755.6000000000001</v>
      </c>
      <c r="R29" s="329">
        <f>Inputs!$C$67</f>
        <v>20.357037037037038</v>
      </c>
      <c r="U29" s="315">
        <v>2033</v>
      </c>
      <c r="V29" s="316">
        <f>'Traffic Volumes'!$H22</f>
        <v>5027</v>
      </c>
      <c r="W29" s="317">
        <f>Inputs!$D$69</f>
        <v>0.2</v>
      </c>
      <c r="X29" s="318">
        <f>V29*W29</f>
        <v>1005.4000000000001</v>
      </c>
      <c r="Y29" s="317">
        <f>Inputs!$E$19</f>
        <v>0.16</v>
      </c>
      <c r="Z29" s="318">
        <f>X29*Y29</f>
        <v>160.864</v>
      </c>
      <c r="AA29" s="318">
        <f>X29*(1-Y29)</f>
        <v>844.53600000000006</v>
      </c>
      <c r="AB29" s="319">
        <f>Inputs!$D$72</f>
        <v>0.8</v>
      </c>
      <c r="AC29" s="320">
        <f>Z29*AB29*$B$9</f>
        <v>158.290176</v>
      </c>
      <c r="AD29" s="321">
        <f>AA29*AB29*$B$8</f>
        <v>378.35212800000005</v>
      </c>
      <c r="AE29" s="329">
        <f>Inputs!$D$67</f>
        <v>9.3022222222222233</v>
      </c>
      <c r="AF29"/>
      <c r="AG29"/>
      <c r="AH29"/>
      <c r="AI29"/>
      <c r="AJ29"/>
      <c r="AK29"/>
      <c r="AL29"/>
      <c r="AM29"/>
      <c r="AN29"/>
      <c r="AO29"/>
      <c r="AP29"/>
      <c r="AQ29"/>
      <c r="AR29"/>
      <c r="AS29"/>
      <c r="AT29" s="14"/>
    </row>
    <row r="30" spans="1:46" x14ac:dyDescent="0.35">
      <c r="A30" s="1">
        <f>IF(A29&lt;'Project Information'!B$11,A29+1,"")</f>
        <v>2037</v>
      </c>
      <c r="B30" s="22">
        <f t="shared" si="0"/>
        <v>66841.396880035565</v>
      </c>
      <c r="C30" s="22">
        <v>0</v>
      </c>
      <c r="D30" s="8">
        <f t="shared" si="1"/>
        <v>66841.396880035565</v>
      </c>
      <c r="G30" s="13"/>
      <c r="H30" s="315">
        <f>H29+1</f>
        <v>2034</v>
      </c>
      <c r="I30" s="316">
        <f>'Traffic Volumes'!$F23</f>
        <v>11055</v>
      </c>
      <c r="J30" s="317">
        <f>Inputs!$C$69</f>
        <v>0.25</v>
      </c>
      <c r="K30" s="318">
        <f>I30*J30</f>
        <v>2763.75</v>
      </c>
      <c r="L30" s="317">
        <f>Inputs!$E$18</f>
        <v>0.24</v>
      </c>
      <c r="M30" s="318">
        <f>K30*L30</f>
        <v>663.3</v>
      </c>
      <c r="N30" s="318">
        <f>K30*(1-L30)</f>
        <v>2100.4499999999998</v>
      </c>
      <c r="O30" s="319">
        <f>Inputs!$C$72</f>
        <v>1.5</v>
      </c>
      <c r="P30" s="320">
        <f>M30*O30*$B$9</f>
        <v>1223.7884999999999</v>
      </c>
      <c r="Q30" s="321">
        <f t="shared" ref="Q30:Q58" si="2">N30*O30*$B$8</f>
        <v>1764.3779999999999</v>
      </c>
      <c r="R30" s="329">
        <f>Inputs!$C$67</f>
        <v>20.357037037037038</v>
      </c>
      <c r="U30" s="315">
        <f>U29+1</f>
        <v>2034</v>
      </c>
      <c r="V30" s="316">
        <f>'Traffic Volumes'!$H23</f>
        <v>5052</v>
      </c>
      <c r="W30" s="317">
        <f>Inputs!$D$69</f>
        <v>0.2</v>
      </c>
      <c r="X30" s="318">
        <f>V30*W30</f>
        <v>1010.4000000000001</v>
      </c>
      <c r="Y30" s="317">
        <f>Inputs!$E$19</f>
        <v>0.16</v>
      </c>
      <c r="Z30" s="318">
        <f>X30*Y30</f>
        <v>161.66400000000002</v>
      </c>
      <c r="AA30" s="318">
        <f>X30*(1-Y30)</f>
        <v>848.73599999999999</v>
      </c>
      <c r="AB30" s="319">
        <f>Inputs!$D$72</f>
        <v>0.8</v>
      </c>
      <c r="AC30" s="320">
        <f>Z30*AB30*$B$9</f>
        <v>159.07737600000002</v>
      </c>
      <c r="AD30" s="321">
        <f t="shared" ref="AD30:AD58" si="3">AA30*AB30*$B$8</f>
        <v>380.2337280000001</v>
      </c>
      <c r="AE30" s="329">
        <f>Inputs!$D$67</f>
        <v>9.3022222222222233</v>
      </c>
      <c r="AF30"/>
      <c r="AG30"/>
      <c r="AH30"/>
      <c r="AI30"/>
      <c r="AJ30"/>
      <c r="AK30"/>
      <c r="AL30"/>
      <c r="AM30"/>
      <c r="AN30"/>
      <c r="AO30"/>
      <c r="AP30"/>
      <c r="AQ30"/>
      <c r="AR30"/>
      <c r="AS30"/>
      <c r="AT30" s="14"/>
    </row>
    <row r="31" spans="1:46" x14ac:dyDescent="0.35">
      <c r="A31" s="1">
        <f>IF(A30&lt;'Project Information'!B$11,A30+1,"")</f>
        <v>2038</v>
      </c>
      <c r="B31" s="22">
        <f t="shared" si="0"/>
        <v>67175.356079751116</v>
      </c>
      <c r="C31" s="22">
        <v>0</v>
      </c>
      <c r="D31" s="8">
        <f t="shared" si="1"/>
        <v>67175.356079751116</v>
      </c>
      <c r="G31" s="13"/>
      <c r="H31" s="315">
        <f t="shared" ref="H31:H58" si="4">H30+1</f>
        <v>2035</v>
      </c>
      <c r="I31" s="316">
        <f>'Traffic Volumes'!$F24</f>
        <v>11110</v>
      </c>
      <c r="J31" s="317">
        <f>Inputs!$C$69</f>
        <v>0.25</v>
      </c>
      <c r="K31" s="318">
        <f t="shared" ref="K31:K58" si="5">I31*J31</f>
        <v>2777.5</v>
      </c>
      <c r="L31" s="317">
        <f>Inputs!$E$18</f>
        <v>0.24</v>
      </c>
      <c r="M31" s="318">
        <f t="shared" ref="M31:M58" si="6">K31*L31</f>
        <v>666.6</v>
      </c>
      <c r="N31" s="318">
        <f t="shared" ref="N31:N58" si="7">K31*(1-L31)</f>
        <v>2110.9</v>
      </c>
      <c r="O31" s="319">
        <f>Inputs!$C$72</f>
        <v>1.5</v>
      </c>
      <c r="P31" s="320">
        <f t="shared" ref="P31:P58" si="8">M31*O31*$B$9</f>
        <v>1229.8770000000002</v>
      </c>
      <c r="Q31" s="321">
        <f t="shared" si="2"/>
        <v>1773.1560000000004</v>
      </c>
      <c r="R31" s="329">
        <f>Inputs!$C$67</f>
        <v>20.357037037037038</v>
      </c>
      <c r="U31" s="315">
        <f t="shared" ref="U31:U58" si="9">U30+1</f>
        <v>2035</v>
      </c>
      <c r="V31" s="316">
        <f>'Traffic Volumes'!$H24</f>
        <v>5077</v>
      </c>
      <c r="W31" s="317">
        <f>Inputs!$D$69</f>
        <v>0.2</v>
      </c>
      <c r="X31" s="318">
        <f t="shared" ref="X31:X58" si="10">V31*W31</f>
        <v>1015.4000000000001</v>
      </c>
      <c r="Y31" s="317">
        <f>Inputs!$E$19</f>
        <v>0.16</v>
      </c>
      <c r="Z31" s="318">
        <f t="shared" ref="Z31:Z58" si="11">X31*Y31</f>
        <v>162.46400000000003</v>
      </c>
      <c r="AA31" s="318">
        <f t="shared" ref="AA31:AA58" si="12">X31*(1-Y31)</f>
        <v>852.93600000000004</v>
      </c>
      <c r="AB31" s="319">
        <f>Inputs!$D$72</f>
        <v>0.8</v>
      </c>
      <c r="AC31" s="320">
        <f t="shared" ref="AC31:AC58" si="13">Z31*AB31*$B$9</f>
        <v>159.86457600000006</v>
      </c>
      <c r="AD31" s="321">
        <f t="shared" si="3"/>
        <v>382.11532800000009</v>
      </c>
      <c r="AE31" s="329">
        <f>Inputs!$D$67</f>
        <v>9.3022222222222233</v>
      </c>
      <c r="AF31"/>
      <c r="AG31"/>
      <c r="AH31"/>
      <c r="AI31"/>
      <c r="AJ31"/>
      <c r="AK31"/>
      <c r="AL31"/>
      <c r="AM31"/>
      <c r="AN31"/>
      <c r="AO31"/>
      <c r="AP31"/>
      <c r="AQ31"/>
      <c r="AR31"/>
      <c r="AS31"/>
      <c r="AT31" s="14"/>
    </row>
    <row r="32" spans="1:46" x14ac:dyDescent="0.35">
      <c r="A32" s="1">
        <f>IF(A31&lt;'Project Information'!B$11,A31+1,"")</f>
        <v>2039</v>
      </c>
      <c r="B32" s="22">
        <f t="shared" si="0"/>
        <v>67509.315279466682</v>
      </c>
      <c r="C32" s="22">
        <v>0</v>
      </c>
      <c r="D32" s="8">
        <f t="shared" si="1"/>
        <v>67509.315279466682</v>
      </c>
      <c r="G32" s="13"/>
      <c r="H32" s="315">
        <f t="shared" si="4"/>
        <v>2036</v>
      </c>
      <c r="I32" s="316">
        <f>'Traffic Volumes'!$F25</f>
        <v>11166</v>
      </c>
      <c r="J32" s="317">
        <f>Inputs!$C$69</f>
        <v>0.25</v>
      </c>
      <c r="K32" s="318">
        <f t="shared" si="5"/>
        <v>2791.5</v>
      </c>
      <c r="L32" s="317">
        <f>Inputs!$E$18</f>
        <v>0.24</v>
      </c>
      <c r="M32" s="318">
        <f t="shared" si="6"/>
        <v>669.95999999999992</v>
      </c>
      <c r="N32" s="318">
        <f t="shared" si="7"/>
        <v>2121.54</v>
      </c>
      <c r="O32" s="319">
        <f>Inputs!$C$72</f>
        <v>1.5</v>
      </c>
      <c r="P32" s="320">
        <f t="shared" si="8"/>
        <v>1236.0761999999997</v>
      </c>
      <c r="Q32" s="321">
        <f t="shared" si="2"/>
        <v>1782.0936000000002</v>
      </c>
      <c r="R32" s="329">
        <f>Inputs!$C$67</f>
        <v>20.357037037037038</v>
      </c>
      <c r="U32" s="315">
        <f t="shared" si="9"/>
        <v>2036</v>
      </c>
      <c r="V32" s="316">
        <f>'Traffic Volumes'!$H25</f>
        <v>5102</v>
      </c>
      <c r="W32" s="317">
        <f>Inputs!$D$69</f>
        <v>0.2</v>
      </c>
      <c r="X32" s="318">
        <f t="shared" si="10"/>
        <v>1020.4000000000001</v>
      </c>
      <c r="Y32" s="317">
        <f>Inputs!$E$19</f>
        <v>0.16</v>
      </c>
      <c r="Z32" s="318">
        <f t="shared" si="11"/>
        <v>163.26400000000001</v>
      </c>
      <c r="AA32" s="318">
        <f t="shared" si="12"/>
        <v>857.13600000000008</v>
      </c>
      <c r="AB32" s="319">
        <f>Inputs!$D$72</f>
        <v>0.8</v>
      </c>
      <c r="AC32" s="320">
        <f t="shared" si="13"/>
        <v>160.65177600000004</v>
      </c>
      <c r="AD32" s="321">
        <f t="shared" si="3"/>
        <v>383.99692800000008</v>
      </c>
      <c r="AE32" s="329">
        <f>Inputs!$D$67</f>
        <v>9.3022222222222233</v>
      </c>
      <c r="AF32"/>
      <c r="AG32"/>
      <c r="AH32"/>
      <c r="AI32"/>
      <c r="AJ32"/>
      <c r="AK32"/>
      <c r="AL32"/>
      <c r="AM32"/>
      <c r="AN32"/>
      <c r="AO32"/>
      <c r="AP32"/>
      <c r="AQ32"/>
      <c r="AR32"/>
      <c r="AS32"/>
      <c r="AT32" s="14"/>
    </row>
    <row r="33" spans="1:46" x14ac:dyDescent="0.35">
      <c r="A33" s="1">
        <f>IF(A32&lt;'Project Information'!B$11,A32+1,"")</f>
        <v>2040</v>
      </c>
      <c r="B33" s="22">
        <f t="shared" si="0"/>
        <v>67848.776986293335</v>
      </c>
      <c r="C33" s="22">
        <v>0</v>
      </c>
      <c r="D33" s="8">
        <f t="shared" si="1"/>
        <v>67848.776986293335</v>
      </c>
      <c r="G33" s="13"/>
      <c r="H33" s="315">
        <f t="shared" si="4"/>
        <v>2037</v>
      </c>
      <c r="I33" s="316">
        <f>'Traffic Volumes'!$F26</f>
        <v>11222</v>
      </c>
      <c r="J33" s="317">
        <f>Inputs!$C$69</f>
        <v>0.25</v>
      </c>
      <c r="K33" s="318">
        <f t="shared" si="5"/>
        <v>2805.5</v>
      </c>
      <c r="L33" s="317">
        <f>Inputs!$E$18</f>
        <v>0.24</v>
      </c>
      <c r="M33" s="318">
        <f t="shared" si="6"/>
        <v>673.31999999999994</v>
      </c>
      <c r="N33" s="318">
        <f t="shared" si="7"/>
        <v>2132.1799999999998</v>
      </c>
      <c r="O33" s="319">
        <f>Inputs!$C$72</f>
        <v>1.5</v>
      </c>
      <c r="P33" s="320">
        <f t="shared" si="8"/>
        <v>1242.2753999999998</v>
      </c>
      <c r="Q33" s="321">
        <f t="shared" si="2"/>
        <v>1791.0311999999999</v>
      </c>
      <c r="R33" s="329">
        <f>Inputs!$C$67</f>
        <v>20.357037037037038</v>
      </c>
      <c r="U33" s="315">
        <f t="shared" si="9"/>
        <v>2037</v>
      </c>
      <c r="V33" s="316">
        <f>'Traffic Volumes'!$H26</f>
        <v>5128</v>
      </c>
      <c r="W33" s="317">
        <f>Inputs!$D$69</f>
        <v>0.2</v>
      </c>
      <c r="X33" s="318">
        <f t="shared" si="10"/>
        <v>1025.6000000000001</v>
      </c>
      <c r="Y33" s="317">
        <f>Inputs!$E$19</f>
        <v>0.16</v>
      </c>
      <c r="Z33" s="318">
        <f t="shared" si="11"/>
        <v>164.09600000000003</v>
      </c>
      <c r="AA33" s="318">
        <f t="shared" si="12"/>
        <v>861.50400000000013</v>
      </c>
      <c r="AB33" s="319">
        <f>Inputs!$D$72</f>
        <v>0.8</v>
      </c>
      <c r="AC33" s="320">
        <f t="shared" si="13"/>
        <v>161.47046400000005</v>
      </c>
      <c r="AD33" s="321">
        <f t="shared" si="3"/>
        <v>385.95379200000013</v>
      </c>
      <c r="AE33" s="329">
        <f>Inputs!$D$67</f>
        <v>9.3022222222222233</v>
      </c>
      <c r="AF33"/>
      <c r="AG33"/>
      <c r="AH33"/>
      <c r="AI33"/>
      <c r="AJ33"/>
      <c r="AK33"/>
      <c r="AL33"/>
      <c r="AM33"/>
      <c r="AN33"/>
      <c r="AO33"/>
      <c r="AP33"/>
      <c r="AQ33"/>
      <c r="AR33"/>
      <c r="AS33"/>
      <c r="AT33" s="14"/>
    </row>
    <row r="34" spans="1:46" x14ac:dyDescent="0.35">
      <c r="A34" s="1">
        <f>IF(A33&lt;'Project Information'!B$11,A33+1,"")</f>
        <v>2041</v>
      </c>
      <c r="B34" s="22">
        <f t="shared" si="0"/>
        <v>68188.238693120016</v>
      </c>
      <c r="C34" s="22">
        <v>0</v>
      </c>
      <c r="D34" s="8">
        <f t="shared" si="1"/>
        <v>68188.238693120016</v>
      </c>
      <c r="G34" s="13"/>
      <c r="H34" s="315">
        <f t="shared" si="4"/>
        <v>2038</v>
      </c>
      <c r="I34" s="316">
        <f>'Traffic Volumes'!$F27</f>
        <v>11278</v>
      </c>
      <c r="J34" s="317">
        <f>Inputs!$C$69</f>
        <v>0.25</v>
      </c>
      <c r="K34" s="318">
        <f t="shared" si="5"/>
        <v>2819.5</v>
      </c>
      <c r="L34" s="317">
        <f>Inputs!$E$18</f>
        <v>0.24</v>
      </c>
      <c r="M34" s="318">
        <f t="shared" si="6"/>
        <v>676.68</v>
      </c>
      <c r="N34" s="318">
        <f t="shared" si="7"/>
        <v>2142.8200000000002</v>
      </c>
      <c r="O34" s="319">
        <f>Inputs!$C$72</f>
        <v>1.5</v>
      </c>
      <c r="P34" s="320">
        <f t="shared" si="8"/>
        <v>1248.4746</v>
      </c>
      <c r="Q34" s="321">
        <f t="shared" si="2"/>
        <v>1799.9688000000003</v>
      </c>
      <c r="R34" s="329">
        <f>Inputs!$C$67</f>
        <v>20.357037037037038</v>
      </c>
      <c r="U34" s="315">
        <f t="shared" si="9"/>
        <v>2038</v>
      </c>
      <c r="V34" s="316">
        <f>'Traffic Volumes'!$H27</f>
        <v>5154</v>
      </c>
      <c r="W34" s="317">
        <f>Inputs!$D$69</f>
        <v>0.2</v>
      </c>
      <c r="X34" s="318">
        <f t="shared" si="10"/>
        <v>1030.8</v>
      </c>
      <c r="Y34" s="317">
        <f>Inputs!$E$19</f>
        <v>0.16</v>
      </c>
      <c r="Z34" s="318">
        <f t="shared" si="11"/>
        <v>164.928</v>
      </c>
      <c r="AA34" s="318">
        <f t="shared" si="12"/>
        <v>865.87199999999996</v>
      </c>
      <c r="AB34" s="319">
        <f>Inputs!$D$72</f>
        <v>0.8</v>
      </c>
      <c r="AC34" s="320">
        <f t="shared" si="13"/>
        <v>162.289152</v>
      </c>
      <c r="AD34" s="321">
        <f t="shared" si="3"/>
        <v>387.91065600000002</v>
      </c>
      <c r="AE34" s="329">
        <f>Inputs!$D$67</f>
        <v>9.3022222222222233</v>
      </c>
      <c r="AF34"/>
      <c r="AG34"/>
      <c r="AH34"/>
      <c r="AI34"/>
      <c r="AJ34"/>
      <c r="AK34"/>
      <c r="AL34"/>
      <c r="AM34"/>
      <c r="AN34"/>
      <c r="AO34"/>
      <c r="AP34"/>
      <c r="AQ34"/>
      <c r="AR34"/>
      <c r="AS34"/>
      <c r="AT34" s="14"/>
    </row>
    <row r="35" spans="1:46" x14ac:dyDescent="0.35">
      <c r="A35" s="1">
        <f>IF(A34&lt;'Project Information'!B$11,A34+1,"")</f>
        <v>2042</v>
      </c>
      <c r="B35" s="22">
        <f t="shared" si="0"/>
        <v>68527.700399946669</v>
      </c>
      <c r="C35" s="22">
        <v>0</v>
      </c>
      <c r="D35" s="8">
        <f t="shared" si="1"/>
        <v>68527.700399946669</v>
      </c>
      <c r="G35" s="13"/>
      <c r="H35" s="315">
        <f t="shared" si="4"/>
        <v>2039</v>
      </c>
      <c r="I35" s="316">
        <f>'Traffic Volumes'!$F28</f>
        <v>11334</v>
      </c>
      <c r="J35" s="317">
        <f>Inputs!$C$69</f>
        <v>0.25</v>
      </c>
      <c r="K35" s="318">
        <f t="shared" si="5"/>
        <v>2833.5</v>
      </c>
      <c r="L35" s="317">
        <f>Inputs!$E$18</f>
        <v>0.24</v>
      </c>
      <c r="M35" s="318">
        <f t="shared" si="6"/>
        <v>680.04</v>
      </c>
      <c r="N35" s="318">
        <f t="shared" si="7"/>
        <v>2153.46</v>
      </c>
      <c r="O35" s="319">
        <f>Inputs!$C$72</f>
        <v>1.5</v>
      </c>
      <c r="P35" s="320">
        <f t="shared" si="8"/>
        <v>1254.6738</v>
      </c>
      <c r="Q35" s="321">
        <f t="shared" si="2"/>
        <v>1808.9064000000003</v>
      </c>
      <c r="R35" s="329">
        <f>Inputs!$C$67</f>
        <v>20.357037037037038</v>
      </c>
      <c r="U35" s="315">
        <f t="shared" si="9"/>
        <v>2039</v>
      </c>
      <c r="V35" s="316">
        <f>'Traffic Volumes'!$H28</f>
        <v>5180</v>
      </c>
      <c r="W35" s="317">
        <f>Inputs!$D$69</f>
        <v>0.2</v>
      </c>
      <c r="X35" s="318">
        <f t="shared" si="10"/>
        <v>1036</v>
      </c>
      <c r="Y35" s="317">
        <f>Inputs!$E$19</f>
        <v>0.16</v>
      </c>
      <c r="Z35" s="318">
        <f t="shared" si="11"/>
        <v>165.76</v>
      </c>
      <c r="AA35" s="318">
        <f t="shared" si="12"/>
        <v>870.24</v>
      </c>
      <c r="AB35" s="319">
        <f>Inputs!$D$72</f>
        <v>0.8</v>
      </c>
      <c r="AC35" s="320">
        <f t="shared" si="13"/>
        <v>163.10784000000001</v>
      </c>
      <c r="AD35" s="321">
        <f t="shared" si="3"/>
        <v>389.86752000000001</v>
      </c>
      <c r="AE35" s="329">
        <f>Inputs!$D$67</f>
        <v>9.3022222222222233</v>
      </c>
      <c r="AF35"/>
      <c r="AG35"/>
      <c r="AH35"/>
      <c r="AI35"/>
      <c r="AJ35"/>
      <c r="AK35"/>
      <c r="AL35"/>
      <c r="AM35"/>
      <c r="AN35"/>
      <c r="AO35"/>
      <c r="AP35"/>
      <c r="AQ35"/>
      <c r="AR35"/>
      <c r="AS35"/>
      <c r="AT35" s="14"/>
    </row>
    <row r="36" spans="1:46" x14ac:dyDescent="0.35">
      <c r="A36" s="1">
        <f>IF(A35&lt;'Project Information'!B$11,A35+1,"")</f>
        <v>2043</v>
      </c>
      <c r="B36" s="22">
        <f t="shared" si="0"/>
        <v>68872.664613884452</v>
      </c>
      <c r="C36" s="22">
        <v>0</v>
      </c>
      <c r="D36" s="8">
        <f t="shared" si="1"/>
        <v>68872.664613884452</v>
      </c>
      <c r="G36" s="13"/>
      <c r="H36" s="315">
        <f t="shared" si="4"/>
        <v>2040</v>
      </c>
      <c r="I36" s="316">
        <f>'Traffic Volumes'!$F29</f>
        <v>11391</v>
      </c>
      <c r="J36" s="317">
        <f>Inputs!$C$69</f>
        <v>0.25</v>
      </c>
      <c r="K36" s="318">
        <f t="shared" si="5"/>
        <v>2847.75</v>
      </c>
      <c r="L36" s="317">
        <f>Inputs!$E$18</f>
        <v>0.24</v>
      </c>
      <c r="M36" s="318">
        <f t="shared" si="6"/>
        <v>683.45999999999992</v>
      </c>
      <c r="N36" s="318">
        <f t="shared" si="7"/>
        <v>2164.29</v>
      </c>
      <c r="O36" s="319">
        <f>Inputs!$C$72</f>
        <v>1.5</v>
      </c>
      <c r="P36" s="320">
        <f t="shared" si="8"/>
        <v>1260.9836999999998</v>
      </c>
      <c r="Q36" s="321">
        <f t="shared" si="2"/>
        <v>1818.0036000000002</v>
      </c>
      <c r="R36" s="329">
        <f>Inputs!$C$67</f>
        <v>20.357037037037038</v>
      </c>
      <c r="U36" s="315">
        <f t="shared" si="9"/>
        <v>2040</v>
      </c>
      <c r="V36" s="316">
        <f>'Traffic Volumes'!$H29</f>
        <v>5206</v>
      </c>
      <c r="W36" s="317">
        <f>Inputs!$D$69</f>
        <v>0.2</v>
      </c>
      <c r="X36" s="318">
        <f t="shared" si="10"/>
        <v>1041.2</v>
      </c>
      <c r="Y36" s="317">
        <f>Inputs!$E$19</f>
        <v>0.16</v>
      </c>
      <c r="Z36" s="318">
        <f t="shared" si="11"/>
        <v>166.59200000000001</v>
      </c>
      <c r="AA36" s="318">
        <f t="shared" si="12"/>
        <v>874.60800000000006</v>
      </c>
      <c r="AB36" s="319">
        <f>Inputs!$D$72</f>
        <v>0.8</v>
      </c>
      <c r="AC36" s="320">
        <f t="shared" si="13"/>
        <v>163.92652800000002</v>
      </c>
      <c r="AD36" s="321">
        <f t="shared" si="3"/>
        <v>391.82438400000007</v>
      </c>
      <c r="AE36" s="329">
        <f>Inputs!$D$67</f>
        <v>9.3022222222222233</v>
      </c>
      <c r="AF36"/>
      <c r="AG36"/>
      <c r="AH36"/>
      <c r="AI36"/>
      <c r="AJ36"/>
      <c r="AK36"/>
      <c r="AL36"/>
      <c r="AM36"/>
      <c r="AN36"/>
      <c r="AO36"/>
      <c r="AP36"/>
      <c r="AQ36"/>
      <c r="AR36"/>
      <c r="AS36"/>
      <c r="AT36" s="14"/>
    </row>
    <row r="37" spans="1:46" x14ac:dyDescent="0.35">
      <c r="A37" s="1">
        <f>IF(A36&lt;'Project Information'!B$11,A36+1,"")</f>
        <v>2044</v>
      </c>
      <c r="B37" s="22">
        <f t="shared" si="0"/>
        <v>69217.628827822235</v>
      </c>
      <c r="C37" s="22">
        <v>0</v>
      </c>
      <c r="D37" s="8">
        <f t="shared" si="1"/>
        <v>69217.628827822235</v>
      </c>
      <c r="G37" s="13"/>
      <c r="H37" s="315">
        <f t="shared" si="4"/>
        <v>2041</v>
      </c>
      <c r="I37" s="316">
        <f>'Traffic Volumes'!$F30</f>
        <v>11448</v>
      </c>
      <c r="J37" s="317">
        <f>Inputs!$C$69</f>
        <v>0.25</v>
      </c>
      <c r="K37" s="318">
        <f t="shared" si="5"/>
        <v>2862</v>
      </c>
      <c r="L37" s="317">
        <f>Inputs!$E$18</f>
        <v>0.24</v>
      </c>
      <c r="M37" s="318">
        <f t="shared" si="6"/>
        <v>686.88</v>
      </c>
      <c r="N37" s="318">
        <f t="shared" si="7"/>
        <v>2175.12</v>
      </c>
      <c r="O37" s="319">
        <f>Inputs!$C$72</f>
        <v>1.5</v>
      </c>
      <c r="P37" s="320">
        <f t="shared" si="8"/>
        <v>1267.2936</v>
      </c>
      <c r="Q37" s="321">
        <f t="shared" si="2"/>
        <v>1827.1008000000002</v>
      </c>
      <c r="R37" s="329">
        <f>Inputs!$C$67</f>
        <v>20.357037037037038</v>
      </c>
      <c r="U37" s="315">
        <f t="shared" si="9"/>
        <v>2041</v>
      </c>
      <c r="V37" s="316">
        <f>'Traffic Volumes'!$H30</f>
        <v>5232</v>
      </c>
      <c r="W37" s="317">
        <f>Inputs!$D$69</f>
        <v>0.2</v>
      </c>
      <c r="X37" s="318">
        <f t="shared" si="10"/>
        <v>1046.4000000000001</v>
      </c>
      <c r="Y37" s="317">
        <f>Inputs!$E$19</f>
        <v>0.16</v>
      </c>
      <c r="Z37" s="318">
        <f t="shared" si="11"/>
        <v>167.42400000000001</v>
      </c>
      <c r="AA37" s="318">
        <f t="shared" si="12"/>
        <v>878.976</v>
      </c>
      <c r="AB37" s="319">
        <f>Inputs!$D$72</f>
        <v>0.8</v>
      </c>
      <c r="AC37" s="320">
        <f t="shared" si="13"/>
        <v>164.745216</v>
      </c>
      <c r="AD37" s="321">
        <f t="shared" si="3"/>
        <v>393.78124800000006</v>
      </c>
      <c r="AE37" s="329">
        <f>Inputs!$D$67</f>
        <v>9.3022222222222233</v>
      </c>
      <c r="AF37"/>
      <c r="AG37"/>
      <c r="AH37"/>
      <c r="AI37"/>
      <c r="AJ37"/>
      <c r="AK37"/>
      <c r="AL37"/>
      <c r="AM37"/>
      <c r="AN37"/>
      <c r="AO37"/>
      <c r="AP37"/>
      <c r="AQ37"/>
      <c r="AR37"/>
      <c r="AS37"/>
      <c r="AT37" s="14"/>
    </row>
    <row r="38" spans="1:46" x14ac:dyDescent="0.35">
      <c r="A38" s="1">
        <f>IF(A37&lt;'Project Information'!B$11,A37+1,"")</f>
        <v>2045</v>
      </c>
      <c r="B38" s="22">
        <f t="shared" si="0"/>
        <v>69563.586072586681</v>
      </c>
      <c r="C38" s="22">
        <v>0</v>
      </c>
      <c r="D38" s="8">
        <f t="shared" si="1"/>
        <v>69563.586072586681</v>
      </c>
      <c r="G38" s="13"/>
      <c r="H38" s="315">
        <f t="shared" si="4"/>
        <v>2042</v>
      </c>
      <c r="I38" s="316">
        <f>'Traffic Volumes'!$F31</f>
        <v>11505</v>
      </c>
      <c r="J38" s="317">
        <f>Inputs!$C$69</f>
        <v>0.25</v>
      </c>
      <c r="K38" s="318">
        <f t="shared" si="5"/>
        <v>2876.25</v>
      </c>
      <c r="L38" s="317">
        <f>Inputs!$E$18</f>
        <v>0.24</v>
      </c>
      <c r="M38" s="318">
        <f t="shared" si="6"/>
        <v>690.3</v>
      </c>
      <c r="N38" s="318">
        <f t="shared" si="7"/>
        <v>2185.9499999999998</v>
      </c>
      <c r="O38" s="319">
        <f>Inputs!$C$72</f>
        <v>1.5</v>
      </c>
      <c r="P38" s="320">
        <f t="shared" si="8"/>
        <v>1273.6034999999997</v>
      </c>
      <c r="Q38" s="321">
        <f t="shared" si="2"/>
        <v>1836.1980000000001</v>
      </c>
      <c r="R38" s="329">
        <f>Inputs!$C$67</f>
        <v>20.357037037037038</v>
      </c>
      <c r="U38" s="315">
        <f t="shared" si="9"/>
        <v>2042</v>
      </c>
      <c r="V38" s="316">
        <f>'Traffic Volumes'!$H31</f>
        <v>5258</v>
      </c>
      <c r="W38" s="317">
        <f>Inputs!$D$69</f>
        <v>0.2</v>
      </c>
      <c r="X38" s="318">
        <f t="shared" si="10"/>
        <v>1051.6000000000001</v>
      </c>
      <c r="Y38" s="317">
        <f>Inputs!$E$19</f>
        <v>0.16</v>
      </c>
      <c r="Z38" s="318">
        <f t="shared" si="11"/>
        <v>168.25600000000003</v>
      </c>
      <c r="AA38" s="318">
        <f t="shared" si="12"/>
        <v>883.34400000000005</v>
      </c>
      <c r="AB38" s="319">
        <f>Inputs!$D$72</f>
        <v>0.8</v>
      </c>
      <c r="AC38" s="320">
        <f t="shared" si="13"/>
        <v>165.56390400000004</v>
      </c>
      <c r="AD38" s="321">
        <f t="shared" si="3"/>
        <v>395.73811200000011</v>
      </c>
      <c r="AE38" s="329">
        <f>Inputs!$D$67</f>
        <v>9.3022222222222233</v>
      </c>
      <c r="AF38"/>
      <c r="AG38"/>
      <c r="AH38"/>
      <c r="AI38"/>
      <c r="AJ38"/>
      <c r="AK38"/>
      <c r="AL38"/>
      <c r="AM38"/>
      <c r="AN38"/>
      <c r="AO38"/>
      <c r="AP38"/>
      <c r="AQ38"/>
      <c r="AR38"/>
      <c r="AS38"/>
      <c r="AT38" s="14"/>
    </row>
    <row r="39" spans="1:46" x14ac:dyDescent="0.35">
      <c r="A39" s="1">
        <f>IF(A38&lt;'Project Information'!B$11,A38+1,"")</f>
        <v>2046</v>
      </c>
      <c r="B39" s="22">
        <f t="shared" si="0"/>
        <v>69909.543317351126</v>
      </c>
      <c r="C39" s="22">
        <v>0</v>
      </c>
      <c r="D39" s="8">
        <f t="shared" si="1"/>
        <v>69909.543317351126</v>
      </c>
      <c r="G39" s="13"/>
      <c r="H39" s="315">
        <f t="shared" si="4"/>
        <v>2043</v>
      </c>
      <c r="I39" s="316">
        <f>'Traffic Volumes'!$F32</f>
        <v>11563</v>
      </c>
      <c r="J39" s="317">
        <f>Inputs!$C$69</f>
        <v>0.25</v>
      </c>
      <c r="K39" s="318">
        <f t="shared" si="5"/>
        <v>2890.75</v>
      </c>
      <c r="L39" s="317">
        <f>Inputs!$E$18</f>
        <v>0.24</v>
      </c>
      <c r="M39" s="318">
        <f t="shared" si="6"/>
        <v>693.78</v>
      </c>
      <c r="N39" s="318">
        <f t="shared" si="7"/>
        <v>2196.9699999999998</v>
      </c>
      <c r="O39" s="319">
        <f>Inputs!$C$72</f>
        <v>1.5</v>
      </c>
      <c r="P39" s="320">
        <f t="shared" si="8"/>
        <v>1280.0241000000001</v>
      </c>
      <c r="Q39" s="321">
        <f t="shared" si="2"/>
        <v>1845.4548000000002</v>
      </c>
      <c r="R39" s="329">
        <f>Inputs!$C$67</f>
        <v>20.357037037037038</v>
      </c>
      <c r="U39" s="315">
        <f t="shared" si="9"/>
        <v>2043</v>
      </c>
      <c r="V39" s="316">
        <f>'Traffic Volumes'!$H32</f>
        <v>5284</v>
      </c>
      <c r="W39" s="317">
        <f>Inputs!$D$69</f>
        <v>0.2</v>
      </c>
      <c r="X39" s="318">
        <f t="shared" si="10"/>
        <v>1056.8</v>
      </c>
      <c r="Y39" s="317">
        <f>Inputs!$E$19</f>
        <v>0.16</v>
      </c>
      <c r="Z39" s="318">
        <f t="shared" si="11"/>
        <v>169.08799999999999</v>
      </c>
      <c r="AA39" s="318">
        <f t="shared" si="12"/>
        <v>887.71199999999988</v>
      </c>
      <c r="AB39" s="319">
        <f>Inputs!$D$72</f>
        <v>0.8</v>
      </c>
      <c r="AC39" s="320">
        <f t="shared" si="13"/>
        <v>166.38259199999999</v>
      </c>
      <c r="AD39" s="321">
        <f t="shared" si="3"/>
        <v>397.694976</v>
      </c>
      <c r="AE39" s="329">
        <f>Inputs!$D$67</f>
        <v>9.3022222222222233</v>
      </c>
      <c r="AF39"/>
      <c r="AG39"/>
      <c r="AH39"/>
      <c r="AI39"/>
      <c r="AJ39"/>
      <c r="AK39"/>
      <c r="AL39"/>
      <c r="AM39"/>
      <c r="AN39"/>
      <c r="AO39"/>
      <c r="AP39"/>
      <c r="AQ39"/>
      <c r="AR39"/>
      <c r="AS39"/>
      <c r="AT39" s="14"/>
    </row>
    <row r="40" spans="1:46" x14ac:dyDescent="0.35">
      <c r="A40" s="1">
        <f>IF(A39&lt;'Project Information'!B$11,A39+1,"")</f>
        <v>2047</v>
      </c>
      <c r="B40" s="22">
        <f t="shared" si="0"/>
        <v>70261.003069226674</v>
      </c>
      <c r="C40" s="22">
        <v>0</v>
      </c>
      <c r="D40" s="8">
        <f t="shared" si="1"/>
        <v>70261.003069226674</v>
      </c>
      <c r="G40" s="13"/>
      <c r="H40" s="315">
        <f t="shared" si="4"/>
        <v>2044</v>
      </c>
      <c r="I40" s="316">
        <f>'Traffic Volumes'!$F33</f>
        <v>11621</v>
      </c>
      <c r="J40" s="317">
        <f>Inputs!$C$69</f>
        <v>0.25</v>
      </c>
      <c r="K40" s="318">
        <f t="shared" si="5"/>
        <v>2905.25</v>
      </c>
      <c r="L40" s="317">
        <f>Inputs!$E$18</f>
        <v>0.24</v>
      </c>
      <c r="M40" s="318">
        <f t="shared" si="6"/>
        <v>697.26</v>
      </c>
      <c r="N40" s="318">
        <f t="shared" si="7"/>
        <v>2207.9900000000002</v>
      </c>
      <c r="O40" s="319">
        <f>Inputs!$C$72</f>
        <v>1.5</v>
      </c>
      <c r="P40" s="320">
        <f t="shared" si="8"/>
        <v>1286.4446999999998</v>
      </c>
      <c r="Q40" s="321">
        <f t="shared" si="2"/>
        <v>1854.7116000000005</v>
      </c>
      <c r="R40" s="329">
        <f>Inputs!$C$67</f>
        <v>20.357037037037038</v>
      </c>
      <c r="U40" s="315">
        <f t="shared" si="9"/>
        <v>2044</v>
      </c>
      <c r="V40" s="316">
        <f>'Traffic Volumes'!$H33</f>
        <v>5310</v>
      </c>
      <c r="W40" s="317">
        <f>Inputs!$D$69</f>
        <v>0.2</v>
      </c>
      <c r="X40" s="318">
        <f t="shared" si="10"/>
        <v>1062</v>
      </c>
      <c r="Y40" s="317">
        <f>Inputs!$E$19</f>
        <v>0.16</v>
      </c>
      <c r="Z40" s="318">
        <f t="shared" si="11"/>
        <v>169.92000000000002</v>
      </c>
      <c r="AA40" s="318">
        <f t="shared" si="12"/>
        <v>892.07999999999993</v>
      </c>
      <c r="AB40" s="319">
        <f>Inputs!$D$72</f>
        <v>0.8</v>
      </c>
      <c r="AC40" s="320">
        <f t="shared" si="13"/>
        <v>167.20128</v>
      </c>
      <c r="AD40" s="321">
        <f t="shared" si="3"/>
        <v>399.65184000000005</v>
      </c>
      <c r="AE40" s="329">
        <f>Inputs!$D$67</f>
        <v>9.3022222222222233</v>
      </c>
      <c r="AF40"/>
      <c r="AG40"/>
      <c r="AH40"/>
      <c r="AI40"/>
      <c r="AJ40"/>
      <c r="AK40"/>
      <c r="AL40"/>
      <c r="AM40"/>
      <c r="AN40"/>
      <c r="AO40"/>
      <c r="AP40"/>
      <c r="AQ40"/>
      <c r="AR40"/>
      <c r="AS40"/>
      <c r="AT40" s="14"/>
    </row>
    <row r="41" spans="1:46" x14ac:dyDescent="0.35">
      <c r="A41" s="1">
        <f>IF(A40&lt;'Project Information'!B$11,A40+1,"")</f>
        <v>2048</v>
      </c>
      <c r="B41" s="22">
        <f t="shared" si="0"/>
        <v>70612.462821102235</v>
      </c>
      <c r="C41" s="22">
        <v>0</v>
      </c>
      <c r="D41" s="8">
        <f t="shared" si="1"/>
        <v>70612.462821102235</v>
      </c>
      <c r="G41" s="13"/>
      <c r="H41" s="315">
        <f t="shared" si="4"/>
        <v>2045</v>
      </c>
      <c r="I41" s="316">
        <f>'Traffic Volumes'!$F34</f>
        <v>11679</v>
      </c>
      <c r="J41" s="317">
        <f>Inputs!$C$69</f>
        <v>0.25</v>
      </c>
      <c r="K41" s="318">
        <f t="shared" si="5"/>
        <v>2919.75</v>
      </c>
      <c r="L41" s="317">
        <f>Inputs!$E$18</f>
        <v>0.24</v>
      </c>
      <c r="M41" s="318">
        <f t="shared" si="6"/>
        <v>700.74</v>
      </c>
      <c r="N41" s="318">
        <f t="shared" si="7"/>
        <v>2219.0100000000002</v>
      </c>
      <c r="O41" s="319">
        <f>Inputs!$C$72</f>
        <v>1.5</v>
      </c>
      <c r="P41" s="320">
        <f t="shared" si="8"/>
        <v>1292.8653000000002</v>
      </c>
      <c r="Q41" s="321">
        <f t="shared" si="2"/>
        <v>1863.9684000000004</v>
      </c>
      <c r="R41" s="329">
        <f>Inputs!$C$67</f>
        <v>20.357037037037038</v>
      </c>
      <c r="U41" s="315">
        <f t="shared" si="9"/>
        <v>2045</v>
      </c>
      <c r="V41" s="316">
        <f>'Traffic Volumes'!$H34</f>
        <v>5337</v>
      </c>
      <c r="W41" s="317">
        <f>Inputs!$D$69</f>
        <v>0.2</v>
      </c>
      <c r="X41" s="318">
        <f t="shared" si="10"/>
        <v>1067.4000000000001</v>
      </c>
      <c r="Y41" s="317">
        <f>Inputs!$E$19</f>
        <v>0.16</v>
      </c>
      <c r="Z41" s="318">
        <f t="shared" si="11"/>
        <v>170.78400000000002</v>
      </c>
      <c r="AA41" s="318">
        <f t="shared" si="12"/>
        <v>896.6160000000001</v>
      </c>
      <c r="AB41" s="319">
        <f>Inputs!$D$72</f>
        <v>0.8</v>
      </c>
      <c r="AC41" s="320">
        <f t="shared" si="13"/>
        <v>168.05145600000003</v>
      </c>
      <c r="AD41" s="321">
        <f t="shared" si="3"/>
        <v>401.68396800000011</v>
      </c>
      <c r="AE41" s="329">
        <f>Inputs!$D$67</f>
        <v>9.3022222222222233</v>
      </c>
      <c r="AF41"/>
      <c r="AG41"/>
      <c r="AH41"/>
      <c r="AI41"/>
      <c r="AJ41"/>
      <c r="AK41"/>
      <c r="AL41"/>
      <c r="AM41"/>
      <c r="AN41"/>
      <c r="AO41"/>
      <c r="AP41"/>
      <c r="AQ41"/>
      <c r="AR41"/>
      <c r="AS41"/>
      <c r="AT41" s="14"/>
    </row>
    <row r="42" spans="1:46" x14ac:dyDescent="0.35">
      <c r="A42" s="1">
        <f>IF(A41&lt;'Project Information'!B$11,A41+1,"")</f>
        <v>2049</v>
      </c>
      <c r="B42" s="22">
        <f t="shared" si="0"/>
        <v>70963.922572977783</v>
      </c>
      <c r="C42" s="22">
        <v>0</v>
      </c>
      <c r="D42" s="8">
        <f t="shared" si="1"/>
        <v>70963.922572977783</v>
      </c>
      <c r="G42" s="13"/>
      <c r="H42" s="315">
        <f t="shared" si="4"/>
        <v>2046</v>
      </c>
      <c r="I42" s="316">
        <f>'Traffic Volumes'!$F35</f>
        <v>11737</v>
      </c>
      <c r="J42" s="317">
        <f>Inputs!$C$69</f>
        <v>0.25</v>
      </c>
      <c r="K42" s="318">
        <f t="shared" si="5"/>
        <v>2934.25</v>
      </c>
      <c r="L42" s="317">
        <f>Inputs!$E$18</f>
        <v>0.24</v>
      </c>
      <c r="M42" s="318">
        <f t="shared" si="6"/>
        <v>704.22</v>
      </c>
      <c r="N42" s="318">
        <f t="shared" si="7"/>
        <v>2230.0300000000002</v>
      </c>
      <c r="O42" s="319">
        <f>Inputs!$C$72</f>
        <v>1.5</v>
      </c>
      <c r="P42" s="320">
        <f t="shared" si="8"/>
        <v>1299.2858999999999</v>
      </c>
      <c r="Q42" s="321">
        <f t="shared" si="2"/>
        <v>1873.2252000000003</v>
      </c>
      <c r="R42" s="329">
        <f>Inputs!$C$67</f>
        <v>20.357037037037038</v>
      </c>
      <c r="U42" s="315">
        <f t="shared" si="9"/>
        <v>2046</v>
      </c>
      <c r="V42" s="316">
        <f>'Traffic Volumes'!$H35</f>
        <v>5364</v>
      </c>
      <c r="W42" s="317">
        <f>Inputs!$D$69</f>
        <v>0.2</v>
      </c>
      <c r="X42" s="318">
        <f t="shared" si="10"/>
        <v>1072.8</v>
      </c>
      <c r="Y42" s="317">
        <f>Inputs!$E$19</f>
        <v>0.16</v>
      </c>
      <c r="Z42" s="318">
        <f t="shared" si="11"/>
        <v>171.648</v>
      </c>
      <c r="AA42" s="318">
        <f t="shared" si="12"/>
        <v>901.15199999999993</v>
      </c>
      <c r="AB42" s="319">
        <f>Inputs!$D$72</f>
        <v>0.8</v>
      </c>
      <c r="AC42" s="320">
        <f t="shared" si="13"/>
        <v>168.90163200000001</v>
      </c>
      <c r="AD42" s="321">
        <f t="shared" si="3"/>
        <v>403.71609600000005</v>
      </c>
      <c r="AE42" s="329">
        <f>Inputs!$D$67</f>
        <v>9.3022222222222233</v>
      </c>
      <c r="AF42"/>
      <c r="AG42"/>
      <c r="AH42"/>
      <c r="AI42"/>
      <c r="AJ42"/>
      <c r="AK42"/>
      <c r="AL42"/>
      <c r="AM42"/>
      <c r="AN42"/>
      <c r="AO42"/>
      <c r="AP42"/>
      <c r="AQ42"/>
      <c r="AR42"/>
      <c r="AS42"/>
      <c r="AT42" s="14"/>
    </row>
    <row r="43" spans="1:46" x14ac:dyDescent="0.35">
      <c r="A43" s="1">
        <f>IF(A42&lt;'Project Information'!B$11,A42+1,"")</f>
        <v>2050</v>
      </c>
      <c r="B43" s="22">
        <f t="shared" si="0"/>
        <v>71320.88483196446</v>
      </c>
      <c r="C43" s="22">
        <v>0</v>
      </c>
      <c r="D43" s="8">
        <f t="shared" si="1"/>
        <v>71320.88483196446</v>
      </c>
      <c r="G43" s="13"/>
      <c r="H43" s="315">
        <f t="shared" si="4"/>
        <v>2047</v>
      </c>
      <c r="I43" s="316">
        <f>'Traffic Volumes'!$F36</f>
        <v>11796</v>
      </c>
      <c r="J43" s="317">
        <f>Inputs!$C$69</f>
        <v>0.25</v>
      </c>
      <c r="K43" s="318">
        <f t="shared" si="5"/>
        <v>2949</v>
      </c>
      <c r="L43" s="317">
        <f>Inputs!$E$18</f>
        <v>0.24</v>
      </c>
      <c r="M43" s="318">
        <f t="shared" si="6"/>
        <v>707.76</v>
      </c>
      <c r="N43" s="318">
        <f t="shared" si="7"/>
        <v>2241.2400000000002</v>
      </c>
      <c r="O43" s="319">
        <f>Inputs!$C$72</f>
        <v>1.5</v>
      </c>
      <c r="P43" s="320">
        <f t="shared" si="8"/>
        <v>1305.8171999999997</v>
      </c>
      <c r="Q43" s="321">
        <f t="shared" si="2"/>
        <v>1882.6416000000006</v>
      </c>
      <c r="R43" s="329">
        <f>Inputs!$C$67</f>
        <v>20.357037037037038</v>
      </c>
      <c r="U43" s="315">
        <f t="shared" si="9"/>
        <v>2047</v>
      </c>
      <c r="V43" s="316">
        <f>'Traffic Volumes'!$H36</f>
        <v>5391</v>
      </c>
      <c r="W43" s="317">
        <f>Inputs!$D$69</f>
        <v>0.2</v>
      </c>
      <c r="X43" s="318">
        <f t="shared" si="10"/>
        <v>1078.2</v>
      </c>
      <c r="Y43" s="317">
        <f>Inputs!$E$19</f>
        <v>0.16</v>
      </c>
      <c r="Z43" s="318">
        <f t="shared" si="11"/>
        <v>172.512</v>
      </c>
      <c r="AA43" s="318">
        <f t="shared" si="12"/>
        <v>905.68799999999999</v>
      </c>
      <c r="AB43" s="319">
        <f>Inputs!$D$72</f>
        <v>0.8</v>
      </c>
      <c r="AC43" s="320">
        <f t="shared" si="13"/>
        <v>169.75180800000001</v>
      </c>
      <c r="AD43" s="321">
        <f t="shared" si="3"/>
        <v>405.74822400000011</v>
      </c>
      <c r="AE43" s="329">
        <f>Inputs!$D$67</f>
        <v>9.3022222222222233</v>
      </c>
      <c r="AF43"/>
      <c r="AG43"/>
      <c r="AH43"/>
      <c r="AI43"/>
      <c r="AJ43"/>
      <c r="AK43"/>
      <c r="AL43"/>
      <c r="AM43"/>
      <c r="AN43"/>
      <c r="AO43"/>
      <c r="AP43"/>
      <c r="AQ43"/>
      <c r="AR43"/>
      <c r="AS43"/>
      <c r="AT43" s="14"/>
    </row>
    <row r="44" spans="1:46" x14ac:dyDescent="0.35">
      <c r="A44" s="1">
        <f>IF(A43&lt;'Project Information'!B$11,A43+1,"")</f>
        <v>2051</v>
      </c>
      <c r="B44" s="22">
        <f t="shared" si="0"/>
        <v>71677.847090951109</v>
      </c>
      <c r="C44" s="22">
        <v>0</v>
      </c>
      <c r="D44" s="8">
        <f t="shared" si="1"/>
        <v>71677.847090951109</v>
      </c>
      <c r="G44" s="13"/>
      <c r="H44" s="315">
        <f t="shared" si="4"/>
        <v>2048</v>
      </c>
      <c r="I44" s="316">
        <f>'Traffic Volumes'!$F37</f>
        <v>11855</v>
      </c>
      <c r="J44" s="317">
        <f>Inputs!$C$69</f>
        <v>0.25</v>
      </c>
      <c r="K44" s="318">
        <f t="shared" si="5"/>
        <v>2963.75</v>
      </c>
      <c r="L44" s="317">
        <f>Inputs!$E$18</f>
        <v>0.24</v>
      </c>
      <c r="M44" s="318">
        <f t="shared" si="6"/>
        <v>711.3</v>
      </c>
      <c r="N44" s="318">
        <f t="shared" si="7"/>
        <v>2252.4499999999998</v>
      </c>
      <c r="O44" s="319">
        <f>Inputs!$C$72</f>
        <v>1.5</v>
      </c>
      <c r="P44" s="320">
        <f t="shared" si="8"/>
        <v>1312.3484999999998</v>
      </c>
      <c r="Q44" s="321">
        <f t="shared" si="2"/>
        <v>1892.058</v>
      </c>
      <c r="R44" s="329">
        <f>Inputs!$C$67</f>
        <v>20.357037037037038</v>
      </c>
      <c r="U44" s="315">
        <f t="shared" si="9"/>
        <v>2048</v>
      </c>
      <c r="V44" s="316">
        <f>'Traffic Volumes'!$H37</f>
        <v>5418</v>
      </c>
      <c r="W44" s="317">
        <f>Inputs!$D$69</f>
        <v>0.2</v>
      </c>
      <c r="X44" s="318">
        <f t="shared" si="10"/>
        <v>1083.6000000000001</v>
      </c>
      <c r="Y44" s="317">
        <f>Inputs!$E$19</f>
        <v>0.16</v>
      </c>
      <c r="Z44" s="318">
        <f t="shared" si="11"/>
        <v>173.37600000000003</v>
      </c>
      <c r="AA44" s="318">
        <f t="shared" si="12"/>
        <v>910.22400000000005</v>
      </c>
      <c r="AB44" s="319">
        <f>Inputs!$D$72</f>
        <v>0.8</v>
      </c>
      <c r="AC44" s="320">
        <f t="shared" si="13"/>
        <v>170.60198400000004</v>
      </c>
      <c r="AD44" s="321">
        <f t="shared" si="3"/>
        <v>407.78035200000005</v>
      </c>
      <c r="AE44" s="329">
        <f>Inputs!$D$67</f>
        <v>9.3022222222222233</v>
      </c>
      <c r="AF44"/>
      <c r="AG44"/>
      <c r="AH44"/>
      <c r="AI44"/>
      <c r="AJ44"/>
      <c r="AK44"/>
      <c r="AL44"/>
      <c r="AM44"/>
      <c r="AN44"/>
      <c r="AO44"/>
      <c r="AP44"/>
      <c r="AQ44"/>
      <c r="AR44"/>
      <c r="AS44"/>
      <c r="AT44" s="14"/>
    </row>
    <row r="45" spans="1:46" x14ac:dyDescent="0.35">
      <c r="A45" s="1">
        <f>IF(A44&lt;'Project Information'!B$11,A44+1,"")</f>
        <v>2052</v>
      </c>
      <c r="B45" s="22">
        <f t="shared" si="0"/>
        <v>72034.809349937786</v>
      </c>
      <c r="C45" s="22">
        <v>0</v>
      </c>
      <c r="D45" s="8">
        <f t="shared" si="1"/>
        <v>72034.809349937786</v>
      </c>
      <c r="G45" s="13"/>
      <c r="H45" s="315">
        <f t="shared" si="4"/>
        <v>2049</v>
      </c>
      <c r="I45" s="316">
        <f>'Traffic Volumes'!$F38</f>
        <v>11914</v>
      </c>
      <c r="J45" s="317">
        <f>Inputs!$C$69</f>
        <v>0.25</v>
      </c>
      <c r="K45" s="318">
        <f t="shared" si="5"/>
        <v>2978.5</v>
      </c>
      <c r="L45" s="317">
        <f>Inputs!$E$18</f>
        <v>0.24</v>
      </c>
      <c r="M45" s="318">
        <f t="shared" si="6"/>
        <v>714.83999999999992</v>
      </c>
      <c r="N45" s="318">
        <f t="shared" si="7"/>
        <v>2263.66</v>
      </c>
      <c r="O45" s="319">
        <f>Inputs!$C$72</f>
        <v>1.5</v>
      </c>
      <c r="P45" s="320">
        <f t="shared" si="8"/>
        <v>1318.8797999999997</v>
      </c>
      <c r="Q45" s="321">
        <f t="shared" si="2"/>
        <v>1901.4744000000001</v>
      </c>
      <c r="R45" s="329">
        <f>Inputs!$C$67</f>
        <v>20.357037037037038</v>
      </c>
      <c r="U45" s="315">
        <f t="shared" si="9"/>
        <v>2049</v>
      </c>
      <c r="V45" s="316">
        <f>'Traffic Volumes'!$H38</f>
        <v>5445</v>
      </c>
      <c r="W45" s="317">
        <f>Inputs!$D$69</f>
        <v>0.2</v>
      </c>
      <c r="X45" s="318">
        <f t="shared" si="10"/>
        <v>1089</v>
      </c>
      <c r="Y45" s="317">
        <f>Inputs!$E$19</f>
        <v>0.16</v>
      </c>
      <c r="Z45" s="318">
        <f t="shared" si="11"/>
        <v>174.24</v>
      </c>
      <c r="AA45" s="318">
        <f t="shared" si="12"/>
        <v>914.76</v>
      </c>
      <c r="AB45" s="319">
        <f>Inputs!$D$72</f>
        <v>0.8</v>
      </c>
      <c r="AC45" s="320">
        <f t="shared" si="13"/>
        <v>171.45216000000002</v>
      </c>
      <c r="AD45" s="321">
        <f t="shared" si="3"/>
        <v>409.81248000000005</v>
      </c>
      <c r="AE45" s="329">
        <f>Inputs!$D$67</f>
        <v>9.3022222222222233</v>
      </c>
      <c r="AF45"/>
      <c r="AG45"/>
      <c r="AH45"/>
      <c r="AI45"/>
      <c r="AJ45"/>
      <c r="AK45"/>
      <c r="AL45"/>
      <c r="AM45"/>
      <c r="AN45"/>
      <c r="AO45"/>
      <c r="AP45"/>
      <c r="AQ45"/>
      <c r="AR45"/>
      <c r="AS45"/>
      <c r="AT45" s="14"/>
    </row>
    <row r="46" spans="1:46" x14ac:dyDescent="0.35">
      <c r="A46" s="1">
        <f>IF(A45&lt;'Project Information'!B$11,A45+1,"")</f>
        <v>2053</v>
      </c>
      <c r="B46" s="22">
        <f t="shared" si="0"/>
        <v>72392.764639751127</v>
      </c>
      <c r="C46" s="22">
        <v>0</v>
      </c>
      <c r="D46" s="8">
        <f t="shared" si="1"/>
        <v>72392.764639751127</v>
      </c>
      <c r="G46" s="13"/>
      <c r="H46" s="315">
        <f t="shared" si="4"/>
        <v>2050</v>
      </c>
      <c r="I46" s="316">
        <f>'Traffic Volumes'!$F39</f>
        <v>11974</v>
      </c>
      <c r="J46" s="317">
        <f>Inputs!$C$69</f>
        <v>0.25</v>
      </c>
      <c r="K46" s="318">
        <f t="shared" si="5"/>
        <v>2993.5</v>
      </c>
      <c r="L46" s="317">
        <f>Inputs!$E$18</f>
        <v>0.24</v>
      </c>
      <c r="M46" s="318">
        <f t="shared" si="6"/>
        <v>718.43999999999994</v>
      </c>
      <c r="N46" s="318">
        <f t="shared" si="7"/>
        <v>2275.06</v>
      </c>
      <c r="O46" s="319">
        <f>Inputs!$C$72</f>
        <v>1.5</v>
      </c>
      <c r="P46" s="320">
        <f t="shared" si="8"/>
        <v>1325.5217999999998</v>
      </c>
      <c r="Q46" s="321">
        <f t="shared" si="2"/>
        <v>1911.0504000000003</v>
      </c>
      <c r="R46" s="329">
        <f>Inputs!$C$67</f>
        <v>20.357037037037038</v>
      </c>
      <c r="U46" s="315">
        <f t="shared" si="9"/>
        <v>2050</v>
      </c>
      <c r="V46" s="316">
        <f>'Traffic Volumes'!$H39</f>
        <v>5472</v>
      </c>
      <c r="W46" s="317">
        <f>Inputs!$D$69</f>
        <v>0.2</v>
      </c>
      <c r="X46" s="318">
        <f t="shared" si="10"/>
        <v>1094.4000000000001</v>
      </c>
      <c r="Y46" s="317">
        <f>Inputs!$E$19</f>
        <v>0.16</v>
      </c>
      <c r="Z46" s="318">
        <f t="shared" si="11"/>
        <v>175.10400000000001</v>
      </c>
      <c r="AA46" s="318">
        <f t="shared" si="12"/>
        <v>919.29600000000005</v>
      </c>
      <c r="AB46" s="319">
        <f>Inputs!$D$72</f>
        <v>0.8</v>
      </c>
      <c r="AC46" s="320">
        <f t="shared" si="13"/>
        <v>172.302336</v>
      </c>
      <c r="AD46" s="321">
        <f t="shared" si="3"/>
        <v>411.84460800000005</v>
      </c>
      <c r="AE46" s="329">
        <f>Inputs!$D$67</f>
        <v>9.3022222222222233</v>
      </c>
      <c r="AF46"/>
      <c r="AG46"/>
      <c r="AH46"/>
      <c r="AI46"/>
      <c r="AJ46"/>
      <c r="AK46"/>
      <c r="AL46"/>
      <c r="AM46"/>
      <c r="AN46"/>
      <c r="AO46"/>
      <c r="AP46"/>
      <c r="AQ46"/>
      <c r="AR46"/>
      <c r="AS46"/>
      <c r="AT46" s="14"/>
    </row>
    <row r="47" spans="1:46" x14ac:dyDescent="0.35">
      <c r="A47" s="1">
        <f>IF(A46&lt;'Project Information'!B$11,A46+1,"")</f>
        <v>2054</v>
      </c>
      <c r="B47" s="22">
        <f t="shared" si="0"/>
        <v>72756.222436675554</v>
      </c>
      <c r="C47" s="22">
        <v>0</v>
      </c>
      <c r="D47" s="8">
        <f t="shared" si="1"/>
        <v>72756.222436675554</v>
      </c>
      <c r="G47" s="13"/>
      <c r="H47" s="315">
        <f t="shared" si="4"/>
        <v>2051</v>
      </c>
      <c r="I47" s="316">
        <f>'Traffic Volumes'!$F40</f>
        <v>12034</v>
      </c>
      <c r="J47" s="317">
        <f>Inputs!$C$69</f>
        <v>0.25</v>
      </c>
      <c r="K47" s="318">
        <f t="shared" si="5"/>
        <v>3008.5</v>
      </c>
      <c r="L47" s="317">
        <f>Inputs!$E$18</f>
        <v>0.24</v>
      </c>
      <c r="M47" s="318">
        <f t="shared" si="6"/>
        <v>722.04</v>
      </c>
      <c r="N47" s="318">
        <f t="shared" si="7"/>
        <v>2286.46</v>
      </c>
      <c r="O47" s="319">
        <f>Inputs!$C$72</f>
        <v>1.5</v>
      </c>
      <c r="P47" s="320">
        <f t="shared" si="8"/>
        <v>1332.1637999999998</v>
      </c>
      <c r="Q47" s="321">
        <f t="shared" si="2"/>
        <v>1920.6264000000001</v>
      </c>
      <c r="R47" s="329">
        <f>Inputs!$C$67</f>
        <v>20.357037037037038</v>
      </c>
      <c r="U47" s="315">
        <f t="shared" si="9"/>
        <v>2051</v>
      </c>
      <c r="V47" s="316">
        <f>'Traffic Volumes'!$H40</f>
        <v>5499</v>
      </c>
      <c r="W47" s="317">
        <f>Inputs!$D$69</f>
        <v>0.2</v>
      </c>
      <c r="X47" s="318">
        <f t="shared" si="10"/>
        <v>1099.8</v>
      </c>
      <c r="Y47" s="317">
        <f>Inputs!$E$19</f>
        <v>0.16</v>
      </c>
      <c r="Z47" s="318">
        <f t="shared" si="11"/>
        <v>175.96799999999999</v>
      </c>
      <c r="AA47" s="318">
        <f t="shared" si="12"/>
        <v>923.83199999999988</v>
      </c>
      <c r="AB47" s="319">
        <f>Inputs!$D$72</f>
        <v>0.8</v>
      </c>
      <c r="AC47" s="320">
        <f t="shared" si="13"/>
        <v>173.15251199999997</v>
      </c>
      <c r="AD47" s="321">
        <f t="shared" si="3"/>
        <v>413.87673599999999</v>
      </c>
      <c r="AE47" s="329">
        <f>Inputs!$D$67</f>
        <v>9.3022222222222233</v>
      </c>
      <c r="AF47"/>
      <c r="AG47"/>
      <c r="AH47"/>
      <c r="AI47"/>
      <c r="AJ47"/>
      <c r="AK47"/>
      <c r="AL47"/>
      <c r="AM47"/>
      <c r="AN47"/>
      <c r="AO47"/>
      <c r="AP47"/>
      <c r="AQ47"/>
      <c r="AR47"/>
      <c r="AS47"/>
      <c r="AT47" s="14"/>
    </row>
    <row r="48" spans="1:46" x14ac:dyDescent="0.35">
      <c r="A48" s="1">
        <f>IF(A47&lt;'Project Information'!B$11,A47+1,"")</f>
        <v>2055</v>
      </c>
      <c r="B48" s="22">
        <f t="shared" si="0"/>
        <v>73119.680233599996</v>
      </c>
      <c r="C48" s="22">
        <v>0</v>
      </c>
      <c r="D48" s="8">
        <f t="shared" si="1"/>
        <v>73119.680233599996</v>
      </c>
      <c r="G48" s="13"/>
      <c r="H48" s="315">
        <f t="shared" si="4"/>
        <v>2052</v>
      </c>
      <c r="I48" s="316">
        <f>'Traffic Volumes'!$F41</f>
        <v>12094</v>
      </c>
      <c r="J48" s="317">
        <f>Inputs!$C$69</f>
        <v>0.25</v>
      </c>
      <c r="K48" s="318">
        <f t="shared" si="5"/>
        <v>3023.5</v>
      </c>
      <c r="L48" s="317">
        <f>Inputs!$E$18</f>
        <v>0.24</v>
      </c>
      <c r="M48" s="318">
        <f t="shared" si="6"/>
        <v>725.64</v>
      </c>
      <c r="N48" s="318">
        <f t="shared" si="7"/>
        <v>2297.86</v>
      </c>
      <c r="O48" s="319">
        <f>Inputs!$C$72</f>
        <v>1.5</v>
      </c>
      <c r="P48" s="320">
        <f t="shared" si="8"/>
        <v>1338.8058000000001</v>
      </c>
      <c r="Q48" s="321">
        <f t="shared" si="2"/>
        <v>1930.2024000000001</v>
      </c>
      <c r="R48" s="329">
        <f>Inputs!$C$67</f>
        <v>20.357037037037038</v>
      </c>
      <c r="U48" s="315">
        <f t="shared" si="9"/>
        <v>2052</v>
      </c>
      <c r="V48" s="316">
        <f>'Traffic Volumes'!$H41</f>
        <v>5526</v>
      </c>
      <c r="W48" s="317">
        <f>Inputs!$D$69</f>
        <v>0.2</v>
      </c>
      <c r="X48" s="318">
        <f t="shared" si="10"/>
        <v>1105.2</v>
      </c>
      <c r="Y48" s="317">
        <f>Inputs!$E$19</f>
        <v>0.16</v>
      </c>
      <c r="Z48" s="318">
        <f t="shared" si="11"/>
        <v>176.83200000000002</v>
      </c>
      <c r="AA48" s="318">
        <f t="shared" si="12"/>
        <v>928.36800000000005</v>
      </c>
      <c r="AB48" s="319">
        <f>Inputs!$D$72</f>
        <v>0.8</v>
      </c>
      <c r="AC48" s="320">
        <f t="shared" si="13"/>
        <v>174.00268800000003</v>
      </c>
      <c r="AD48" s="321">
        <f t="shared" si="3"/>
        <v>415.90886400000011</v>
      </c>
      <c r="AE48" s="329">
        <f>Inputs!$D$67</f>
        <v>9.3022222222222233</v>
      </c>
      <c r="AF48"/>
      <c r="AG48"/>
      <c r="AH48"/>
      <c r="AI48"/>
      <c r="AJ48"/>
      <c r="AK48"/>
      <c r="AL48"/>
      <c r="AM48"/>
      <c r="AN48"/>
      <c r="AO48"/>
      <c r="AP48"/>
      <c r="AQ48"/>
      <c r="AR48"/>
      <c r="AS48"/>
      <c r="AT48" s="14"/>
    </row>
    <row r="49" spans="1:46" x14ac:dyDescent="0.35">
      <c r="A49" s="1">
        <f>IF(A48&lt;'Project Information'!B$11,A48+1,"")</f>
        <v>2056</v>
      </c>
      <c r="B49" s="22">
        <f t="shared" si="0"/>
        <v>73483.138030524438</v>
      </c>
      <c r="C49" s="22">
        <v>0</v>
      </c>
      <c r="D49" s="8">
        <f t="shared" si="1"/>
        <v>73483.138030524438</v>
      </c>
      <c r="G49" s="13"/>
      <c r="H49" s="315">
        <f t="shared" si="4"/>
        <v>2053</v>
      </c>
      <c r="I49" s="316">
        <f>'Traffic Volumes'!$F42</f>
        <v>12154</v>
      </c>
      <c r="J49" s="317">
        <f>Inputs!$C$69</f>
        <v>0.25</v>
      </c>
      <c r="K49" s="318">
        <f t="shared" si="5"/>
        <v>3038.5</v>
      </c>
      <c r="L49" s="317">
        <f>Inputs!$E$18</f>
        <v>0.24</v>
      </c>
      <c r="M49" s="318">
        <f t="shared" si="6"/>
        <v>729.24</v>
      </c>
      <c r="N49" s="318">
        <f t="shared" si="7"/>
        <v>2309.2600000000002</v>
      </c>
      <c r="O49" s="319">
        <f>Inputs!$C$72</f>
        <v>1.5</v>
      </c>
      <c r="P49" s="320">
        <f t="shared" si="8"/>
        <v>1345.4478000000001</v>
      </c>
      <c r="Q49" s="321">
        <f t="shared" si="2"/>
        <v>1939.7784000000004</v>
      </c>
      <c r="R49" s="329">
        <f>Inputs!$C$67</f>
        <v>20.357037037037038</v>
      </c>
      <c r="U49" s="315">
        <f t="shared" si="9"/>
        <v>2053</v>
      </c>
      <c r="V49" s="316">
        <f>'Traffic Volumes'!$H42</f>
        <v>5554</v>
      </c>
      <c r="W49" s="317">
        <f>Inputs!$D$69</f>
        <v>0.2</v>
      </c>
      <c r="X49" s="318">
        <f t="shared" si="10"/>
        <v>1110.8</v>
      </c>
      <c r="Y49" s="317">
        <f>Inputs!$E$19</f>
        <v>0.16</v>
      </c>
      <c r="Z49" s="318">
        <f t="shared" si="11"/>
        <v>177.72800000000001</v>
      </c>
      <c r="AA49" s="318">
        <f t="shared" si="12"/>
        <v>933.07199999999989</v>
      </c>
      <c r="AB49" s="319">
        <f>Inputs!$D$72</f>
        <v>0.8</v>
      </c>
      <c r="AC49" s="320">
        <f t="shared" si="13"/>
        <v>174.88435200000001</v>
      </c>
      <c r="AD49" s="321">
        <f t="shared" si="3"/>
        <v>418.016256</v>
      </c>
      <c r="AE49" s="329">
        <f>Inputs!$D$67</f>
        <v>9.3022222222222233</v>
      </c>
      <c r="AF49"/>
      <c r="AG49"/>
      <c r="AH49"/>
      <c r="AI49"/>
      <c r="AJ49"/>
      <c r="AK49"/>
      <c r="AL49"/>
      <c r="AM49"/>
      <c r="AN49"/>
      <c r="AO49"/>
      <c r="AP49"/>
      <c r="AQ49"/>
      <c r="AR49"/>
      <c r="AS49"/>
      <c r="AT49" s="14"/>
    </row>
    <row r="50" spans="1:46" x14ac:dyDescent="0.35">
      <c r="A50" s="1">
        <f>IF(A49&lt;'Project Information'!B$11,A49+1,"")</f>
        <v>2057</v>
      </c>
      <c r="B50" s="22">
        <f t="shared" si="0"/>
        <v>73852.098334559996</v>
      </c>
      <c r="C50" s="22">
        <v>0</v>
      </c>
      <c r="D50" s="8">
        <f t="shared" si="1"/>
        <v>73852.098334559996</v>
      </c>
      <c r="G50" s="13"/>
      <c r="H50" s="315">
        <f t="shared" si="4"/>
        <v>2054</v>
      </c>
      <c r="I50" s="316">
        <f>'Traffic Volumes'!$F43</f>
        <v>12215</v>
      </c>
      <c r="J50" s="317">
        <f>Inputs!$C$69</f>
        <v>0.25</v>
      </c>
      <c r="K50" s="318">
        <f t="shared" si="5"/>
        <v>3053.75</v>
      </c>
      <c r="L50" s="317">
        <f>Inputs!$E$18</f>
        <v>0.24</v>
      </c>
      <c r="M50" s="318">
        <f t="shared" si="6"/>
        <v>732.9</v>
      </c>
      <c r="N50" s="318">
        <f t="shared" si="7"/>
        <v>2320.85</v>
      </c>
      <c r="O50" s="319">
        <f>Inputs!$C$72</f>
        <v>1.5</v>
      </c>
      <c r="P50" s="320">
        <f t="shared" si="8"/>
        <v>1352.2004999999999</v>
      </c>
      <c r="Q50" s="321">
        <f t="shared" si="2"/>
        <v>1949.5139999999999</v>
      </c>
      <c r="R50" s="329">
        <f>Inputs!$C$67</f>
        <v>20.357037037037038</v>
      </c>
      <c r="U50" s="315">
        <f t="shared" si="9"/>
        <v>2054</v>
      </c>
      <c r="V50" s="316">
        <f>'Traffic Volumes'!$H43</f>
        <v>5582</v>
      </c>
      <c r="W50" s="317">
        <f>Inputs!$D$69</f>
        <v>0.2</v>
      </c>
      <c r="X50" s="318">
        <f t="shared" si="10"/>
        <v>1116.4000000000001</v>
      </c>
      <c r="Y50" s="317">
        <f>Inputs!$E$19</f>
        <v>0.16</v>
      </c>
      <c r="Z50" s="318">
        <f t="shared" si="11"/>
        <v>178.62400000000002</v>
      </c>
      <c r="AA50" s="318">
        <f t="shared" si="12"/>
        <v>937.77600000000007</v>
      </c>
      <c r="AB50" s="319">
        <f>Inputs!$D$72</f>
        <v>0.8</v>
      </c>
      <c r="AC50" s="320">
        <f t="shared" si="13"/>
        <v>175.76601600000004</v>
      </c>
      <c r="AD50" s="321">
        <f t="shared" si="3"/>
        <v>420.12364800000006</v>
      </c>
      <c r="AE50" s="329">
        <f>Inputs!$D$67</f>
        <v>9.3022222222222233</v>
      </c>
      <c r="AF50"/>
      <c r="AG50"/>
      <c r="AH50"/>
      <c r="AI50"/>
      <c r="AJ50"/>
      <c r="AK50"/>
      <c r="AL50"/>
      <c r="AM50"/>
      <c r="AN50"/>
      <c r="AO50"/>
      <c r="AP50"/>
      <c r="AQ50"/>
      <c r="AR50"/>
      <c r="AS50"/>
      <c r="AT50" s="14"/>
    </row>
    <row r="51" spans="1:46" x14ac:dyDescent="0.35">
      <c r="A51" s="1">
        <f>IF(A50&lt;'Project Information'!B$11,A50+1,"")</f>
        <v>2058</v>
      </c>
      <c r="B51" s="22">
        <f t="shared" si="0"/>
        <v>74221.058638595554</v>
      </c>
      <c r="C51" s="22">
        <v>0</v>
      </c>
      <c r="D51" s="8">
        <f t="shared" si="1"/>
        <v>74221.058638595554</v>
      </c>
      <c r="G51" s="13"/>
      <c r="H51" s="315">
        <f t="shared" si="4"/>
        <v>2055</v>
      </c>
      <c r="I51" s="316">
        <f>'Traffic Volumes'!$F44</f>
        <v>12276</v>
      </c>
      <c r="J51" s="317">
        <f>Inputs!$C$69</f>
        <v>0.25</v>
      </c>
      <c r="K51" s="318">
        <f t="shared" si="5"/>
        <v>3069</v>
      </c>
      <c r="L51" s="317">
        <f>Inputs!$E$18</f>
        <v>0.24</v>
      </c>
      <c r="M51" s="318">
        <f t="shared" si="6"/>
        <v>736.56</v>
      </c>
      <c r="N51" s="318">
        <f t="shared" si="7"/>
        <v>2332.44</v>
      </c>
      <c r="O51" s="319">
        <f>Inputs!$C$72</f>
        <v>1.5</v>
      </c>
      <c r="P51" s="320">
        <f t="shared" si="8"/>
        <v>1358.9531999999999</v>
      </c>
      <c r="Q51" s="321">
        <f t="shared" si="2"/>
        <v>1959.2496000000001</v>
      </c>
      <c r="R51" s="329">
        <f>Inputs!$C$67</f>
        <v>20.357037037037038</v>
      </c>
      <c r="U51" s="315">
        <f t="shared" si="9"/>
        <v>2055</v>
      </c>
      <c r="V51" s="316">
        <f>'Traffic Volumes'!$H44</f>
        <v>5610</v>
      </c>
      <c r="W51" s="317">
        <f>Inputs!$D$69</f>
        <v>0.2</v>
      </c>
      <c r="X51" s="318">
        <f t="shared" si="10"/>
        <v>1122</v>
      </c>
      <c r="Y51" s="317">
        <f>Inputs!$E$19</f>
        <v>0.16</v>
      </c>
      <c r="Z51" s="318">
        <f t="shared" si="11"/>
        <v>179.52</v>
      </c>
      <c r="AA51" s="318">
        <f t="shared" si="12"/>
        <v>942.48</v>
      </c>
      <c r="AB51" s="319">
        <f>Inputs!$D$72</f>
        <v>0.8</v>
      </c>
      <c r="AC51" s="320">
        <f t="shared" si="13"/>
        <v>176.64768000000001</v>
      </c>
      <c r="AD51" s="321">
        <f t="shared" si="3"/>
        <v>422.23104000000006</v>
      </c>
      <c r="AE51" s="329">
        <f>Inputs!$D$67</f>
        <v>9.3022222222222233</v>
      </c>
      <c r="AF51"/>
      <c r="AG51"/>
      <c r="AH51"/>
      <c r="AI51"/>
      <c r="AJ51"/>
      <c r="AK51"/>
      <c r="AL51"/>
      <c r="AM51"/>
      <c r="AN51"/>
      <c r="AO51"/>
      <c r="AP51"/>
      <c r="AQ51"/>
      <c r="AR51"/>
      <c r="AS51"/>
      <c r="AT51" s="14"/>
    </row>
    <row r="52" spans="1:46" x14ac:dyDescent="0.35">
      <c r="A52" s="1">
        <f>IF(A51&lt;'Project Information'!B$11,A51+1,"")</f>
        <v>2059</v>
      </c>
      <c r="B52" s="22">
        <f t="shared" si="0"/>
        <v>74590.018942631112</v>
      </c>
      <c r="C52" s="22">
        <v>0</v>
      </c>
      <c r="D52" s="8">
        <f t="shared" si="1"/>
        <v>74590.018942631112</v>
      </c>
      <c r="G52" s="13"/>
      <c r="H52" s="315">
        <f t="shared" si="4"/>
        <v>2056</v>
      </c>
      <c r="I52" s="316">
        <f>'Traffic Volumes'!$F45</f>
        <v>12337</v>
      </c>
      <c r="J52" s="317">
        <f>Inputs!$C$69</f>
        <v>0.25</v>
      </c>
      <c r="K52" s="318">
        <f t="shared" si="5"/>
        <v>3084.25</v>
      </c>
      <c r="L52" s="317">
        <f>Inputs!$E$18</f>
        <v>0.24</v>
      </c>
      <c r="M52" s="318">
        <f t="shared" si="6"/>
        <v>740.22</v>
      </c>
      <c r="N52" s="318">
        <f t="shared" si="7"/>
        <v>2344.0300000000002</v>
      </c>
      <c r="O52" s="319">
        <f>Inputs!$C$72</f>
        <v>1.5</v>
      </c>
      <c r="P52" s="320">
        <f t="shared" si="8"/>
        <v>1365.7058999999999</v>
      </c>
      <c r="Q52" s="321">
        <f t="shared" si="2"/>
        <v>1968.9852000000003</v>
      </c>
      <c r="R52" s="329">
        <f>Inputs!$C$67</f>
        <v>20.357037037037038</v>
      </c>
      <c r="U52" s="315">
        <f t="shared" si="9"/>
        <v>2056</v>
      </c>
      <c r="V52" s="316">
        <f>'Traffic Volumes'!$H45</f>
        <v>5638</v>
      </c>
      <c r="W52" s="317">
        <f>Inputs!$D$69</f>
        <v>0.2</v>
      </c>
      <c r="X52" s="318">
        <f t="shared" si="10"/>
        <v>1127.6000000000001</v>
      </c>
      <c r="Y52" s="317">
        <f>Inputs!$E$19</f>
        <v>0.16</v>
      </c>
      <c r="Z52" s="318">
        <f t="shared" si="11"/>
        <v>180.41600000000003</v>
      </c>
      <c r="AA52" s="318">
        <f t="shared" si="12"/>
        <v>947.18400000000008</v>
      </c>
      <c r="AB52" s="319">
        <f>Inputs!$D$72</f>
        <v>0.8</v>
      </c>
      <c r="AC52" s="320">
        <f t="shared" si="13"/>
        <v>177.52934400000001</v>
      </c>
      <c r="AD52" s="321">
        <f t="shared" si="3"/>
        <v>424.33843200000013</v>
      </c>
      <c r="AE52" s="329">
        <f>Inputs!$D$67</f>
        <v>9.3022222222222233</v>
      </c>
      <c r="AF52"/>
      <c r="AG52"/>
      <c r="AH52"/>
      <c r="AI52"/>
      <c r="AJ52"/>
      <c r="AK52"/>
      <c r="AL52"/>
      <c r="AM52"/>
      <c r="AN52"/>
      <c r="AO52"/>
      <c r="AP52"/>
      <c r="AQ52"/>
      <c r="AR52"/>
      <c r="AS52"/>
      <c r="AT52" s="14"/>
    </row>
    <row r="53" spans="1:46" x14ac:dyDescent="0.35">
      <c r="A53" s="1">
        <f>IF(A52&lt;'Project Information'!B$11,A52+1,"")</f>
        <v>2060</v>
      </c>
      <c r="B53" s="22">
        <f t="shared" si="0"/>
        <v>74965.474784604463</v>
      </c>
      <c r="C53" s="22">
        <v>0</v>
      </c>
      <c r="D53" s="8">
        <f t="shared" si="1"/>
        <v>74965.474784604463</v>
      </c>
      <c r="G53" s="13"/>
      <c r="H53" s="315">
        <f t="shared" si="4"/>
        <v>2057</v>
      </c>
      <c r="I53" s="316">
        <f>'Traffic Volumes'!$F46</f>
        <v>12399</v>
      </c>
      <c r="J53" s="317">
        <f>Inputs!$C$69</f>
        <v>0.25</v>
      </c>
      <c r="K53" s="318">
        <f t="shared" si="5"/>
        <v>3099.75</v>
      </c>
      <c r="L53" s="317">
        <f>Inputs!$E$18</f>
        <v>0.24</v>
      </c>
      <c r="M53" s="318">
        <f t="shared" si="6"/>
        <v>743.93999999999994</v>
      </c>
      <c r="N53" s="318">
        <f t="shared" si="7"/>
        <v>2355.81</v>
      </c>
      <c r="O53" s="319">
        <f>Inputs!$C$72</f>
        <v>1.5</v>
      </c>
      <c r="P53" s="320">
        <f t="shared" si="8"/>
        <v>1372.5692999999999</v>
      </c>
      <c r="Q53" s="321">
        <f t="shared" si="2"/>
        <v>1978.8804000000002</v>
      </c>
      <c r="R53" s="329">
        <f>Inputs!$C$67</f>
        <v>20.357037037037038</v>
      </c>
      <c r="U53" s="315">
        <f t="shared" si="9"/>
        <v>2057</v>
      </c>
      <c r="V53" s="316">
        <f>'Traffic Volumes'!$H46</f>
        <v>5666</v>
      </c>
      <c r="W53" s="317">
        <f>Inputs!$D$69</f>
        <v>0.2</v>
      </c>
      <c r="X53" s="318">
        <f t="shared" si="10"/>
        <v>1133.2</v>
      </c>
      <c r="Y53" s="317">
        <f>Inputs!$E$19</f>
        <v>0.16</v>
      </c>
      <c r="Z53" s="318">
        <f t="shared" si="11"/>
        <v>181.31200000000001</v>
      </c>
      <c r="AA53" s="318">
        <f t="shared" si="12"/>
        <v>951.88800000000003</v>
      </c>
      <c r="AB53" s="319">
        <f>Inputs!$D$72</f>
        <v>0.8</v>
      </c>
      <c r="AC53" s="320">
        <f t="shared" si="13"/>
        <v>178.41100800000004</v>
      </c>
      <c r="AD53" s="321">
        <f t="shared" si="3"/>
        <v>426.44582400000013</v>
      </c>
      <c r="AE53" s="329">
        <f>Inputs!$D$67</f>
        <v>9.3022222222222233</v>
      </c>
      <c r="AF53"/>
      <c r="AG53"/>
      <c r="AH53"/>
      <c r="AI53"/>
      <c r="AJ53"/>
      <c r="AK53"/>
      <c r="AL53"/>
      <c r="AM53"/>
      <c r="AN53"/>
      <c r="AO53"/>
      <c r="AP53"/>
      <c r="AQ53"/>
      <c r="AR53"/>
      <c r="AS53"/>
      <c r="AT53" s="14"/>
    </row>
    <row r="54" spans="1:46" x14ac:dyDescent="0.35">
      <c r="A54" s="1">
        <f>IF(A53&lt;'Project Information'!B$11,A53+1,"")</f>
        <v>2061</v>
      </c>
      <c r="B54" s="22">
        <f t="shared" si="0"/>
        <v>75340.930626577785</v>
      </c>
      <c r="C54" s="22">
        <v>0</v>
      </c>
      <c r="D54" s="8">
        <f t="shared" si="1"/>
        <v>75340.930626577785</v>
      </c>
      <c r="G54" s="13"/>
      <c r="H54" s="315">
        <f t="shared" si="4"/>
        <v>2058</v>
      </c>
      <c r="I54" s="316">
        <f>'Traffic Volumes'!$F47</f>
        <v>12461</v>
      </c>
      <c r="J54" s="317">
        <f>Inputs!$C$69</f>
        <v>0.25</v>
      </c>
      <c r="K54" s="318">
        <f t="shared" si="5"/>
        <v>3115.25</v>
      </c>
      <c r="L54" s="317">
        <f>Inputs!$E$18</f>
        <v>0.24</v>
      </c>
      <c r="M54" s="318">
        <f t="shared" si="6"/>
        <v>747.66</v>
      </c>
      <c r="N54" s="318">
        <f t="shared" si="7"/>
        <v>2367.59</v>
      </c>
      <c r="O54" s="319">
        <f>Inputs!$C$72</f>
        <v>1.5</v>
      </c>
      <c r="P54" s="320">
        <f t="shared" si="8"/>
        <v>1379.4327000000001</v>
      </c>
      <c r="Q54" s="321">
        <f t="shared" si="2"/>
        <v>1988.7756000000004</v>
      </c>
      <c r="R54" s="329">
        <f>Inputs!$C$67</f>
        <v>20.357037037037038</v>
      </c>
      <c r="U54" s="315">
        <f t="shared" si="9"/>
        <v>2058</v>
      </c>
      <c r="V54" s="316">
        <f>'Traffic Volumes'!$H47</f>
        <v>5694</v>
      </c>
      <c r="W54" s="317">
        <f>Inputs!$D$69</f>
        <v>0.2</v>
      </c>
      <c r="X54" s="318">
        <f t="shared" si="10"/>
        <v>1138.8</v>
      </c>
      <c r="Y54" s="317">
        <f>Inputs!$E$19</f>
        <v>0.16</v>
      </c>
      <c r="Z54" s="318">
        <f t="shared" si="11"/>
        <v>182.208</v>
      </c>
      <c r="AA54" s="318">
        <f t="shared" si="12"/>
        <v>956.59199999999987</v>
      </c>
      <c r="AB54" s="319">
        <f>Inputs!$D$72</f>
        <v>0.8</v>
      </c>
      <c r="AC54" s="320">
        <f t="shared" si="13"/>
        <v>179.29267200000001</v>
      </c>
      <c r="AD54" s="321">
        <f t="shared" si="3"/>
        <v>428.55321600000002</v>
      </c>
      <c r="AE54" s="329">
        <f>Inputs!$D$67</f>
        <v>9.3022222222222233</v>
      </c>
      <c r="AF54"/>
      <c r="AG54"/>
      <c r="AH54"/>
      <c r="AI54"/>
      <c r="AJ54"/>
      <c r="AK54"/>
      <c r="AL54"/>
      <c r="AM54"/>
      <c r="AN54"/>
      <c r="AO54"/>
      <c r="AP54"/>
      <c r="AQ54"/>
      <c r="AR54"/>
      <c r="AS54"/>
      <c r="AT54" s="14"/>
    </row>
    <row r="55" spans="1:46" x14ac:dyDescent="0.35">
      <c r="A55" s="1">
        <f>IF(A54&lt;'Project Information'!B$11,A54+1,"")</f>
        <v>2062</v>
      </c>
      <c r="B55" s="22">
        <f t="shared" si="0"/>
        <v>75716.386468551122</v>
      </c>
      <c r="C55" s="22">
        <v>0</v>
      </c>
      <c r="D55" s="9">
        <f t="shared" si="1"/>
        <v>75716.386468551122</v>
      </c>
      <c r="G55" s="13"/>
      <c r="H55" s="315">
        <f t="shared" si="4"/>
        <v>2059</v>
      </c>
      <c r="I55" s="316">
        <f>'Traffic Volumes'!$F48</f>
        <v>12523</v>
      </c>
      <c r="J55" s="317">
        <f>Inputs!$C$69</f>
        <v>0.25</v>
      </c>
      <c r="K55" s="318">
        <f t="shared" si="5"/>
        <v>3130.75</v>
      </c>
      <c r="L55" s="317">
        <f>Inputs!$E$18</f>
        <v>0.24</v>
      </c>
      <c r="M55" s="318">
        <f t="shared" si="6"/>
        <v>751.38</v>
      </c>
      <c r="N55" s="318">
        <f t="shared" si="7"/>
        <v>2379.37</v>
      </c>
      <c r="O55" s="319">
        <f>Inputs!$C$72</f>
        <v>1.5</v>
      </c>
      <c r="P55" s="320">
        <f t="shared" si="8"/>
        <v>1386.2960999999998</v>
      </c>
      <c r="Q55" s="321">
        <f t="shared" si="2"/>
        <v>1998.6708000000001</v>
      </c>
      <c r="R55" s="329">
        <f>Inputs!$C$67</f>
        <v>20.357037037037038</v>
      </c>
      <c r="U55" s="315">
        <f t="shared" si="9"/>
        <v>2059</v>
      </c>
      <c r="V55" s="316">
        <f>'Traffic Volumes'!$H48</f>
        <v>5722</v>
      </c>
      <c r="W55" s="317">
        <f>Inputs!$D$69</f>
        <v>0.2</v>
      </c>
      <c r="X55" s="318">
        <f t="shared" si="10"/>
        <v>1144.4000000000001</v>
      </c>
      <c r="Y55" s="317">
        <f>Inputs!$E$19</f>
        <v>0.16</v>
      </c>
      <c r="Z55" s="318">
        <f t="shared" si="11"/>
        <v>183.10400000000001</v>
      </c>
      <c r="AA55" s="318">
        <f t="shared" si="12"/>
        <v>961.29600000000005</v>
      </c>
      <c r="AB55" s="319">
        <f>Inputs!$D$72</f>
        <v>0.8</v>
      </c>
      <c r="AC55" s="320">
        <f t="shared" si="13"/>
        <v>180.17433600000001</v>
      </c>
      <c r="AD55" s="321">
        <f t="shared" si="3"/>
        <v>430.66060800000008</v>
      </c>
      <c r="AE55" s="329">
        <f>Inputs!$D$67</f>
        <v>9.3022222222222233</v>
      </c>
      <c r="AF55"/>
      <c r="AG55"/>
      <c r="AH55"/>
      <c r="AI55"/>
      <c r="AJ55"/>
      <c r="AK55"/>
      <c r="AL55"/>
      <c r="AM55"/>
      <c r="AN55"/>
      <c r="AO55"/>
      <c r="AP55"/>
      <c r="AQ55"/>
      <c r="AR55"/>
      <c r="AS55"/>
      <c r="AT55" s="14"/>
    </row>
    <row r="56" spans="1:46" x14ac:dyDescent="0.35">
      <c r="A56" s="31"/>
      <c r="B56" s="32"/>
      <c r="C56" s="32"/>
      <c r="D56" s="29"/>
      <c r="G56" s="13"/>
      <c r="H56" s="315">
        <f t="shared" si="4"/>
        <v>2060</v>
      </c>
      <c r="I56" s="316">
        <f>'Traffic Volumes'!$F49</f>
        <v>12586</v>
      </c>
      <c r="J56" s="317">
        <f>Inputs!$C$69</f>
        <v>0.25</v>
      </c>
      <c r="K56" s="318">
        <f t="shared" si="5"/>
        <v>3146.5</v>
      </c>
      <c r="L56" s="317">
        <f>Inputs!$E$18</f>
        <v>0.24</v>
      </c>
      <c r="M56" s="318">
        <f t="shared" si="6"/>
        <v>755.16</v>
      </c>
      <c r="N56" s="318">
        <f t="shared" si="7"/>
        <v>2391.34</v>
      </c>
      <c r="O56" s="319">
        <f>Inputs!$C$72</f>
        <v>1.5</v>
      </c>
      <c r="P56" s="320">
        <f t="shared" si="8"/>
        <v>1393.2701999999999</v>
      </c>
      <c r="Q56" s="321">
        <f t="shared" si="2"/>
        <v>2008.7256000000002</v>
      </c>
      <c r="R56" s="329">
        <f>Inputs!$C$67</f>
        <v>20.357037037037038</v>
      </c>
      <c r="U56" s="315">
        <f t="shared" si="9"/>
        <v>2060</v>
      </c>
      <c r="V56" s="316">
        <f>'Traffic Volumes'!$H49</f>
        <v>5751</v>
      </c>
      <c r="W56" s="317">
        <f>Inputs!$D$69</f>
        <v>0.2</v>
      </c>
      <c r="X56" s="318">
        <f t="shared" si="10"/>
        <v>1150.2</v>
      </c>
      <c r="Y56" s="317">
        <f>Inputs!$E$19</f>
        <v>0.16</v>
      </c>
      <c r="Z56" s="318">
        <f t="shared" si="11"/>
        <v>184.03200000000001</v>
      </c>
      <c r="AA56" s="318">
        <f t="shared" si="12"/>
        <v>966.16800000000001</v>
      </c>
      <c r="AB56" s="319">
        <f>Inputs!$D$72</f>
        <v>0.8</v>
      </c>
      <c r="AC56" s="320">
        <f t="shared" si="13"/>
        <v>181.08748800000001</v>
      </c>
      <c r="AD56" s="321">
        <f t="shared" si="3"/>
        <v>432.84326400000009</v>
      </c>
      <c r="AE56" s="329">
        <f>Inputs!$D$67</f>
        <v>9.3022222222222233</v>
      </c>
      <c r="AF56"/>
      <c r="AG56"/>
      <c r="AH56"/>
      <c r="AI56"/>
      <c r="AJ56"/>
      <c r="AK56"/>
      <c r="AL56"/>
      <c r="AM56"/>
      <c r="AN56"/>
      <c r="AO56"/>
      <c r="AP56"/>
      <c r="AQ56"/>
      <c r="AR56"/>
      <c r="AS56"/>
      <c r="AT56" s="14"/>
    </row>
    <row r="57" spans="1:46" x14ac:dyDescent="0.35">
      <c r="B57" s="28"/>
      <c r="C57" s="28"/>
      <c r="D57" s="29"/>
      <c r="G57" s="13"/>
      <c r="H57" s="315">
        <f t="shared" si="4"/>
        <v>2061</v>
      </c>
      <c r="I57" s="316">
        <f>'Traffic Volumes'!$F50</f>
        <v>12649</v>
      </c>
      <c r="J57" s="317">
        <f>Inputs!$C$69</f>
        <v>0.25</v>
      </c>
      <c r="K57" s="318">
        <f t="shared" si="5"/>
        <v>3162.25</v>
      </c>
      <c r="L57" s="317">
        <f>Inputs!$E$18</f>
        <v>0.24</v>
      </c>
      <c r="M57" s="318">
        <f t="shared" si="6"/>
        <v>758.93999999999994</v>
      </c>
      <c r="N57" s="318">
        <f t="shared" si="7"/>
        <v>2403.31</v>
      </c>
      <c r="O57" s="319">
        <f>Inputs!$C$72</f>
        <v>1.5</v>
      </c>
      <c r="P57" s="320">
        <f t="shared" si="8"/>
        <v>1400.2442999999998</v>
      </c>
      <c r="Q57" s="321">
        <f t="shared" si="2"/>
        <v>2018.7804000000003</v>
      </c>
      <c r="R57" s="329">
        <f>Inputs!$C$67</f>
        <v>20.357037037037038</v>
      </c>
      <c r="U57" s="315">
        <f t="shared" si="9"/>
        <v>2061</v>
      </c>
      <c r="V57" s="316">
        <f>'Traffic Volumes'!$H50</f>
        <v>5780</v>
      </c>
      <c r="W57" s="317">
        <f>Inputs!$D$69</f>
        <v>0.2</v>
      </c>
      <c r="X57" s="318">
        <f t="shared" si="10"/>
        <v>1156</v>
      </c>
      <c r="Y57" s="317">
        <f>Inputs!$E$19</f>
        <v>0.16</v>
      </c>
      <c r="Z57" s="318">
        <f t="shared" si="11"/>
        <v>184.96</v>
      </c>
      <c r="AA57" s="318">
        <f t="shared" si="12"/>
        <v>971.04</v>
      </c>
      <c r="AB57" s="319">
        <f>Inputs!$D$72</f>
        <v>0.8</v>
      </c>
      <c r="AC57" s="320">
        <f t="shared" si="13"/>
        <v>182.00064000000003</v>
      </c>
      <c r="AD57" s="321">
        <f t="shared" si="3"/>
        <v>435.02592000000004</v>
      </c>
      <c r="AE57" s="329">
        <f>Inputs!$D$67</f>
        <v>9.3022222222222233</v>
      </c>
      <c r="AF57"/>
      <c r="AG57"/>
      <c r="AH57"/>
      <c r="AI57"/>
      <c r="AJ57"/>
      <c r="AK57"/>
      <c r="AL57"/>
      <c r="AM57"/>
      <c r="AN57"/>
      <c r="AO57"/>
      <c r="AP57"/>
      <c r="AQ57"/>
      <c r="AR57"/>
      <c r="AS57"/>
      <c r="AT57" s="14"/>
    </row>
    <row r="58" spans="1:46" x14ac:dyDescent="0.35">
      <c r="B58" s="28"/>
      <c r="C58" s="28"/>
      <c r="D58" s="29"/>
      <c r="G58" s="13"/>
      <c r="H58" s="322">
        <f t="shared" si="4"/>
        <v>2062</v>
      </c>
      <c r="I58" s="323">
        <f>'Traffic Volumes'!$F51</f>
        <v>12712</v>
      </c>
      <c r="J58" s="324">
        <f>Inputs!$C$69</f>
        <v>0.25</v>
      </c>
      <c r="K58" s="325">
        <f t="shared" si="5"/>
        <v>3178</v>
      </c>
      <c r="L58" s="324">
        <f>Inputs!$E$18</f>
        <v>0.24</v>
      </c>
      <c r="M58" s="325">
        <f t="shared" si="6"/>
        <v>762.72</v>
      </c>
      <c r="N58" s="325">
        <f t="shared" si="7"/>
        <v>2415.2800000000002</v>
      </c>
      <c r="O58" s="326">
        <f>Inputs!$C$72</f>
        <v>1.5</v>
      </c>
      <c r="P58" s="327">
        <f t="shared" si="8"/>
        <v>1407.2184</v>
      </c>
      <c r="Q58" s="328">
        <f t="shared" si="2"/>
        <v>2028.8352000000002</v>
      </c>
      <c r="R58" s="330">
        <f>Inputs!$C$67</f>
        <v>20.357037037037038</v>
      </c>
      <c r="U58" s="322">
        <f t="shared" si="9"/>
        <v>2062</v>
      </c>
      <c r="V58" s="323">
        <f>'Traffic Volumes'!$H51</f>
        <v>5809</v>
      </c>
      <c r="W58" s="324">
        <f>Inputs!$D$69</f>
        <v>0.2</v>
      </c>
      <c r="X58" s="325">
        <f t="shared" si="10"/>
        <v>1161.8</v>
      </c>
      <c r="Y58" s="324">
        <f>Inputs!$E$19</f>
        <v>0.16</v>
      </c>
      <c r="Z58" s="325">
        <f t="shared" si="11"/>
        <v>185.88800000000001</v>
      </c>
      <c r="AA58" s="325">
        <f t="shared" si="12"/>
        <v>975.91199999999992</v>
      </c>
      <c r="AB58" s="326">
        <f>Inputs!$D$72</f>
        <v>0.8</v>
      </c>
      <c r="AC58" s="327">
        <f t="shared" si="13"/>
        <v>182.91379200000003</v>
      </c>
      <c r="AD58" s="328">
        <f t="shared" si="3"/>
        <v>437.20857600000005</v>
      </c>
      <c r="AE58" s="330">
        <f>Inputs!$D$67</f>
        <v>9.3022222222222233</v>
      </c>
      <c r="AF58"/>
      <c r="AG58"/>
      <c r="AH58"/>
      <c r="AI58"/>
      <c r="AJ58"/>
      <c r="AK58"/>
      <c r="AL58"/>
      <c r="AM58"/>
      <c r="AN58"/>
      <c r="AO58"/>
      <c r="AP58"/>
      <c r="AQ58"/>
      <c r="AR58"/>
      <c r="AS58"/>
      <c r="AT58" s="14"/>
    </row>
    <row r="59" spans="1:46" x14ac:dyDescent="0.35">
      <c r="B59" s="28"/>
      <c r="C59" s="28"/>
      <c r="D59" s="29"/>
      <c r="G59" s="13"/>
      <c r="AF59"/>
      <c r="AG59"/>
      <c r="AH59"/>
      <c r="AI59"/>
      <c r="AJ59"/>
      <c r="AK59"/>
      <c r="AL59"/>
      <c r="AM59"/>
      <c r="AN59"/>
      <c r="AO59"/>
      <c r="AP59"/>
      <c r="AQ59"/>
      <c r="AR59"/>
      <c r="AS59"/>
      <c r="AT59" s="14"/>
    </row>
    <row r="60" spans="1:46" x14ac:dyDescent="0.35">
      <c r="B60" s="28"/>
      <c r="C60" s="28"/>
      <c r="D60" s="29"/>
      <c r="G60" s="13"/>
      <c r="AF60"/>
      <c r="AG60"/>
      <c r="AH60"/>
      <c r="AI60"/>
      <c r="AJ60"/>
      <c r="AK60"/>
      <c r="AL60"/>
      <c r="AM60"/>
      <c r="AN60"/>
      <c r="AO60"/>
      <c r="AP60"/>
      <c r="AQ60"/>
      <c r="AR60"/>
      <c r="AS60"/>
      <c r="AT60" s="14"/>
    </row>
    <row r="61" spans="1:46" x14ac:dyDescent="0.35">
      <c r="B61" s="28"/>
      <c r="C61" s="28"/>
      <c r="D61" s="29"/>
      <c r="G61" s="13"/>
      <c r="AF61"/>
      <c r="AG61"/>
      <c r="AH61"/>
      <c r="AI61"/>
      <c r="AJ61"/>
      <c r="AK61"/>
      <c r="AL61"/>
      <c r="AM61"/>
      <c r="AN61"/>
      <c r="AO61"/>
      <c r="AP61"/>
      <c r="AQ61"/>
      <c r="AR61"/>
      <c r="AS61"/>
      <c r="AT61" s="14"/>
    </row>
    <row r="62" spans="1:46" x14ac:dyDescent="0.35">
      <c r="B62" s="28"/>
      <c r="C62" s="28"/>
      <c r="D62" s="29"/>
      <c r="G62" s="13"/>
      <c r="AF62"/>
      <c r="AG62"/>
      <c r="AH62"/>
      <c r="AI62"/>
      <c r="AJ62"/>
      <c r="AK62"/>
      <c r="AL62"/>
      <c r="AM62"/>
      <c r="AN62"/>
      <c r="AO62"/>
      <c r="AP62"/>
      <c r="AQ62"/>
      <c r="AR62"/>
      <c r="AS62"/>
      <c r="AT62" s="14"/>
    </row>
    <row r="63" spans="1:46" x14ac:dyDescent="0.35">
      <c r="B63" s="28"/>
      <c r="C63" s="28"/>
      <c r="D63" s="29"/>
      <c r="G63" s="13"/>
      <c r="AF63"/>
      <c r="AG63"/>
      <c r="AH63"/>
      <c r="AI63"/>
      <c r="AJ63"/>
      <c r="AK63"/>
      <c r="AL63"/>
      <c r="AM63"/>
      <c r="AN63"/>
      <c r="AO63"/>
      <c r="AP63"/>
      <c r="AQ63"/>
      <c r="AR63"/>
      <c r="AS63"/>
      <c r="AT63" s="14"/>
    </row>
    <row r="64" spans="1:46" x14ac:dyDescent="0.35">
      <c r="B64" s="28"/>
      <c r="C64" s="28"/>
      <c r="D64" s="29"/>
      <c r="G64" s="13"/>
      <c r="AF64"/>
      <c r="AG64"/>
      <c r="AH64"/>
      <c r="AI64"/>
      <c r="AJ64"/>
      <c r="AK64"/>
      <c r="AL64"/>
      <c r="AM64"/>
      <c r="AN64"/>
      <c r="AO64"/>
      <c r="AP64"/>
      <c r="AQ64"/>
      <c r="AR64"/>
      <c r="AS64"/>
      <c r="AT64" s="14"/>
    </row>
    <row r="65" spans="2:46" x14ac:dyDescent="0.35">
      <c r="B65" s="28"/>
      <c r="C65" s="28"/>
      <c r="D65" s="29"/>
      <c r="G65" s="13"/>
      <c r="AF65"/>
      <c r="AG65"/>
      <c r="AH65"/>
      <c r="AI65"/>
      <c r="AJ65"/>
      <c r="AK65"/>
      <c r="AL65"/>
      <c r="AM65"/>
      <c r="AN65"/>
      <c r="AO65"/>
      <c r="AP65"/>
      <c r="AQ65"/>
      <c r="AR65"/>
      <c r="AS65"/>
      <c r="AT65" s="14"/>
    </row>
    <row r="66" spans="2:46" x14ac:dyDescent="0.35">
      <c r="G66" s="13"/>
      <c r="AF66"/>
      <c r="AG66"/>
      <c r="AH66"/>
      <c r="AI66"/>
      <c r="AJ66"/>
      <c r="AK66"/>
      <c r="AL66"/>
      <c r="AM66"/>
      <c r="AN66"/>
      <c r="AO66"/>
      <c r="AP66"/>
      <c r="AQ66"/>
      <c r="AR66"/>
      <c r="AS66"/>
      <c r="AT66" s="14"/>
    </row>
    <row r="67" spans="2:46" x14ac:dyDescent="0.35">
      <c r="G67" s="13"/>
      <c r="AF67"/>
      <c r="AG67"/>
      <c r="AH67"/>
      <c r="AI67"/>
      <c r="AJ67"/>
      <c r="AK67"/>
      <c r="AL67"/>
      <c r="AM67"/>
      <c r="AN67"/>
      <c r="AO67"/>
      <c r="AP67"/>
      <c r="AQ67"/>
      <c r="AR67"/>
      <c r="AS67"/>
      <c r="AT67" s="14"/>
    </row>
    <row r="68" spans="2:46" x14ac:dyDescent="0.35">
      <c r="G68" s="13"/>
      <c r="AF68"/>
      <c r="AG68"/>
      <c r="AH68"/>
      <c r="AI68"/>
      <c r="AJ68"/>
      <c r="AK68"/>
      <c r="AL68"/>
      <c r="AM68"/>
      <c r="AN68"/>
      <c r="AO68"/>
      <c r="AP68"/>
      <c r="AQ68"/>
      <c r="AR68"/>
      <c r="AS68"/>
      <c r="AT68" s="14"/>
    </row>
    <row r="69" spans="2:46" x14ac:dyDescent="0.35">
      <c r="G69" s="13"/>
      <c r="AF69"/>
      <c r="AG69"/>
      <c r="AH69"/>
      <c r="AI69"/>
      <c r="AJ69"/>
      <c r="AK69"/>
      <c r="AL69"/>
      <c r="AM69"/>
      <c r="AN69"/>
      <c r="AO69"/>
      <c r="AP69"/>
      <c r="AQ69"/>
      <c r="AR69"/>
      <c r="AS69"/>
      <c r="AT69" s="14"/>
    </row>
    <row r="70" spans="2:46" x14ac:dyDescent="0.35">
      <c r="G70" s="13"/>
      <c r="AF70"/>
      <c r="AG70"/>
      <c r="AH70"/>
      <c r="AI70"/>
      <c r="AJ70"/>
      <c r="AK70"/>
      <c r="AL70"/>
      <c r="AM70"/>
      <c r="AN70"/>
      <c r="AO70"/>
      <c r="AP70"/>
      <c r="AQ70"/>
      <c r="AR70"/>
      <c r="AS70"/>
      <c r="AT70" s="14"/>
    </row>
    <row r="71" spans="2:46" x14ac:dyDescent="0.35">
      <c r="G71" s="13"/>
      <c r="AF71"/>
      <c r="AG71"/>
      <c r="AH71"/>
      <c r="AI71"/>
      <c r="AJ71"/>
      <c r="AK71"/>
      <c r="AL71"/>
      <c r="AM71"/>
      <c r="AN71"/>
      <c r="AO71"/>
      <c r="AP71"/>
      <c r="AQ71"/>
      <c r="AR71"/>
      <c r="AS71"/>
      <c r="AT71" s="14"/>
    </row>
    <row r="72" spans="2:46" x14ac:dyDescent="0.35">
      <c r="G72" s="13"/>
      <c r="AF72"/>
      <c r="AG72"/>
      <c r="AH72"/>
      <c r="AI72"/>
      <c r="AJ72"/>
      <c r="AK72"/>
      <c r="AL72"/>
      <c r="AM72"/>
      <c r="AN72"/>
      <c r="AO72"/>
      <c r="AP72"/>
      <c r="AQ72"/>
      <c r="AR72"/>
      <c r="AS72"/>
      <c r="AT72" s="14"/>
    </row>
    <row r="73" spans="2:46" x14ac:dyDescent="0.35">
      <c r="G73" s="13"/>
      <c r="AF73"/>
      <c r="AG73"/>
      <c r="AH73"/>
      <c r="AI73"/>
      <c r="AJ73"/>
      <c r="AK73"/>
      <c r="AL73"/>
      <c r="AM73"/>
      <c r="AN73"/>
      <c r="AO73"/>
      <c r="AP73"/>
      <c r="AQ73"/>
      <c r="AR73"/>
      <c r="AS73"/>
      <c r="AT73" s="14"/>
    </row>
    <row r="74" spans="2:46" x14ac:dyDescent="0.35">
      <c r="G74" s="13"/>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s="14"/>
    </row>
    <row r="75" spans="2:46" x14ac:dyDescent="0.35">
      <c r="G75" s="13"/>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s="14"/>
    </row>
    <row r="76" spans="2:46" x14ac:dyDescent="0.35">
      <c r="G76" s="13"/>
      <c r="AF76"/>
      <c r="AG76"/>
      <c r="AH76"/>
      <c r="AI76"/>
      <c r="AJ76"/>
      <c r="AK76"/>
      <c r="AL76"/>
      <c r="AM76"/>
      <c r="AN76"/>
      <c r="AO76"/>
      <c r="AP76"/>
      <c r="AQ76"/>
      <c r="AR76"/>
      <c r="AS76"/>
      <c r="AT76" s="14"/>
    </row>
    <row r="77" spans="2:46" x14ac:dyDescent="0.35">
      <c r="G77" s="13"/>
      <c r="AF77"/>
      <c r="AG77"/>
      <c r="AH77"/>
      <c r="AI77"/>
      <c r="AJ77"/>
      <c r="AK77"/>
      <c r="AL77"/>
      <c r="AM77"/>
      <c r="AN77"/>
      <c r="AO77"/>
      <c r="AP77"/>
      <c r="AQ77"/>
      <c r="AR77"/>
      <c r="AS77"/>
      <c r="AT77" s="14"/>
    </row>
    <row r="78" spans="2:46" x14ac:dyDescent="0.35">
      <c r="G78" s="13"/>
      <c r="AF78"/>
      <c r="AG78"/>
      <c r="AH78"/>
      <c r="AI78"/>
      <c r="AJ78"/>
      <c r="AK78"/>
      <c r="AL78"/>
      <c r="AM78"/>
      <c r="AN78"/>
      <c r="AO78"/>
      <c r="AP78"/>
      <c r="AQ78"/>
      <c r="AR78"/>
      <c r="AS78"/>
      <c r="AT78" s="14"/>
    </row>
    <row r="79" spans="2:46" x14ac:dyDescent="0.35">
      <c r="G79" s="13"/>
      <c r="AF79"/>
      <c r="AG79"/>
      <c r="AH79"/>
      <c r="AI79"/>
      <c r="AJ79"/>
      <c r="AK79"/>
      <c r="AL79"/>
      <c r="AM79"/>
      <c r="AN79"/>
      <c r="AO79"/>
      <c r="AP79"/>
      <c r="AQ79"/>
      <c r="AR79"/>
      <c r="AS79"/>
      <c r="AT79" s="14"/>
    </row>
    <row r="80" spans="2:46" x14ac:dyDescent="0.35">
      <c r="G80" s="13"/>
      <c r="AF80"/>
      <c r="AG80"/>
      <c r="AH80"/>
      <c r="AI80"/>
      <c r="AJ80"/>
      <c r="AK80"/>
      <c r="AL80"/>
      <c r="AM80"/>
      <c r="AN80"/>
      <c r="AO80"/>
      <c r="AP80"/>
      <c r="AQ80"/>
      <c r="AR80"/>
      <c r="AS80"/>
      <c r="AT80" s="14"/>
    </row>
    <row r="81" spans="7:46" x14ac:dyDescent="0.35">
      <c r="G81" s="13"/>
      <c r="AF81"/>
      <c r="AG81"/>
      <c r="AH81"/>
      <c r="AI81"/>
      <c r="AJ81"/>
      <c r="AK81"/>
      <c r="AL81"/>
      <c r="AM81"/>
      <c r="AN81"/>
      <c r="AO81"/>
      <c r="AP81"/>
      <c r="AQ81"/>
      <c r="AR81"/>
      <c r="AS81"/>
      <c r="AT81" s="14"/>
    </row>
    <row r="82" spans="7:46" x14ac:dyDescent="0.35">
      <c r="G82" s="13"/>
      <c r="AF82"/>
      <c r="AG82"/>
      <c r="AH82"/>
      <c r="AI82"/>
      <c r="AJ82"/>
      <c r="AK82"/>
      <c r="AL82"/>
      <c r="AM82"/>
      <c r="AN82"/>
      <c r="AO82"/>
      <c r="AP82"/>
      <c r="AQ82"/>
      <c r="AR82"/>
      <c r="AS82"/>
      <c r="AT82" s="14"/>
    </row>
    <row r="83" spans="7:46" x14ac:dyDescent="0.35">
      <c r="G83" s="13"/>
      <c r="AF83"/>
      <c r="AG83"/>
      <c r="AH83"/>
      <c r="AI83"/>
      <c r="AJ83"/>
      <c r="AK83"/>
      <c r="AL83"/>
      <c r="AM83"/>
      <c r="AN83"/>
      <c r="AO83"/>
      <c r="AP83"/>
      <c r="AQ83"/>
      <c r="AR83"/>
      <c r="AS83"/>
      <c r="AT83" s="14"/>
    </row>
    <row r="84" spans="7:46" x14ac:dyDescent="0.35">
      <c r="G84" s="13"/>
      <c r="AF84"/>
      <c r="AG84"/>
      <c r="AH84"/>
      <c r="AI84"/>
      <c r="AJ84"/>
      <c r="AK84"/>
      <c r="AL84"/>
      <c r="AM84"/>
      <c r="AN84"/>
      <c r="AO84"/>
      <c r="AP84"/>
      <c r="AQ84"/>
      <c r="AR84"/>
      <c r="AS84"/>
      <c r="AT84" s="14"/>
    </row>
    <row r="85" spans="7:46" x14ac:dyDescent="0.35">
      <c r="G85" s="13"/>
      <c r="AF85"/>
      <c r="AG85"/>
      <c r="AH85"/>
      <c r="AI85"/>
      <c r="AJ85"/>
      <c r="AK85"/>
      <c r="AL85"/>
      <c r="AM85"/>
      <c r="AN85"/>
      <c r="AO85"/>
      <c r="AP85"/>
      <c r="AQ85"/>
      <c r="AR85"/>
      <c r="AS85"/>
      <c r="AT85" s="14"/>
    </row>
    <row r="86" spans="7:46" x14ac:dyDescent="0.35">
      <c r="G86" s="13"/>
      <c r="AF86"/>
      <c r="AG86"/>
      <c r="AH86"/>
      <c r="AI86"/>
      <c r="AJ86"/>
      <c r="AK86"/>
      <c r="AL86"/>
      <c r="AM86"/>
      <c r="AN86"/>
      <c r="AO86"/>
      <c r="AP86"/>
      <c r="AQ86"/>
      <c r="AR86"/>
      <c r="AS86"/>
      <c r="AT86" s="14"/>
    </row>
    <row r="87" spans="7:46" x14ac:dyDescent="0.35">
      <c r="G87" s="13"/>
      <c r="AF87"/>
      <c r="AG87"/>
      <c r="AH87"/>
      <c r="AI87"/>
      <c r="AJ87"/>
      <c r="AK87"/>
      <c r="AL87"/>
      <c r="AM87"/>
      <c r="AN87"/>
      <c r="AO87"/>
      <c r="AP87"/>
      <c r="AQ87"/>
      <c r="AR87"/>
      <c r="AS87"/>
      <c r="AT87" s="14"/>
    </row>
    <row r="88" spans="7:46" x14ac:dyDescent="0.35">
      <c r="G88" s="13"/>
      <c r="AF88"/>
      <c r="AG88"/>
      <c r="AH88"/>
      <c r="AI88"/>
      <c r="AJ88"/>
      <c r="AK88"/>
      <c r="AL88"/>
      <c r="AM88"/>
      <c r="AN88"/>
      <c r="AO88"/>
      <c r="AP88"/>
      <c r="AQ88"/>
      <c r="AR88"/>
      <c r="AS88"/>
      <c r="AT88" s="14"/>
    </row>
    <row r="89" spans="7:46" x14ac:dyDescent="0.35">
      <c r="G89" s="13"/>
      <c r="AF89"/>
      <c r="AG89"/>
      <c r="AH89"/>
      <c r="AI89"/>
      <c r="AJ89"/>
      <c r="AK89"/>
      <c r="AL89"/>
      <c r="AM89"/>
      <c r="AN89"/>
      <c r="AO89"/>
      <c r="AP89"/>
      <c r="AQ89"/>
      <c r="AR89"/>
      <c r="AS89"/>
      <c r="AT89" s="14"/>
    </row>
    <row r="90" spans="7:46" x14ac:dyDescent="0.35">
      <c r="G90" s="13"/>
      <c r="AF90"/>
      <c r="AG90"/>
      <c r="AH90"/>
      <c r="AI90"/>
      <c r="AJ90"/>
      <c r="AK90"/>
      <c r="AL90"/>
      <c r="AM90"/>
      <c r="AN90"/>
      <c r="AO90"/>
      <c r="AP90"/>
      <c r="AQ90"/>
      <c r="AR90"/>
      <c r="AS90"/>
      <c r="AT90" s="14"/>
    </row>
    <row r="91" spans="7:46" x14ac:dyDescent="0.35">
      <c r="G91" s="13"/>
      <c r="AF91"/>
      <c r="AG91"/>
      <c r="AH91"/>
      <c r="AI91"/>
      <c r="AJ91"/>
      <c r="AK91"/>
      <c r="AL91"/>
      <c r="AM91"/>
      <c r="AN91"/>
      <c r="AO91"/>
      <c r="AP91"/>
      <c r="AQ91"/>
      <c r="AR91"/>
      <c r="AS91"/>
      <c r="AT91" s="14"/>
    </row>
    <row r="92" spans="7:46" x14ac:dyDescent="0.35">
      <c r="G92" s="13"/>
      <c r="AF92"/>
      <c r="AG92"/>
      <c r="AH92"/>
      <c r="AI92"/>
      <c r="AJ92"/>
      <c r="AK92"/>
      <c r="AL92"/>
      <c r="AM92"/>
      <c r="AN92"/>
      <c r="AO92"/>
      <c r="AP92"/>
      <c r="AQ92"/>
      <c r="AR92"/>
      <c r="AS92"/>
      <c r="AT92" s="14"/>
    </row>
    <row r="93" spans="7:46" x14ac:dyDescent="0.35">
      <c r="G93" s="13"/>
      <c r="AF93"/>
      <c r="AG93"/>
      <c r="AH93"/>
      <c r="AI93"/>
      <c r="AJ93"/>
      <c r="AK93"/>
      <c r="AL93"/>
      <c r="AM93"/>
      <c r="AN93"/>
      <c r="AO93"/>
      <c r="AP93"/>
      <c r="AQ93"/>
      <c r="AR93"/>
      <c r="AS93"/>
      <c r="AT93" s="14"/>
    </row>
    <row r="94" spans="7:46" x14ac:dyDescent="0.35">
      <c r="G94" s="13"/>
      <c r="AF94"/>
      <c r="AG94"/>
      <c r="AH94"/>
      <c r="AI94"/>
      <c r="AJ94"/>
      <c r="AK94"/>
      <c r="AL94"/>
      <c r="AM94"/>
      <c r="AN94"/>
      <c r="AO94"/>
      <c r="AP94"/>
      <c r="AQ94"/>
      <c r="AR94"/>
      <c r="AS94"/>
      <c r="AT94" s="14"/>
    </row>
    <row r="95" spans="7:46" x14ac:dyDescent="0.35">
      <c r="G95" s="13"/>
      <c r="AF95"/>
      <c r="AG95"/>
      <c r="AH95"/>
      <c r="AI95"/>
      <c r="AJ95"/>
      <c r="AK95"/>
      <c r="AL95"/>
      <c r="AM95"/>
      <c r="AN95"/>
      <c r="AO95"/>
      <c r="AP95"/>
      <c r="AQ95"/>
      <c r="AR95"/>
      <c r="AS95"/>
      <c r="AT95" s="14"/>
    </row>
    <row r="96" spans="7:46" x14ac:dyDescent="0.35">
      <c r="G96" s="13"/>
      <c r="AF96"/>
      <c r="AG96"/>
      <c r="AH96"/>
      <c r="AI96"/>
      <c r="AJ96"/>
      <c r="AK96"/>
      <c r="AL96"/>
      <c r="AM96"/>
      <c r="AN96"/>
      <c r="AO96"/>
      <c r="AP96"/>
      <c r="AQ96"/>
      <c r="AR96"/>
      <c r="AS96"/>
      <c r="AT96" s="14"/>
    </row>
    <row r="97" spans="7:46" x14ac:dyDescent="0.35">
      <c r="G97" s="13"/>
      <c r="AF97"/>
      <c r="AG97"/>
      <c r="AH97"/>
      <c r="AI97"/>
      <c r="AJ97"/>
      <c r="AK97"/>
      <c r="AL97"/>
      <c r="AM97"/>
      <c r="AN97"/>
      <c r="AO97"/>
      <c r="AP97"/>
      <c r="AQ97"/>
      <c r="AR97"/>
      <c r="AS97"/>
      <c r="AT97" s="14"/>
    </row>
    <row r="98" spans="7:46" x14ac:dyDescent="0.35">
      <c r="G98" s="13"/>
      <c r="AF98"/>
      <c r="AG98"/>
      <c r="AH98"/>
      <c r="AI98"/>
      <c r="AJ98"/>
      <c r="AK98"/>
      <c r="AL98"/>
      <c r="AM98"/>
      <c r="AN98"/>
      <c r="AO98"/>
      <c r="AP98"/>
      <c r="AQ98"/>
      <c r="AR98"/>
      <c r="AS98"/>
      <c r="AT98" s="14"/>
    </row>
    <row r="99" spans="7:46" x14ac:dyDescent="0.35">
      <c r="G99" s="13"/>
      <c r="AF99"/>
      <c r="AG99"/>
      <c r="AH99"/>
      <c r="AI99"/>
      <c r="AJ99"/>
      <c r="AK99"/>
      <c r="AL99"/>
      <c r="AM99"/>
      <c r="AN99"/>
      <c r="AO99"/>
      <c r="AP99"/>
      <c r="AQ99"/>
      <c r="AR99"/>
      <c r="AS99"/>
      <c r="AT99" s="14"/>
    </row>
    <row r="100" spans="7:46" x14ac:dyDescent="0.35">
      <c r="G100" s="13"/>
      <c r="AF100"/>
      <c r="AG100"/>
      <c r="AH100"/>
      <c r="AI100"/>
      <c r="AJ100"/>
      <c r="AK100"/>
      <c r="AL100"/>
      <c r="AM100"/>
      <c r="AN100"/>
      <c r="AO100"/>
      <c r="AP100"/>
      <c r="AQ100"/>
      <c r="AR100"/>
      <c r="AS100"/>
      <c r="AT100" s="14"/>
    </row>
    <row r="101" spans="7:46" x14ac:dyDescent="0.35">
      <c r="G101" s="13"/>
      <c r="AF101"/>
      <c r="AG101"/>
      <c r="AH101"/>
      <c r="AI101"/>
      <c r="AJ101"/>
      <c r="AK101"/>
      <c r="AL101"/>
      <c r="AM101"/>
      <c r="AN101"/>
      <c r="AO101"/>
      <c r="AP101"/>
      <c r="AQ101"/>
      <c r="AR101"/>
      <c r="AS101"/>
      <c r="AT101" s="14"/>
    </row>
    <row r="102" spans="7:46" x14ac:dyDescent="0.35">
      <c r="G102" s="13"/>
      <c r="AF102"/>
      <c r="AG102"/>
      <c r="AH102"/>
      <c r="AI102"/>
      <c r="AJ102"/>
      <c r="AK102"/>
      <c r="AL102"/>
      <c r="AM102"/>
      <c r="AN102"/>
      <c r="AO102"/>
      <c r="AP102"/>
      <c r="AQ102"/>
      <c r="AR102"/>
      <c r="AS102"/>
      <c r="AT102" s="14"/>
    </row>
    <row r="103" spans="7:46" x14ac:dyDescent="0.35">
      <c r="G103" s="13"/>
      <c r="AF103"/>
      <c r="AG103"/>
      <c r="AH103"/>
      <c r="AI103"/>
      <c r="AJ103"/>
      <c r="AK103"/>
      <c r="AL103"/>
      <c r="AM103"/>
      <c r="AN103"/>
      <c r="AO103"/>
      <c r="AP103"/>
      <c r="AQ103"/>
      <c r="AR103"/>
      <c r="AS103"/>
      <c r="AT103" s="14"/>
    </row>
    <row r="104" spans="7:46" x14ac:dyDescent="0.35">
      <c r="G104" s="13"/>
      <c r="AF104"/>
      <c r="AG104"/>
      <c r="AH104"/>
      <c r="AI104"/>
      <c r="AJ104"/>
      <c r="AK104"/>
      <c r="AL104"/>
      <c r="AM104"/>
      <c r="AN104"/>
      <c r="AO104"/>
      <c r="AP104"/>
      <c r="AQ104"/>
      <c r="AR104"/>
      <c r="AS104"/>
      <c r="AT104" s="14"/>
    </row>
    <row r="105" spans="7:46" x14ac:dyDescent="0.35">
      <c r="G105" s="13"/>
      <c r="AF105"/>
      <c r="AG105"/>
      <c r="AH105"/>
      <c r="AI105"/>
      <c r="AJ105"/>
      <c r="AK105"/>
      <c r="AL105"/>
      <c r="AM105"/>
      <c r="AN105"/>
      <c r="AO105"/>
      <c r="AP105"/>
      <c r="AQ105"/>
      <c r="AR105"/>
      <c r="AS105"/>
      <c r="AT105" s="14"/>
    </row>
    <row r="106" spans="7:46" x14ac:dyDescent="0.35">
      <c r="G106" s="13"/>
      <c r="AF106"/>
      <c r="AG106"/>
      <c r="AH106"/>
      <c r="AI106"/>
      <c r="AJ106"/>
      <c r="AK106"/>
      <c r="AL106"/>
      <c r="AM106"/>
      <c r="AN106"/>
      <c r="AO106"/>
      <c r="AP106"/>
      <c r="AQ106"/>
      <c r="AR106"/>
      <c r="AS106"/>
      <c r="AT106" s="14"/>
    </row>
    <row r="107" spans="7:46" x14ac:dyDescent="0.35">
      <c r="G107" s="13"/>
      <c r="AF107"/>
      <c r="AG107"/>
      <c r="AH107"/>
      <c r="AI107"/>
      <c r="AJ107"/>
      <c r="AK107"/>
      <c r="AL107"/>
      <c r="AM107"/>
      <c r="AN107"/>
      <c r="AO107"/>
      <c r="AP107"/>
      <c r="AQ107"/>
      <c r="AR107"/>
      <c r="AS107"/>
      <c r="AT107" s="14"/>
    </row>
    <row r="108" spans="7:46" x14ac:dyDescent="0.35">
      <c r="G108" s="13"/>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s="14"/>
    </row>
    <row r="109" spans="7:46" x14ac:dyDescent="0.35">
      <c r="G109" s="13"/>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s="14"/>
    </row>
    <row r="110" spans="7:46" x14ac:dyDescent="0.35">
      <c r="G110" s="13"/>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s="14"/>
    </row>
    <row r="111" spans="7:46" x14ac:dyDescent="0.35">
      <c r="G111" s="13"/>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s="14"/>
    </row>
    <row r="112" spans="7:46" x14ac:dyDescent="0.35">
      <c r="G112" s="13"/>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s="14"/>
    </row>
    <row r="113" spans="7:46" x14ac:dyDescent="0.35">
      <c r="G113" s="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s="14"/>
    </row>
    <row r="114" spans="7:46" x14ac:dyDescent="0.35">
      <c r="G114" s="13"/>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s="14"/>
    </row>
    <row r="115" spans="7:46" ht="15" thickBot="1" x14ac:dyDescent="0.4">
      <c r="G115" s="15"/>
      <c r="H115" s="16"/>
      <c r="I115" s="16"/>
      <c r="J115" s="16"/>
      <c r="K115" s="16"/>
      <c r="L115" s="16"/>
      <c r="M115" s="16"/>
      <c r="N115" s="16"/>
      <c r="O115" s="16"/>
      <c r="P115" s="16"/>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c r="AQ115" s="16"/>
      <c r="AR115" s="16"/>
      <c r="AS115" s="16"/>
      <c r="AT115" s="17"/>
    </row>
  </sheetData>
  <mergeCells count="2">
    <mergeCell ref="H27:R27"/>
    <mergeCell ref="U27:AE27"/>
  </mergeCells>
  <conditionalFormatting sqref="B26:B55">
    <cfRule type="expression" dxfId="11" priority="2">
      <formula>A26=""</formula>
    </cfRule>
  </conditionalFormatting>
  <conditionalFormatting sqref="C26:C55">
    <cfRule type="expression" dxfId="10" priority="1">
      <formula>A26=""</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5586-785A-4FD2-A789-DCFA60DB471C}">
  <sheetPr>
    <tabColor theme="9" tint="0.39997558519241921"/>
  </sheetPr>
  <dimension ref="A1:BV112"/>
  <sheetViews>
    <sheetView workbookViewId="0"/>
    <sheetView workbookViewId="1"/>
  </sheetViews>
  <sheetFormatPr defaultColWidth="9.1796875" defaultRowHeight="14.5" x14ac:dyDescent="0.35"/>
  <cols>
    <col min="1" max="1" width="39" style="5" customWidth="1"/>
    <col min="2" max="2" width="35.453125" style="5" customWidth="1"/>
    <col min="3" max="3" width="35.54296875" style="5" customWidth="1"/>
    <col min="4" max="4" width="30.1796875" style="5" customWidth="1"/>
    <col min="5" max="5" width="26.81640625" style="5" customWidth="1"/>
    <col min="6" max="6" width="7.453125" style="5" customWidth="1"/>
    <col min="7" max="14" width="20.54296875" style="5" customWidth="1"/>
    <col min="15" max="18" width="15.7265625" style="5" customWidth="1"/>
    <col min="19" max="19" width="28.54296875" style="5" customWidth="1"/>
    <col min="20" max="20" width="24.81640625" style="5" customWidth="1"/>
    <col min="21" max="16384" width="9.1796875" style="5"/>
  </cols>
  <sheetData>
    <row r="1" spans="1:9" ht="20" thickBot="1" x14ac:dyDescent="0.5">
      <c r="A1" s="94" t="s">
        <v>221</v>
      </c>
      <c r="B1" s="128"/>
      <c r="C1" s="128"/>
      <c r="D1" s="128"/>
      <c r="E1" s="128"/>
      <c r="F1" s="128"/>
    </row>
    <row r="2" spans="1:9" ht="15" thickTop="1" x14ac:dyDescent="0.35">
      <c r="A2" s="146" t="s">
        <v>346</v>
      </c>
      <c r="B2" s="147"/>
      <c r="C2" s="147"/>
      <c r="D2" s="147"/>
      <c r="E2" s="147"/>
      <c r="F2" s="147"/>
      <c r="G2" s="147"/>
      <c r="H2" s="147"/>
      <c r="I2" s="147"/>
    </row>
    <row r="3" spans="1:9" x14ac:dyDescent="0.35">
      <c r="A3" s="146" t="s">
        <v>299</v>
      </c>
      <c r="B3" s="147"/>
      <c r="C3" s="147"/>
      <c r="D3" s="147"/>
    </row>
    <row r="4" spans="1:9" x14ac:dyDescent="0.35">
      <c r="A4" s="146" t="s">
        <v>300</v>
      </c>
      <c r="B4" s="147"/>
      <c r="C4" s="147"/>
    </row>
    <row r="5" spans="1:9" x14ac:dyDescent="0.35">
      <c r="A5" s="146" t="s">
        <v>290</v>
      </c>
      <c r="B5" s="147"/>
      <c r="C5" s="147"/>
      <c r="D5" s="147"/>
      <c r="E5" s="147"/>
    </row>
    <row r="6" spans="1:9" x14ac:dyDescent="0.35">
      <c r="A6" s="5" t="s">
        <v>203</v>
      </c>
    </row>
    <row r="7" spans="1:9" x14ac:dyDescent="0.35">
      <c r="A7" s="95" t="s">
        <v>277</v>
      </c>
    </row>
    <row r="8" spans="1:9" x14ac:dyDescent="0.35">
      <c r="A8" s="114" t="s">
        <v>142</v>
      </c>
      <c r="B8" s="114" t="s">
        <v>331</v>
      </c>
      <c r="C8" s="186"/>
    </row>
    <row r="9" spans="1:9" x14ac:dyDescent="0.35">
      <c r="A9" s="132"/>
      <c r="B9" s="126" t="s">
        <v>323</v>
      </c>
      <c r="C9" s="187"/>
    </row>
    <row r="10" spans="1:9" x14ac:dyDescent="0.35">
      <c r="A10" s="35" t="s">
        <v>146</v>
      </c>
      <c r="B10" s="168" t="s">
        <v>100</v>
      </c>
      <c r="C10" s="188"/>
    </row>
    <row r="11" spans="1:9" x14ac:dyDescent="0.35">
      <c r="A11" s="35" t="s">
        <v>147</v>
      </c>
      <c r="B11" s="168" t="s">
        <v>100</v>
      </c>
      <c r="C11" s="188"/>
    </row>
    <row r="12" spans="1:9" x14ac:dyDescent="0.35">
      <c r="A12" s="35" t="s">
        <v>148</v>
      </c>
      <c r="B12" s="133">
        <f>'Parameter Values'!E233</f>
        <v>1.2999999999999999E-2</v>
      </c>
      <c r="C12" s="188"/>
    </row>
    <row r="13" spans="1:9" x14ac:dyDescent="0.35">
      <c r="A13" s="35" t="s">
        <v>149</v>
      </c>
      <c r="B13" s="168" t="s">
        <v>100</v>
      </c>
      <c r="C13" s="188"/>
    </row>
    <row r="14" spans="1:9" x14ac:dyDescent="0.35">
      <c r="A14" s="35" t="s">
        <v>150</v>
      </c>
      <c r="B14" s="168" t="s">
        <v>100</v>
      </c>
      <c r="C14" s="188"/>
    </row>
    <row r="15" spans="1:9" x14ac:dyDescent="0.35">
      <c r="A15" s="35" t="s">
        <v>151</v>
      </c>
      <c r="B15" s="133">
        <f>'Parameter Values'!E236</f>
        <v>3.7999999999999999E-2</v>
      </c>
      <c r="C15" s="188"/>
    </row>
    <row r="16" spans="1:9" x14ac:dyDescent="0.35">
      <c r="A16" s="35" t="s">
        <v>152</v>
      </c>
      <c r="B16" s="168" t="s">
        <v>100</v>
      </c>
      <c r="C16" s="188"/>
    </row>
    <row r="17" spans="1:74" x14ac:dyDescent="0.35">
      <c r="A17" s="35" t="s">
        <v>153</v>
      </c>
      <c r="B17" s="168" t="s">
        <v>100</v>
      </c>
      <c r="C17" s="188"/>
    </row>
    <row r="18" spans="1:74" x14ac:dyDescent="0.35">
      <c r="A18" s="35" t="s">
        <v>154</v>
      </c>
      <c r="B18" s="133">
        <f>'Parameter Values'!E239</f>
        <v>1.6E-2</v>
      </c>
      <c r="C18" s="188"/>
    </row>
    <row r="19" spans="1:74" x14ac:dyDescent="0.35">
      <c r="A19" s="114" t="s">
        <v>265</v>
      </c>
      <c r="B19" s="114" t="s">
        <v>332</v>
      </c>
      <c r="C19" s="186"/>
    </row>
    <row r="20" spans="1:74" x14ac:dyDescent="0.35">
      <c r="A20" s="125" t="s">
        <v>266</v>
      </c>
      <c r="B20" s="126" t="s">
        <v>323</v>
      </c>
      <c r="C20" s="187"/>
    </row>
    <row r="21" spans="1:74" x14ac:dyDescent="0.35">
      <c r="A21" s="35" t="s">
        <v>267</v>
      </c>
      <c r="B21" s="127">
        <f>'Parameter Values'!C63</f>
        <v>799</v>
      </c>
      <c r="C21" s="189"/>
    </row>
    <row r="22" spans="1:74" x14ac:dyDescent="0.35">
      <c r="A22" s="35" t="s">
        <v>268</v>
      </c>
      <c r="B22" s="127">
        <f>'Parameter Values'!C64</f>
        <v>109</v>
      </c>
      <c r="C22" s="189"/>
    </row>
    <row r="23" spans="1:74" x14ac:dyDescent="0.35">
      <c r="A23" s="35" t="s">
        <v>269</v>
      </c>
      <c r="B23" s="127">
        <f>'Parameter Values'!C65</f>
        <v>109</v>
      </c>
      <c r="C23" s="189"/>
    </row>
    <row r="24" spans="1:74" x14ac:dyDescent="0.35">
      <c r="A24" s="35" t="s">
        <v>270</v>
      </c>
      <c r="B24" s="127">
        <f>'Parameter Values'!C66</f>
        <v>109</v>
      </c>
      <c r="C24" s="189"/>
    </row>
    <row r="25" spans="1:74" x14ac:dyDescent="0.35">
      <c r="A25" s="125" t="s">
        <v>271</v>
      </c>
      <c r="B25" s="126" t="s">
        <v>323</v>
      </c>
      <c r="C25" s="187"/>
    </row>
    <row r="26" spans="1:74" x14ac:dyDescent="0.35">
      <c r="A26" s="35" t="s">
        <v>267</v>
      </c>
      <c r="B26" s="127">
        <f>'Parameter Values'!C68</f>
        <v>2356</v>
      </c>
      <c r="C26" s="189"/>
    </row>
    <row r="27" spans="1:74" x14ac:dyDescent="0.35">
      <c r="A27" s="35" t="s">
        <v>268</v>
      </c>
      <c r="B27" s="127">
        <f>'Parameter Values'!C69</f>
        <v>780</v>
      </c>
      <c r="C27" s="189"/>
    </row>
    <row r="28" spans="1:74" x14ac:dyDescent="0.35">
      <c r="A28" s="35" t="s">
        <v>269</v>
      </c>
      <c r="B28" s="127">
        <f>'Parameter Values'!C70</f>
        <v>780</v>
      </c>
      <c r="C28" s="189"/>
    </row>
    <row r="29" spans="1:74" x14ac:dyDescent="0.35">
      <c r="A29" s="35" t="s">
        <v>270</v>
      </c>
      <c r="B29" s="127">
        <f>'Parameter Values'!C71</f>
        <v>780</v>
      </c>
      <c r="C29" s="189"/>
    </row>
    <row r="30" spans="1:74" x14ac:dyDescent="0.35">
      <c r="A30" s="5" t="s">
        <v>203</v>
      </c>
    </row>
    <row r="31" spans="1:74" ht="15" thickBot="1" x14ac:dyDescent="0.4">
      <c r="A31" s="95" t="s">
        <v>276</v>
      </c>
      <c r="B31" s="129"/>
      <c r="C31" s="129"/>
      <c r="D31" s="129"/>
      <c r="E31" s="129"/>
      <c r="F31" s="129"/>
    </row>
    <row r="32" spans="1:74" ht="16.5" x14ac:dyDescent="0.45">
      <c r="A32" s="105" t="s">
        <v>4</v>
      </c>
      <c r="B32" s="108" t="s">
        <v>324</v>
      </c>
      <c r="C32" s="108" t="s">
        <v>325</v>
      </c>
      <c r="D32" s="108"/>
      <c r="E32" s="108"/>
      <c r="F32" s="108"/>
      <c r="G32" s="108" t="s">
        <v>222</v>
      </c>
      <c r="H32" s="106" t="s">
        <v>223</v>
      </c>
      <c r="I32" s="108" t="s">
        <v>224</v>
      </c>
      <c r="J32" s="106" t="s">
        <v>225</v>
      </c>
      <c r="K32" s="108" t="s">
        <v>226</v>
      </c>
      <c r="L32" s="106" t="s">
        <v>227</v>
      </c>
      <c r="M32" s="108"/>
      <c r="N32" s="106"/>
      <c r="O32" s="109" t="s">
        <v>228</v>
      </c>
      <c r="P32" s="110" t="s">
        <v>229</v>
      </c>
      <c r="Q32" s="110" t="s">
        <v>230</v>
      </c>
      <c r="R32" s="110"/>
      <c r="S32" s="106" t="s">
        <v>326</v>
      </c>
      <c r="T32" s="208"/>
      <c r="AA32" s="10" t="s">
        <v>159</v>
      </c>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2"/>
    </row>
    <row r="33" spans="1:74" x14ac:dyDescent="0.35">
      <c r="A33" s="6">
        <f>'Project Information'!$B$9</f>
        <v>2033</v>
      </c>
      <c r="B33" s="130">
        <v>0</v>
      </c>
      <c r="C33" s="130">
        <v>0</v>
      </c>
      <c r="D33" s="190"/>
      <c r="E33" s="194"/>
      <c r="F33" s="6"/>
      <c r="G33" s="27">
        <v>0</v>
      </c>
      <c r="H33" s="27">
        <v>0</v>
      </c>
      <c r="I33" s="27">
        <v>0</v>
      </c>
      <c r="J33" s="27">
        <v>0</v>
      </c>
      <c r="K33" s="27">
        <v>0</v>
      </c>
      <c r="L33" s="27">
        <v>0</v>
      </c>
      <c r="M33" s="198"/>
      <c r="N33" s="199"/>
      <c r="O33" s="19">
        <f>IFERROR(VLOOKUP($A33,'Parameter Values'!$A$78:$E$107,2,FALSE),'Parameter Values'!B$107)</f>
        <v>23800</v>
      </c>
      <c r="P33" s="19">
        <f>IFERROR(VLOOKUP($A33,'Parameter Values'!$A$78:$E$107,3,FALSE),'Parameter Values'!C$107)</f>
        <v>64500</v>
      </c>
      <c r="Q33" s="19">
        <f>IFERROR(VLOOKUP($A33,'Parameter Values'!$A$78:$E$107,4,FALSE),'Parameter Values'!D$107)</f>
        <v>1140500</v>
      </c>
      <c r="R33" s="204"/>
      <c r="S33" s="205">
        <f>(B33-C33)+((G33-H33)*O33)+((I33-J33)*P33)+((K33-L33)*Q33)</f>
        <v>0</v>
      </c>
      <c r="T33" s="209"/>
      <c r="AA33" s="1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s="14"/>
    </row>
    <row r="34" spans="1:74" x14ac:dyDescent="0.35">
      <c r="A34" s="1">
        <f>IF(A33&lt;'Project Information'!B$11,A33+1,"")</f>
        <v>2034</v>
      </c>
      <c r="B34" s="130">
        <v>0</v>
      </c>
      <c r="C34" s="130">
        <v>0</v>
      </c>
      <c r="D34" s="191"/>
      <c r="E34" s="195"/>
      <c r="F34" s="1"/>
      <c r="G34" s="27">
        <v>0</v>
      </c>
      <c r="H34" s="27">
        <v>0</v>
      </c>
      <c r="I34" s="27">
        <v>0</v>
      </c>
      <c r="J34" s="27">
        <v>0</v>
      </c>
      <c r="K34" s="27">
        <v>0</v>
      </c>
      <c r="L34" s="27">
        <v>0</v>
      </c>
      <c r="M34" s="200"/>
      <c r="N34" s="201"/>
      <c r="O34" s="19">
        <f>IFERROR(VLOOKUP($A34,'Parameter Values'!$A$78:$E$107,2,FALSE),'Parameter Values'!B$107)</f>
        <v>23800</v>
      </c>
      <c r="P34" s="19">
        <f>IFERROR(VLOOKUP($A34,'Parameter Values'!$A$78:$E$107,3,FALSE),'Parameter Values'!C$107)</f>
        <v>64500</v>
      </c>
      <c r="Q34" s="19">
        <f>IFERROR(VLOOKUP($A34,'Parameter Values'!$A$78:$E$107,4,FALSE),'Parameter Values'!D$107)</f>
        <v>1140500</v>
      </c>
      <c r="R34" s="19"/>
      <c r="S34" s="206">
        <f t="shared" ref="S34:S62" si="0">(B34-C34)+((G34-H34)*O34)+((I34-J34)*P34)+((K34-L34)*Q34)</f>
        <v>0</v>
      </c>
      <c r="T34" s="209"/>
      <c r="AA34" s="13"/>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s="14"/>
    </row>
    <row r="35" spans="1:74" x14ac:dyDescent="0.35">
      <c r="A35" s="1">
        <f>IF(A34&lt;'Project Information'!B$11,A34+1,"")</f>
        <v>2035</v>
      </c>
      <c r="B35" s="130">
        <v>0</v>
      </c>
      <c r="C35" s="130">
        <v>0</v>
      </c>
      <c r="D35" s="191"/>
      <c r="E35" s="195"/>
      <c r="F35" s="1"/>
      <c r="G35" s="27">
        <v>0</v>
      </c>
      <c r="H35" s="27">
        <v>0</v>
      </c>
      <c r="I35" s="27">
        <v>0</v>
      </c>
      <c r="J35" s="27">
        <v>0</v>
      </c>
      <c r="K35" s="27">
        <v>0</v>
      </c>
      <c r="L35" s="27">
        <v>0</v>
      </c>
      <c r="M35" s="200"/>
      <c r="N35" s="201"/>
      <c r="O35" s="19">
        <f>IFERROR(VLOOKUP($A35,'Parameter Values'!$A$78:$E$107,2,FALSE),'Parameter Values'!B$107)</f>
        <v>23800</v>
      </c>
      <c r="P35" s="19">
        <f>IFERROR(VLOOKUP($A35,'Parameter Values'!$A$78:$E$107,3,FALSE),'Parameter Values'!C$107)</f>
        <v>64500</v>
      </c>
      <c r="Q35" s="19">
        <f>IFERROR(VLOOKUP($A35,'Parameter Values'!$A$78:$E$107,4,FALSE),'Parameter Values'!D$107)</f>
        <v>1140500</v>
      </c>
      <c r="R35" s="19"/>
      <c r="S35" s="206">
        <f t="shared" si="0"/>
        <v>0</v>
      </c>
      <c r="T35" s="209"/>
      <c r="AA35" s="13"/>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s="14"/>
    </row>
    <row r="36" spans="1:74" x14ac:dyDescent="0.35">
      <c r="A36" s="1">
        <f>IF(A35&lt;'Project Information'!B$11,A35+1,"")</f>
        <v>2036</v>
      </c>
      <c r="B36" s="130">
        <v>0</v>
      </c>
      <c r="C36" s="130">
        <v>0</v>
      </c>
      <c r="D36" s="191"/>
      <c r="E36" s="195"/>
      <c r="F36" s="1"/>
      <c r="G36" s="27">
        <v>0</v>
      </c>
      <c r="H36" s="27">
        <v>0</v>
      </c>
      <c r="I36" s="27">
        <v>0</v>
      </c>
      <c r="J36" s="27">
        <v>0</v>
      </c>
      <c r="K36" s="27">
        <v>0</v>
      </c>
      <c r="L36" s="27">
        <v>0</v>
      </c>
      <c r="M36" s="200"/>
      <c r="N36" s="201"/>
      <c r="O36" s="19">
        <f>IFERROR(VLOOKUP($A36,'Parameter Values'!$A$78:$E$107,2,FALSE),'Parameter Values'!B$107)</f>
        <v>23800</v>
      </c>
      <c r="P36" s="19">
        <f>IFERROR(VLOOKUP($A36,'Parameter Values'!$A$78:$E$107,3,FALSE),'Parameter Values'!C$107)</f>
        <v>64500</v>
      </c>
      <c r="Q36" s="19">
        <f>IFERROR(VLOOKUP($A36,'Parameter Values'!$A$78:$E$107,4,FALSE),'Parameter Values'!D$107)</f>
        <v>1140500</v>
      </c>
      <c r="R36" s="19"/>
      <c r="S36" s="206">
        <f t="shared" si="0"/>
        <v>0</v>
      </c>
      <c r="T36" s="209"/>
      <c r="AA36" s="13"/>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s="14"/>
    </row>
    <row r="37" spans="1:74" x14ac:dyDescent="0.35">
      <c r="A37" s="1">
        <f>IF(A36&lt;'Project Information'!B$11,A36+1,"")</f>
        <v>2037</v>
      </c>
      <c r="B37" s="130">
        <v>0</v>
      </c>
      <c r="C37" s="130">
        <v>0</v>
      </c>
      <c r="D37" s="191"/>
      <c r="E37" s="195"/>
      <c r="F37" s="1"/>
      <c r="G37" s="27">
        <v>0</v>
      </c>
      <c r="H37" s="27">
        <v>0</v>
      </c>
      <c r="I37" s="27">
        <v>0</v>
      </c>
      <c r="J37" s="27">
        <v>0</v>
      </c>
      <c r="K37" s="27">
        <v>0</v>
      </c>
      <c r="L37" s="27">
        <v>0</v>
      </c>
      <c r="M37" s="200"/>
      <c r="N37" s="201"/>
      <c r="O37" s="19">
        <f>IFERROR(VLOOKUP($A37,'Parameter Values'!$A$78:$E$107,2,FALSE),'Parameter Values'!B$107)</f>
        <v>23800</v>
      </c>
      <c r="P37" s="19">
        <f>IFERROR(VLOOKUP($A37,'Parameter Values'!$A$78:$E$107,3,FALSE),'Parameter Values'!C$107)</f>
        <v>64500</v>
      </c>
      <c r="Q37" s="19">
        <f>IFERROR(VLOOKUP($A37,'Parameter Values'!$A$78:$E$107,4,FALSE),'Parameter Values'!D$107)</f>
        <v>1140500</v>
      </c>
      <c r="R37" s="19"/>
      <c r="S37" s="206">
        <f t="shared" si="0"/>
        <v>0</v>
      </c>
      <c r="T37" s="209"/>
      <c r="AA37" s="13"/>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s="14"/>
    </row>
    <row r="38" spans="1:74" x14ac:dyDescent="0.35">
      <c r="A38" s="1">
        <f>IF(A37&lt;'Project Information'!B$11,A37+1,"")</f>
        <v>2038</v>
      </c>
      <c r="B38" s="130">
        <v>0</v>
      </c>
      <c r="C38" s="130">
        <v>0</v>
      </c>
      <c r="D38" s="191"/>
      <c r="E38" s="195"/>
      <c r="F38" s="1"/>
      <c r="G38" s="27">
        <v>0</v>
      </c>
      <c r="H38" s="27">
        <v>0</v>
      </c>
      <c r="I38" s="27">
        <v>0</v>
      </c>
      <c r="J38" s="27">
        <v>0</v>
      </c>
      <c r="K38" s="27">
        <v>0</v>
      </c>
      <c r="L38" s="27">
        <v>0</v>
      </c>
      <c r="M38" s="200"/>
      <c r="N38" s="201"/>
      <c r="O38" s="19">
        <f>IFERROR(VLOOKUP($A38,'Parameter Values'!$A$78:$E$107,2,FALSE),'Parameter Values'!B$107)</f>
        <v>23800</v>
      </c>
      <c r="P38" s="19">
        <f>IFERROR(VLOOKUP($A38,'Parameter Values'!$A$78:$E$107,3,FALSE),'Parameter Values'!C$107)</f>
        <v>64500</v>
      </c>
      <c r="Q38" s="19">
        <f>IFERROR(VLOOKUP($A38,'Parameter Values'!$A$78:$E$107,4,FALSE),'Parameter Values'!D$107)</f>
        <v>1140500</v>
      </c>
      <c r="R38" s="19"/>
      <c r="S38" s="206">
        <f t="shared" si="0"/>
        <v>0</v>
      </c>
      <c r="T38" s="209"/>
      <c r="AA38" s="13"/>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s="14"/>
    </row>
    <row r="39" spans="1:74" x14ac:dyDescent="0.35">
      <c r="A39" s="1">
        <f>IF(A38&lt;'Project Information'!B$11,A38+1,"")</f>
        <v>2039</v>
      </c>
      <c r="B39" s="130">
        <v>0</v>
      </c>
      <c r="C39" s="130">
        <v>0</v>
      </c>
      <c r="D39" s="191"/>
      <c r="E39" s="195"/>
      <c r="F39" s="1"/>
      <c r="G39" s="27">
        <v>0</v>
      </c>
      <c r="H39" s="27">
        <v>0</v>
      </c>
      <c r="I39" s="27">
        <v>0</v>
      </c>
      <c r="J39" s="27">
        <v>0</v>
      </c>
      <c r="K39" s="27">
        <v>0</v>
      </c>
      <c r="L39" s="27">
        <v>0</v>
      </c>
      <c r="M39" s="200"/>
      <c r="N39" s="201"/>
      <c r="O39" s="19">
        <f>IFERROR(VLOOKUP($A39,'Parameter Values'!$A$78:$E$107,2,FALSE),'Parameter Values'!B$107)</f>
        <v>23800</v>
      </c>
      <c r="P39" s="19">
        <f>IFERROR(VLOOKUP($A39,'Parameter Values'!$A$78:$E$107,3,FALSE),'Parameter Values'!C$107)</f>
        <v>64500</v>
      </c>
      <c r="Q39" s="19">
        <f>IFERROR(VLOOKUP($A39,'Parameter Values'!$A$78:$E$107,4,FALSE),'Parameter Values'!D$107)</f>
        <v>1140500</v>
      </c>
      <c r="R39" s="19"/>
      <c r="S39" s="206">
        <f t="shared" si="0"/>
        <v>0</v>
      </c>
      <c r="T39" s="209"/>
      <c r="AA39" s="13"/>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s="14"/>
    </row>
    <row r="40" spans="1:74" x14ac:dyDescent="0.35">
      <c r="A40" s="1">
        <f>IF(A39&lt;'Project Information'!B$11,A39+1,"")</f>
        <v>2040</v>
      </c>
      <c r="B40" s="130">
        <v>0</v>
      </c>
      <c r="C40" s="130">
        <v>0</v>
      </c>
      <c r="D40" s="191"/>
      <c r="E40" s="195"/>
      <c r="F40" s="1"/>
      <c r="G40" s="27">
        <v>0</v>
      </c>
      <c r="H40" s="27">
        <v>0</v>
      </c>
      <c r="I40" s="27">
        <v>0</v>
      </c>
      <c r="J40" s="27">
        <v>0</v>
      </c>
      <c r="K40" s="27">
        <v>0</v>
      </c>
      <c r="L40" s="27">
        <v>0</v>
      </c>
      <c r="M40" s="200"/>
      <c r="N40" s="201"/>
      <c r="O40" s="19">
        <f>IFERROR(VLOOKUP($A40,'Parameter Values'!$A$78:$E$107,2,FALSE),'Parameter Values'!B$107)</f>
        <v>23800</v>
      </c>
      <c r="P40" s="19">
        <f>IFERROR(VLOOKUP($A40,'Parameter Values'!$A$78:$E$107,3,FALSE),'Parameter Values'!C$107)</f>
        <v>64500</v>
      </c>
      <c r="Q40" s="19">
        <f>IFERROR(VLOOKUP($A40,'Parameter Values'!$A$78:$E$107,4,FALSE),'Parameter Values'!D$107)</f>
        <v>1140500</v>
      </c>
      <c r="R40" s="19"/>
      <c r="S40" s="206">
        <f t="shared" si="0"/>
        <v>0</v>
      </c>
      <c r="T40" s="209"/>
      <c r="AA40" s="13"/>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s="14"/>
    </row>
    <row r="41" spans="1:74" x14ac:dyDescent="0.35">
      <c r="A41" s="1">
        <f>IF(A40&lt;'Project Information'!B$11,A40+1,"")</f>
        <v>2041</v>
      </c>
      <c r="B41" s="130">
        <v>0</v>
      </c>
      <c r="C41" s="130">
        <v>0</v>
      </c>
      <c r="D41" s="191"/>
      <c r="E41" s="195"/>
      <c r="F41" s="1"/>
      <c r="G41" s="27">
        <v>0</v>
      </c>
      <c r="H41" s="27">
        <v>0</v>
      </c>
      <c r="I41" s="27">
        <v>0</v>
      </c>
      <c r="J41" s="27">
        <v>0</v>
      </c>
      <c r="K41" s="27">
        <v>0</v>
      </c>
      <c r="L41" s="27">
        <v>0</v>
      </c>
      <c r="M41" s="200"/>
      <c r="N41" s="201"/>
      <c r="O41" s="19">
        <f>IFERROR(VLOOKUP($A41,'Parameter Values'!$A$78:$E$107,2,FALSE),'Parameter Values'!B$107)</f>
        <v>23800</v>
      </c>
      <c r="P41" s="19">
        <f>IFERROR(VLOOKUP($A41,'Parameter Values'!$A$78:$E$107,3,FALSE),'Parameter Values'!C$107)</f>
        <v>64500</v>
      </c>
      <c r="Q41" s="19">
        <f>IFERROR(VLOOKUP($A41,'Parameter Values'!$A$78:$E$107,4,FALSE),'Parameter Values'!D$107)</f>
        <v>1140500</v>
      </c>
      <c r="R41" s="19"/>
      <c r="S41" s="206">
        <f t="shared" si="0"/>
        <v>0</v>
      </c>
      <c r="T41" s="209"/>
      <c r="AA41" s="13"/>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s="14"/>
    </row>
    <row r="42" spans="1:74" x14ac:dyDescent="0.35">
      <c r="A42" s="1">
        <f>IF(A41&lt;'Project Information'!B$11,A41+1,"")</f>
        <v>2042</v>
      </c>
      <c r="B42" s="130">
        <v>0</v>
      </c>
      <c r="C42" s="130">
        <v>0</v>
      </c>
      <c r="D42" s="191"/>
      <c r="E42" s="195"/>
      <c r="F42" s="1"/>
      <c r="G42" s="27">
        <v>0</v>
      </c>
      <c r="H42" s="27">
        <v>0</v>
      </c>
      <c r="I42" s="27">
        <v>0</v>
      </c>
      <c r="J42" s="27">
        <v>0</v>
      </c>
      <c r="K42" s="27">
        <v>0</v>
      </c>
      <c r="L42" s="27">
        <v>0</v>
      </c>
      <c r="M42" s="200"/>
      <c r="N42" s="201"/>
      <c r="O42" s="19">
        <f>IFERROR(VLOOKUP($A42,'Parameter Values'!$A$78:$E$107,2,FALSE),'Parameter Values'!B$107)</f>
        <v>23800</v>
      </c>
      <c r="P42" s="19">
        <f>IFERROR(VLOOKUP($A42,'Parameter Values'!$A$78:$E$107,3,FALSE),'Parameter Values'!C$107)</f>
        <v>64500</v>
      </c>
      <c r="Q42" s="19">
        <f>IFERROR(VLOOKUP($A42,'Parameter Values'!$A$78:$E$107,4,FALSE),'Parameter Values'!D$107)</f>
        <v>1140500</v>
      </c>
      <c r="R42" s="19"/>
      <c r="S42" s="206">
        <f t="shared" si="0"/>
        <v>0</v>
      </c>
      <c r="T42" s="209"/>
      <c r="AA42" s="13"/>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s="14"/>
    </row>
    <row r="43" spans="1:74" x14ac:dyDescent="0.35">
      <c r="A43" s="1">
        <f>IF(A42&lt;'Project Information'!B$11,A42+1,"")</f>
        <v>2043</v>
      </c>
      <c r="B43" s="130">
        <v>0</v>
      </c>
      <c r="C43" s="130">
        <v>0</v>
      </c>
      <c r="D43" s="191"/>
      <c r="E43" s="195"/>
      <c r="F43" s="1"/>
      <c r="G43" s="27">
        <v>0</v>
      </c>
      <c r="H43" s="27">
        <v>0</v>
      </c>
      <c r="I43" s="27">
        <v>0</v>
      </c>
      <c r="J43" s="27">
        <v>0</v>
      </c>
      <c r="K43" s="27">
        <v>0</v>
      </c>
      <c r="L43" s="27">
        <v>0</v>
      </c>
      <c r="M43" s="200"/>
      <c r="N43" s="201"/>
      <c r="O43" s="19">
        <f>IFERROR(VLOOKUP($A43,'Parameter Values'!$A$78:$E$107,2,FALSE),'Parameter Values'!B$107)</f>
        <v>23800</v>
      </c>
      <c r="P43" s="19">
        <f>IFERROR(VLOOKUP($A43,'Parameter Values'!$A$78:$E$107,3,FALSE),'Parameter Values'!C$107)</f>
        <v>64500</v>
      </c>
      <c r="Q43" s="19">
        <f>IFERROR(VLOOKUP($A43,'Parameter Values'!$A$78:$E$107,4,FALSE),'Parameter Values'!D$107)</f>
        <v>1140500</v>
      </c>
      <c r="R43" s="19"/>
      <c r="S43" s="206">
        <f t="shared" si="0"/>
        <v>0</v>
      </c>
      <c r="T43" s="209"/>
      <c r="AA43" s="1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s="14"/>
    </row>
    <row r="44" spans="1:74" x14ac:dyDescent="0.35">
      <c r="A44" s="1">
        <f>IF(A43&lt;'Project Information'!B$11,A43+1,"")</f>
        <v>2044</v>
      </c>
      <c r="B44" s="130">
        <v>0</v>
      </c>
      <c r="C44" s="130">
        <v>0</v>
      </c>
      <c r="D44" s="191"/>
      <c r="E44" s="195"/>
      <c r="F44" s="1"/>
      <c r="G44" s="27">
        <v>0</v>
      </c>
      <c r="H44" s="27">
        <v>0</v>
      </c>
      <c r="I44" s="27">
        <v>0</v>
      </c>
      <c r="J44" s="27">
        <v>0</v>
      </c>
      <c r="K44" s="27">
        <v>0</v>
      </c>
      <c r="L44" s="27">
        <v>0</v>
      </c>
      <c r="M44" s="200"/>
      <c r="N44" s="201"/>
      <c r="O44" s="19">
        <f>IFERROR(VLOOKUP($A44,'Parameter Values'!$A$78:$E$107,2,FALSE),'Parameter Values'!B$107)</f>
        <v>23800</v>
      </c>
      <c r="P44" s="19">
        <f>IFERROR(VLOOKUP($A44,'Parameter Values'!$A$78:$E$107,3,FALSE),'Parameter Values'!C$107)</f>
        <v>64500</v>
      </c>
      <c r="Q44" s="19">
        <f>IFERROR(VLOOKUP($A44,'Parameter Values'!$A$78:$E$107,4,FALSE),'Parameter Values'!D$107)</f>
        <v>1140500</v>
      </c>
      <c r="R44" s="19"/>
      <c r="S44" s="206">
        <f t="shared" si="0"/>
        <v>0</v>
      </c>
      <c r="T44" s="209"/>
      <c r="AA44" s="13"/>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s="14"/>
    </row>
    <row r="45" spans="1:74" x14ac:dyDescent="0.35">
      <c r="A45" s="1">
        <f>IF(A44&lt;'Project Information'!B$11,A44+1,"")</f>
        <v>2045</v>
      </c>
      <c r="B45" s="130">
        <v>0</v>
      </c>
      <c r="C45" s="130">
        <v>0</v>
      </c>
      <c r="D45" s="191"/>
      <c r="E45" s="195"/>
      <c r="F45" s="1"/>
      <c r="G45" s="27">
        <v>0</v>
      </c>
      <c r="H45" s="27">
        <v>0</v>
      </c>
      <c r="I45" s="27">
        <v>0</v>
      </c>
      <c r="J45" s="27">
        <v>0</v>
      </c>
      <c r="K45" s="27">
        <v>0</v>
      </c>
      <c r="L45" s="27">
        <v>0</v>
      </c>
      <c r="M45" s="200"/>
      <c r="N45" s="201"/>
      <c r="O45" s="19">
        <f>IFERROR(VLOOKUP($A45,'Parameter Values'!$A$78:$E$107,2,FALSE),'Parameter Values'!B$107)</f>
        <v>23800</v>
      </c>
      <c r="P45" s="19">
        <f>IFERROR(VLOOKUP($A45,'Parameter Values'!$A$78:$E$107,3,FALSE),'Parameter Values'!C$107)</f>
        <v>64500</v>
      </c>
      <c r="Q45" s="19">
        <f>IFERROR(VLOOKUP($A45,'Parameter Values'!$A$78:$E$107,4,FALSE),'Parameter Values'!D$107)</f>
        <v>1140500</v>
      </c>
      <c r="R45" s="19"/>
      <c r="S45" s="206">
        <f t="shared" si="0"/>
        <v>0</v>
      </c>
      <c r="T45" s="209"/>
      <c r="AA45" s="13"/>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s="14"/>
    </row>
    <row r="46" spans="1:74" x14ac:dyDescent="0.35">
      <c r="A46" s="1">
        <f>IF(A45&lt;'Project Information'!B$11,A45+1,"")</f>
        <v>2046</v>
      </c>
      <c r="B46" s="130">
        <v>0</v>
      </c>
      <c r="C46" s="130">
        <v>0</v>
      </c>
      <c r="D46" s="191"/>
      <c r="E46" s="195"/>
      <c r="F46" s="1"/>
      <c r="G46" s="27">
        <v>0</v>
      </c>
      <c r="H46" s="27">
        <v>0</v>
      </c>
      <c r="I46" s="27">
        <v>0</v>
      </c>
      <c r="J46" s="27">
        <v>0</v>
      </c>
      <c r="K46" s="27">
        <v>0</v>
      </c>
      <c r="L46" s="27">
        <v>0</v>
      </c>
      <c r="M46" s="200"/>
      <c r="N46" s="201"/>
      <c r="O46" s="19">
        <f>IFERROR(VLOOKUP($A46,'Parameter Values'!$A$78:$E$107,2,FALSE),'Parameter Values'!B$107)</f>
        <v>23800</v>
      </c>
      <c r="P46" s="19">
        <f>IFERROR(VLOOKUP($A46,'Parameter Values'!$A$78:$E$107,3,FALSE),'Parameter Values'!C$107)</f>
        <v>64500</v>
      </c>
      <c r="Q46" s="19">
        <f>IFERROR(VLOOKUP($A46,'Parameter Values'!$A$78:$E$107,4,FALSE),'Parameter Values'!D$107)</f>
        <v>1140500</v>
      </c>
      <c r="R46" s="19"/>
      <c r="S46" s="206">
        <f t="shared" si="0"/>
        <v>0</v>
      </c>
      <c r="T46" s="209"/>
      <c r="AA46" s="13"/>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s="14"/>
    </row>
    <row r="47" spans="1:74" x14ac:dyDescent="0.35">
      <c r="A47" s="1">
        <f>IF(A46&lt;'Project Information'!B$11,A46+1,"")</f>
        <v>2047</v>
      </c>
      <c r="B47" s="130">
        <v>0</v>
      </c>
      <c r="C47" s="130">
        <v>0</v>
      </c>
      <c r="D47" s="191"/>
      <c r="E47" s="195"/>
      <c r="F47" s="1"/>
      <c r="G47" s="27">
        <v>0</v>
      </c>
      <c r="H47" s="27">
        <v>0</v>
      </c>
      <c r="I47" s="27">
        <v>0</v>
      </c>
      <c r="J47" s="27">
        <v>0</v>
      </c>
      <c r="K47" s="27">
        <v>0</v>
      </c>
      <c r="L47" s="27">
        <v>0</v>
      </c>
      <c r="M47" s="200"/>
      <c r="N47" s="201"/>
      <c r="O47" s="19">
        <f>IFERROR(VLOOKUP($A47,'Parameter Values'!$A$78:$E$107,2,FALSE),'Parameter Values'!B$107)</f>
        <v>23800</v>
      </c>
      <c r="P47" s="19">
        <f>IFERROR(VLOOKUP($A47,'Parameter Values'!$A$78:$E$107,3,FALSE),'Parameter Values'!C$107)</f>
        <v>64500</v>
      </c>
      <c r="Q47" s="19">
        <f>IFERROR(VLOOKUP($A47,'Parameter Values'!$A$78:$E$107,4,FALSE),'Parameter Values'!D$107)</f>
        <v>1140500</v>
      </c>
      <c r="R47" s="19"/>
      <c r="S47" s="206">
        <f t="shared" si="0"/>
        <v>0</v>
      </c>
      <c r="T47" s="209"/>
      <c r="AA47" s="13"/>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s="14"/>
    </row>
    <row r="48" spans="1:74" x14ac:dyDescent="0.35">
      <c r="A48" s="1">
        <f>IF(A47&lt;'Project Information'!B$11,A47+1,"")</f>
        <v>2048</v>
      </c>
      <c r="B48" s="130">
        <v>0</v>
      </c>
      <c r="C48" s="130">
        <v>0</v>
      </c>
      <c r="D48" s="191"/>
      <c r="E48" s="195"/>
      <c r="F48" s="1"/>
      <c r="G48" s="27">
        <v>0</v>
      </c>
      <c r="H48" s="27">
        <v>0</v>
      </c>
      <c r="I48" s="27">
        <v>0</v>
      </c>
      <c r="J48" s="27">
        <v>0</v>
      </c>
      <c r="K48" s="27">
        <v>0</v>
      </c>
      <c r="L48" s="27">
        <v>0</v>
      </c>
      <c r="M48" s="200"/>
      <c r="N48" s="201"/>
      <c r="O48" s="19">
        <f>IFERROR(VLOOKUP($A48,'Parameter Values'!$A$78:$E$107,2,FALSE),'Parameter Values'!B$107)</f>
        <v>23800</v>
      </c>
      <c r="P48" s="19">
        <f>IFERROR(VLOOKUP($A48,'Parameter Values'!$A$78:$E$107,3,FALSE),'Parameter Values'!C$107)</f>
        <v>64500</v>
      </c>
      <c r="Q48" s="19">
        <f>IFERROR(VLOOKUP($A48,'Parameter Values'!$A$78:$E$107,4,FALSE),'Parameter Values'!D$107)</f>
        <v>1140500</v>
      </c>
      <c r="R48" s="19"/>
      <c r="S48" s="206">
        <f t="shared" si="0"/>
        <v>0</v>
      </c>
      <c r="T48" s="209"/>
      <c r="AA48" s="13"/>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s="14"/>
    </row>
    <row r="49" spans="1:74" x14ac:dyDescent="0.35">
      <c r="A49" s="1">
        <f>IF(A48&lt;'Project Information'!B$11,A48+1,"")</f>
        <v>2049</v>
      </c>
      <c r="B49" s="130">
        <v>0</v>
      </c>
      <c r="C49" s="130">
        <v>0</v>
      </c>
      <c r="D49" s="191"/>
      <c r="E49" s="195"/>
      <c r="F49" s="1"/>
      <c r="G49" s="27">
        <v>0</v>
      </c>
      <c r="H49" s="27">
        <v>0</v>
      </c>
      <c r="I49" s="27">
        <v>0</v>
      </c>
      <c r="J49" s="27">
        <v>0</v>
      </c>
      <c r="K49" s="27">
        <v>0</v>
      </c>
      <c r="L49" s="27">
        <v>0</v>
      </c>
      <c r="M49" s="200"/>
      <c r="N49" s="201"/>
      <c r="O49" s="19">
        <f>IFERROR(VLOOKUP($A49,'Parameter Values'!$A$78:$E$107,2,FALSE),'Parameter Values'!B$107)</f>
        <v>23800</v>
      </c>
      <c r="P49" s="19">
        <f>IFERROR(VLOOKUP($A49,'Parameter Values'!$A$78:$E$107,3,FALSE),'Parameter Values'!C$107)</f>
        <v>64500</v>
      </c>
      <c r="Q49" s="19">
        <f>IFERROR(VLOOKUP($A49,'Parameter Values'!$A$78:$E$107,4,FALSE),'Parameter Values'!D$107)</f>
        <v>1140500</v>
      </c>
      <c r="R49" s="19"/>
      <c r="S49" s="206">
        <f t="shared" si="0"/>
        <v>0</v>
      </c>
      <c r="T49" s="209"/>
      <c r="AA49" s="13"/>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s="14"/>
    </row>
    <row r="50" spans="1:74" x14ac:dyDescent="0.35">
      <c r="A50" s="1">
        <f>IF(A49&lt;'Project Information'!B$11,A49+1,"")</f>
        <v>2050</v>
      </c>
      <c r="B50" s="130">
        <v>0</v>
      </c>
      <c r="C50" s="130">
        <v>0</v>
      </c>
      <c r="D50" s="191"/>
      <c r="E50" s="195"/>
      <c r="F50" s="1"/>
      <c r="G50" s="27">
        <v>0</v>
      </c>
      <c r="H50" s="27">
        <v>0</v>
      </c>
      <c r="I50" s="27">
        <v>0</v>
      </c>
      <c r="J50" s="27">
        <v>0</v>
      </c>
      <c r="K50" s="27">
        <v>0</v>
      </c>
      <c r="L50" s="27">
        <v>0</v>
      </c>
      <c r="M50" s="200"/>
      <c r="N50" s="201"/>
      <c r="O50" s="19">
        <f>IFERROR(VLOOKUP($A50,'Parameter Values'!$A$78:$E$107,2,FALSE),'Parameter Values'!B$107)</f>
        <v>23800</v>
      </c>
      <c r="P50" s="19">
        <f>IFERROR(VLOOKUP($A50,'Parameter Values'!$A$78:$E$107,3,FALSE),'Parameter Values'!C$107)</f>
        <v>64500</v>
      </c>
      <c r="Q50" s="19">
        <f>IFERROR(VLOOKUP($A50,'Parameter Values'!$A$78:$E$107,4,FALSE),'Parameter Values'!D$107)</f>
        <v>1140500</v>
      </c>
      <c r="R50" s="19"/>
      <c r="S50" s="206">
        <f t="shared" si="0"/>
        <v>0</v>
      </c>
      <c r="T50" s="209"/>
      <c r="AA50" s="13"/>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s="14"/>
    </row>
    <row r="51" spans="1:74" x14ac:dyDescent="0.35">
      <c r="A51" s="1">
        <f>IF(A50&lt;'Project Information'!B$11,A50+1,"")</f>
        <v>2051</v>
      </c>
      <c r="B51" s="130">
        <v>0</v>
      </c>
      <c r="C51" s="130">
        <v>0</v>
      </c>
      <c r="D51" s="191"/>
      <c r="E51" s="195"/>
      <c r="F51" s="1"/>
      <c r="G51" s="27">
        <v>0</v>
      </c>
      <c r="H51" s="27">
        <v>0</v>
      </c>
      <c r="I51" s="27">
        <v>0</v>
      </c>
      <c r="J51" s="27">
        <v>0</v>
      </c>
      <c r="K51" s="27">
        <v>0</v>
      </c>
      <c r="L51" s="27">
        <v>0</v>
      </c>
      <c r="M51" s="200"/>
      <c r="N51" s="201"/>
      <c r="O51" s="19">
        <f>IFERROR(VLOOKUP($A51,'Parameter Values'!$A$78:$E$107,2,FALSE),'Parameter Values'!B$107)</f>
        <v>23800</v>
      </c>
      <c r="P51" s="19">
        <f>IFERROR(VLOOKUP($A51,'Parameter Values'!$A$78:$E$107,3,FALSE),'Parameter Values'!C$107)</f>
        <v>64500</v>
      </c>
      <c r="Q51" s="19">
        <f>IFERROR(VLOOKUP($A51,'Parameter Values'!$A$78:$E$107,4,FALSE),'Parameter Values'!D$107)</f>
        <v>1140500</v>
      </c>
      <c r="R51" s="19"/>
      <c r="S51" s="206">
        <f t="shared" si="0"/>
        <v>0</v>
      </c>
      <c r="T51" s="209"/>
      <c r="AA51" s="13"/>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s="14"/>
    </row>
    <row r="52" spans="1:74" x14ac:dyDescent="0.35">
      <c r="A52" s="1">
        <f>IF(A51&lt;'Project Information'!B$11,A51+1,"")</f>
        <v>2052</v>
      </c>
      <c r="B52" s="130">
        <v>0</v>
      </c>
      <c r="C52" s="130">
        <v>0</v>
      </c>
      <c r="D52" s="191"/>
      <c r="E52" s="195"/>
      <c r="F52" s="1"/>
      <c r="G52" s="27">
        <v>0</v>
      </c>
      <c r="H52" s="27">
        <v>0</v>
      </c>
      <c r="I52" s="27">
        <v>0</v>
      </c>
      <c r="J52" s="27">
        <v>0</v>
      </c>
      <c r="K52" s="27">
        <v>0</v>
      </c>
      <c r="L52" s="27">
        <v>0</v>
      </c>
      <c r="M52" s="200"/>
      <c r="N52" s="201"/>
      <c r="O52" s="19">
        <f>IFERROR(VLOOKUP($A52,'Parameter Values'!$A$78:$E$107,2,FALSE),'Parameter Values'!B$107)</f>
        <v>23800</v>
      </c>
      <c r="P52" s="19">
        <f>IFERROR(VLOOKUP($A52,'Parameter Values'!$A$78:$E$107,3,FALSE),'Parameter Values'!C$107)</f>
        <v>64500</v>
      </c>
      <c r="Q52" s="19">
        <f>IFERROR(VLOOKUP($A52,'Parameter Values'!$A$78:$E$107,4,FALSE),'Parameter Values'!D$107)</f>
        <v>1140500</v>
      </c>
      <c r="R52" s="19"/>
      <c r="S52" s="206">
        <f t="shared" si="0"/>
        <v>0</v>
      </c>
      <c r="T52" s="209"/>
      <c r="AA52" s="13"/>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s="14"/>
    </row>
    <row r="53" spans="1:74" x14ac:dyDescent="0.35">
      <c r="A53" s="1">
        <f>IF(A52&lt;'Project Information'!B$11,A52+1,"")</f>
        <v>2053</v>
      </c>
      <c r="B53" s="130">
        <v>0</v>
      </c>
      <c r="C53" s="130">
        <v>0</v>
      </c>
      <c r="D53" s="192"/>
      <c r="E53" s="196"/>
      <c r="F53" s="1"/>
      <c r="G53" s="27">
        <v>0</v>
      </c>
      <c r="H53" s="27">
        <v>0</v>
      </c>
      <c r="I53" s="27">
        <v>0</v>
      </c>
      <c r="J53" s="27">
        <v>0</v>
      </c>
      <c r="K53" s="27">
        <v>0</v>
      </c>
      <c r="L53" s="27">
        <v>0</v>
      </c>
      <c r="M53" s="200"/>
      <c r="N53" s="201"/>
      <c r="O53" s="19">
        <f>IFERROR(VLOOKUP($A53,'Parameter Values'!$A$78:$E$107,2,FALSE),'Parameter Values'!B$107)</f>
        <v>23800</v>
      </c>
      <c r="P53" s="19">
        <f>IFERROR(VLOOKUP($A53,'Parameter Values'!$A$78:$E$107,3,FALSE),'Parameter Values'!C$107)</f>
        <v>64500</v>
      </c>
      <c r="Q53" s="19">
        <f>IFERROR(VLOOKUP($A53,'Parameter Values'!$A$78:$E$107,4,FALSE),'Parameter Values'!D$107)</f>
        <v>1140500</v>
      </c>
      <c r="R53" s="19"/>
      <c r="S53" s="206">
        <f t="shared" si="0"/>
        <v>0</v>
      </c>
      <c r="T53" s="209"/>
      <c r="AA53" s="1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s="14"/>
    </row>
    <row r="54" spans="1:74" x14ac:dyDescent="0.35">
      <c r="A54" s="1">
        <f>IF(A53&lt;'Project Information'!B$11,A53+1,"")</f>
        <v>2054</v>
      </c>
      <c r="B54" s="130">
        <v>0</v>
      </c>
      <c r="C54" s="130">
        <v>0</v>
      </c>
      <c r="D54" s="192"/>
      <c r="E54" s="196"/>
      <c r="F54" s="1"/>
      <c r="G54" s="27">
        <v>0</v>
      </c>
      <c r="H54" s="27">
        <v>0</v>
      </c>
      <c r="I54" s="27">
        <v>0</v>
      </c>
      <c r="J54" s="27">
        <v>0</v>
      </c>
      <c r="K54" s="27">
        <v>0</v>
      </c>
      <c r="L54" s="27">
        <v>0</v>
      </c>
      <c r="M54" s="200"/>
      <c r="N54" s="201"/>
      <c r="O54" s="19">
        <f>IFERROR(VLOOKUP($A54,'Parameter Values'!$A$78:$E$107,2,FALSE),'Parameter Values'!B$107)</f>
        <v>23800</v>
      </c>
      <c r="P54" s="19">
        <f>IFERROR(VLOOKUP($A54,'Parameter Values'!$A$78:$E$107,3,FALSE),'Parameter Values'!C$107)</f>
        <v>64500</v>
      </c>
      <c r="Q54" s="19">
        <f>IFERROR(VLOOKUP($A54,'Parameter Values'!$A$78:$E$107,4,FALSE),'Parameter Values'!D$107)</f>
        <v>1140500</v>
      </c>
      <c r="R54" s="19"/>
      <c r="S54" s="206">
        <f t="shared" si="0"/>
        <v>0</v>
      </c>
      <c r="T54" s="209"/>
      <c r="AA54" s="13"/>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s="14"/>
    </row>
    <row r="55" spans="1:74" x14ac:dyDescent="0.35">
      <c r="A55" s="1">
        <f>IF(A54&lt;'Project Information'!B$11,A54+1,"")</f>
        <v>2055</v>
      </c>
      <c r="B55" s="130">
        <v>0</v>
      </c>
      <c r="C55" s="130">
        <v>0</v>
      </c>
      <c r="D55" s="192"/>
      <c r="E55" s="196"/>
      <c r="F55" s="1"/>
      <c r="G55" s="27">
        <v>0</v>
      </c>
      <c r="H55" s="27">
        <v>0</v>
      </c>
      <c r="I55" s="27">
        <v>0</v>
      </c>
      <c r="J55" s="27">
        <v>0</v>
      </c>
      <c r="K55" s="27">
        <v>0</v>
      </c>
      <c r="L55" s="27">
        <v>0</v>
      </c>
      <c r="M55" s="200"/>
      <c r="N55" s="201"/>
      <c r="O55" s="19">
        <f>IFERROR(VLOOKUP($A55,'Parameter Values'!$A$78:$E$107,2,FALSE),'Parameter Values'!B$107)</f>
        <v>23800</v>
      </c>
      <c r="P55" s="19">
        <f>IFERROR(VLOOKUP($A55,'Parameter Values'!$A$78:$E$107,3,FALSE),'Parameter Values'!C$107)</f>
        <v>64500</v>
      </c>
      <c r="Q55" s="19">
        <f>IFERROR(VLOOKUP($A55,'Parameter Values'!$A$78:$E$107,4,FALSE),'Parameter Values'!D$107)</f>
        <v>1140500</v>
      </c>
      <c r="R55" s="19"/>
      <c r="S55" s="206">
        <f t="shared" si="0"/>
        <v>0</v>
      </c>
      <c r="T55" s="209"/>
      <c r="AA55" s="13"/>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s="14"/>
    </row>
    <row r="56" spans="1:74" x14ac:dyDescent="0.35">
      <c r="A56" s="1">
        <f>IF(A55&lt;'Project Information'!B$11,A55+1,"")</f>
        <v>2056</v>
      </c>
      <c r="B56" s="130">
        <v>0</v>
      </c>
      <c r="C56" s="130">
        <v>0</v>
      </c>
      <c r="D56" s="192"/>
      <c r="E56" s="196"/>
      <c r="F56" s="1"/>
      <c r="G56" s="27">
        <v>0</v>
      </c>
      <c r="H56" s="27">
        <v>0</v>
      </c>
      <c r="I56" s="27">
        <v>0</v>
      </c>
      <c r="J56" s="27">
        <v>0</v>
      </c>
      <c r="K56" s="27">
        <v>0</v>
      </c>
      <c r="L56" s="27">
        <v>0</v>
      </c>
      <c r="M56" s="200"/>
      <c r="N56" s="201"/>
      <c r="O56" s="19">
        <f>IFERROR(VLOOKUP($A56,'Parameter Values'!$A$78:$E$107,2,FALSE),'Parameter Values'!B$107)</f>
        <v>23800</v>
      </c>
      <c r="P56" s="19">
        <f>IFERROR(VLOOKUP($A56,'Parameter Values'!$A$78:$E$107,3,FALSE),'Parameter Values'!C$107)</f>
        <v>64500</v>
      </c>
      <c r="Q56" s="19">
        <f>IFERROR(VLOOKUP($A56,'Parameter Values'!$A$78:$E$107,4,FALSE),'Parameter Values'!D$107)</f>
        <v>1140500</v>
      </c>
      <c r="R56" s="19"/>
      <c r="S56" s="206">
        <f t="shared" si="0"/>
        <v>0</v>
      </c>
      <c r="T56" s="209"/>
      <c r="AA56" s="13"/>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s="14"/>
    </row>
    <row r="57" spans="1:74" x14ac:dyDescent="0.35">
      <c r="A57" s="1">
        <f>IF(A56&lt;'Project Information'!B$11,A56+1,"")</f>
        <v>2057</v>
      </c>
      <c r="B57" s="130">
        <v>0</v>
      </c>
      <c r="C57" s="130">
        <v>0</v>
      </c>
      <c r="D57" s="192"/>
      <c r="E57" s="196"/>
      <c r="F57" s="1"/>
      <c r="G57" s="27">
        <v>0</v>
      </c>
      <c r="H57" s="27">
        <v>0</v>
      </c>
      <c r="I57" s="27">
        <v>0</v>
      </c>
      <c r="J57" s="27">
        <v>0</v>
      </c>
      <c r="K57" s="27">
        <v>0</v>
      </c>
      <c r="L57" s="27">
        <v>0</v>
      </c>
      <c r="M57" s="200"/>
      <c r="N57" s="201"/>
      <c r="O57" s="19">
        <f>IFERROR(VLOOKUP($A57,'Parameter Values'!$A$78:$E$107,2,FALSE),'Parameter Values'!B$107)</f>
        <v>23800</v>
      </c>
      <c r="P57" s="19">
        <f>IFERROR(VLOOKUP($A57,'Parameter Values'!$A$78:$E$107,3,FALSE),'Parameter Values'!C$107)</f>
        <v>64500</v>
      </c>
      <c r="Q57" s="19">
        <f>IFERROR(VLOOKUP($A57,'Parameter Values'!$A$78:$E$107,4,FALSE),'Parameter Values'!D$107)</f>
        <v>1140500</v>
      </c>
      <c r="R57" s="19"/>
      <c r="S57" s="206">
        <f t="shared" si="0"/>
        <v>0</v>
      </c>
      <c r="T57" s="209"/>
      <c r="AA57" s="13"/>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s="14"/>
    </row>
    <row r="58" spans="1:74" x14ac:dyDescent="0.35">
      <c r="A58" s="1">
        <f>IF(A57&lt;'Project Information'!B$11,A57+1,"")</f>
        <v>2058</v>
      </c>
      <c r="B58" s="130">
        <v>0</v>
      </c>
      <c r="C58" s="130">
        <v>0</v>
      </c>
      <c r="D58" s="192"/>
      <c r="E58" s="196"/>
      <c r="F58" s="1"/>
      <c r="G58" s="27">
        <v>0</v>
      </c>
      <c r="H58" s="27">
        <v>0</v>
      </c>
      <c r="I58" s="27">
        <v>0</v>
      </c>
      <c r="J58" s="27">
        <v>0</v>
      </c>
      <c r="K58" s="27">
        <v>0</v>
      </c>
      <c r="L58" s="27">
        <v>0</v>
      </c>
      <c r="M58" s="200"/>
      <c r="N58" s="201"/>
      <c r="O58" s="19">
        <f>IFERROR(VLOOKUP($A58,'Parameter Values'!$A$78:$E$107,2,FALSE),'Parameter Values'!B$107)</f>
        <v>23800</v>
      </c>
      <c r="P58" s="19">
        <f>IFERROR(VLOOKUP($A58,'Parameter Values'!$A$78:$E$107,3,FALSE),'Parameter Values'!C$107)</f>
        <v>64500</v>
      </c>
      <c r="Q58" s="19">
        <f>IFERROR(VLOOKUP($A58,'Parameter Values'!$A$78:$E$107,4,FALSE),'Parameter Values'!D$107)</f>
        <v>1140500</v>
      </c>
      <c r="R58" s="19"/>
      <c r="S58" s="206">
        <f t="shared" si="0"/>
        <v>0</v>
      </c>
      <c r="T58" s="209"/>
      <c r="AA58" s="13"/>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s="14"/>
    </row>
    <row r="59" spans="1:74" x14ac:dyDescent="0.35">
      <c r="A59" s="1">
        <f>IF(A58&lt;'Project Information'!B$11,A58+1,"")</f>
        <v>2059</v>
      </c>
      <c r="B59" s="130">
        <v>0</v>
      </c>
      <c r="C59" s="130">
        <v>0</v>
      </c>
      <c r="D59" s="192"/>
      <c r="E59" s="196"/>
      <c r="F59" s="1"/>
      <c r="G59" s="27">
        <v>0</v>
      </c>
      <c r="H59" s="27">
        <v>0</v>
      </c>
      <c r="I59" s="27">
        <v>0</v>
      </c>
      <c r="J59" s="27">
        <v>0</v>
      </c>
      <c r="K59" s="27">
        <v>0</v>
      </c>
      <c r="L59" s="27">
        <v>0</v>
      </c>
      <c r="M59" s="200"/>
      <c r="N59" s="201"/>
      <c r="O59" s="19">
        <f>IFERROR(VLOOKUP($A59,'Parameter Values'!$A$78:$E$107,2,FALSE),'Parameter Values'!B$107)</f>
        <v>23800</v>
      </c>
      <c r="P59" s="19">
        <f>IFERROR(VLOOKUP($A59,'Parameter Values'!$A$78:$E$107,3,FALSE),'Parameter Values'!C$107)</f>
        <v>64500</v>
      </c>
      <c r="Q59" s="19">
        <f>IFERROR(VLOOKUP($A59,'Parameter Values'!$A$78:$E$107,4,FALSE),'Parameter Values'!D$107)</f>
        <v>1140500</v>
      </c>
      <c r="R59" s="19"/>
      <c r="S59" s="206">
        <f t="shared" si="0"/>
        <v>0</v>
      </c>
      <c r="T59" s="209"/>
      <c r="AA59" s="13"/>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s="14"/>
    </row>
    <row r="60" spans="1:74" x14ac:dyDescent="0.35">
      <c r="A60" s="1">
        <f>IF(A59&lt;'Project Information'!B$11,A59+1,"")</f>
        <v>2060</v>
      </c>
      <c r="B60" s="130">
        <v>0</v>
      </c>
      <c r="C60" s="130">
        <v>0</v>
      </c>
      <c r="D60" s="192"/>
      <c r="E60" s="196"/>
      <c r="F60" s="1"/>
      <c r="G60" s="27">
        <v>0</v>
      </c>
      <c r="H60" s="27">
        <v>0</v>
      </c>
      <c r="I60" s="27">
        <v>0</v>
      </c>
      <c r="J60" s="27">
        <v>0</v>
      </c>
      <c r="K60" s="27">
        <v>0</v>
      </c>
      <c r="L60" s="27">
        <v>0</v>
      </c>
      <c r="M60" s="200"/>
      <c r="N60" s="201"/>
      <c r="O60" s="19">
        <f>IFERROR(VLOOKUP($A60,'Parameter Values'!$A$78:$E$107,2,FALSE),'Parameter Values'!B$107)</f>
        <v>23800</v>
      </c>
      <c r="P60" s="19">
        <f>IFERROR(VLOOKUP($A60,'Parameter Values'!$A$78:$E$107,3,FALSE),'Parameter Values'!C$107)</f>
        <v>64500</v>
      </c>
      <c r="Q60" s="19">
        <f>IFERROR(VLOOKUP($A60,'Parameter Values'!$A$78:$E$107,4,FALSE),'Parameter Values'!D$107)</f>
        <v>1140500</v>
      </c>
      <c r="R60" s="19"/>
      <c r="S60" s="206">
        <f t="shared" si="0"/>
        <v>0</v>
      </c>
      <c r="T60" s="209"/>
      <c r="AA60" s="13"/>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s="14"/>
    </row>
    <row r="61" spans="1:74" x14ac:dyDescent="0.35">
      <c r="A61" s="1">
        <f>IF(A60&lt;'Project Information'!B$11,A60+1,"")</f>
        <v>2061</v>
      </c>
      <c r="B61" s="130">
        <v>0</v>
      </c>
      <c r="C61" s="130">
        <v>0</v>
      </c>
      <c r="D61" s="192"/>
      <c r="E61" s="196"/>
      <c r="F61" s="1"/>
      <c r="G61" s="27">
        <v>0</v>
      </c>
      <c r="H61" s="27">
        <v>0</v>
      </c>
      <c r="I61" s="27">
        <v>0</v>
      </c>
      <c r="J61" s="27">
        <v>0</v>
      </c>
      <c r="K61" s="27">
        <v>0</v>
      </c>
      <c r="L61" s="27">
        <v>0</v>
      </c>
      <c r="M61" s="200"/>
      <c r="N61" s="201"/>
      <c r="O61" s="19">
        <f>IFERROR(VLOOKUP($A61,'Parameter Values'!$A$78:$E$107,2,FALSE),'Parameter Values'!B$107)</f>
        <v>23800</v>
      </c>
      <c r="P61" s="19">
        <f>IFERROR(VLOOKUP($A61,'Parameter Values'!$A$78:$E$107,3,FALSE),'Parameter Values'!C$107)</f>
        <v>64500</v>
      </c>
      <c r="Q61" s="19">
        <f>IFERROR(VLOOKUP($A61,'Parameter Values'!$A$78:$E$107,4,FALSE),'Parameter Values'!D$107)</f>
        <v>1140500</v>
      </c>
      <c r="R61" s="19"/>
      <c r="S61" s="206">
        <f t="shared" si="0"/>
        <v>0</v>
      </c>
      <c r="T61" s="209"/>
      <c r="AA61" s="13"/>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s="14"/>
    </row>
    <row r="62" spans="1:74" x14ac:dyDescent="0.35">
      <c r="A62" s="1">
        <f>IF(A61&lt;'Project Information'!B$11,A61+1,"")</f>
        <v>2062</v>
      </c>
      <c r="B62" s="131">
        <v>0</v>
      </c>
      <c r="C62" s="131">
        <v>0</v>
      </c>
      <c r="D62" s="193"/>
      <c r="E62" s="197"/>
      <c r="F62" s="2"/>
      <c r="G62" s="34">
        <v>0</v>
      </c>
      <c r="H62" s="34">
        <v>0</v>
      </c>
      <c r="I62" s="34">
        <v>0</v>
      </c>
      <c r="J62" s="34">
        <v>0</v>
      </c>
      <c r="K62" s="34">
        <v>0</v>
      </c>
      <c r="L62" s="34">
        <v>0</v>
      </c>
      <c r="M62" s="202"/>
      <c r="N62" s="203"/>
      <c r="O62" s="20">
        <f>IFERROR(VLOOKUP($A62,'Parameter Values'!$A$78:$E$107,2,FALSE),'Parameter Values'!B$107)</f>
        <v>23800</v>
      </c>
      <c r="P62" s="20">
        <f>IFERROR(VLOOKUP($A62,'Parameter Values'!$A$78:$E$107,3,FALSE),'Parameter Values'!C$107)</f>
        <v>64500</v>
      </c>
      <c r="Q62" s="20">
        <f>IFERROR(VLOOKUP($A62,'Parameter Values'!$A$78:$E$107,4,FALSE),'Parameter Values'!D$107)</f>
        <v>1140500</v>
      </c>
      <c r="R62" s="20"/>
      <c r="S62" s="207">
        <f t="shared" si="0"/>
        <v>0</v>
      </c>
      <c r="T62" s="209"/>
      <c r="AA62" s="13"/>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s="14"/>
    </row>
    <row r="63" spans="1:74" x14ac:dyDescent="0.35">
      <c r="AA63" s="1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s="14"/>
    </row>
    <row r="64" spans="1:74" x14ac:dyDescent="0.35">
      <c r="AA64" s="13"/>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s="14"/>
    </row>
    <row r="65" spans="27:74" x14ac:dyDescent="0.35">
      <c r="AA65" s="13"/>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s="14"/>
    </row>
    <row r="66" spans="27:74" x14ac:dyDescent="0.35">
      <c r="AA66" s="13"/>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s="14"/>
    </row>
    <row r="67" spans="27:74" x14ac:dyDescent="0.35">
      <c r="AA67" s="13"/>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s="14"/>
    </row>
    <row r="68" spans="27:74" x14ac:dyDescent="0.35">
      <c r="AA68" s="13"/>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s="14"/>
    </row>
    <row r="69" spans="27:74" x14ac:dyDescent="0.35">
      <c r="AA69" s="13"/>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s="14"/>
    </row>
    <row r="70" spans="27:74" x14ac:dyDescent="0.35">
      <c r="AA70" s="13"/>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s="14"/>
    </row>
    <row r="71" spans="27:74" x14ac:dyDescent="0.35">
      <c r="AA71" s="13"/>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s="14"/>
    </row>
    <row r="72" spans="27:74" x14ac:dyDescent="0.35">
      <c r="AA72" s="13"/>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s="14"/>
    </row>
    <row r="73" spans="27:74" x14ac:dyDescent="0.35">
      <c r="AA73" s="1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s="14"/>
    </row>
    <row r="74" spans="27:74" x14ac:dyDescent="0.35">
      <c r="AA74" s="13"/>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s="14"/>
    </row>
    <row r="75" spans="27:74" x14ac:dyDescent="0.35">
      <c r="AA75" s="13"/>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s="14"/>
    </row>
    <row r="76" spans="27:74" x14ac:dyDescent="0.35">
      <c r="AA76" s="13"/>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s="14"/>
    </row>
    <row r="77" spans="27:74" x14ac:dyDescent="0.35">
      <c r="AA77" s="13"/>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s="14"/>
    </row>
    <row r="78" spans="27:74" x14ac:dyDescent="0.35">
      <c r="AA78" s="13"/>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s="14"/>
    </row>
    <row r="79" spans="27:74" x14ac:dyDescent="0.35">
      <c r="AA79" s="13"/>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s="14"/>
    </row>
    <row r="80" spans="27:74" x14ac:dyDescent="0.35">
      <c r="AA80" s="13"/>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s="14"/>
    </row>
    <row r="81" spans="27:74" x14ac:dyDescent="0.35">
      <c r="AA81" s="13"/>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s="14"/>
    </row>
    <row r="82" spans="27:74" x14ac:dyDescent="0.35">
      <c r="AA82" s="13"/>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s="14"/>
    </row>
    <row r="83" spans="27:74" x14ac:dyDescent="0.35">
      <c r="AA83" s="1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s="14"/>
    </row>
    <row r="84" spans="27:74" x14ac:dyDescent="0.35">
      <c r="AA84" s="13"/>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s="14"/>
    </row>
    <row r="85" spans="27:74" x14ac:dyDescent="0.35">
      <c r="AA85" s="13"/>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s="14"/>
    </row>
    <row r="86" spans="27:74" x14ac:dyDescent="0.35">
      <c r="AA86" s="13"/>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s="14"/>
    </row>
    <row r="87" spans="27:74" x14ac:dyDescent="0.35">
      <c r="AA87" s="13"/>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s="14"/>
    </row>
    <row r="88" spans="27:74" x14ac:dyDescent="0.35">
      <c r="AA88" s="13"/>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s="14"/>
    </row>
    <row r="89" spans="27:74" x14ac:dyDescent="0.35">
      <c r="AA89" s="13"/>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s="14"/>
    </row>
    <row r="90" spans="27:74" x14ac:dyDescent="0.35">
      <c r="AA90" s="13"/>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s="14"/>
    </row>
    <row r="91" spans="27:74" x14ac:dyDescent="0.35">
      <c r="AA91" s="13"/>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s="14"/>
    </row>
    <row r="92" spans="27:74" x14ac:dyDescent="0.35">
      <c r="AA92" s="13"/>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s="14"/>
    </row>
    <row r="93" spans="27:74" x14ac:dyDescent="0.35">
      <c r="AA93" s="1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s="14"/>
    </row>
    <row r="94" spans="27:74" x14ac:dyDescent="0.35">
      <c r="AA94" s="13"/>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s="14"/>
    </row>
    <row r="95" spans="27:74" x14ac:dyDescent="0.35">
      <c r="AA95" s="13"/>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s="14"/>
    </row>
    <row r="96" spans="27:74" x14ac:dyDescent="0.35">
      <c r="AA96" s="13"/>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s="14"/>
    </row>
    <row r="97" spans="27:74" x14ac:dyDescent="0.35">
      <c r="AA97" s="13"/>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s="14"/>
    </row>
    <row r="98" spans="27:74" x14ac:dyDescent="0.35">
      <c r="AA98" s="13"/>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s="14"/>
    </row>
    <row r="99" spans="27:74" x14ac:dyDescent="0.35">
      <c r="AA99" s="13"/>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s="14"/>
    </row>
    <row r="100" spans="27:74" x14ac:dyDescent="0.35">
      <c r="AA100" s="13"/>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s="14"/>
    </row>
    <row r="101" spans="27:74" x14ac:dyDescent="0.35">
      <c r="AA101" s="13"/>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s="14"/>
    </row>
    <row r="102" spans="27:74" x14ac:dyDescent="0.35">
      <c r="AA102" s="13"/>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s="14"/>
    </row>
    <row r="103" spans="27:74" x14ac:dyDescent="0.35">
      <c r="AA103" s="1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s="14"/>
    </row>
    <row r="104" spans="27:74" x14ac:dyDescent="0.35">
      <c r="AA104" s="13"/>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s="14"/>
    </row>
    <row r="105" spans="27:74" x14ac:dyDescent="0.35">
      <c r="AA105" s="13"/>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s="14"/>
    </row>
    <row r="106" spans="27:74" x14ac:dyDescent="0.35">
      <c r="AA106" s="13"/>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s="14"/>
    </row>
    <row r="107" spans="27:74" x14ac:dyDescent="0.35">
      <c r="AA107" s="13"/>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s="14"/>
    </row>
    <row r="108" spans="27:74" x14ac:dyDescent="0.35">
      <c r="AA108" s="13"/>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s="14"/>
    </row>
    <row r="109" spans="27:74" x14ac:dyDescent="0.35">
      <c r="AA109" s="13"/>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s="14"/>
    </row>
    <row r="110" spans="27:74" x14ac:dyDescent="0.35">
      <c r="AA110" s="13"/>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s="14"/>
    </row>
    <row r="111" spans="27:74" x14ac:dyDescent="0.35">
      <c r="AA111" s="13"/>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s="14"/>
    </row>
    <row r="112" spans="27:74" ht="15" thickBot="1" x14ac:dyDescent="0.4">
      <c r="AA112" s="15"/>
      <c r="AB112" s="16"/>
      <c r="AC112" s="16"/>
      <c r="AD112" s="16"/>
      <c r="AE112" s="16"/>
      <c r="AF112" s="16"/>
      <c r="AG112" s="16"/>
      <c r="AH112" s="16"/>
      <c r="AI112" s="16"/>
      <c r="AJ112" s="16"/>
      <c r="AK112" s="16"/>
      <c r="AL112" s="16"/>
      <c r="AM112" s="16"/>
      <c r="AN112" s="16"/>
      <c r="AO112" s="16"/>
      <c r="AP112" s="16"/>
      <c r="AQ112" s="16"/>
      <c r="AR112" s="16"/>
      <c r="AS112" s="16"/>
      <c r="AT112" s="16"/>
      <c r="AU112" s="16"/>
      <c r="AV112" s="16"/>
      <c r="AW112" s="16"/>
      <c r="AX112" s="16"/>
      <c r="AY112" s="16"/>
      <c r="AZ112" s="16"/>
      <c r="BA112" s="16"/>
      <c r="BB112" s="16"/>
      <c r="BC112" s="16"/>
      <c r="BD112" s="16"/>
      <c r="BE112" s="16"/>
      <c r="BF112" s="16"/>
      <c r="BG112" s="16"/>
      <c r="BH112" s="16"/>
      <c r="BI112" s="16"/>
      <c r="BJ112" s="16"/>
      <c r="BK112" s="16"/>
      <c r="BL112" s="16"/>
      <c r="BM112" s="16"/>
      <c r="BN112" s="16"/>
      <c r="BO112" s="16"/>
      <c r="BP112" s="16"/>
      <c r="BQ112" s="16"/>
      <c r="BR112" s="16"/>
      <c r="BS112" s="16"/>
      <c r="BT112" s="16"/>
      <c r="BU112" s="16"/>
      <c r="BV112" s="17"/>
    </row>
  </sheetData>
  <conditionalFormatting sqref="B33:E62">
    <cfRule type="expression" dxfId="9" priority="1">
      <formula>$A33=""</formula>
    </cfRule>
  </conditionalFormatting>
  <conditionalFormatting sqref="G33:N62">
    <cfRule type="expression" dxfId="8" priority="2">
      <formula>$A33=""</formula>
    </cfRule>
  </conditionalFormatting>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F779B-5621-4FD7-9FF5-8762E5B5030F}">
  <sheetPr>
    <tabColor theme="9" tint="0.39997558519241921"/>
  </sheetPr>
  <dimension ref="A1:BA99"/>
  <sheetViews>
    <sheetView workbookViewId="0"/>
    <sheetView workbookViewId="1"/>
  </sheetViews>
  <sheetFormatPr defaultColWidth="9.1796875" defaultRowHeight="14.5" x14ac:dyDescent="0.35"/>
  <cols>
    <col min="1" max="1" width="32" style="5" customWidth="1"/>
    <col min="2" max="2" width="24.453125" style="5" customWidth="1"/>
    <col min="3" max="3" width="25.7265625" style="5" customWidth="1"/>
    <col min="4" max="4" width="24.453125" style="5" customWidth="1"/>
    <col min="5" max="10" width="9.1796875" style="5"/>
    <col min="11" max="11" width="10.26953125" style="5" customWidth="1"/>
    <col min="12" max="16384" width="9.1796875" style="5"/>
  </cols>
  <sheetData>
    <row r="1" spans="1:11" ht="20" thickBot="1" x14ac:dyDescent="0.5">
      <c r="A1" s="94" t="s">
        <v>314</v>
      </c>
    </row>
    <row r="2" spans="1:11" ht="15" thickTop="1" x14ac:dyDescent="0.35">
      <c r="A2" s="144" t="s">
        <v>237</v>
      </c>
      <c r="B2" s="144"/>
      <c r="C2" s="144"/>
      <c r="D2" s="144"/>
      <c r="E2" s="144"/>
      <c r="F2" s="144"/>
      <c r="G2" s="144"/>
      <c r="H2" s="144"/>
      <c r="I2" s="144"/>
    </row>
    <row r="3" spans="1:11" x14ac:dyDescent="0.35">
      <c r="A3" s="5" t="s">
        <v>203</v>
      </c>
    </row>
    <row r="4" spans="1:11" x14ac:dyDescent="0.35">
      <c r="A4" s="145" t="s">
        <v>344</v>
      </c>
      <c r="B4" s="144"/>
      <c r="C4" s="144"/>
      <c r="D4" s="144"/>
      <c r="E4" s="144"/>
      <c r="F4" s="144"/>
      <c r="G4" s="144"/>
      <c r="H4" s="144"/>
      <c r="I4" s="144"/>
      <c r="J4" s="144"/>
      <c r="K4" s="144"/>
    </row>
    <row r="5" spans="1:11" x14ac:dyDescent="0.35">
      <c r="A5" s="38" t="s">
        <v>203</v>
      </c>
    </row>
    <row r="6" spans="1:11" x14ac:dyDescent="0.35">
      <c r="A6" s="95" t="s">
        <v>238</v>
      </c>
    </row>
    <row r="7" spans="1:11" x14ac:dyDescent="0.35">
      <c r="A7" s="115" t="s">
        <v>142</v>
      </c>
      <c r="B7" s="152" t="s">
        <v>251</v>
      </c>
      <c r="C7" s="153" t="s">
        <v>252</v>
      </c>
      <c r="D7" s="154" t="s">
        <v>253</v>
      </c>
    </row>
    <row r="8" spans="1:11" x14ac:dyDescent="0.35">
      <c r="A8" s="43" t="str">
        <f>'Parameter Values'!A231</f>
        <v>Light-Duty Vehicles - Urban</v>
      </c>
      <c r="B8" s="135">
        <f>'Parameter Values'!B231</f>
        <v>0.14699999999999999</v>
      </c>
      <c r="C8" s="136">
        <f>'Parameter Values'!C231</f>
        <v>2.0999999999999999E-3</v>
      </c>
      <c r="D8" s="134">
        <f>'Parameter Values'!D231</f>
        <v>1.9E-2</v>
      </c>
    </row>
    <row r="9" spans="1:11" x14ac:dyDescent="0.35">
      <c r="A9" s="43" t="str">
        <f>'Parameter Values'!A232</f>
        <v>Light-Duty Vehicles - Rural</v>
      </c>
      <c r="B9" s="135">
        <f>'Parameter Values'!B232</f>
        <v>3.1E-2</v>
      </c>
      <c r="C9" s="136">
        <f>'Parameter Values'!C232</f>
        <v>2.0000000000000001E-4</v>
      </c>
      <c r="D9" s="134">
        <f>'Parameter Values'!D232</f>
        <v>0.105</v>
      </c>
    </row>
    <row r="10" spans="1:11" x14ac:dyDescent="0.35">
      <c r="A10" s="43" t="str">
        <f>'Parameter Values'!A233</f>
        <v>Light-Duty Vehicles – All Locations</v>
      </c>
      <c r="B10" s="135">
        <f>'Parameter Values'!B233</f>
        <v>0.124</v>
      </c>
      <c r="C10" s="136">
        <f>'Parameter Values'!C233</f>
        <v>1.1000000000000001E-3</v>
      </c>
      <c r="D10" s="134">
        <f>'Parameter Values'!D233</f>
        <v>4.2999999999999997E-2</v>
      </c>
    </row>
    <row r="11" spans="1:11" x14ac:dyDescent="0.35">
      <c r="A11" s="43" t="str">
        <f>'Parameter Values'!A234</f>
        <v>Buses and Trucks - Urban</v>
      </c>
      <c r="B11" s="135">
        <f>'Parameter Values'!B234</f>
        <v>0.36699999999999999</v>
      </c>
      <c r="C11" s="136">
        <f>'Parameter Values'!C234</f>
        <v>4.65E-2</v>
      </c>
      <c r="D11" s="134">
        <f>'Parameter Values'!D234</f>
        <v>1.7000000000000001E-2</v>
      </c>
    </row>
    <row r="12" spans="1:11" x14ac:dyDescent="0.35">
      <c r="A12" s="43" t="str">
        <f>'Parameter Values'!A235</f>
        <v>Buses and Trucks - Rural</v>
      </c>
      <c r="B12" s="135">
        <f>'Parameter Values'!B235</f>
        <v>0.08</v>
      </c>
      <c r="C12" s="136">
        <f>'Parameter Values'!C235</f>
        <v>3.8999999999999998E-3</v>
      </c>
      <c r="D12" s="134">
        <f>'Parameter Values'!D235</f>
        <v>0.03</v>
      </c>
    </row>
    <row r="13" spans="1:11" x14ac:dyDescent="0.35">
      <c r="A13" s="43" t="str">
        <f>'Parameter Values'!A236</f>
        <v>Buses and Trucks – All Locations</v>
      </c>
      <c r="B13" s="135">
        <f>'Parameter Values'!B236</f>
        <v>0.251</v>
      </c>
      <c r="C13" s="136">
        <f>'Parameter Values'!C236</f>
        <v>2.3400000000000001E-2</v>
      </c>
      <c r="D13" s="134">
        <f>'Parameter Values'!D236</f>
        <v>2.3E-2</v>
      </c>
    </row>
    <row r="14" spans="1:11" x14ac:dyDescent="0.35">
      <c r="A14" s="43" t="str">
        <f>'Parameter Values'!A237</f>
        <v>All Vehicles - Urban</v>
      </c>
      <c r="B14" s="135">
        <f>'Parameter Values'!B237</f>
        <v>0.16300000000000001</v>
      </c>
      <c r="C14" s="136">
        <f>'Parameter Values'!C237</f>
        <v>5.4000000000000003E-3</v>
      </c>
      <c r="D14" s="134">
        <f>'Parameter Values'!D237</f>
        <v>1.9E-2</v>
      </c>
    </row>
    <row r="15" spans="1:11" x14ac:dyDescent="0.35">
      <c r="A15" s="43" t="str">
        <f>'Parameter Values'!A238</f>
        <v>All Vehicles - Rural</v>
      </c>
      <c r="B15" s="135">
        <f>'Parameter Values'!B238</f>
        <v>3.7999999999999999E-2</v>
      </c>
      <c r="C15" s="136">
        <f>'Parameter Values'!C238</f>
        <v>6.9999999999999999E-4</v>
      </c>
      <c r="D15" s="134">
        <f>'Parameter Values'!D238</f>
        <v>9.4E-2</v>
      </c>
    </row>
    <row r="16" spans="1:11" x14ac:dyDescent="0.35">
      <c r="A16" s="43" t="str">
        <f>'Parameter Values'!A239</f>
        <v>All Vehicles – All Locations</v>
      </c>
      <c r="B16" s="135">
        <f>'Parameter Values'!B239</f>
        <v>0.13600000000000001</v>
      </c>
      <c r="C16" s="136">
        <f>'Parameter Values'!C239</f>
        <v>3.3E-3</v>
      </c>
      <c r="D16" s="134">
        <f>'Parameter Values'!D239</f>
        <v>4.1000000000000002E-2</v>
      </c>
    </row>
    <row r="17" spans="1:53" x14ac:dyDescent="0.35">
      <c r="A17" s="38" t="s">
        <v>203</v>
      </c>
    </row>
    <row r="18" spans="1:53" ht="15" thickBot="1" x14ac:dyDescent="0.4">
      <c r="A18" s="95" t="s">
        <v>254</v>
      </c>
    </row>
    <row r="19" spans="1:53" x14ac:dyDescent="0.35">
      <c r="A19" s="105" t="s">
        <v>4</v>
      </c>
      <c r="B19" s="106" t="s">
        <v>250</v>
      </c>
      <c r="F19" s="10" t="s">
        <v>159</v>
      </c>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2"/>
    </row>
    <row r="20" spans="1:53" x14ac:dyDescent="0.35">
      <c r="A20" s="6">
        <f>'Project Information'!$B$9</f>
        <v>2033</v>
      </c>
      <c r="B20" s="156">
        <v>0</v>
      </c>
      <c r="F20" s="13"/>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s="14"/>
    </row>
    <row r="21" spans="1:53" x14ac:dyDescent="0.35">
      <c r="A21" s="1">
        <f>IF(A20&lt;'Project Information'!B$11,A20+1,"")</f>
        <v>2034</v>
      </c>
      <c r="B21" s="156">
        <v>0</v>
      </c>
      <c r="F21" s="13"/>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s="14"/>
    </row>
    <row r="22" spans="1:53" x14ac:dyDescent="0.35">
      <c r="A22" s="1">
        <f>IF(A21&lt;'Project Information'!B$11,A21+1,"")</f>
        <v>2035</v>
      </c>
      <c r="B22" s="156">
        <v>0</v>
      </c>
      <c r="F22" s="13"/>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s="14"/>
    </row>
    <row r="23" spans="1:53" x14ac:dyDescent="0.35">
      <c r="A23" s="1">
        <f>IF(A22&lt;'Project Information'!B$11,A22+1,"")</f>
        <v>2036</v>
      </c>
      <c r="B23" s="156">
        <v>0</v>
      </c>
      <c r="F23" s="1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s="14"/>
    </row>
    <row r="24" spans="1:53" x14ac:dyDescent="0.35">
      <c r="A24" s="1">
        <f>IF(A23&lt;'Project Information'!B$11,A23+1,"")</f>
        <v>2037</v>
      </c>
      <c r="B24" s="156">
        <v>0</v>
      </c>
      <c r="F24" s="13"/>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s="14"/>
    </row>
    <row r="25" spans="1:53" x14ac:dyDescent="0.35">
      <c r="A25" s="1">
        <f>IF(A24&lt;'Project Information'!B$11,A24+1,"")</f>
        <v>2038</v>
      </c>
      <c r="B25" s="156">
        <v>0</v>
      </c>
      <c r="F25" s="13"/>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s="14"/>
    </row>
    <row r="26" spans="1:53" x14ac:dyDescent="0.35">
      <c r="A26" s="1">
        <f>IF(A25&lt;'Project Information'!B$11,A25+1,"")</f>
        <v>2039</v>
      </c>
      <c r="B26" s="156">
        <v>0</v>
      </c>
      <c r="F26" s="13"/>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s="14"/>
    </row>
    <row r="27" spans="1:53" x14ac:dyDescent="0.35">
      <c r="A27" s="1">
        <f>IF(A26&lt;'Project Information'!B$11,A26+1,"")</f>
        <v>2040</v>
      </c>
      <c r="B27" s="156">
        <v>0</v>
      </c>
      <c r="F27" s="13"/>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s="14"/>
    </row>
    <row r="28" spans="1:53" x14ac:dyDescent="0.35">
      <c r="A28" s="1">
        <f>IF(A27&lt;'Project Information'!B$11,A27+1,"")</f>
        <v>2041</v>
      </c>
      <c r="B28" s="156">
        <v>0</v>
      </c>
      <c r="F28" s="13"/>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s="14"/>
    </row>
    <row r="29" spans="1:53" x14ac:dyDescent="0.35">
      <c r="A29" s="1">
        <f>IF(A28&lt;'Project Information'!B$11,A28+1,"")</f>
        <v>2042</v>
      </c>
      <c r="B29" s="156">
        <v>0</v>
      </c>
      <c r="F29" s="13"/>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s="14"/>
    </row>
    <row r="30" spans="1:53" x14ac:dyDescent="0.35">
      <c r="A30" s="1">
        <f>IF(A29&lt;'Project Information'!B$11,A29+1,"")</f>
        <v>2043</v>
      </c>
      <c r="B30" s="156">
        <v>0</v>
      </c>
      <c r="F30" s="13"/>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s="14"/>
    </row>
    <row r="31" spans="1:53" x14ac:dyDescent="0.35">
      <c r="A31" s="1">
        <f>IF(A30&lt;'Project Information'!B$11,A30+1,"")</f>
        <v>2044</v>
      </c>
      <c r="B31" s="156">
        <v>0</v>
      </c>
      <c r="F31" s="13"/>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s="14"/>
    </row>
    <row r="32" spans="1:53" x14ac:dyDescent="0.35">
      <c r="A32" s="1">
        <f>IF(A31&lt;'Project Information'!B$11,A31+1,"")</f>
        <v>2045</v>
      </c>
      <c r="B32" s="156">
        <v>0</v>
      </c>
      <c r="F32" s="13"/>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s="14"/>
    </row>
    <row r="33" spans="1:53" x14ac:dyDescent="0.35">
      <c r="A33" s="1">
        <f>IF(A32&lt;'Project Information'!B$11,A32+1,"")</f>
        <v>2046</v>
      </c>
      <c r="B33" s="156">
        <v>0</v>
      </c>
      <c r="F33" s="1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s="14"/>
    </row>
    <row r="34" spans="1:53" x14ac:dyDescent="0.35">
      <c r="A34" s="1">
        <f>IF(A33&lt;'Project Information'!B$11,A33+1,"")</f>
        <v>2047</v>
      </c>
      <c r="B34" s="156">
        <v>0</v>
      </c>
      <c r="F34" s="13"/>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s="14"/>
    </row>
    <row r="35" spans="1:53" x14ac:dyDescent="0.35">
      <c r="A35" s="1">
        <f>IF(A34&lt;'Project Information'!B$11,A34+1,"")</f>
        <v>2048</v>
      </c>
      <c r="B35" s="156">
        <v>0</v>
      </c>
      <c r="F35" s="13"/>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s="14"/>
    </row>
    <row r="36" spans="1:53" x14ac:dyDescent="0.35">
      <c r="A36" s="1">
        <f>IF(A35&lt;'Project Information'!B$11,A35+1,"")</f>
        <v>2049</v>
      </c>
      <c r="B36" s="156">
        <v>0</v>
      </c>
      <c r="F36" s="13"/>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s="14"/>
    </row>
    <row r="37" spans="1:53" x14ac:dyDescent="0.35">
      <c r="A37" s="1">
        <f>IF(A36&lt;'Project Information'!B$11,A36+1,"")</f>
        <v>2050</v>
      </c>
      <c r="B37" s="156">
        <v>0</v>
      </c>
      <c r="F37" s="13"/>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s="14"/>
    </row>
    <row r="38" spans="1:53" x14ac:dyDescent="0.35">
      <c r="A38" s="1">
        <f>IF(A37&lt;'Project Information'!B$11,A37+1,"")</f>
        <v>2051</v>
      </c>
      <c r="B38" s="156">
        <v>0</v>
      </c>
      <c r="F38" s="13"/>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s="14"/>
    </row>
    <row r="39" spans="1:53" x14ac:dyDescent="0.35">
      <c r="A39" s="1">
        <f>IF(A38&lt;'Project Information'!B$11,A38+1,"")</f>
        <v>2052</v>
      </c>
      <c r="B39" s="156">
        <v>0</v>
      </c>
      <c r="F39" s="13"/>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s="14"/>
    </row>
    <row r="40" spans="1:53" x14ac:dyDescent="0.35">
      <c r="A40" s="1">
        <f>IF(A39&lt;'Project Information'!B$11,A39+1,"")</f>
        <v>2053</v>
      </c>
      <c r="B40" s="156">
        <v>0</v>
      </c>
      <c r="F40" s="13"/>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s="14"/>
    </row>
    <row r="41" spans="1:53" x14ac:dyDescent="0.35">
      <c r="A41" s="1">
        <f>IF(A40&lt;'Project Information'!B$11,A40+1,"")</f>
        <v>2054</v>
      </c>
      <c r="B41" s="156">
        <v>0</v>
      </c>
      <c r="F41" s="13"/>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s="14"/>
    </row>
    <row r="42" spans="1:53" x14ac:dyDescent="0.35">
      <c r="A42" s="1">
        <f>IF(A41&lt;'Project Information'!B$11,A41+1,"")</f>
        <v>2055</v>
      </c>
      <c r="B42" s="156">
        <v>0</v>
      </c>
      <c r="F42" s="13"/>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s="14"/>
    </row>
    <row r="43" spans="1:53" x14ac:dyDescent="0.35">
      <c r="A43" s="1">
        <f>IF(A42&lt;'Project Information'!B$11,A42+1,"")</f>
        <v>2056</v>
      </c>
      <c r="B43" s="156">
        <v>0</v>
      </c>
      <c r="F43" s="1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s="14"/>
    </row>
    <row r="44" spans="1:53" x14ac:dyDescent="0.35">
      <c r="A44" s="1">
        <f>IF(A43&lt;'Project Information'!B$11,A43+1,"")</f>
        <v>2057</v>
      </c>
      <c r="B44" s="156">
        <v>0</v>
      </c>
      <c r="F44" s="13"/>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s="14"/>
    </row>
    <row r="45" spans="1:53" x14ac:dyDescent="0.35">
      <c r="A45" s="1">
        <f>IF(A44&lt;'Project Information'!B$11,A44+1,"")</f>
        <v>2058</v>
      </c>
      <c r="B45" s="156">
        <v>0</v>
      </c>
      <c r="F45" s="13"/>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s="14"/>
    </row>
    <row r="46" spans="1:53" x14ac:dyDescent="0.35">
      <c r="A46" s="1">
        <f>IF(A45&lt;'Project Information'!B$11,A45+1,"")</f>
        <v>2059</v>
      </c>
      <c r="B46" s="156">
        <v>0</v>
      </c>
      <c r="F46" s="13"/>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s="14"/>
    </row>
    <row r="47" spans="1:53" x14ac:dyDescent="0.35">
      <c r="A47" s="1">
        <f>IF(A46&lt;'Project Information'!B$11,A46+1,"")</f>
        <v>2060</v>
      </c>
      <c r="B47" s="156">
        <v>0</v>
      </c>
      <c r="F47" s="13"/>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s="14"/>
    </row>
    <row r="48" spans="1:53" x14ac:dyDescent="0.35">
      <c r="A48" s="1">
        <f>IF(A47&lt;'Project Information'!B$11,A47+1,"")</f>
        <v>2061</v>
      </c>
      <c r="B48" s="156">
        <v>0</v>
      </c>
      <c r="F48" s="13"/>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s="14"/>
    </row>
    <row r="49" spans="1:53" x14ac:dyDescent="0.35">
      <c r="A49" s="2">
        <f>IF(A48&lt;'Project Information'!B$11,A48+1,"")</f>
        <v>2062</v>
      </c>
      <c r="B49" s="117">
        <v>0</v>
      </c>
      <c r="F49" s="13"/>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s="14"/>
    </row>
    <row r="50" spans="1:53" x14ac:dyDescent="0.35">
      <c r="F50" s="13"/>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s="14"/>
    </row>
    <row r="51" spans="1:53" x14ac:dyDescent="0.35">
      <c r="F51" s="13"/>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s="14"/>
    </row>
    <row r="52" spans="1:53" x14ac:dyDescent="0.35">
      <c r="F52" s="13"/>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s="14"/>
    </row>
    <row r="53" spans="1:53" x14ac:dyDescent="0.35">
      <c r="F53" s="1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s="14"/>
    </row>
    <row r="54" spans="1:53" x14ac:dyDescent="0.35">
      <c r="F54" s="13"/>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s="14"/>
    </row>
    <row r="55" spans="1:53" x14ac:dyDescent="0.35">
      <c r="F55" s="13"/>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s="14"/>
    </row>
    <row r="56" spans="1:53" x14ac:dyDescent="0.35">
      <c r="F56" s="13"/>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s="14"/>
    </row>
    <row r="57" spans="1:53" x14ac:dyDescent="0.35">
      <c r="F57" s="13"/>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s="14"/>
    </row>
    <row r="58" spans="1:53" x14ac:dyDescent="0.35">
      <c r="F58" s="13"/>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s="14"/>
    </row>
    <row r="59" spans="1:53" x14ac:dyDescent="0.35">
      <c r="F59" s="13"/>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s="14"/>
    </row>
    <row r="60" spans="1:53" x14ac:dyDescent="0.35">
      <c r="F60" s="13"/>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s="14"/>
    </row>
    <row r="61" spans="1:53" x14ac:dyDescent="0.35">
      <c r="F61" s="13"/>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s="14"/>
    </row>
    <row r="62" spans="1:53" x14ac:dyDescent="0.35">
      <c r="F62" s="13"/>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s="14"/>
    </row>
    <row r="63" spans="1:53" x14ac:dyDescent="0.35">
      <c r="F63" s="1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s="14"/>
    </row>
    <row r="64" spans="1:53" x14ac:dyDescent="0.35">
      <c r="F64" s="13"/>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s="14"/>
    </row>
    <row r="65" spans="6:53" x14ac:dyDescent="0.35">
      <c r="F65" s="13"/>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s="14"/>
    </row>
    <row r="66" spans="6:53" x14ac:dyDescent="0.35">
      <c r="F66" s="13"/>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s="14"/>
    </row>
    <row r="67" spans="6:53" x14ac:dyDescent="0.35">
      <c r="F67" s="13"/>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s="14"/>
    </row>
    <row r="68" spans="6:53" x14ac:dyDescent="0.35">
      <c r="F68" s="13"/>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s="14"/>
    </row>
    <row r="69" spans="6:53" x14ac:dyDescent="0.35">
      <c r="F69" s="13"/>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s="14"/>
    </row>
    <row r="70" spans="6:53" x14ac:dyDescent="0.35">
      <c r="F70" s="13"/>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s="14"/>
    </row>
    <row r="71" spans="6:53" x14ac:dyDescent="0.35">
      <c r="F71" s="13"/>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s="14"/>
    </row>
    <row r="72" spans="6:53" x14ac:dyDescent="0.35">
      <c r="F72" s="13"/>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s="14"/>
    </row>
    <row r="73" spans="6:53" x14ac:dyDescent="0.35">
      <c r="F73" s="1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s="14"/>
    </row>
    <row r="74" spans="6:53" x14ac:dyDescent="0.35">
      <c r="F74" s="13"/>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s="14"/>
    </row>
    <row r="75" spans="6:53" x14ac:dyDescent="0.35">
      <c r="F75" s="13"/>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s="14"/>
    </row>
    <row r="76" spans="6:53" x14ac:dyDescent="0.35">
      <c r="F76" s="13"/>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s="14"/>
    </row>
    <row r="77" spans="6:53" x14ac:dyDescent="0.35">
      <c r="F77" s="13"/>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s="14"/>
    </row>
    <row r="78" spans="6:53" x14ac:dyDescent="0.35">
      <c r="F78" s="13"/>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s="14"/>
    </row>
    <row r="79" spans="6:53" x14ac:dyDescent="0.35">
      <c r="F79" s="13"/>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s="14"/>
    </row>
    <row r="80" spans="6:53" x14ac:dyDescent="0.35">
      <c r="F80" s="13"/>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s="14"/>
    </row>
    <row r="81" spans="6:53" x14ac:dyDescent="0.35">
      <c r="F81" s="13"/>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s="14"/>
    </row>
    <row r="82" spans="6:53" x14ac:dyDescent="0.35">
      <c r="F82" s="13"/>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s="14"/>
    </row>
    <row r="83" spans="6:53" x14ac:dyDescent="0.35">
      <c r="F83" s="1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s="14"/>
    </row>
    <row r="84" spans="6:53" x14ac:dyDescent="0.35">
      <c r="F84" s="13"/>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s="14"/>
    </row>
    <row r="85" spans="6:53" x14ac:dyDescent="0.35">
      <c r="F85" s="13"/>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s="14"/>
    </row>
    <row r="86" spans="6:53" x14ac:dyDescent="0.35">
      <c r="F86" s="13"/>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s="14"/>
    </row>
    <row r="87" spans="6:53" x14ac:dyDescent="0.35">
      <c r="F87" s="13"/>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s="14"/>
    </row>
    <row r="88" spans="6:53" x14ac:dyDescent="0.35">
      <c r="F88" s="13"/>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s="14"/>
    </row>
    <row r="89" spans="6:53" x14ac:dyDescent="0.35">
      <c r="F89" s="13"/>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s="14"/>
    </row>
    <row r="90" spans="6:53" x14ac:dyDescent="0.35">
      <c r="F90" s="13"/>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s="14"/>
    </row>
    <row r="91" spans="6:53" x14ac:dyDescent="0.35">
      <c r="F91" s="13"/>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s="14"/>
    </row>
    <row r="92" spans="6:53" x14ac:dyDescent="0.35">
      <c r="F92" s="13"/>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s="14"/>
    </row>
    <row r="93" spans="6:53" x14ac:dyDescent="0.35">
      <c r="F93" s="1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s="14"/>
    </row>
    <row r="94" spans="6:53" x14ac:dyDescent="0.35">
      <c r="F94" s="13"/>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s="14"/>
    </row>
    <row r="95" spans="6:53" x14ac:dyDescent="0.35">
      <c r="F95" s="13"/>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s="14"/>
    </row>
    <row r="96" spans="6:53" x14ac:dyDescent="0.35">
      <c r="F96" s="13"/>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s="14"/>
    </row>
    <row r="97" spans="6:53" x14ac:dyDescent="0.35">
      <c r="F97" s="13"/>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s="14"/>
    </row>
    <row r="98" spans="6:53" x14ac:dyDescent="0.35">
      <c r="F98" s="13"/>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s="14"/>
    </row>
    <row r="99" spans="6:53" ht="15" thickBot="1" x14ac:dyDescent="0.4">
      <c r="F99" s="15"/>
      <c r="G99" s="16"/>
      <c r="H99" s="16"/>
      <c r="I99" s="16"/>
      <c r="J99" s="16"/>
      <c r="K99" s="16"/>
      <c r="L99" s="16"/>
      <c r="M99" s="16"/>
      <c r="N99" s="16"/>
      <c r="O99" s="16"/>
      <c r="P99" s="16"/>
      <c r="Q99" s="16"/>
      <c r="R99" s="16"/>
      <c r="S99" s="16"/>
      <c r="T99" s="16"/>
      <c r="U99" s="16"/>
      <c r="V99" s="16"/>
      <c r="W99" s="16"/>
      <c r="X99" s="16"/>
      <c r="Y99" s="16"/>
      <c r="Z99" s="16"/>
      <c r="AA99" s="16"/>
      <c r="AB99" s="16"/>
      <c r="AC99" s="16"/>
      <c r="AD99" s="16"/>
      <c r="AE99" s="16"/>
      <c r="AF99" s="16"/>
      <c r="AG99" s="16"/>
      <c r="AH99" s="16"/>
      <c r="AI99" s="16"/>
      <c r="AJ99" s="16"/>
      <c r="AK99" s="16"/>
      <c r="AL99" s="16"/>
      <c r="AM99" s="16"/>
      <c r="AN99" s="16"/>
      <c r="AO99" s="16"/>
      <c r="AP99" s="16"/>
      <c r="AQ99" s="16"/>
      <c r="AR99" s="16"/>
      <c r="AS99" s="16"/>
      <c r="AT99" s="16"/>
      <c r="AU99" s="16"/>
      <c r="AV99" s="16"/>
      <c r="AW99" s="16"/>
      <c r="AX99" s="16"/>
      <c r="AY99" s="16"/>
      <c r="AZ99" s="16"/>
      <c r="BA99" s="17"/>
    </row>
  </sheetData>
  <conditionalFormatting sqref="B20:B49">
    <cfRule type="expression" dxfId="7" priority="1">
      <formula>A20=""</formula>
    </cfRule>
  </conditionalFormatting>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582A7-60FE-4049-9E01-0156D8D060ED}">
  <sheetPr>
    <tabColor theme="9" tint="0.39997558519241921"/>
  </sheetPr>
  <dimension ref="A1:AZ90"/>
  <sheetViews>
    <sheetView workbookViewId="0"/>
    <sheetView workbookViewId="1"/>
  </sheetViews>
  <sheetFormatPr defaultColWidth="9.1796875" defaultRowHeight="14.5" x14ac:dyDescent="0.35"/>
  <cols>
    <col min="1" max="1" width="26.453125" style="5" customWidth="1"/>
    <col min="2" max="2" width="28.81640625" style="5" customWidth="1"/>
    <col min="3" max="16384" width="9.1796875" style="5"/>
  </cols>
  <sheetData>
    <row r="1" spans="1:52" ht="20" thickBot="1" x14ac:dyDescent="0.5">
      <c r="A1" s="94" t="s">
        <v>12</v>
      </c>
    </row>
    <row r="2" spans="1:52" ht="15" thickTop="1" x14ac:dyDescent="0.35">
      <c r="A2" s="144" t="s">
        <v>237</v>
      </c>
      <c r="B2" s="144"/>
      <c r="C2" s="144"/>
      <c r="D2" s="144"/>
      <c r="E2" s="144"/>
      <c r="F2" s="144"/>
      <c r="G2" s="144"/>
      <c r="H2" s="144"/>
      <c r="I2" s="144"/>
      <c r="J2" s="144"/>
      <c r="K2" s="144"/>
    </row>
    <row r="3" spans="1:52" x14ac:dyDescent="0.35">
      <c r="A3" s="5" t="s">
        <v>203</v>
      </c>
    </row>
    <row r="4" spans="1:52" x14ac:dyDescent="0.35">
      <c r="A4" s="145" t="s">
        <v>344</v>
      </c>
      <c r="B4" s="144"/>
      <c r="C4" s="144"/>
      <c r="D4" s="144"/>
      <c r="E4" s="144"/>
      <c r="F4" s="144"/>
      <c r="G4" s="144"/>
      <c r="H4" s="144"/>
      <c r="I4" s="144"/>
      <c r="J4" s="144"/>
      <c r="K4" s="144"/>
      <c r="L4" s="144"/>
      <c r="M4" s="144"/>
      <c r="N4" s="144"/>
    </row>
    <row r="5" spans="1:52" x14ac:dyDescent="0.35">
      <c r="A5" s="38" t="s">
        <v>203</v>
      </c>
    </row>
    <row r="6" spans="1:52" x14ac:dyDescent="0.35">
      <c r="A6" s="145" t="s">
        <v>245</v>
      </c>
      <c r="B6" s="144"/>
      <c r="C6" s="144"/>
      <c r="D6" s="144"/>
      <c r="E6" s="144"/>
    </row>
    <row r="7" spans="1:52" x14ac:dyDescent="0.35">
      <c r="A7" s="145" t="s">
        <v>246</v>
      </c>
      <c r="B7" s="144"/>
      <c r="C7" s="144"/>
      <c r="D7" s="144"/>
      <c r="E7" s="144"/>
      <c r="F7" s="144"/>
      <c r="G7" s="144"/>
      <c r="H7" s="144"/>
    </row>
    <row r="8" spans="1:52" x14ac:dyDescent="0.35">
      <c r="A8" s="5" t="s">
        <v>203</v>
      </c>
    </row>
    <row r="9" spans="1:52" ht="15" thickBot="1" x14ac:dyDescent="0.4">
      <c r="A9" s="95" t="s">
        <v>242</v>
      </c>
    </row>
    <row r="10" spans="1:52" x14ac:dyDescent="0.35">
      <c r="A10" s="105" t="s">
        <v>4</v>
      </c>
      <c r="B10" s="106" t="s">
        <v>12</v>
      </c>
      <c r="E10" s="10" t="s">
        <v>159</v>
      </c>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2"/>
    </row>
    <row r="11" spans="1:52" x14ac:dyDescent="0.35">
      <c r="A11" s="6">
        <f>'Project Information'!$B$9</f>
        <v>2033</v>
      </c>
      <c r="B11" s="156">
        <v>0</v>
      </c>
      <c r="E11" s="13"/>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s="14"/>
    </row>
    <row r="12" spans="1:52" x14ac:dyDescent="0.35">
      <c r="A12" s="1">
        <f>IF(A11&lt;'Project Information'!B$11,A11+1,"")</f>
        <v>2034</v>
      </c>
      <c r="B12" s="156">
        <v>0</v>
      </c>
      <c r="E12" s="13"/>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s="14"/>
    </row>
    <row r="13" spans="1:52" x14ac:dyDescent="0.35">
      <c r="A13" s="1">
        <f>IF(A12&lt;'Project Information'!B$11,A12+1,"")</f>
        <v>2035</v>
      </c>
      <c r="B13" s="156">
        <v>0</v>
      </c>
      <c r="E13" s="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s="14"/>
    </row>
    <row r="14" spans="1:52" x14ac:dyDescent="0.35">
      <c r="A14" s="1">
        <f>IF(A13&lt;'Project Information'!B$11,A13+1,"")</f>
        <v>2036</v>
      </c>
      <c r="B14" s="156">
        <v>0</v>
      </c>
      <c r="E14" s="13"/>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s="14"/>
    </row>
    <row r="15" spans="1:52" x14ac:dyDescent="0.35">
      <c r="A15" s="1">
        <f>IF(A14&lt;'Project Information'!B$11,A14+1,"")</f>
        <v>2037</v>
      </c>
      <c r="B15" s="156">
        <v>0</v>
      </c>
      <c r="E15" s="13"/>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s="14"/>
    </row>
    <row r="16" spans="1:52" x14ac:dyDescent="0.35">
      <c r="A16" s="1">
        <f>IF(A15&lt;'Project Information'!B$11,A15+1,"")</f>
        <v>2038</v>
      </c>
      <c r="B16" s="156">
        <v>0</v>
      </c>
      <c r="E16" s="13"/>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s="14"/>
    </row>
    <row r="17" spans="1:52" x14ac:dyDescent="0.35">
      <c r="A17" s="1">
        <f>IF(A16&lt;'Project Information'!B$11,A16+1,"")</f>
        <v>2039</v>
      </c>
      <c r="B17" s="156">
        <v>0</v>
      </c>
      <c r="E17" s="13"/>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s="14"/>
    </row>
    <row r="18" spans="1:52" x14ac:dyDescent="0.35">
      <c r="A18" s="1">
        <f>IF(A17&lt;'Project Information'!B$11,A17+1,"")</f>
        <v>2040</v>
      </c>
      <c r="B18" s="156">
        <v>0</v>
      </c>
      <c r="E18" s="13"/>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s="14"/>
    </row>
    <row r="19" spans="1:52" x14ac:dyDescent="0.35">
      <c r="A19" s="1">
        <f>IF(A18&lt;'Project Information'!B$11,A18+1,"")</f>
        <v>2041</v>
      </c>
      <c r="B19" s="156">
        <v>0</v>
      </c>
      <c r="E19" s="13"/>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s="14"/>
    </row>
    <row r="20" spans="1:52" x14ac:dyDescent="0.35">
      <c r="A20" s="1">
        <f>IF(A19&lt;'Project Information'!B$11,A19+1,"")</f>
        <v>2042</v>
      </c>
      <c r="B20" s="156">
        <v>0</v>
      </c>
      <c r="E20" s="13"/>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s="14"/>
    </row>
    <row r="21" spans="1:52" x14ac:dyDescent="0.35">
      <c r="A21" s="1">
        <f>IF(A20&lt;'Project Information'!B$11,A20+1,"")</f>
        <v>2043</v>
      </c>
      <c r="B21" s="156">
        <v>0</v>
      </c>
      <c r="E21" s="13"/>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s="14"/>
    </row>
    <row r="22" spans="1:52" x14ac:dyDescent="0.35">
      <c r="A22" s="1">
        <f>IF(A21&lt;'Project Information'!B$11,A21+1,"")</f>
        <v>2044</v>
      </c>
      <c r="B22" s="156">
        <v>0</v>
      </c>
      <c r="E22" s="13"/>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s="14"/>
    </row>
    <row r="23" spans="1:52" x14ac:dyDescent="0.35">
      <c r="A23" s="1">
        <f>IF(A22&lt;'Project Information'!B$11,A22+1,"")</f>
        <v>2045</v>
      </c>
      <c r="B23" s="156">
        <v>0</v>
      </c>
      <c r="E23" s="1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s="14"/>
    </row>
    <row r="24" spans="1:52" x14ac:dyDescent="0.35">
      <c r="A24" s="1">
        <f>IF(A23&lt;'Project Information'!B$11,A23+1,"")</f>
        <v>2046</v>
      </c>
      <c r="B24" s="156">
        <v>0</v>
      </c>
      <c r="E24" s="13"/>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s="14"/>
    </row>
    <row r="25" spans="1:52" x14ac:dyDescent="0.35">
      <c r="A25" s="1">
        <f>IF(A24&lt;'Project Information'!B$11,A24+1,"")</f>
        <v>2047</v>
      </c>
      <c r="B25" s="156">
        <v>0</v>
      </c>
      <c r="E25" s="13"/>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s="14"/>
    </row>
    <row r="26" spans="1:52" x14ac:dyDescent="0.35">
      <c r="A26" s="1">
        <f>IF(A25&lt;'Project Information'!B$11,A25+1,"")</f>
        <v>2048</v>
      </c>
      <c r="B26" s="156">
        <v>0</v>
      </c>
      <c r="E26" s="13"/>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s="14"/>
    </row>
    <row r="27" spans="1:52" x14ac:dyDescent="0.35">
      <c r="A27" s="1">
        <f>IF(A26&lt;'Project Information'!B$11,A26+1,"")</f>
        <v>2049</v>
      </c>
      <c r="B27" s="156">
        <v>0</v>
      </c>
      <c r="E27" s="13"/>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s="14"/>
    </row>
    <row r="28" spans="1:52" x14ac:dyDescent="0.35">
      <c r="A28" s="1">
        <f>IF(A27&lt;'Project Information'!B$11,A27+1,"")</f>
        <v>2050</v>
      </c>
      <c r="B28" s="156">
        <v>0</v>
      </c>
      <c r="E28" s="13"/>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s="14"/>
    </row>
    <row r="29" spans="1:52" x14ac:dyDescent="0.35">
      <c r="A29" s="1">
        <f>IF(A28&lt;'Project Information'!B$11,A28+1,"")</f>
        <v>2051</v>
      </c>
      <c r="B29" s="156">
        <v>0</v>
      </c>
      <c r="E29" s="13"/>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s="14"/>
    </row>
    <row r="30" spans="1:52" x14ac:dyDescent="0.35">
      <c r="A30" s="1">
        <f>IF(A29&lt;'Project Information'!B$11,A29+1,"")</f>
        <v>2052</v>
      </c>
      <c r="B30" s="156">
        <v>0</v>
      </c>
      <c r="E30" s="13"/>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s="14"/>
    </row>
    <row r="31" spans="1:52" x14ac:dyDescent="0.35">
      <c r="A31" s="1">
        <f>IF(A30&lt;'Project Information'!B$11,A30+1,"")</f>
        <v>2053</v>
      </c>
      <c r="B31" s="156">
        <v>0</v>
      </c>
      <c r="E31" s="13"/>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s="14"/>
    </row>
    <row r="32" spans="1:52" x14ac:dyDescent="0.35">
      <c r="A32" s="1">
        <f>IF(A31&lt;'Project Information'!B$11,A31+1,"")</f>
        <v>2054</v>
      </c>
      <c r="B32" s="156">
        <v>0</v>
      </c>
      <c r="E32" s="13"/>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s="14"/>
    </row>
    <row r="33" spans="1:52" x14ac:dyDescent="0.35">
      <c r="A33" s="1">
        <f>IF(A32&lt;'Project Information'!B$11,A32+1,"")</f>
        <v>2055</v>
      </c>
      <c r="B33" s="156">
        <v>0</v>
      </c>
      <c r="E33" s="1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s="14"/>
    </row>
    <row r="34" spans="1:52" x14ac:dyDescent="0.35">
      <c r="A34" s="1">
        <f>IF(A33&lt;'Project Information'!B$11,A33+1,"")</f>
        <v>2056</v>
      </c>
      <c r="B34" s="156">
        <v>0</v>
      </c>
      <c r="E34" s="13"/>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s="14"/>
    </row>
    <row r="35" spans="1:52" x14ac:dyDescent="0.35">
      <c r="A35" s="1">
        <f>IF(A34&lt;'Project Information'!B$11,A34+1,"")</f>
        <v>2057</v>
      </c>
      <c r="B35" s="156">
        <v>0</v>
      </c>
      <c r="E35" s="13"/>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s="14"/>
    </row>
    <row r="36" spans="1:52" x14ac:dyDescent="0.35">
      <c r="A36" s="1">
        <f>IF(A35&lt;'Project Information'!B$11,A35+1,"")</f>
        <v>2058</v>
      </c>
      <c r="B36" s="156">
        <v>0</v>
      </c>
      <c r="E36" s="13"/>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s="14"/>
    </row>
    <row r="37" spans="1:52" x14ac:dyDescent="0.35">
      <c r="A37" s="1">
        <f>IF(A36&lt;'Project Information'!B$11,A36+1,"")</f>
        <v>2059</v>
      </c>
      <c r="B37" s="156">
        <v>0</v>
      </c>
      <c r="E37" s="13"/>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s="14"/>
    </row>
    <row r="38" spans="1:52" x14ac:dyDescent="0.35">
      <c r="A38" s="1">
        <f>IF(A37&lt;'Project Information'!B$11,A37+1,"")</f>
        <v>2060</v>
      </c>
      <c r="B38" s="156">
        <v>0</v>
      </c>
      <c r="E38" s="13"/>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s="14"/>
    </row>
    <row r="39" spans="1:52" x14ac:dyDescent="0.35">
      <c r="A39" s="1">
        <f>IF(A38&lt;'Project Information'!B$11,A38+1,"")</f>
        <v>2061</v>
      </c>
      <c r="B39" s="156">
        <v>0</v>
      </c>
      <c r="E39" s="13"/>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s="14"/>
    </row>
    <row r="40" spans="1:52" x14ac:dyDescent="0.35">
      <c r="A40" s="2">
        <f>IF(A39&lt;'Project Information'!B$11,A39+1,"")</f>
        <v>2062</v>
      </c>
      <c r="B40" s="117">
        <v>0</v>
      </c>
      <c r="E40" s="13"/>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s="14"/>
    </row>
    <row r="41" spans="1:52" x14ac:dyDescent="0.35">
      <c r="E41" s="13"/>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s="14"/>
    </row>
    <row r="42" spans="1:52" x14ac:dyDescent="0.35">
      <c r="E42" s="13"/>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s="14"/>
    </row>
    <row r="43" spans="1:52" x14ac:dyDescent="0.35">
      <c r="E43" s="1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s="14"/>
    </row>
    <row r="44" spans="1:52" x14ac:dyDescent="0.35">
      <c r="E44" s="13"/>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s="14"/>
    </row>
    <row r="45" spans="1:52" x14ac:dyDescent="0.35">
      <c r="E45" s="13"/>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s="14"/>
    </row>
    <row r="46" spans="1:52" x14ac:dyDescent="0.35">
      <c r="E46" s="13"/>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s="14"/>
    </row>
    <row r="47" spans="1:52" x14ac:dyDescent="0.35">
      <c r="E47" s="13"/>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s="14"/>
    </row>
    <row r="48" spans="1:52" x14ac:dyDescent="0.35">
      <c r="E48" s="13"/>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s="14"/>
    </row>
    <row r="49" spans="5:52" x14ac:dyDescent="0.35">
      <c r="E49" s="13"/>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s="14"/>
    </row>
    <row r="50" spans="5:52" x14ac:dyDescent="0.35">
      <c r="E50" s="13"/>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s="14"/>
    </row>
    <row r="51" spans="5:52" x14ac:dyDescent="0.35">
      <c r="E51" s="13"/>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s="14"/>
    </row>
    <row r="52" spans="5:52" x14ac:dyDescent="0.35">
      <c r="E52" s="13"/>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s="14"/>
    </row>
    <row r="53" spans="5:52" x14ac:dyDescent="0.35">
      <c r="E53" s="1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s="14"/>
    </row>
    <row r="54" spans="5:52" x14ac:dyDescent="0.35">
      <c r="E54" s="13"/>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s="14"/>
    </row>
    <row r="55" spans="5:52" x14ac:dyDescent="0.35">
      <c r="E55" s="13"/>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s="14"/>
    </row>
    <row r="56" spans="5:52" x14ac:dyDescent="0.35">
      <c r="E56" s="13"/>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s="14"/>
    </row>
    <row r="57" spans="5:52" x14ac:dyDescent="0.35">
      <c r="E57" s="13"/>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s="14"/>
    </row>
    <row r="58" spans="5:52" x14ac:dyDescent="0.35">
      <c r="E58" s="13"/>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s="14"/>
    </row>
    <row r="59" spans="5:52" x14ac:dyDescent="0.35">
      <c r="E59" s="13"/>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s="14"/>
    </row>
    <row r="60" spans="5:52" x14ac:dyDescent="0.35">
      <c r="E60" s="13"/>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s="14"/>
    </row>
    <row r="61" spans="5:52" x14ac:dyDescent="0.35">
      <c r="E61" s="13"/>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s="14"/>
    </row>
    <row r="62" spans="5:52" x14ac:dyDescent="0.35">
      <c r="E62" s="13"/>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s="14"/>
    </row>
    <row r="63" spans="5:52" x14ac:dyDescent="0.35">
      <c r="E63" s="1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s="14"/>
    </row>
    <row r="64" spans="5:52" x14ac:dyDescent="0.35">
      <c r="E64" s="13"/>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s="14"/>
    </row>
    <row r="65" spans="5:52" x14ac:dyDescent="0.35">
      <c r="E65" s="13"/>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s="14"/>
    </row>
    <row r="66" spans="5:52" x14ac:dyDescent="0.35">
      <c r="E66" s="13"/>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s="14"/>
    </row>
    <row r="67" spans="5:52" x14ac:dyDescent="0.35">
      <c r="E67" s="13"/>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s="14"/>
    </row>
    <row r="68" spans="5:52" x14ac:dyDescent="0.35">
      <c r="E68" s="13"/>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s="14"/>
    </row>
    <row r="69" spans="5:52" x14ac:dyDescent="0.35">
      <c r="E69" s="13"/>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s="14"/>
    </row>
    <row r="70" spans="5:52" x14ac:dyDescent="0.35">
      <c r="E70" s="13"/>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s="14"/>
    </row>
    <row r="71" spans="5:52" x14ac:dyDescent="0.35">
      <c r="E71" s="13"/>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s="14"/>
    </row>
    <row r="72" spans="5:52" x14ac:dyDescent="0.35">
      <c r="E72" s="13"/>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s="14"/>
    </row>
    <row r="73" spans="5:52" x14ac:dyDescent="0.35">
      <c r="E73" s="1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s="14"/>
    </row>
    <row r="74" spans="5:52" x14ac:dyDescent="0.35">
      <c r="E74" s="13"/>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s="14"/>
    </row>
    <row r="75" spans="5:52" x14ac:dyDescent="0.35">
      <c r="E75" s="13"/>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s="14"/>
    </row>
    <row r="76" spans="5:52" x14ac:dyDescent="0.35">
      <c r="E76" s="13"/>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s="14"/>
    </row>
    <row r="77" spans="5:52" x14ac:dyDescent="0.35">
      <c r="E77" s="13"/>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s="14"/>
    </row>
    <row r="78" spans="5:52" x14ac:dyDescent="0.35">
      <c r="E78" s="13"/>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s="14"/>
    </row>
    <row r="79" spans="5:52" x14ac:dyDescent="0.35">
      <c r="E79" s="13"/>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s="14"/>
    </row>
    <row r="80" spans="5:52" x14ac:dyDescent="0.35">
      <c r="E80" s="13"/>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s="14"/>
    </row>
    <row r="81" spans="5:52" x14ac:dyDescent="0.35">
      <c r="E81" s="13"/>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s="14"/>
    </row>
    <row r="82" spans="5:52" x14ac:dyDescent="0.35">
      <c r="E82" s="13"/>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s="14"/>
    </row>
    <row r="83" spans="5:52" x14ac:dyDescent="0.35">
      <c r="E83" s="1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s="14"/>
    </row>
    <row r="84" spans="5:52" x14ac:dyDescent="0.35">
      <c r="E84" s="13"/>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s="14"/>
    </row>
    <row r="85" spans="5:52" x14ac:dyDescent="0.35">
      <c r="E85" s="13"/>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s="14"/>
    </row>
    <row r="86" spans="5:52" x14ac:dyDescent="0.35">
      <c r="E86" s="13"/>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s="14"/>
    </row>
    <row r="87" spans="5:52" x14ac:dyDescent="0.35">
      <c r="E87" s="13"/>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s="14"/>
    </row>
    <row r="88" spans="5:52" x14ac:dyDescent="0.35">
      <c r="E88" s="13"/>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s="14"/>
    </row>
    <row r="89" spans="5:52" x14ac:dyDescent="0.35">
      <c r="E89" s="13"/>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s="14"/>
    </row>
    <row r="90" spans="5:52" ht="15" thickBot="1" x14ac:dyDescent="0.4">
      <c r="E90" s="15"/>
      <c r="F90" s="16"/>
      <c r="G90" s="16"/>
      <c r="H90" s="16"/>
      <c r="I90" s="16"/>
      <c r="J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c r="AQ90" s="16"/>
      <c r="AR90" s="16"/>
      <c r="AS90" s="16"/>
      <c r="AT90" s="16"/>
      <c r="AU90" s="16"/>
      <c r="AV90" s="16"/>
      <c r="AW90" s="16"/>
      <c r="AX90" s="16"/>
      <c r="AY90" s="16"/>
      <c r="AZ90" s="17"/>
    </row>
  </sheetData>
  <conditionalFormatting sqref="B11:B40">
    <cfRule type="expression" dxfId="6" priority="1">
      <formula>A11=""</formula>
    </cfRule>
  </conditionalFormatting>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EE6D4-7F6C-4AC2-AF83-FF0176DC6AB8}">
  <sheetPr>
    <tabColor theme="9" tint="0.39997558519241921"/>
  </sheetPr>
  <dimension ref="A1:AZ94"/>
  <sheetViews>
    <sheetView workbookViewId="0"/>
    <sheetView workbookViewId="1"/>
  </sheetViews>
  <sheetFormatPr defaultColWidth="9.1796875" defaultRowHeight="14.5" x14ac:dyDescent="0.35"/>
  <cols>
    <col min="1" max="1" width="27.26953125" style="5" customWidth="1"/>
    <col min="2" max="2" width="40.7265625" style="5" customWidth="1"/>
    <col min="3" max="3" width="24.453125" style="5" customWidth="1"/>
    <col min="4" max="16384" width="9.1796875" style="5"/>
  </cols>
  <sheetData>
    <row r="1" spans="1:52" ht="20" thickBot="1" x14ac:dyDescent="0.5">
      <c r="A1" s="94" t="s">
        <v>11</v>
      </c>
    </row>
    <row r="2" spans="1:52" ht="15" thickTop="1" x14ac:dyDescent="0.35">
      <c r="A2" s="144" t="s">
        <v>237</v>
      </c>
      <c r="B2" s="144"/>
      <c r="C2" s="144"/>
      <c r="D2" s="144"/>
      <c r="E2" s="144"/>
      <c r="F2" s="144"/>
      <c r="G2" s="144"/>
      <c r="H2" s="144"/>
    </row>
    <row r="3" spans="1:52" x14ac:dyDescent="0.35">
      <c r="A3" s="5" t="s">
        <v>203</v>
      </c>
    </row>
    <row r="4" spans="1:52" x14ac:dyDescent="0.35">
      <c r="A4" s="145" t="s">
        <v>344</v>
      </c>
      <c r="B4" s="144"/>
      <c r="C4" s="144"/>
      <c r="D4" s="144"/>
      <c r="E4" s="144"/>
      <c r="F4" s="144"/>
      <c r="G4" s="144"/>
      <c r="H4" s="144"/>
      <c r="I4" s="144"/>
      <c r="J4" s="144"/>
      <c r="K4" s="144"/>
    </row>
    <row r="5" spans="1:52" x14ac:dyDescent="0.35">
      <c r="A5" s="38" t="s">
        <v>203</v>
      </c>
    </row>
    <row r="6" spans="1:52" x14ac:dyDescent="0.35">
      <c r="A6" s="95" t="s">
        <v>238</v>
      </c>
    </row>
    <row r="7" spans="1:52" ht="29" x14ac:dyDescent="0.35">
      <c r="A7" s="115" t="s">
        <v>133</v>
      </c>
      <c r="B7" s="115" t="s">
        <v>195</v>
      </c>
      <c r="C7" s="116" t="s">
        <v>347</v>
      </c>
    </row>
    <row r="8" spans="1:52" x14ac:dyDescent="0.35">
      <c r="A8" s="43" t="s">
        <v>196</v>
      </c>
      <c r="B8" s="43" t="str">
        <f>'Parameter Values'!B220</f>
        <v>Ages 20-74</v>
      </c>
      <c r="C8" s="44">
        <f>'Parameter Values'!C220</f>
        <v>8.36</v>
      </c>
    </row>
    <row r="9" spans="1:52" x14ac:dyDescent="0.35">
      <c r="A9" s="43" t="s">
        <v>197</v>
      </c>
      <c r="B9" s="43" t="str">
        <f>'Parameter Values'!B221</f>
        <v>Ages 20-64</v>
      </c>
      <c r="C9" s="44">
        <f>'Parameter Values'!C221</f>
        <v>7.45</v>
      </c>
    </row>
    <row r="10" spans="1:52" x14ac:dyDescent="0.35">
      <c r="A10" s="144" t="str">
        <f>RIGHT('Parameter Values'!A225,LEN('Parameter Values'!A225)-5)</f>
        <v>Absent more localized data on the proportion of the expected users falling into the age ranges above, applicants may apply a general assumption of 68% and 59% of overall induced trips falling into the walking and cycling age ranges, respectively, assuming a distribution matching the national average.</v>
      </c>
      <c r="B10" s="144"/>
      <c r="C10" s="144"/>
      <c r="D10" s="144"/>
      <c r="E10" s="144"/>
      <c r="F10" s="144"/>
      <c r="G10" s="144"/>
      <c r="H10" s="144"/>
      <c r="I10" s="144"/>
      <c r="J10" s="144"/>
      <c r="K10" s="144"/>
      <c r="L10" s="144"/>
      <c r="M10" s="144"/>
      <c r="N10" s="144"/>
      <c r="O10" s="144"/>
      <c r="P10" s="144"/>
      <c r="Q10" s="144"/>
      <c r="R10" s="144"/>
      <c r="S10" s="144"/>
      <c r="T10" s="144"/>
      <c r="U10" s="144"/>
      <c r="V10" s="144"/>
      <c r="W10" s="144"/>
    </row>
    <row r="11" spans="1:52" x14ac:dyDescent="0.35">
      <c r="A11" s="144" t="str">
        <f>RIGHT('Parameter Values'!A226,LEN('Parameter Values'!A226)-5)</f>
        <v xml:space="preserve">Applicants should ensure these monetization values are only applied to trips induced from non-active transportation modes within the relevant age ranges for each mode. Absent more localized data on the proportion of induced trips coming from non-active transportation modes, applicants may apply a general assumption of 89% of induced trips falling into that category, assuming a distribution matching the national average travel pattern. </v>
      </c>
      <c r="B11" s="144"/>
      <c r="C11" s="144"/>
      <c r="D11" s="144"/>
      <c r="E11" s="144"/>
      <c r="F11" s="144"/>
      <c r="G11" s="144"/>
      <c r="H11" s="144"/>
      <c r="I11" s="144"/>
      <c r="J11" s="144"/>
      <c r="K11" s="144"/>
      <c r="L11" s="144"/>
      <c r="M11" s="144"/>
      <c r="N11" s="144"/>
      <c r="O11" s="144"/>
      <c r="P11" s="144"/>
      <c r="Q11" s="144"/>
      <c r="R11" s="144"/>
      <c r="S11" s="144"/>
      <c r="T11" s="144"/>
      <c r="U11" s="144"/>
      <c r="V11" s="144"/>
      <c r="W11" s="144"/>
      <c r="X11" s="144"/>
      <c r="Y11" s="144"/>
      <c r="Z11" s="144"/>
      <c r="AA11" s="144"/>
      <c r="AB11" s="144"/>
      <c r="AC11" s="144"/>
      <c r="AD11" s="144"/>
      <c r="AE11" s="144"/>
      <c r="AF11" s="144"/>
      <c r="AG11" s="144"/>
      <c r="AH11" s="144"/>
      <c r="AI11" s="144"/>
      <c r="AJ11" s="144"/>
    </row>
    <row r="12" spans="1:52" x14ac:dyDescent="0.35">
      <c r="A12" s="38" t="s">
        <v>203</v>
      </c>
    </row>
    <row r="13" spans="1:52" ht="15" thickBot="1" x14ac:dyDescent="0.4">
      <c r="A13" s="95" t="s">
        <v>243</v>
      </c>
    </row>
    <row r="14" spans="1:52" x14ac:dyDescent="0.35">
      <c r="A14" s="105" t="s">
        <v>4</v>
      </c>
      <c r="B14" s="106" t="s">
        <v>11</v>
      </c>
      <c r="E14" s="10" t="s">
        <v>159</v>
      </c>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2"/>
    </row>
    <row r="15" spans="1:52" x14ac:dyDescent="0.35">
      <c r="A15" s="6">
        <f>'Project Information'!$B$9</f>
        <v>2033</v>
      </c>
      <c r="B15" s="156">
        <v>0</v>
      </c>
      <c r="E15" s="13"/>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s="14"/>
    </row>
    <row r="16" spans="1:52" x14ac:dyDescent="0.35">
      <c r="A16" s="1">
        <f>IF(A15&lt;'Project Information'!B$11,A15+1,"")</f>
        <v>2034</v>
      </c>
      <c r="B16" s="156">
        <v>0</v>
      </c>
      <c r="E16" s="13"/>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s="14"/>
    </row>
    <row r="17" spans="1:52" x14ac:dyDescent="0.35">
      <c r="A17" s="1">
        <f>IF(A16&lt;'Project Information'!B$11,A16+1,"")</f>
        <v>2035</v>
      </c>
      <c r="B17" s="156">
        <v>0</v>
      </c>
      <c r="E17" s="13"/>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s="14"/>
    </row>
    <row r="18" spans="1:52" x14ac:dyDescent="0.35">
      <c r="A18" s="1">
        <f>IF(A17&lt;'Project Information'!B$11,A17+1,"")</f>
        <v>2036</v>
      </c>
      <c r="B18" s="156">
        <v>0</v>
      </c>
      <c r="E18" s="13"/>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s="14"/>
    </row>
    <row r="19" spans="1:52" x14ac:dyDescent="0.35">
      <c r="A19" s="1">
        <f>IF(A18&lt;'Project Information'!B$11,A18+1,"")</f>
        <v>2037</v>
      </c>
      <c r="B19" s="156">
        <v>0</v>
      </c>
      <c r="E19" s="13"/>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s="14"/>
    </row>
    <row r="20" spans="1:52" x14ac:dyDescent="0.35">
      <c r="A20" s="1">
        <f>IF(A19&lt;'Project Information'!B$11,A19+1,"")</f>
        <v>2038</v>
      </c>
      <c r="B20" s="156">
        <v>0</v>
      </c>
      <c r="E20" s="13"/>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s="14"/>
    </row>
    <row r="21" spans="1:52" x14ac:dyDescent="0.35">
      <c r="A21" s="1">
        <f>IF(A20&lt;'Project Information'!B$11,A20+1,"")</f>
        <v>2039</v>
      </c>
      <c r="B21" s="156">
        <v>0</v>
      </c>
      <c r="E21" s="13"/>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s="14"/>
    </row>
    <row r="22" spans="1:52" x14ac:dyDescent="0.35">
      <c r="A22" s="1">
        <f>IF(A21&lt;'Project Information'!B$11,A21+1,"")</f>
        <v>2040</v>
      </c>
      <c r="B22" s="156">
        <v>0</v>
      </c>
      <c r="E22" s="13"/>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s="14"/>
    </row>
    <row r="23" spans="1:52" x14ac:dyDescent="0.35">
      <c r="A23" s="1">
        <f>IF(A22&lt;'Project Information'!B$11,A22+1,"")</f>
        <v>2041</v>
      </c>
      <c r="B23" s="156">
        <v>0</v>
      </c>
      <c r="E23" s="1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s="14"/>
    </row>
    <row r="24" spans="1:52" x14ac:dyDescent="0.35">
      <c r="A24" s="1">
        <f>IF(A23&lt;'Project Information'!B$11,A23+1,"")</f>
        <v>2042</v>
      </c>
      <c r="B24" s="156">
        <v>0</v>
      </c>
      <c r="E24" s="13"/>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s="14"/>
    </row>
    <row r="25" spans="1:52" x14ac:dyDescent="0.35">
      <c r="A25" s="1">
        <f>IF(A24&lt;'Project Information'!B$11,A24+1,"")</f>
        <v>2043</v>
      </c>
      <c r="B25" s="156">
        <v>0</v>
      </c>
      <c r="E25" s="13"/>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s="14"/>
    </row>
    <row r="26" spans="1:52" x14ac:dyDescent="0.35">
      <c r="A26" s="1">
        <f>IF(A25&lt;'Project Information'!B$11,A25+1,"")</f>
        <v>2044</v>
      </c>
      <c r="B26" s="156">
        <v>0</v>
      </c>
      <c r="E26" s="13"/>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s="14"/>
    </row>
    <row r="27" spans="1:52" x14ac:dyDescent="0.35">
      <c r="A27" s="1">
        <f>IF(A26&lt;'Project Information'!B$11,A26+1,"")</f>
        <v>2045</v>
      </c>
      <c r="B27" s="156">
        <v>0</v>
      </c>
      <c r="E27" s="13"/>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s="14"/>
    </row>
    <row r="28" spans="1:52" x14ac:dyDescent="0.35">
      <c r="A28" s="1">
        <f>IF(A27&lt;'Project Information'!B$11,A27+1,"")</f>
        <v>2046</v>
      </c>
      <c r="B28" s="156">
        <v>0</v>
      </c>
      <c r="E28" s="13"/>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s="14"/>
    </row>
    <row r="29" spans="1:52" x14ac:dyDescent="0.35">
      <c r="A29" s="1">
        <f>IF(A28&lt;'Project Information'!B$11,A28+1,"")</f>
        <v>2047</v>
      </c>
      <c r="B29" s="156">
        <v>0</v>
      </c>
      <c r="E29" s="13"/>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s="14"/>
    </row>
    <row r="30" spans="1:52" x14ac:dyDescent="0.35">
      <c r="A30" s="1">
        <f>IF(A29&lt;'Project Information'!B$11,A29+1,"")</f>
        <v>2048</v>
      </c>
      <c r="B30" s="156">
        <v>0</v>
      </c>
      <c r="E30" s="13"/>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s="14"/>
    </row>
    <row r="31" spans="1:52" x14ac:dyDescent="0.35">
      <c r="A31" s="1">
        <f>IF(A30&lt;'Project Information'!B$11,A30+1,"")</f>
        <v>2049</v>
      </c>
      <c r="B31" s="156">
        <v>0</v>
      </c>
      <c r="E31" s="13"/>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s="14"/>
    </row>
    <row r="32" spans="1:52" x14ac:dyDescent="0.35">
      <c r="A32" s="1">
        <f>IF(A31&lt;'Project Information'!B$11,A31+1,"")</f>
        <v>2050</v>
      </c>
      <c r="B32" s="156">
        <v>0</v>
      </c>
      <c r="E32" s="13"/>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s="14"/>
    </row>
    <row r="33" spans="1:52" x14ac:dyDescent="0.35">
      <c r="A33" s="1">
        <f>IF(A32&lt;'Project Information'!B$11,A32+1,"")</f>
        <v>2051</v>
      </c>
      <c r="B33" s="156">
        <v>0</v>
      </c>
      <c r="E33" s="1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s="14"/>
    </row>
    <row r="34" spans="1:52" x14ac:dyDescent="0.35">
      <c r="A34" s="1">
        <f>IF(A33&lt;'Project Information'!B$11,A33+1,"")</f>
        <v>2052</v>
      </c>
      <c r="B34" s="156">
        <v>0</v>
      </c>
      <c r="E34" s="13"/>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s="14"/>
    </row>
    <row r="35" spans="1:52" x14ac:dyDescent="0.35">
      <c r="A35" s="1">
        <f>IF(A34&lt;'Project Information'!B$11,A34+1,"")</f>
        <v>2053</v>
      </c>
      <c r="B35" s="156">
        <v>0</v>
      </c>
      <c r="E35" s="13"/>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s="14"/>
    </row>
    <row r="36" spans="1:52" x14ac:dyDescent="0.35">
      <c r="A36" s="1">
        <f>IF(A35&lt;'Project Information'!B$11,A35+1,"")</f>
        <v>2054</v>
      </c>
      <c r="B36" s="156">
        <v>0</v>
      </c>
      <c r="E36" s="13"/>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s="14"/>
    </row>
    <row r="37" spans="1:52" x14ac:dyDescent="0.35">
      <c r="A37" s="1">
        <f>IF(A36&lt;'Project Information'!B$11,A36+1,"")</f>
        <v>2055</v>
      </c>
      <c r="B37" s="156">
        <v>0</v>
      </c>
      <c r="E37" s="13"/>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s="14"/>
    </row>
    <row r="38" spans="1:52" x14ac:dyDescent="0.35">
      <c r="A38" s="1">
        <f>IF(A37&lt;'Project Information'!B$11,A37+1,"")</f>
        <v>2056</v>
      </c>
      <c r="B38" s="156">
        <v>0</v>
      </c>
      <c r="E38" s="13"/>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s="14"/>
    </row>
    <row r="39" spans="1:52" x14ac:dyDescent="0.35">
      <c r="A39" s="1">
        <f>IF(A38&lt;'Project Information'!B$11,A38+1,"")</f>
        <v>2057</v>
      </c>
      <c r="B39" s="156">
        <v>0</v>
      </c>
      <c r="E39" s="13"/>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s="14"/>
    </row>
    <row r="40" spans="1:52" x14ac:dyDescent="0.35">
      <c r="A40" s="1">
        <f>IF(A39&lt;'Project Information'!B$11,A39+1,"")</f>
        <v>2058</v>
      </c>
      <c r="B40" s="156">
        <v>0</v>
      </c>
      <c r="E40" s="13"/>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s="14"/>
    </row>
    <row r="41" spans="1:52" x14ac:dyDescent="0.35">
      <c r="A41" s="1">
        <f>IF(A40&lt;'Project Information'!B$11,A40+1,"")</f>
        <v>2059</v>
      </c>
      <c r="B41" s="156">
        <v>0</v>
      </c>
      <c r="E41" s="13"/>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s="14"/>
    </row>
    <row r="42" spans="1:52" x14ac:dyDescent="0.35">
      <c r="A42" s="1">
        <f>IF(A41&lt;'Project Information'!B$11,A41+1,"")</f>
        <v>2060</v>
      </c>
      <c r="B42" s="156">
        <v>0</v>
      </c>
      <c r="E42" s="13"/>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s="14"/>
    </row>
    <row r="43" spans="1:52" x14ac:dyDescent="0.35">
      <c r="A43" s="1">
        <f>IF(A42&lt;'Project Information'!B$11,A42+1,"")</f>
        <v>2061</v>
      </c>
      <c r="B43" s="156">
        <v>0</v>
      </c>
      <c r="E43" s="1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s="14"/>
    </row>
    <row r="44" spans="1:52" x14ac:dyDescent="0.35">
      <c r="A44" s="2">
        <f>IF(A43&lt;'Project Information'!B$11,A43+1,"")</f>
        <v>2062</v>
      </c>
      <c r="B44" s="117">
        <v>0</v>
      </c>
      <c r="E44" s="13"/>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s="14"/>
    </row>
    <row r="45" spans="1:52" x14ac:dyDescent="0.35">
      <c r="E45" s="13"/>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s="14"/>
    </row>
    <row r="46" spans="1:52" x14ac:dyDescent="0.35">
      <c r="E46" s="13"/>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s="14"/>
    </row>
    <row r="47" spans="1:52" x14ac:dyDescent="0.35">
      <c r="E47" s="13"/>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s="14"/>
    </row>
    <row r="48" spans="1:52" x14ac:dyDescent="0.35">
      <c r="E48" s="13"/>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s="14"/>
    </row>
    <row r="49" spans="5:52" x14ac:dyDescent="0.35">
      <c r="E49" s="13"/>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s="14"/>
    </row>
    <row r="50" spans="5:52" x14ac:dyDescent="0.35">
      <c r="E50" s="13"/>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s="14"/>
    </row>
    <row r="51" spans="5:52" x14ac:dyDescent="0.35">
      <c r="E51" s="13"/>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s="14"/>
    </row>
    <row r="52" spans="5:52" x14ac:dyDescent="0.35">
      <c r="E52" s="13"/>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s="14"/>
    </row>
    <row r="53" spans="5:52" x14ac:dyDescent="0.35">
      <c r="E53" s="1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s="14"/>
    </row>
    <row r="54" spans="5:52" x14ac:dyDescent="0.35">
      <c r="E54" s="13"/>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s="14"/>
    </row>
    <row r="55" spans="5:52" x14ac:dyDescent="0.35">
      <c r="E55" s="13"/>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s="14"/>
    </row>
    <row r="56" spans="5:52" x14ac:dyDescent="0.35">
      <c r="E56" s="13"/>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s="14"/>
    </row>
    <row r="57" spans="5:52" x14ac:dyDescent="0.35">
      <c r="E57" s="13"/>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s="14"/>
    </row>
    <row r="58" spans="5:52" x14ac:dyDescent="0.35">
      <c r="E58" s="13"/>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s="14"/>
    </row>
    <row r="59" spans="5:52" x14ac:dyDescent="0.35">
      <c r="E59" s="13"/>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s="14"/>
    </row>
    <row r="60" spans="5:52" x14ac:dyDescent="0.35">
      <c r="E60" s="13"/>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s="14"/>
    </row>
    <row r="61" spans="5:52" x14ac:dyDescent="0.35">
      <c r="E61" s="13"/>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s="14"/>
    </row>
    <row r="62" spans="5:52" x14ac:dyDescent="0.35">
      <c r="E62" s="13"/>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s="14"/>
    </row>
    <row r="63" spans="5:52" x14ac:dyDescent="0.35">
      <c r="E63" s="1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s="14"/>
    </row>
    <row r="64" spans="5:52" x14ac:dyDescent="0.35">
      <c r="E64" s="13"/>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s="14"/>
    </row>
    <row r="65" spans="5:52" x14ac:dyDescent="0.35">
      <c r="E65" s="13"/>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s="14"/>
    </row>
    <row r="66" spans="5:52" x14ac:dyDescent="0.35">
      <c r="E66" s="13"/>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s="14"/>
    </row>
    <row r="67" spans="5:52" x14ac:dyDescent="0.35">
      <c r="E67" s="13"/>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s="14"/>
    </row>
    <row r="68" spans="5:52" x14ac:dyDescent="0.35">
      <c r="E68" s="13"/>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s="14"/>
    </row>
    <row r="69" spans="5:52" x14ac:dyDescent="0.35">
      <c r="E69" s="13"/>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s="14"/>
    </row>
    <row r="70" spans="5:52" x14ac:dyDescent="0.35">
      <c r="E70" s="13"/>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s="14"/>
    </row>
    <row r="71" spans="5:52" x14ac:dyDescent="0.35">
      <c r="E71" s="13"/>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s="14"/>
    </row>
    <row r="72" spans="5:52" x14ac:dyDescent="0.35">
      <c r="E72" s="13"/>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s="14"/>
    </row>
    <row r="73" spans="5:52" x14ac:dyDescent="0.35">
      <c r="E73" s="1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s="14"/>
    </row>
    <row r="74" spans="5:52" x14ac:dyDescent="0.35">
      <c r="E74" s="13"/>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s="14"/>
    </row>
    <row r="75" spans="5:52" x14ac:dyDescent="0.35">
      <c r="E75" s="13"/>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s="14"/>
    </row>
    <row r="76" spans="5:52" x14ac:dyDescent="0.35">
      <c r="E76" s="13"/>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s="14"/>
    </row>
    <row r="77" spans="5:52" x14ac:dyDescent="0.35">
      <c r="E77" s="13"/>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s="14"/>
    </row>
    <row r="78" spans="5:52" x14ac:dyDescent="0.35">
      <c r="E78" s="13"/>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s="14"/>
    </row>
    <row r="79" spans="5:52" x14ac:dyDescent="0.35">
      <c r="E79" s="13"/>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s="14"/>
    </row>
    <row r="80" spans="5:52" x14ac:dyDescent="0.35">
      <c r="E80" s="13"/>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s="14"/>
    </row>
    <row r="81" spans="5:52" x14ac:dyDescent="0.35">
      <c r="E81" s="13"/>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s="14"/>
    </row>
    <row r="82" spans="5:52" x14ac:dyDescent="0.35">
      <c r="E82" s="13"/>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s="14"/>
    </row>
    <row r="83" spans="5:52" x14ac:dyDescent="0.35">
      <c r="E83" s="1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s="14"/>
    </row>
    <row r="84" spans="5:52" x14ac:dyDescent="0.35">
      <c r="E84" s="13"/>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s="14"/>
    </row>
    <row r="85" spans="5:52" x14ac:dyDescent="0.35">
      <c r="E85" s="13"/>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s="14"/>
    </row>
    <row r="86" spans="5:52" x14ac:dyDescent="0.35">
      <c r="E86" s="13"/>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s="14"/>
    </row>
    <row r="87" spans="5:52" x14ac:dyDescent="0.35">
      <c r="E87" s="13"/>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s="14"/>
    </row>
    <row r="88" spans="5:52" x14ac:dyDescent="0.35">
      <c r="E88" s="13"/>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s="14"/>
    </row>
    <row r="89" spans="5:52" x14ac:dyDescent="0.35">
      <c r="E89" s="13"/>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s="14"/>
    </row>
    <row r="90" spans="5:52" x14ac:dyDescent="0.35">
      <c r="E90" s="13"/>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s="14"/>
    </row>
    <row r="91" spans="5:52" x14ac:dyDescent="0.35">
      <c r="E91" s="13"/>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s="14"/>
    </row>
    <row r="92" spans="5:52" x14ac:dyDescent="0.35">
      <c r="E92" s="13"/>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s="14"/>
    </row>
    <row r="93" spans="5:52" x14ac:dyDescent="0.35">
      <c r="E93" s="1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s="14"/>
    </row>
    <row r="94" spans="5:52" ht="15" thickBot="1" x14ac:dyDescent="0.4">
      <c r="E94" s="15"/>
      <c r="F94" s="16"/>
      <c r="G94" s="16"/>
      <c r="H94" s="16"/>
      <c r="I94" s="16"/>
      <c r="J94" s="16"/>
      <c r="K94" s="16"/>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c r="AK94" s="16"/>
      <c r="AL94" s="16"/>
      <c r="AM94" s="16"/>
      <c r="AN94" s="16"/>
      <c r="AO94" s="16"/>
      <c r="AP94" s="16"/>
      <c r="AQ94" s="16"/>
      <c r="AR94" s="16"/>
      <c r="AS94" s="16"/>
      <c r="AT94" s="16"/>
      <c r="AU94" s="16"/>
      <c r="AV94" s="16"/>
      <c r="AW94" s="16"/>
      <c r="AX94" s="16"/>
      <c r="AY94" s="16"/>
      <c r="AZ94" s="17"/>
    </row>
  </sheetData>
  <conditionalFormatting sqref="B15:B44">
    <cfRule type="expression" dxfId="5" priority="1">
      <formula>A15=""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D83A3-84C4-49D8-9C9D-8A8599B94CD4}">
  <sheetPr>
    <tabColor rgb="FF002060"/>
  </sheetPr>
  <dimension ref="B2:G12"/>
  <sheetViews>
    <sheetView showGridLines="0" tabSelected="1" workbookViewId="0">
      <selection activeCell="B3" sqref="B3"/>
    </sheetView>
    <sheetView tabSelected="1" workbookViewId="1"/>
  </sheetViews>
  <sheetFormatPr defaultColWidth="8.7265625" defaultRowHeight="14.5" x14ac:dyDescent="0.35"/>
  <cols>
    <col min="1" max="1" width="8.7265625" style="212"/>
    <col min="2" max="2" width="26.453125" style="212" customWidth="1"/>
    <col min="3" max="3" width="14" style="212" customWidth="1"/>
    <col min="4" max="4" width="12.54296875" style="212" customWidth="1"/>
    <col min="5" max="5" width="12.1796875" style="212" customWidth="1"/>
    <col min="6" max="6" width="8.7265625" style="212"/>
    <col min="7" max="7" width="26.26953125" style="212" customWidth="1"/>
    <col min="8" max="16384" width="8.7265625" style="212"/>
  </cols>
  <sheetData>
    <row r="2" spans="2:7" ht="14.25" customHeight="1" x14ac:dyDescent="0.35">
      <c r="B2" s="210"/>
      <c r="C2" s="211"/>
      <c r="D2" s="344" t="s">
        <v>350</v>
      </c>
      <c r="E2" s="344"/>
    </row>
    <row r="3" spans="2:7" ht="36.75" customHeight="1" x14ac:dyDescent="0.35">
      <c r="B3" s="213"/>
      <c r="C3" s="214" t="s">
        <v>351</v>
      </c>
      <c r="D3" s="215" t="s">
        <v>352</v>
      </c>
      <c r="E3" s="216" t="s">
        <v>353</v>
      </c>
      <c r="G3" s="217" t="s">
        <v>354</v>
      </c>
    </row>
    <row r="4" spans="2:7" ht="14.25" customHeight="1" x14ac:dyDescent="0.35">
      <c r="B4" s="218" t="s">
        <v>5</v>
      </c>
      <c r="C4" s="219"/>
      <c r="E4" s="220">
        <f>-Summary!$C$56</f>
        <v>-86177614.658882141</v>
      </c>
      <c r="G4" s="221"/>
    </row>
    <row r="5" spans="2:7" ht="14.25" customHeight="1" x14ac:dyDescent="0.35">
      <c r="B5" s="218" t="s">
        <v>355</v>
      </c>
      <c r="C5" s="222">
        <f>-Summary!$B$36</f>
        <v>288269599.80000001</v>
      </c>
      <c r="D5" s="222">
        <f>-Summary!$B$37</f>
        <v>69397782.728855804</v>
      </c>
      <c r="E5" s="223"/>
      <c r="G5" s="224">
        <f>IFERROR(D5/$D$9,0)</f>
        <v>0.40093854250385064</v>
      </c>
    </row>
    <row r="6" spans="2:7" ht="14.25" customHeight="1" x14ac:dyDescent="0.35">
      <c r="B6" s="218" t="s">
        <v>8</v>
      </c>
      <c r="C6" s="222">
        <f>Summary!$C$36</f>
        <v>217248448.72801018</v>
      </c>
      <c r="D6" s="222">
        <f>Summary!$C$37</f>
        <v>49855277.028221734</v>
      </c>
      <c r="E6" s="223"/>
      <c r="G6" s="224">
        <f>IFERROR(D6/$D$9,0)</f>
        <v>0.28803372848264625</v>
      </c>
    </row>
    <row r="7" spans="2:7" ht="14.25" customHeight="1" x14ac:dyDescent="0.35">
      <c r="B7" s="218" t="s">
        <v>9</v>
      </c>
      <c r="C7" s="222">
        <f>Summary!$D$36</f>
        <v>232151517.6992268</v>
      </c>
      <c r="D7" s="222">
        <f>Summary!$D$37</f>
        <v>53338108.185918421</v>
      </c>
      <c r="E7" s="223"/>
      <c r="G7" s="224">
        <f>IFERROR(D7/$D$9,0)</f>
        <v>0.3081554268027466</v>
      </c>
    </row>
    <row r="8" spans="2:7" ht="14.25" customHeight="1" thickBot="1" x14ac:dyDescent="0.4">
      <c r="B8" s="218" t="s">
        <v>10</v>
      </c>
      <c r="C8" s="222">
        <f>Summary!$E$36</f>
        <v>2115011.3712517694</v>
      </c>
      <c r="D8" s="222">
        <f>Summary!$E$37</f>
        <v>497161.99273053929</v>
      </c>
      <c r="E8" s="223"/>
      <c r="G8" s="224">
        <f>IFERROR(D8/$D$9,0)</f>
        <v>2.8723022107565092E-3</v>
      </c>
    </row>
    <row r="9" spans="2:7" ht="15" customHeight="1" thickTop="1" x14ac:dyDescent="0.35">
      <c r="B9" s="225" t="s">
        <v>19</v>
      </c>
      <c r="C9" s="226">
        <f>SUM(C4:C8)</f>
        <v>739784577.59848881</v>
      </c>
      <c r="D9" s="226">
        <f>SUM(D4:D8)</f>
        <v>173088329.93572649</v>
      </c>
      <c r="E9" s="226">
        <f>SUM(E4:E8)</f>
        <v>-86177614.658882141</v>
      </c>
      <c r="G9" s="227">
        <f>IFERROR(D9/$D$9,0)</f>
        <v>1</v>
      </c>
    </row>
    <row r="10" spans="2:7" ht="15" customHeight="1" thickBot="1" x14ac:dyDescent="0.4">
      <c r="B10" s="228"/>
      <c r="C10" s="229"/>
      <c r="D10" s="229"/>
      <c r="E10" s="229"/>
    </row>
    <row r="11" spans="2:7" ht="14.25" customHeight="1" x14ac:dyDescent="0.35">
      <c r="B11" s="230" t="s">
        <v>2</v>
      </c>
      <c r="C11" s="345">
        <f>'Final Results'!B7</f>
        <v>86910715.276844412</v>
      </c>
      <c r="D11" s="345"/>
      <c r="E11" s="345"/>
    </row>
    <row r="12" spans="2:7" ht="15" customHeight="1" thickBot="1" x14ac:dyDescent="0.4">
      <c r="B12" s="231" t="s">
        <v>356</v>
      </c>
      <c r="C12" s="346">
        <f>'Final Results'!$B$8</f>
        <v>2.008506856692009</v>
      </c>
      <c r="D12" s="346"/>
      <c r="E12" s="346"/>
    </row>
  </sheetData>
  <mergeCells count="3">
    <mergeCell ref="D2:E2"/>
    <mergeCell ref="C11:E11"/>
    <mergeCell ref="C12:E12"/>
  </mergeCells>
  <pageMargins left="0.7" right="0.7" top="0.75" bottom="0.75" header="0.511811023622047" footer="0.511811023622047"/>
  <pageSetup orientation="portrait"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BE35F-05A6-46FB-8C80-3085CA6C95D6}">
  <sheetPr>
    <tabColor theme="9" tint="0.39997558519241921"/>
  </sheetPr>
  <dimension ref="A1:AZ102"/>
  <sheetViews>
    <sheetView zoomScaleNormal="100" workbookViewId="0"/>
    <sheetView workbookViewId="1"/>
  </sheetViews>
  <sheetFormatPr defaultColWidth="9.1796875" defaultRowHeight="14.5" x14ac:dyDescent="0.35"/>
  <cols>
    <col min="1" max="1" width="33.54296875" style="5" customWidth="1"/>
    <col min="2" max="2" width="30" style="5" customWidth="1"/>
    <col min="3" max="3" width="21.81640625" style="5" customWidth="1"/>
    <col min="4" max="4" width="17.81640625" style="5" customWidth="1"/>
    <col min="5" max="16384" width="9.1796875" style="5"/>
  </cols>
  <sheetData>
    <row r="1" spans="1:11" ht="20" thickBot="1" x14ac:dyDescent="0.5">
      <c r="A1" s="94" t="s">
        <v>18</v>
      </c>
    </row>
    <row r="2" spans="1:11" ht="15" thickTop="1" x14ac:dyDescent="0.35">
      <c r="A2" s="144" t="s">
        <v>237</v>
      </c>
      <c r="B2" s="144"/>
      <c r="C2" s="144"/>
      <c r="D2" s="144"/>
      <c r="E2" s="144"/>
      <c r="F2" s="144"/>
      <c r="G2" s="144"/>
      <c r="H2" s="144"/>
    </row>
    <row r="3" spans="1:11" x14ac:dyDescent="0.35">
      <c r="A3" s="5" t="s">
        <v>203</v>
      </c>
    </row>
    <row r="4" spans="1:11" x14ac:dyDescent="0.35">
      <c r="A4" s="145" t="s">
        <v>344</v>
      </c>
      <c r="B4" s="144"/>
      <c r="C4" s="144"/>
      <c r="D4" s="144"/>
      <c r="E4" s="144"/>
      <c r="F4" s="144"/>
      <c r="G4" s="144"/>
      <c r="H4" s="144"/>
      <c r="I4" s="144"/>
      <c r="J4" s="144"/>
      <c r="K4" s="144"/>
    </row>
    <row r="5" spans="1:11" x14ac:dyDescent="0.35">
      <c r="A5" s="5" t="s">
        <v>203</v>
      </c>
    </row>
    <row r="6" spans="1:11" x14ac:dyDescent="0.35">
      <c r="A6" s="145" t="s">
        <v>291</v>
      </c>
      <c r="B6" s="144"/>
      <c r="C6" s="144"/>
      <c r="D6" s="144"/>
      <c r="E6" s="144"/>
      <c r="F6" s="144"/>
    </row>
    <row r="7" spans="1:11" x14ac:dyDescent="0.35">
      <c r="A7" s="145" t="s">
        <v>294</v>
      </c>
      <c r="B7" s="144"/>
      <c r="C7" s="144"/>
      <c r="D7" s="144"/>
      <c r="E7" s="144"/>
      <c r="F7" s="144"/>
      <c r="G7" s="144"/>
      <c r="H7" s="144"/>
      <c r="I7" s="144"/>
    </row>
    <row r="8" spans="1:11" x14ac:dyDescent="0.35">
      <c r="A8" s="145" t="s">
        <v>296</v>
      </c>
      <c r="B8" s="144"/>
      <c r="C8" s="144"/>
      <c r="D8" s="144"/>
      <c r="E8" s="144"/>
      <c r="F8" s="144"/>
    </row>
    <row r="9" spans="1:11" x14ac:dyDescent="0.35">
      <c r="A9" s="95" t="s">
        <v>280</v>
      </c>
    </row>
    <row r="10" spans="1:11" x14ac:dyDescent="0.35">
      <c r="A10" s="115" t="s">
        <v>281</v>
      </c>
      <c r="B10" s="105" t="s">
        <v>348</v>
      </c>
      <c r="C10" s="105" t="s">
        <v>283</v>
      </c>
      <c r="D10" s="105" t="s">
        <v>18</v>
      </c>
    </row>
    <row r="11" spans="1:11" x14ac:dyDescent="0.35">
      <c r="A11" s="148" t="s">
        <v>293</v>
      </c>
      <c r="B11" s="160">
        <f>SUM('Capital Costs'!C9:C23)+'Capital Costs'!A5</f>
        <v>119600000</v>
      </c>
      <c r="C11" s="23">
        <v>20</v>
      </c>
      <c r="D11" s="103">
        <f>IF(C11&gt;'Project Information'!$B$10,IFERROR(B11*((C11-'Project Information'!$B$10)/C11),0),0)</f>
        <v>0</v>
      </c>
    </row>
    <row r="12" spans="1:11" x14ac:dyDescent="0.35">
      <c r="A12" s="148" t="s">
        <v>282</v>
      </c>
      <c r="B12" s="155">
        <v>0</v>
      </c>
      <c r="C12" s="23">
        <v>0</v>
      </c>
      <c r="D12" s="103">
        <f>IF(C12&gt;'Project Information'!$B$10,IFERROR(B12*((C12-'Project Information'!$B$10)/C12),0),0)</f>
        <v>0</v>
      </c>
    </row>
    <row r="13" spans="1:11" x14ac:dyDescent="0.35">
      <c r="A13" s="148" t="s">
        <v>282</v>
      </c>
      <c r="B13" s="155">
        <v>0</v>
      </c>
      <c r="C13" s="23">
        <v>0</v>
      </c>
      <c r="D13" s="103">
        <f>IF(C13&gt;'Project Information'!$B$10,IFERROR(B13*((C13-'Project Information'!$B$10)/C13),0),0)</f>
        <v>0</v>
      </c>
    </row>
    <row r="14" spans="1:11" x14ac:dyDescent="0.35">
      <c r="A14" s="148" t="s">
        <v>282</v>
      </c>
      <c r="B14" s="155">
        <v>0</v>
      </c>
      <c r="C14" s="23">
        <v>0</v>
      </c>
      <c r="D14" s="103">
        <f>IF(C14&gt;'Project Information'!$B$10,IFERROR(B14*((C14-'Project Information'!$B$10)/C14),0),0)</f>
        <v>0</v>
      </c>
    </row>
    <row r="15" spans="1:11" x14ac:dyDescent="0.35">
      <c r="A15" s="148" t="s">
        <v>282</v>
      </c>
      <c r="B15" s="155">
        <v>0</v>
      </c>
      <c r="C15" s="23">
        <v>0</v>
      </c>
      <c r="D15" s="103">
        <f>IF(C15&gt;'Project Information'!$B$10,IFERROR(B15*((C15-'Project Information'!$B$10)/C15),0),0)</f>
        <v>0</v>
      </c>
    </row>
    <row r="16" spans="1:11" x14ac:dyDescent="0.35">
      <c r="A16" s="148" t="s">
        <v>282</v>
      </c>
      <c r="B16" s="155">
        <v>0</v>
      </c>
      <c r="C16" s="23">
        <v>0</v>
      </c>
      <c r="D16" s="103">
        <f>IF(C16&gt;'Project Information'!$B$10,IFERROR(B16*((C16-'Project Information'!$B$10)/C16),0),0)</f>
        <v>0</v>
      </c>
    </row>
    <row r="17" spans="1:52" x14ac:dyDescent="0.35">
      <c r="A17" s="3" t="s">
        <v>292</v>
      </c>
      <c r="B17" s="150"/>
      <c r="C17" s="151"/>
      <c r="D17" s="103">
        <f>SUM(D11:D16)</f>
        <v>0</v>
      </c>
    </row>
    <row r="18" spans="1:52" x14ac:dyDescent="0.35">
      <c r="A18" s="5" t="s">
        <v>203</v>
      </c>
    </row>
    <row r="19" spans="1:52" x14ac:dyDescent="0.35">
      <c r="A19" s="145" t="s">
        <v>317</v>
      </c>
      <c r="B19" s="145"/>
      <c r="C19" s="145"/>
      <c r="D19" s="145"/>
      <c r="E19" s="145"/>
      <c r="F19" s="145"/>
      <c r="G19" s="145"/>
    </row>
    <row r="20" spans="1:52" x14ac:dyDescent="0.35">
      <c r="A20" s="145" t="s">
        <v>297</v>
      </c>
      <c r="B20" s="145"/>
      <c r="C20" s="145"/>
      <c r="D20" s="145"/>
    </row>
    <row r="21" spans="1:52" ht="15" thickBot="1" x14ac:dyDescent="0.4">
      <c r="A21" s="95" t="s">
        <v>279</v>
      </c>
    </row>
    <row r="22" spans="1:52" x14ac:dyDescent="0.35">
      <c r="A22" s="105" t="s">
        <v>4</v>
      </c>
      <c r="B22" s="106" t="s">
        <v>18</v>
      </c>
      <c r="E22" s="10" t="s">
        <v>159</v>
      </c>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2"/>
    </row>
    <row r="23" spans="1:52" x14ac:dyDescent="0.35">
      <c r="A23" s="6">
        <f>'Project Information'!$B$9</f>
        <v>2033</v>
      </c>
      <c r="B23" s="26">
        <f>IF(A23='Project Information'!$B$6+'Project Information'!$B$8+'Project Information'!$B$10+('Project Information'!$B$7-'Project Information'!$B$6-1),$D$17,0)</f>
        <v>0</v>
      </c>
      <c r="E23" s="1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s="14"/>
    </row>
    <row r="24" spans="1:52" x14ac:dyDescent="0.35">
      <c r="A24" s="1">
        <f>IF(A23&lt;'Project Information'!B$11,A23+1,"")</f>
        <v>2034</v>
      </c>
      <c r="B24" s="26">
        <f>IF(A24='Project Information'!$B$6+'Project Information'!$B$8+'Project Information'!$B$10+('Project Information'!$B$7-'Project Information'!$B$6-1),$D$17,0)</f>
        <v>0</v>
      </c>
      <c r="E24" s="13"/>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s="14"/>
    </row>
    <row r="25" spans="1:52" x14ac:dyDescent="0.35">
      <c r="A25" s="1">
        <f>IF(A24&lt;'Project Information'!B$11,A24+1,"")</f>
        <v>2035</v>
      </c>
      <c r="B25" s="26">
        <f>IF(A25='Project Information'!$B$6+'Project Information'!$B$8+'Project Information'!$B$10+('Project Information'!$B$7-'Project Information'!$B$6-1),$D$17,0)</f>
        <v>0</v>
      </c>
      <c r="E25" s="13"/>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s="14"/>
    </row>
    <row r="26" spans="1:52" x14ac:dyDescent="0.35">
      <c r="A26" s="1">
        <f>IF(A25&lt;'Project Information'!B$11,A25+1,"")</f>
        <v>2036</v>
      </c>
      <c r="B26" s="26">
        <f>IF(A26='Project Information'!$B$6+'Project Information'!$B$8+'Project Information'!$B$10+('Project Information'!$B$7-'Project Information'!$B$6-1),$D$17,0)</f>
        <v>0</v>
      </c>
      <c r="E26" s="13"/>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s="14"/>
    </row>
    <row r="27" spans="1:52" x14ac:dyDescent="0.35">
      <c r="A27" s="1">
        <f>IF(A26&lt;'Project Information'!B$11,A26+1,"")</f>
        <v>2037</v>
      </c>
      <c r="B27" s="26">
        <f>IF(A27='Project Information'!$B$6+'Project Information'!$B$8+'Project Information'!$B$10+('Project Information'!$B$7-'Project Information'!$B$6-1),$D$17,0)</f>
        <v>0</v>
      </c>
      <c r="E27" s="13"/>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s="14"/>
    </row>
    <row r="28" spans="1:52" x14ac:dyDescent="0.35">
      <c r="A28" s="1">
        <f>IF(A27&lt;'Project Information'!B$11,A27+1,"")</f>
        <v>2038</v>
      </c>
      <c r="B28" s="26">
        <f>IF(A28='Project Information'!$B$6+'Project Information'!$B$8+'Project Information'!$B$10+('Project Information'!$B$7-'Project Information'!$B$6-1),$D$17,0)</f>
        <v>0</v>
      </c>
      <c r="E28" s="13"/>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s="14"/>
    </row>
    <row r="29" spans="1:52" x14ac:dyDescent="0.35">
      <c r="A29" s="1">
        <f>IF(A28&lt;'Project Information'!B$11,A28+1,"")</f>
        <v>2039</v>
      </c>
      <c r="B29" s="26">
        <f>IF(A29='Project Information'!$B$6+'Project Information'!$B$8+'Project Information'!$B$10+('Project Information'!$B$7-'Project Information'!$B$6-1),$D$17,0)</f>
        <v>0</v>
      </c>
      <c r="E29" s="13"/>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s="14"/>
    </row>
    <row r="30" spans="1:52" x14ac:dyDescent="0.35">
      <c r="A30" s="1">
        <f>IF(A29&lt;'Project Information'!B$11,A29+1,"")</f>
        <v>2040</v>
      </c>
      <c r="B30" s="26">
        <f>IF(A30='Project Information'!$B$6+'Project Information'!$B$8+'Project Information'!$B$10+('Project Information'!$B$7-'Project Information'!$B$6-1),$D$17,0)</f>
        <v>0</v>
      </c>
      <c r="E30" s="13"/>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s="14"/>
    </row>
    <row r="31" spans="1:52" x14ac:dyDescent="0.35">
      <c r="A31" s="1">
        <f>IF(A30&lt;'Project Information'!B$11,A30+1,"")</f>
        <v>2041</v>
      </c>
      <c r="B31" s="26">
        <f>IF(A31='Project Information'!$B$6+'Project Information'!$B$8+'Project Information'!$B$10+('Project Information'!$B$7-'Project Information'!$B$6-1),$D$17,0)</f>
        <v>0</v>
      </c>
      <c r="E31" s="13"/>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s="14"/>
    </row>
    <row r="32" spans="1:52" x14ac:dyDescent="0.35">
      <c r="A32" s="1">
        <f>IF(A31&lt;'Project Information'!B$11,A31+1,"")</f>
        <v>2042</v>
      </c>
      <c r="B32" s="26">
        <f>IF(A32='Project Information'!$B$6+'Project Information'!$B$8+'Project Information'!$B$10+('Project Information'!$B$7-'Project Information'!$B$6-1),$D$17,0)</f>
        <v>0</v>
      </c>
      <c r="E32" s="13"/>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s="14"/>
    </row>
    <row r="33" spans="1:52" x14ac:dyDescent="0.35">
      <c r="A33" s="1">
        <f>IF(A32&lt;'Project Information'!B$11,A32+1,"")</f>
        <v>2043</v>
      </c>
      <c r="B33" s="26">
        <f>IF(A33='Project Information'!$B$6+'Project Information'!$B$8+'Project Information'!$B$10+('Project Information'!$B$7-'Project Information'!$B$6-1),$D$17,0)</f>
        <v>0</v>
      </c>
      <c r="E33" s="1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s="14"/>
    </row>
    <row r="34" spans="1:52" x14ac:dyDescent="0.35">
      <c r="A34" s="1">
        <f>IF(A33&lt;'Project Information'!B$11,A33+1,"")</f>
        <v>2044</v>
      </c>
      <c r="B34" s="26">
        <f>IF(A34='Project Information'!$B$6+'Project Information'!$B$8+'Project Information'!$B$10+('Project Information'!$B$7-'Project Information'!$B$6-1),$D$17,0)</f>
        <v>0</v>
      </c>
      <c r="E34" s="13"/>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s="14"/>
    </row>
    <row r="35" spans="1:52" x14ac:dyDescent="0.35">
      <c r="A35" s="1">
        <f>IF(A34&lt;'Project Information'!B$11,A34+1,"")</f>
        <v>2045</v>
      </c>
      <c r="B35" s="26">
        <f>IF(A35='Project Information'!$B$6+'Project Information'!$B$8+'Project Information'!$B$10+('Project Information'!$B$7-'Project Information'!$B$6-1),$D$17,0)</f>
        <v>0</v>
      </c>
      <c r="E35" s="13"/>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s="14"/>
    </row>
    <row r="36" spans="1:52" x14ac:dyDescent="0.35">
      <c r="A36" s="1">
        <f>IF(A35&lt;'Project Information'!B$11,A35+1,"")</f>
        <v>2046</v>
      </c>
      <c r="B36" s="26">
        <f>IF(A36='Project Information'!$B$6+'Project Information'!$B$8+'Project Information'!$B$10+('Project Information'!$B$7-'Project Information'!$B$6-1),$D$17,0)</f>
        <v>0</v>
      </c>
      <c r="E36" s="13"/>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s="14"/>
    </row>
    <row r="37" spans="1:52" x14ac:dyDescent="0.35">
      <c r="A37" s="1">
        <f>IF(A36&lt;'Project Information'!B$11,A36+1,"")</f>
        <v>2047</v>
      </c>
      <c r="B37" s="26">
        <f>IF(A37='Project Information'!$B$6+'Project Information'!$B$8+'Project Information'!$B$10+('Project Information'!$B$7-'Project Information'!$B$6-1),$D$17,0)</f>
        <v>0</v>
      </c>
      <c r="E37" s="13"/>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s="14"/>
    </row>
    <row r="38" spans="1:52" x14ac:dyDescent="0.35">
      <c r="A38" s="1">
        <f>IF(A37&lt;'Project Information'!B$11,A37+1,"")</f>
        <v>2048</v>
      </c>
      <c r="B38" s="26">
        <f>IF(A38='Project Information'!$B$6+'Project Information'!$B$8+'Project Information'!$B$10+('Project Information'!$B$7-'Project Information'!$B$6-1),$D$17,0)</f>
        <v>0</v>
      </c>
      <c r="E38" s="13"/>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s="14"/>
    </row>
    <row r="39" spans="1:52" x14ac:dyDescent="0.35">
      <c r="A39" s="1">
        <f>IF(A38&lt;'Project Information'!B$11,A38+1,"")</f>
        <v>2049</v>
      </c>
      <c r="B39" s="26">
        <f>IF(A39='Project Information'!$B$6+'Project Information'!$B$8+'Project Information'!$B$10+('Project Information'!$B$7-'Project Information'!$B$6-1),$D$17,0)</f>
        <v>0</v>
      </c>
      <c r="E39" s="13"/>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s="14"/>
    </row>
    <row r="40" spans="1:52" x14ac:dyDescent="0.35">
      <c r="A40" s="1">
        <f>IF(A39&lt;'Project Information'!B$11,A39+1,"")</f>
        <v>2050</v>
      </c>
      <c r="B40" s="26">
        <f>IF(A40='Project Information'!$B$6+'Project Information'!$B$8+'Project Information'!$B$10+('Project Information'!$B$7-'Project Information'!$B$6-1),$D$17,0)</f>
        <v>0</v>
      </c>
      <c r="E40" s="13"/>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s="14"/>
    </row>
    <row r="41" spans="1:52" x14ac:dyDescent="0.35">
      <c r="A41" s="1">
        <f>IF(A40&lt;'Project Information'!B$11,A40+1,"")</f>
        <v>2051</v>
      </c>
      <c r="B41" s="26">
        <f>IF(A41='Project Information'!$B$6+'Project Information'!$B$8+'Project Information'!$B$10+('Project Information'!$B$7-'Project Information'!$B$6-1),$D$17,0)</f>
        <v>0</v>
      </c>
      <c r="E41" s="13"/>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s="14"/>
    </row>
    <row r="42" spans="1:52" x14ac:dyDescent="0.35">
      <c r="A42" s="1">
        <f>IF(A41&lt;'Project Information'!B$11,A41+1,"")</f>
        <v>2052</v>
      </c>
      <c r="B42" s="26">
        <f>IF(A42='Project Information'!$B$6+'Project Information'!$B$8+'Project Information'!$B$10+('Project Information'!$B$7-'Project Information'!$B$6-1),$D$17,0)</f>
        <v>0</v>
      </c>
      <c r="E42" s="13"/>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s="14"/>
    </row>
    <row r="43" spans="1:52" x14ac:dyDescent="0.35">
      <c r="A43" s="1">
        <f>IF(A42&lt;'Project Information'!B$11,A42+1,"")</f>
        <v>2053</v>
      </c>
      <c r="B43" s="26">
        <f>IF(A43='Project Information'!$B$6+'Project Information'!$B$8+'Project Information'!$B$10+('Project Information'!$B$7-'Project Information'!$B$6-1),$D$17,0)</f>
        <v>0</v>
      </c>
      <c r="E43" s="1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s="14"/>
    </row>
    <row r="44" spans="1:52" x14ac:dyDescent="0.35">
      <c r="A44" s="1">
        <f>IF(A43&lt;'Project Information'!B$11,A43+1,"")</f>
        <v>2054</v>
      </c>
      <c r="B44" s="26">
        <f>IF(A44='Project Information'!$B$6+'Project Information'!$B$8+'Project Information'!$B$10+('Project Information'!$B$7-'Project Information'!$B$6-1),$D$17,0)</f>
        <v>0</v>
      </c>
      <c r="E44" s="13"/>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s="14"/>
    </row>
    <row r="45" spans="1:52" x14ac:dyDescent="0.35">
      <c r="A45" s="1">
        <f>IF(A44&lt;'Project Information'!B$11,A44+1,"")</f>
        <v>2055</v>
      </c>
      <c r="B45" s="26">
        <f>IF(A45='Project Information'!$B$6+'Project Information'!$B$8+'Project Information'!$B$10+('Project Information'!$B$7-'Project Information'!$B$6-1),$D$17,0)</f>
        <v>0</v>
      </c>
      <c r="E45" s="13"/>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s="14"/>
    </row>
    <row r="46" spans="1:52" x14ac:dyDescent="0.35">
      <c r="A46" s="1">
        <f>IF(A45&lt;'Project Information'!B$11,A45+1,"")</f>
        <v>2056</v>
      </c>
      <c r="B46" s="26">
        <f>IF(A46='Project Information'!$B$6+'Project Information'!$B$8+'Project Information'!$B$10+('Project Information'!$B$7-'Project Information'!$B$6-1),$D$17,0)</f>
        <v>0</v>
      </c>
      <c r="E46" s="13"/>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s="14"/>
    </row>
    <row r="47" spans="1:52" x14ac:dyDescent="0.35">
      <c r="A47" s="1">
        <f>IF(A46&lt;'Project Information'!B$11,A46+1,"")</f>
        <v>2057</v>
      </c>
      <c r="B47" s="26">
        <f>IF(A47='Project Information'!$B$6+'Project Information'!$B$8+'Project Information'!$B$10+('Project Information'!$B$7-'Project Information'!$B$6-1),$D$17,0)</f>
        <v>0</v>
      </c>
      <c r="E47" s="13"/>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s="14"/>
    </row>
    <row r="48" spans="1:52" x14ac:dyDescent="0.35">
      <c r="A48" s="1">
        <f>IF(A47&lt;'Project Information'!B$11,A47+1,"")</f>
        <v>2058</v>
      </c>
      <c r="B48" s="26">
        <f>IF(A48='Project Information'!$B$6+'Project Information'!$B$8+'Project Information'!$B$10+('Project Information'!$B$7-'Project Information'!$B$6-1),$D$17,0)</f>
        <v>0</v>
      </c>
      <c r="E48" s="13"/>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s="14"/>
    </row>
    <row r="49" spans="1:52" x14ac:dyDescent="0.35">
      <c r="A49" s="1">
        <f>IF(A48&lt;'Project Information'!B$11,A48+1,"")</f>
        <v>2059</v>
      </c>
      <c r="B49" s="26">
        <f>IF(A49='Project Information'!$B$6+'Project Information'!$B$8+'Project Information'!$B$10+('Project Information'!$B$7-'Project Information'!$B$6-1),$D$17,0)</f>
        <v>0</v>
      </c>
      <c r="E49" s="13"/>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s="14"/>
    </row>
    <row r="50" spans="1:52" x14ac:dyDescent="0.35">
      <c r="A50" s="1">
        <f>IF(A49&lt;'Project Information'!B$11,A49+1,"")</f>
        <v>2060</v>
      </c>
      <c r="B50" s="26">
        <f>IF(A50='Project Information'!$B$6+'Project Information'!$B$8+'Project Information'!$B$10+('Project Information'!$B$7-'Project Information'!$B$6-1),$D$17,0)</f>
        <v>0</v>
      </c>
      <c r="E50" s="13"/>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s="14"/>
    </row>
    <row r="51" spans="1:52" x14ac:dyDescent="0.35">
      <c r="A51" s="1">
        <f>IF(A50&lt;'Project Information'!B$11,A50+1,"")</f>
        <v>2061</v>
      </c>
      <c r="B51" s="26">
        <f>IF(A51='Project Information'!$B$6+'Project Information'!$B$8+'Project Information'!$B$10+('Project Information'!$B$7-'Project Information'!$B$6-1),$D$17,0)</f>
        <v>0</v>
      </c>
      <c r="E51" s="13"/>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s="14"/>
    </row>
    <row r="52" spans="1:52" x14ac:dyDescent="0.35">
      <c r="A52" s="2">
        <f>IF(A51&lt;'Project Information'!B$11,A51+1,"")</f>
        <v>2062</v>
      </c>
      <c r="B52" s="157">
        <f>IF(A52='Project Information'!$B$6+'Project Information'!$B$8+'Project Information'!$B$10+('Project Information'!$B$7-'Project Information'!$B$6-1),$D$17,0)</f>
        <v>0</v>
      </c>
      <c r="E52" s="13"/>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s="14"/>
    </row>
    <row r="53" spans="1:52" x14ac:dyDescent="0.35">
      <c r="E53" s="1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s="14"/>
    </row>
    <row r="54" spans="1:52" x14ac:dyDescent="0.35">
      <c r="E54" s="13"/>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s="14"/>
    </row>
    <row r="55" spans="1:52" x14ac:dyDescent="0.35">
      <c r="E55" s="13"/>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s="14"/>
    </row>
    <row r="56" spans="1:52" x14ac:dyDescent="0.35">
      <c r="E56" s="13"/>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s="14"/>
    </row>
    <row r="57" spans="1:52" x14ac:dyDescent="0.35">
      <c r="E57" s="13"/>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s="14"/>
    </row>
    <row r="58" spans="1:52" x14ac:dyDescent="0.35">
      <c r="E58" s="13"/>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s="14"/>
    </row>
    <row r="59" spans="1:52" x14ac:dyDescent="0.35">
      <c r="E59" s="13"/>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s="14"/>
    </row>
    <row r="60" spans="1:52" x14ac:dyDescent="0.35">
      <c r="E60" s="13"/>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s="14"/>
    </row>
    <row r="61" spans="1:52" x14ac:dyDescent="0.35">
      <c r="E61" s="13"/>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s="14"/>
    </row>
    <row r="62" spans="1:52" x14ac:dyDescent="0.35">
      <c r="E62" s="13"/>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s="14"/>
    </row>
    <row r="63" spans="1:52" x14ac:dyDescent="0.35">
      <c r="E63" s="1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s="14"/>
    </row>
    <row r="64" spans="1:52" x14ac:dyDescent="0.35">
      <c r="E64" s="13"/>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s="14"/>
    </row>
    <row r="65" spans="5:52" x14ac:dyDescent="0.35">
      <c r="E65" s="13"/>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s="14"/>
    </row>
    <row r="66" spans="5:52" x14ac:dyDescent="0.35">
      <c r="E66" s="13"/>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s="14"/>
    </row>
    <row r="67" spans="5:52" x14ac:dyDescent="0.35">
      <c r="E67" s="13"/>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s="14"/>
    </row>
    <row r="68" spans="5:52" x14ac:dyDescent="0.35">
      <c r="E68" s="13"/>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s="14"/>
    </row>
    <row r="69" spans="5:52" x14ac:dyDescent="0.35">
      <c r="E69" s="13"/>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s="14"/>
    </row>
    <row r="70" spans="5:52" x14ac:dyDescent="0.35">
      <c r="E70" s="13"/>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s="14"/>
    </row>
    <row r="71" spans="5:52" x14ac:dyDescent="0.35">
      <c r="E71" s="13"/>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s="14"/>
    </row>
    <row r="72" spans="5:52" x14ac:dyDescent="0.35">
      <c r="E72" s="13"/>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s="14"/>
    </row>
    <row r="73" spans="5:52" x14ac:dyDescent="0.35">
      <c r="E73" s="1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s="14"/>
    </row>
    <row r="74" spans="5:52" x14ac:dyDescent="0.35">
      <c r="E74" s="13"/>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s="14"/>
    </row>
    <row r="75" spans="5:52" x14ac:dyDescent="0.35">
      <c r="E75" s="13"/>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s="14"/>
    </row>
    <row r="76" spans="5:52" x14ac:dyDescent="0.35">
      <c r="E76" s="13"/>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s="14"/>
    </row>
    <row r="77" spans="5:52" x14ac:dyDescent="0.35">
      <c r="E77" s="13"/>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s="14"/>
    </row>
    <row r="78" spans="5:52" x14ac:dyDescent="0.35">
      <c r="E78" s="13"/>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s="14"/>
    </row>
    <row r="79" spans="5:52" x14ac:dyDescent="0.35">
      <c r="E79" s="13"/>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s="14"/>
    </row>
    <row r="80" spans="5:52" x14ac:dyDescent="0.35">
      <c r="E80" s="13"/>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s="14"/>
    </row>
    <row r="81" spans="5:52" x14ac:dyDescent="0.35">
      <c r="E81" s="13"/>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s="14"/>
    </row>
    <row r="82" spans="5:52" x14ac:dyDescent="0.35">
      <c r="E82" s="13"/>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s="14"/>
    </row>
    <row r="83" spans="5:52" x14ac:dyDescent="0.35">
      <c r="E83" s="1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s="14"/>
    </row>
    <row r="84" spans="5:52" x14ac:dyDescent="0.35">
      <c r="E84" s="13"/>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s="14"/>
    </row>
    <row r="85" spans="5:52" x14ac:dyDescent="0.35">
      <c r="E85" s="13"/>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s="14"/>
    </row>
    <row r="86" spans="5:52" x14ac:dyDescent="0.35">
      <c r="E86" s="13"/>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s="14"/>
    </row>
    <row r="87" spans="5:52" x14ac:dyDescent="0.35">
      <c r="E87" s="13"/>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s="14"/>
    </row>
    <row r="88" spans="5:52" x14ac:dyDescent="0.35">
      <c r="E88" s="13"/>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s="14"/>
    </row>
    <row r="89" spans="5:52" x14ac:dyDescent="0.35">
      <c r="E89" s="13"/>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s="14"/>
    </row>
    <row r="90" spans="5:52" x14ac:dyDescent="0.35">
      <c r="E90" s="13"/>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s="14"/>
    </row>
    <row r="91" spans="5:52" x14ac:dyDescent="0.35">
      <c r="E91" s="13"/>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s="14"/>
    </row>
    <row r="92" spans="5:52" x14ac:dyDescent="0.35">
      <c r="E92" s="13"/>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s="14"/>
    </row>
    <row r="93" spans="5:52" x14ac:dyDescent="0.35">
      <c r="E93" s="1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s="14"/>
    </row>
    <row r="94" spans="5:52" x14ac:dyDescent="0.35">
      <c r="E94" s="13"/>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s="14"/>
    </row>
    <row r="95" spans="5:52" x14ac:dyDescent="0.35">
      <c r="E95" s="13"/>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s="14"/>
    </row>
    <row r="96" spans="5:52" x14ac:dyDescent="0.35">
      <c r="E96" s="13"/>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s="14"/>
    </row>
    <row r="97" spans="5:52" x14ac:dyDescent="0.35">
      <c r="E97" s="13"/>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s="14"/>
    </row>
    <row r="98" spans="5:52" x14ac:dyDescent="0.35">
      <c r="E98" s="13"/>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s="14"/>
    </row>
    <row r="99" spans="5:52" x14ac:dyDescent="0.35">
      <c r="E99" s="13"/>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s="14"/>
    </row>
    <row r="100" spans="5:52" x14ac:dyDescent="0.35">
      <c r="E100" s="13"/>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s="14"/>
    </row>
    <row r="101" spans="5:52" x14ac:dyDescent="0.35">
      <c r="E101" s="13"/>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s="14"/>
    </row>
    <row r="102" spans="5:52" ht="15" thickBot="1" x14ac:dyDescent="0.4">
      <c r="E102" s="15"/>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7"/>
    </row>
  </sheetData>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1" id="{DF3C72DF-52D5-440E-BE83-E16345A5E25E}">
            <xm:f>A23='Project Information'!$B$11</xm:f>
            <x14:dxf>
              <font>
                <b val="0"/>
                <i/>
                <u val="none"/>
              </font>
              <fill>
                <patternFill>
                  <bgColor theme="4" tint="0.39994506668294322"/>
                </patternFill>
              </fill>
            </x14:dxf>
          </x14:cfRule>
          <xm:sqref>B23:B52</xm:sqref>
        </x14:conditionalFormatting>
      </x14:conditionalFormatting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188FB-EB92-4A38-827B-94B87D879DDC}">
  <sheetPr>
    <tabColor theme="9" tint="0.39997558519241921"/>
  </sheetPr>
  <dimension ref="A1:AZ87"/>
  <sheetViews>
    <sheetView workbookViewId="0"/>
    <sheetView workbookViewId="1"/>
  </sheetViews>
  <sheetFormatPr defaultColWidth="9.1796875" defaultRowHeight="14.5" x14ac:dyDescent="0.35"/>
  <cols>
    <col min="1" max="1" width="26.1796875" style="5" customWidth="1"/>
    <col min="2" max="2" width="40.7265625" style="5" customWidth="1"/>
    <col min="3" max="16384" width="9.1796875" style="5"/>
  </cols>
  <sheetData>
    <row r="1" spans="1:52" ht="20" thickBot="1" x14ac:dyDescent="0.5">
      <c r="A1" s="94" t="s">
        <v>13</v>
      </c>
    </row>
    <row r="2" spans="1:52" ht="15" thickTop="1" x14ac:dyDescent="0.35">
      <c r="A2" s="144" t="s">
        <v>231</v>
      </c>
      <c r="B2" s="144"/>
      <c r="C2" s="144"/>
      <c r="D2" s="144"/>
    </row>
    <row r="3" spans="1:52" x14ac:dyDescent="0.35">
      <c r="A3" s="5" t="s">
        <v>203</v>
      </c>
    </row>
    <row r="4" spans="1:52" x14ac:dyDescent="0.35">
      <c r="A4" s="145" t="s">
        <v>344</v>
      </c>
      <c r="B4" s="144"/>
      <c r="C4" s="144"/>
      <c r="D4" s="144"/>
      <c r="E4" s="144"/>
      <c r="F4" s="144"/>
      <c r="G4" s="144"/>
      <c r="H4" s="144"/>
      <c r="I4" s="144"/>
      <c r="J4" s="144"/>
      <c r="K4" s="144"/>
      <c r="L4" s="144"/>
      <c r="M4" s="144"/>
    </row>
    <row r="5" spans="1:52" x14ac:dyDescent="0.35">
      <c r="A5" s="5" t="s">
        <v>203</v>
      </c>
    </row>
    <row r="6" spans="1:52" ht="15" thickBot="1" x14ac:dyDescent="0.4">
      <c r="A6" s="95" t="s">
        <v>244</v>
      </c>
    </row>
    <row r="7" spans="1:52" x14ac:dyDescent="0.35">
      <c r="A7" s="105" t="s">
        <v>4</v>
      </c>
      <c r="B7" s="24" t="s">
        <v>13</v>
      </c>
      <c r="C7" s="5" t="s">
        <v>157</v>
      </c>
      <c r="E7" s="10" t="s">
        <v>159</v>
      </c>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2"/>
    </row>
    <row r="8" spans="1:52" x14ac:dyDescent="0.35">
      <c r="A8" s="6">
        <f>'Project Information'!$B$9</f>
        <v>2033</v>
      </c>
      <c r="B8" s="156">
        <v>0</v>
      </c>
      <c r="E8" s="13"/>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s="14"/>
    </row>
    <row r="9" spans="1:52" x14ac:dyDescent="0.35">
      <c r="A9" s="1">
        <f>IF(A8&lt;'Project Information'!B$11,A8+1,"")</f>
        <v>2034</v>
      </c>
      <c r="B9" s="156">
        <v>0</v>
      </c>
      <c r="E9" s="13"/>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s="14"/>
    </row>
    <row r="10" spans="1:52" x14ac:dyDescent="0.35">
      <c r="A10" s="1">
        <f>IF(A9&lt;'Project Information'!B$11,A9+1,"")</f>
        <v>2035</v>
      </c>
      <c r="B10" s="156">
        <v>0</v>
      </c>
      <c r="E10" s="13"/>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s="14"/>
    </row>
    <row r="11" spans="1:52" x14ac:dyDescent="0.35">
      <c r="A11" s="1">
        <f>IF(A10&lt;'Project Information'!B$11,A10+1,"")</f>
        <v>2036</v>
      </c>
      <c r="B11" s="156">
        <v>0</v>
      </c>
      <c r="E11" s="13"/>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s="14"/>
    </row>
    <row r="12" spans="1:52" x14ac:dyDescent="0.35">
      <c r="A12" s="1">
        <f>IF(A11&lt;'Project Information'!B$11,A11+1,"")</f>
        <v>2037</v>
      </c>
      <c r="B12" s="156">
        <v>0</v>
      </c>
      <c r="E12" s="13"/>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s="14"/>
    </row>
    <row r="13" spans="1:52" x14ac:dyDescent="0.35">
      <c r="A13" s="1">
        <f>IF(A12&lt;'Project Information'!B$11,A12+1,"")</f>
        <v>2038</v>
      </c>
      <c r="B13" s="156">
        <v>0</v>
      </c>
      <c r="E13" s="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s="14"/>
    </row>
    <row r="14" spans="1:52" x14ac:dyDescent="0.35">
      <c r="A14" s="1">
        <f>IF(A13&lt;'Project Information'!B$11,A13+1,"")</f>
        <v>2039</v>
      </c>
      <c r="B14" s="156">
        <v>0</v>
      </c>
      <c r="E14" s="13"/>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s="14"/>
    </row>
    <row r="15" spans="1:52" x14ac:dyDescent="0.35">
      <c r="A15" s="1">
        <f>IF(A14&lt;'Project Information'!B$11,A14+1,"")</f>
        <v>2040</v>
      </c>
      <c r="B15" s="156">
        <v>0</v>
      </c>
      <c r="E15" s="13"/>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s="14"/>
    </row>
    <row r="16" spans="1:52" x14ac:dyDescent="0.35">
      <c r="A16" s="1">
        <f>IF(A15&lt;'Project Information'!B$11,A15+1,"")</f>
        <v>2041</v>
      </c>
      <c r="B16" s="156">
        <v>0</v>
      </c>
      <c r="E16" s="13"/>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s="14"/>
    </row>
    <row r="17" spans="1:52" x14ac:dyDescent="0.35">
      <c r="A17" s="1">
        <f>IF(A16&lt;'Project Information'!B$11,A16+1,"")</f>
        <v>2042</v>
      </c>
      <c r="B17" s="156">
        <v>0</v>
      </c>
      <c r="E17" s="13"/>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s="14"/>
    </row>
    <row r="18" spans="1:52" x14ac:dyDescent="0.35">
      <c r="A18" s="1">
        <f>IF(A17&lt;'Project Information'!B$11,A17+1,"")</f>
        <v>2043</v>
      </c>
      <c r="B18" s="156">
        <v>0</v>
      </c>
      <c r="E18" s="13"/>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s="14"/>
    </row>
    <row r="19" spans="1:52" x14ac:dyDescent="0.35">
      <c r="A19" s="1">
        <f>IF(A18&lt;'Project Information'!B$11,A18+1,"")</f>
        <v>2044</v>
      </c>
      <c r="B19" s="156">
        <v>0</v>
      </c>
      <c r="E19" s="13"/>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s="14"/>
    </row>
    <row r="20" spans="1:52" x14ac:dyDescent="0.35">
      <c r="A20" s="1">
        <f>IF(A19&lt;'Project Information'!B$11,A19+1,"")</f>
        <v>2045</v>
      </c>
      <c r="B20" s="156">
        <v>0</v>
      </c>
      <c r="E20" s="13"/>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s="14"/>
    </row>
    <row r="21" spans="1:52" x14ac:dyDescent="0.35">
      <c r="A21" s="1">
        <f>IF(A20&lt;'Project Information'!B$11,A20+1,"")</f>
        <v>2046</v>
      </c>
      <c r="B21" s="156">
        <v>0</v>
      </c>
      <c r="E21" s="13"/>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s="14"/>
    </row>
    <row r="22" spans="1:52" x14ac:dyDescent="0.35">
      <c r="A22" s="1">
        <f>IF(A21&lt;'Project Information'!B$11,A21+1,"")</f>
        <v>2047</v>
      </c>
      <c r="B22" s="156">
        <v>0</v>
      </c>
      <c r="E22" s="13"/>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s="14"/>
    </row>
    <row r="23" spans="1:52" x14ac:dyDescent="0.35">
      <c r="A23" s="1">
        <f>IF(A22&lt;'Project Information'!B$11,A22+1,"")</f>
        <v>2048</v>
      </c>
      <c r="B23" s="156">
        <v>0</v>
      </c>
      <c r="E23" s="1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s="14"/>
    </row>
    <row r="24" spans="1:52" x14ac:dyDescent="0.35">
      <c r="A24" s="1">
        <f>IF(A23&lt;'Project Information'!B$11,A23+1,"")</f>
        <v>2049</v>
      </c>
      <c r="B24" s="156">
        <v>0</v>
      </c>
      <c r="E24" s="13"/>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s="14"/>
    </row>
    <row r="25" spans="1:52" x14ac:dyDescent="0.35">
      <c r="A25" s="1">
        <f>IF(A24&lt;'Project Information'!B$11,A24+1,"")</f>
        <v>2050</v>
      </c>
      <c r="B25" s="156">
        <v>0</v>
      </c>
      <c r="E25" s="13"/>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s="14"/>
    </row>
    <row r="26" spans="1:52" x14ac:dyDescent="0.35">
      <c r="A26" s="1">
        <f>IF(A25&lt;'Project Information'!B$11,A25+1,"")</f>
        <v>2051</v>
      </c>
      <c r="B26" s="156">
        <v>0</v>
      </c>
      <c r="E26" s="13"/>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s="14"/>
    </row>
    <row r="27" spans="1:52" x14ac:dyDescent="0.35">
      <c r="A27" s="1">
        <f>IF(A26&lt;'Project Information'!B$11,A26+1,"")</f>
        <v>2052</v>
      </c>
      <c r="B27" s="156">
        <v>0</v>
      </c>
      <c r="E27" s="13"/>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s="14"/>
    </row>
    <row r="28" spans="1:52" x14ac:dyDescent="0.35">
      <c r="A28" s="1">
        <f>IF(A27&lt;'Project Information'!B$11,A27+1,"")</f>
        <v>2053</v>
      </c>
      <c r="B28" s="156">
        <v>0</v>
      </c>
      <c r="E28" s="13"/>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s="14"/>
    </row>
    <row r="29" spans="1:52" x14ac:dyDescent="0.35">
      <c r="A29" s="1">
        <f>IF(A28&lt;'Project Information'!B$11,A28+1,"")</f>
        <v>2054</v>
      </c>
      <c r="B29" s="156">
        <v>0</v>
      </c>
      <c r="E29" s="13"/>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s="14"/>
    </row>
    <row r="30" spans="1:52" x14ac:dyDescent="0.35">
      <c r="A30" s="1">
        <f>IF(A29&lt;'Project Information'!B$11,A29+1,"")</f>
        <v>2055</v>
      </c>
      <c r="B30" s="156">
        <v>0</v>
      </c>
      <c r="E30" s="13"/>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s="14"/>
    </row>
    <row r="31" spans="1:52" x14ac:dyDescent="0.35">
      <c r="A31" s="1">
        <f>IF(A30&lt;'Project Information'!B$11,A30+1,"")</f>
        <v>2056</v>
      </c>
      <c r="B31" s="156">
        <v>0</v>
      </c>
      <c r="E31" s="13"/>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s="14"/>
    </row>
    <row r="32" spans="1:52" x14ac:dyDescent="0.35">
      <c r="A32" s="1">
        <f>IF(A31&lt;'Project Information'!B$11,A31+1,"")</f>
        <v>2057</v>
      </c>
      <c r="B32" s="156">
        <v>0</v>
      </c>
      <c r="E32" s="13"/>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s="14"/>
    </row>
    <row r="33" spans="1:52" x14ac:dyDescent="0.35">
      <c r="A33" s="1">
        <f>IF(A32&lt;'Project Information'!B$11,A32+1,"")</f>
        <v>2058</v>
      </c>
      <c r="B33" s="156">
        <v>0</v>
      </c>
      <c r="E33" s="1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s="14"/>
    </row>
    <row r="34" spans="1:52" x14ac:dyDescent="0.35">
      <c r="A34" s="1">
        <f>IF(A33&lt;'Project Information'!B$11,A33+1,"")</f>
        <v>2059</v>
      </c>
      <c r="B34" s="156">
        <v>0</v>
      </c>
      <c r="E34" s="13"/>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s="14"/>
    </row>
    <row r="35" spans="1:52" x14ac:dyDescent="0.35">
      <c r="A35" s="1">
        <f>IF(A34&lt;'Project Information'!B$11,A34+1,"")</f>
        <v>2060</v>
      </c>
      <c r="B35" s="156">
        <v>0</v>
      </c>
      <c r="E35" s="13"/>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s="14"/>
    </row>
    <row r="36" spans="1:52" x14ac:dyDescent="0.35">
      <c r="A36" s="1">
        <f>IF(A35&lt;'Project Information'!B$11,A35+1,"")</f>
        <v>2061</v>
      </c>
      <c r="B36" s="156">
        <v>0</v>
      </c>
      <c r="E36" s="13"/>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s="14"/>
    </row>
    <row r="37" spans="1:52" x14ac:dyDescent="0.35">
      <c r="A37" s="2">
        <f>IF(A36&lt;'Project Information'!B$11,A36+1,"")</f>
        <v>2062</v>
      </c>
      <c r="B37" s="117">
        <v>0</v>
      </c>
      <c r="E37" s="13"/>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s="14"/>
    </row>
    <row r="38" spans="1:52" x14ac:dyDescent="0.35">
      <c r="E38" s="13"/>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s="14"/>
    </row>
    <row r="39" spans="1:52" x14ac:dyDescent="0.35">
      <c r="E39" s="13"/>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s="14"/>
    </row>
    <row r="40" spans="1:52" x14ac:dyDescent="0.35">
      <c r="E40" s="13"/>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s="14"/>
    </row>
    <row r="41" spans="1:52" x14ac:dyDescent="0.35">
      <c r="E41" s="13"/>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s="14"/>
    </row>
    <row r="42" spans="1:52" x14ac:dyDescent="0.35">
      <c r="E42" s="13"/>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s="14"/>
    </row>
    <row r="43" spans="1:52" x14ac:dyDescent="0.35">
      <c r="E43" s="1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s="14"/>
    </row>
    <row r="44" spans="1:52" x14ac:dyDescent="0.35">
      <c r="E44" s="13"/>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s="14"/>
    </row>
    <row r="45" spans="1:52" x14ac:dyDescent="0.35">
      <c r="E45" s="13"/>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s="14"/>
    </row>
    <row r="46" spans="1:52" x14ac:dyDescent="0.35">
      <c r="E46" s="13"/>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s="14"/>
    </row>
    <row r="47" spans="1:52" x14ac:dyDescent="0.35">
      <c r="E47" s="13"/>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s="14"/>
    </row>
    <row r="48" spans="1:52" x14ac:dyDescent="0.35">
      <c r="E48" s="13"/>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s="14"/>
    </row>
    <row r="49" spans="5:52" x14ac:dyDescent="0.35">
      <c r="E49" s="13"/>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s="14"/>
    </row>
    <row r="50" spans="5:52" x14ac:dyDescent="0.35">
      <c r="E50" s="13"/>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s="14"/>
    </row>
    <row r="51" spans="5:52" x14ac:dyDescent="0.35">
      <c r="E51" s="13"/>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s="14"/>
    </row>
    <row r="52" spans="5:52" x14ac:dyDescent="0.35">
      <c r="E52" s="13"/>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s="14"/>
    </row>
    <row r="53" spans="5:52" x14ac:dyDescent="0.35">
      <c r="E53" s="1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s="14"/>
    </row>
    <row r="54" spans="5:52" x14ac:dyDescent="0.35">
      <c r="E54" s="13"/>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s="14"/>
    </row>
    <row r="55" spans="5:52" x14ac:dyDescent="0.35">
      <c r="E55" s="13"/>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s="14"/>
    </row>
    <row r="56" spans="5:52" x14ac:dyDescent="0.35">
      <c r="E56" s="13"/>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s="14"/>
    </row>
    <row r="57" spans="5:52" x14ac:dyDescent="0.35">
      <c r="E57" s="13"/>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s="14"/>
    </row>
    <row r="58" spans="5:52" x14ac:dyDescent="0.35">
      <c r="E58" s="13"/>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s="14"/>
    </row>
    <row r="59" spans="5:52" x14ac:dyDescent="0.35">
      <c r="E59" s="13"/>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s="14"/>
    </row>
    <row r="60" spans="5:52" x14ac:dyDescent="0.35">
      <c r="E60" s="13"/>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s="14"/>
    </row>
    <row r="61" spans="5:52" x14ac:dyDescent="0.35">
      <c r="E61" s="13"/>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s="14"/>
    </row>
    <row r="62" spans="5:52" x14ac:dyDescent="0.35">
      <c r="E62" s="13"/>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s="14"/>
    </row>
    <row r="63" spans="5:52" x14ac:dyDescent="0.35">
      <c r="E63" s="1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s="14"/>
    </row>
    <row r="64" spans="5:52" x14ac:dyDescent="0.35">
      <c r="E64" s="13"/>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s="14"/>
    </row>
    <row r="65" spans="5:52" x14ac:dyDescent="0.35">
      <c r="E65" s="13"/>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s="14"/>
    </row>
    <row r="66" spans="5:52" x14ac:dyDescent="0.35">
      <c r="E66" s="13"/>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s="14"/>
    </row>
    <row r="67" spans="5:52" x14ac:dyDescent="0.35">
      <c r="E67" s="13"/>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s="14"/>
    </row>
    <row r="68" spans="5:52" x14ac:dyDescent="0.35">
      <c r="E68" s="13"/>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s="14"/>
    </row>
    <row r="69" spans="5:52" x14ac:dyDescent="0.35">
      <c r="E69" s="13"/>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s="14"/>
    </row>
    <row r="70" spans="5:52" x14ac:dyDescent="0.35">
      <c r="E70" s="13"/>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s="14"/>
    </row>
    <row r="71" spans="5:52" x14ac:dyDescent="0.35">
      <c r="E71" s="13"/>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s="14"/>
    </row>
    <row r="72" spans="5:52" x14ac:dyDescent="0.35">
      <c r="E72" s="13"/>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s="14"/>
    </row>
    <row r="73" spans="5:52" x14ac:dyDescent="0.35">
      <c r="E73" s="1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s="14"/>
    </row>
    <row r="74" spans="5:52" x14ac:dyDescent="0.35">
      <c r="E74" s="13"/>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s="14"/>
    </row>
    <row r="75" spans="5:52" x14ac:dyDescent="0.35">
      <c r="E75" s="13"/>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s="14"/>
    </row>
    <row r="76" spans="5:52" x14ac:dyDescent="0.35">
      <c r="E76" s="13"/>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s="14"/>
    </row>
    <row r="77" spans="5:52" x14ac:dyDescent="0.35">
      <c r="E77" s="13"/>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s="14"/>
    </row>
    <row r="78" spans="5:52" x14ac:dyDescent="0.35">
      <c r="E78" s="13"/>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s="14"/>
    </row>
    <row r="79" spans="5:52" x14ac:dyDescent="0.35">
      <c r="E79" s="13"/>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s="14"/>
    </row>
    <row r="80" spans="5:52" x14ac:dyDescent="0.35">
      <c r="E80" s="13"/>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s="14"/>
    </row>
    <row r="81" spans="5:52" x14ac:dyDescent="0.35">
      <c r="E81" s="13"/>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s="14"/>
    </row>
    <row r="82" spans="5:52" x14ac:dyDescent="0.35">
      <c r="E82" s="13"/>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s="14"/>
    </row>
    <row r="83" spans="5:52" x14ac:dyDescent="0.35">
      <c r="E83" s="1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s="14"/>
    </row>
    <row r="84" spans="5:52" x14ac:dyDescent="0.35">
      <c r="E84" s="13"/>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s="14"/>
    </row>
    <row r="85" spans="5:52" x14ac:dyDescent="0.35">
      <c r="E85" s="13"/>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s="14"/>
    </row>
    <row r="86" spans="5:52" x14ac:dyDescent="0.35">
      <c r="E86" s="13"/>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s="14"/>
    </row>
    <row r="87" spans="5:52" ht="15" thickBot="1" x14ac:dyDescent="0.4">
      <c r="E87" s="15"/>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c r="AS87" s="16"/>
      <c r="AT87" s="16"/>
      <c r="AU87" s="16"/>
      <c r="AV87" s="16"/>
      <c r="AW87" s="16"/>
      <c r="AX87" s="16"/>
      <c r="AY87" s="16"/>
      <c r="AZ87" s="17"/>
    </row>
  </sheetData>
  <conditionalFormatting sqref="B8:B37">
    <cfRule type="expression" dxfId="3" priority="1">
      <formula>A8=""</formula>
    </cfRule>
  </conditionalFormatting>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2758C-DD7B-441C-AA2D-42F280A3896C}">
  <sheetPr>
    <tabColor theme="9" tint="0.39997558519241921"/>
  </sheetPr>
  <dimension ref="A1:AZ87"/>
  <sheetViews>
    <sheetView workbookViewId="0"/>
    <sheetView workbookViewId="1"/>
  </sheetViews>
  <sheetFormatPr defaultColWidth="9.1796875" defaultRowHeight="14.5" x14ac:dyDescent="0.35"/>
  <cols>
    <col min="1" max="1" width="26" style="5" customWidth="1"/>
    <col min="2" max="2" width="40.7265625" style="5" customWidth="1"/>
    <col min="3" max="16384" width="9.1796875" style="5"/>
  </cols>
  <sheetData>
    <row r="1" spans="1:52" ht="20" thickBot="1" x14ac:dyDescent="0.5">
      <c r="A1" s="94" t="s">
        <v>14</v>
      </c>
    </row>
    <row r="2" spans="1:52" ht="15" thickTop="1" x14ac:dyDescent="0.35">
      <c r="A2" s="144" t="s">
        <v>231</v>
      </c>
      <c r="B2" s="144"/>
      <c r="C2" s="144"/>
    </row>
    <row r="3" spans="1:52" x14ac:dyDescent="0.35">
      <c r="A3" s="5" t="s">
        <v>203</v>
      </c>
    </row>
    <row r="4" spans="1:52" x14ac:dyDescent="0.35">
      <c r="A4" s="145" t="s">
        <v>344</v>
      </c>
      <c r="B4" s="144"/>
      <c r="C4" s="144"/>
      <c r="D4" s="144"/>
      <c r="E4" s="144"/>
      <c r="F4" s="144"/>
      <c r="G4" s="144"/>
      <c r="H4" s="144"/>
      <c r="I4" s="144"/>
      <c r="J4" s="144"/>
      <c r="K4" s="144"/>
      <c r="L4" s="144"/>
    </row>
    <row r="5" spans="1:52" x14ac:dyDescent="0.35">
      <c r="A5" s="5" t="s">
        <v>203</v>
      </c>
    </row>
    <row r="6" spans="1:52" ht="15" thickBot="1" x14ac:dyDescent="0.4">
      <c r="A6" s="95" t="s">
        <v>244</v>
      </c>
    </row>
    <row r="7" spans="1:52" x14ac:dyDescent="0.35">
      <c r="A7" s="105" t="s">
        <v>4</v>
      </c>
      <c r="B7" s="24" t="s">
        <v>14</v>
      </c>
      <c r="C7" s="5" t="s">
        <v>157</v>
      </c>
      <c r="E7" s="10" t="s">
        <v>159</v>
      </c>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2"/>
    </row>
    <row r="8" spans="1:52" x14ac:dyDescent="0.35">
      <c r="A8" s="6">
        <f>'Project Information'!$B$9</f>
        <v>2033</v>
      </c>
      <c r="B8" s="156">
        <v>0</v>
      </c>
      <c r="E8" s="13"/>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s="14"/>
    </row>
    <row r="9" spans="1:52" x14ac:dyDescent="0.35">
      <c r="A9" s="1">
        <f>IF(A8&lt;'Project Information'!B$11,A8+1,"")</f>
        <v>2034</v>
      </c>
      <c r="B9" s="156">
        <v>0</v>
      </c>
      <c r="E9" s="13"/>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s="14"/>
    </row>
    <row r="10" spans="1:52" x14ac:dyDescent="0.35">
      <c r="A10" s="1">
        <f>IF(A9&lt;'Project Information'!B$11,A9+1,"")</f>
        <v>2035</v>
      </c>
      <c r="B10" s="156">
        <v>0</v>
      </c>
      <c r="E10" s="13"/>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s="14"/>
    </row>
    <row r="11" spans="1:52" x14ac:dyDescent="0.35">
      <c r="A11" s="1">
        <f>IF(A10&lt;'Project Information'!B$11,A10+1,"")</f>
        <v>2036</v>
      </c>
      <c r="B11" s="156">
        <v>0</v>
      </c>
      <c r="E11" s="13"/>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s="14"/>
    </row>
    <row r="12" spans="1:52" x14ac:dyDescent="0.35">
      <c r="A12" s="1">
        <f>IF(A11&lt;'Project Information'!B$11,A11+1,"")</f>
        <v>2037</v>
      </c>
      <c r="B12" s="156">
        <v>0</v>
      </c>
      <c r="E12" s="13"/>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s="14"/>
    </row>
    <row r="13" spans="1:52" x14ac:dyDescent="0.35">
      <c r="A13" s="1">
        <f>IF(A12&lt;'Project Information'!B$11,A12+1,"")</f>
        <v>2038</v>
      </c>
      <c r="B13" s="156">
        <v>0</v>
      </c>
      <c r="E13" s="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s="14"/>
    </row>
    <row r="14" spans="1:52" x14ac:dyDescent="0.35">
      <c r="A14" s="1">
        <f>IF(A13&lt;'Project Information'!B$11,A13+1,"")</f>
        <v>2039</v>
      </c>
      <c r="B14" s="156">
        <v>0</v>
      </c>
      <c r="E14" s="13"/>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s="14"/>
    </row>
    <row r="15" spans="1:52" x14ac:dyDescent="0.35">
      <c r="A15" s="1">
        <f>IF(A14&lt;'Project Information'!B$11,A14+1,"")</f>
        <v>2040</v>
      </c>
      <c r="B15" s="156">
        <v>0</v>
      </c>
      <c r="E15" s="13"/>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s="14"/>
    </row>
    <row r="16" spans="1:52" x14ac:dyDescent="0.35">
      <c r="A16" s="1">
        <f>IF(A15&lt;'Project Information'!B$11,A15+1,"")</f>
        <v>2041</v>
      </c>
      <c r="B16" s="156">
        <v>0</v>
      </c>
      <c r="E16" s="13"/>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s="14"/>
    </row>
    <row r="17" spans="1:52" x14ac:dyDescent="0.35">
      <c r="A17" s="1">
        <f>IF(A16&lt;'Project Information'!B$11,A16+1,"")</f>
        <v>2042</v>
      </c>
      <c r="B17" s="156">
        <v>0</v>
      </c>
      <c r="E17" s="13"/>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s="14"/>
    </row>
    <row r="18" spans="1:52" x14ac:dyDescent="0.35">
      <c r="A18" s="1">
        <f>IF(A17&lt;'Project Information'!B$11,A17+1,"")</f>
        <v>2043</v>
      </c>
      <c r="B18" s="156">
        <v>0</v>
      </c>
      <c r="E18" s="13"/>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s="14"/>
    </row>
    <row r="19" spans="1:52" x14ac:dyDescent="0.35">
      <c r="A19" s="1">
        <f>IF(A18&lt;'Project Information'!B$11,A18+1,"")</f>
        <v>2044</v>
      </c>
      <c r="B19" s="156">
        <v>0</v>
      </c>
      <c r="E19" s="13"/>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s="14"/>
    </row>
    <row r="20" spans="1:52" x14ac:dyDescent="0.35">
      <c r="A20" s="1">
        <f>IF(A19&lt;'Project Information'!B$11,A19+1,"")</f>
        <v>2045</v>
      </c>
      <c r="B20" s="156">
        <v>0</v>
      </c>
      <c r="E20" s="13"/>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s="14"/>
    </row>
    <row r="21" spans="1:52" x14ac:dyDescent="0.35">
      <c r="A21" s="1">
        <f>IF(A20&lt;'Project Information'!B$11,A20+1,"")</f>
        <v>2046</v>
      </c>
      <c r="B21" s="156">
        <v>0</v>
      </c>
      <c r="E21" s="13"/>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s="14"/>
    </row>
    <row r="22" spans="1:52" x14ac:dyDescent="0.35">
      <c r="A22" s="1">
        <f>IF(A21&lt;'Project Information'!B$11,A21+1,"")</f>
        <v>2047</v>
      </c>
      <c r="B22" s="156">
        <v>0</v>
      </c>
      <c r="E22" s="13"/>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s="14"/>
    </row>
    <row r="23" spans="1:52" x14ac:dyDescent="0.35">
      <c r="A23" s="1">
        <f>IF(A22&lt;'Project Information'!B$11,A22+1,"")</f>
        <v>2048</v>
      </c>
      <c r="B23" s="156">
        <v>0</v>
      </c>
      <c r="E23" s="1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s="14"/>
    </row>
    <row r="24" spans="1:52" x14ac:dyDescent="0.35">
      <c r="A24" s="1">
        <f>IF(A23&lt;'Project Information'!B$11,A23+1,"")</f>
        <v>2049</v>
      </c>
      <c r="B24" s="156">
        <v>0</v>
      </c>
      <c r="E24" s="13"/>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s="14"/>
    </row>
    <row r="25" spans="1:52" x14ac:dyDescent="0.35">
      <c r="A25" s="1">
        <f>IF(A24&lt;'Project Information'!B$11,A24+1,"")</f>
        <v>2050</v>
      </c>
      <c r="B25" s="156">
        <v>0</v>
      </c>
      <c r="E25" s="13"/>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s="14"/>
    </row>
    <row r="26" spans="1:52" x14ac:dyDescent="0.35">
      <c r="A26" s="1">
        <f>IF(A25&lt;'Project Information'!B$11,A25+1,"")</f>
        <v>2051</v>
      </c>
      <c r="B26" s="156">
        <v>0</v>
      </c>
      <c r="E26" s="13"/>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s="14"/>
    </row>
    <row r="27" spans="1:52" x14ac:dyDescent="0.35">
      <c r="A27" s="1">
        <f>IF(A26&lt;'Project Information'!B$11,A26+1,"")</f>
        <v>2052</v>
      </c>
      <c r="B27" s="156">
        <v>0</v>
      </c>
      <c r="E27" s="13"/>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s="14"/>
    </row>
    <row r="28" spans="1:52" x14ac:dyDescent="0.35">
      <c r="A28" s="1">
        <f>IF(A27&lt;'Project Information'!B$11,A27+1,"")</f>
        <v>2053</v>
      </c>
      <c r="B28" s="156">
        <v>0</v>
      </c>
      <c r="E28" s="13"/>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s="14"/>
    </row>
    <row r="29" spans="1:52" x14ac:dyDescent="0.35">
      <c r="A29" s="1">
        <f>IF(A28&lt;'Project Information'!B$11,A28+1,"")</f>
        <v>2054</v>
      </c>
      <c r="B29" s="156">
        <v>0</v>
      </c>
      <c r="E29" s="13"/>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s="14"/>
    </row>
    <row r="30" spans="1:52" x14ac:dyDescent="0.35">
      <c r="A30" s="1">
        <f>IF(A29&lt;'Project Information'!B$11,A29+1,"")</f>
        <v>2055</v>
      </c>
      <c r="B30" s="156">
        <v>0</v>
      </c>
      <c r="E30" s="13"/>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s="14"/>
    </row>
    <row r="31" spans="1:52" x14ac:dyDescent="0.35">
      <c r="A31" s="1">
        <f>IF(A30&lt;'Project Information'!B$11,A30+1,"")</f>
        <v>2056</v>
      </c>
      <c r="B31" s="156">
        <v>0</v>
      </c>
      <c r="E31" s="13"/>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s="14"/>
    </row>
    <row r="32" spans="1:52" x14ac:dyDescent="0.35">
      <c r="A32" s="1">
        <f>IF(A31&lt;'Project Information'!B$11,A31+1,"")</f>
        <v>2057</v>
      </c>
      <c r="B32" s="156">
        <v>0</v>
      </c>
      <c r="E32" s="13"/>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s="14"/>
    </row>
    <row r="33" spans="1:52" x14ac:dyDescent="0.35">
      <c r="A33" s="1">
        <f>IF(A32&lt;'Project Information'!B$11,A32+1,"")</f>
        <v>2058</v>
      </c>
      <c r="B33" s="156">
        <v>0</v>
      </c>
      <c r="E33" s="1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s="14"/>
    </row>
    <row r="34" spans="1:52" x14ac:dyDescent="0.35">
      <c r="A34" s="1">
        <f>IF(A33&lt;'Project Information'!B$11,A33+1,"")</f>
        <v>2059</v>
      </c>
      <c r="B34" s="156">
        <v>0</v>
      </c>
      <c r="E34" s="13"/>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s="14"/>
    </row>
    <row r="35" spans="1:52" x14ac:dyDescent="0.35">
      <c r="A35" s="1">
        <f>IF(A34&lt;'Project Information'!B$11,A34+1,"")</f>
        <v>2060</v>
      </c>
      <c r="B35" s="156">
        <v>0</v>
      </c>
      <c r="E35" s="13"/>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s="14"/>
    </row>
    <row r="36" spans="1:52" x14ac:dyDescent="0.35">
      <c r="A36" s="1">
        <f>IF(A35&lt;'Project Information'!B$11,A35+1,"")</f>
        <v>2061</v>
      </c>
      <c r="B36" s="156">
        <v>0</v>
      </c>
      <c r="E36" s="13"/>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s="14"/>
    </row>
    <row r="37" spans="1:52" x14ac:dyDescent="0.35">
      <c r="A37" s="2">
        <f>IF(A36&lt;'Project Information'!B$11,A36+1,"")</f>
        <v>2062</v>
      </c>
      <c r="B37" s="117">
        <v>0</v>
      </c>
      <c r="E37" s="13"/>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s="14"/>
    </row>
    <row r="38" spans="1:52" x14ac:dyDescent="0.35">
      <c r="E38" s="13"/>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s="14"/>
    </row>
    <row r="39" spans="1:52" x14ac:dyDescent="0.35">
      <c r="E39" s="13"/>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s="14"/>
    </row>
    <row r="40" spans="1:52" x14ac:dyDescent="0.35">
      <c r="E40" s="13"/>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s="14"/>
    </row>
    <row r="41" spans="1:52" x14ac:dyDescent="0.35">
      <c r="E41" s="13"/>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s="14"/>
    </row>
    <row r="42" spans="1:52" x14ac:dyDescent="0.35">
      <c r="E42" s="13"/>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s="14"/>
    </row>
    <row r="43" spans="1:52" x14ac:dyDescent="0.35">
      <c r="E43" s="1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s="14"/>
    </row>
    <row r="44" spans="1:52" x14ac:dyDescent="0.35">
      <c r="E44" s="13"/>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s="14"/>
    </row>
    <row r="45" spans="1:52" x14ac:dyDescent="0.35">
      <c r="E45" s="13"/>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s="14"/>
    </row>
    <row r="46" spans="1:52" x14ac:dyDescent="0.35">
      <c r="E46" s="13"/>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s="14"/>
    </row>
    <row r="47" spans="1:52" x14ac:dyDescent="0.35">
      <c r="E47" s="13"/>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s="14"/>
    </row>
    <row r="48" spans="1:52" x14ac:dyDescent="0.35">
      <c r="E48" s="13"/>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s="14"/>
    </row>
    <row r="49" spans="5:52" x14ac:dyDescent="0.35">
      <c r="E49" s="13"/>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s="14"/>
    </row>
    <row r="50" spans="5:52" x14ac:dyDescent="0.35">
      <c r="E50" s="13"/>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s="14"/>
    </row>
    <row r="51" spans="5:52" x14ac:dyDescent="0.35">
      <c r="E51" s="13"/>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s="14"/>
    </row>
    <row r="52" spans="5:52" x14ac:dyDescent="0.35">
      <c r="E52" s="13"/>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s="14"/>
    </row>
    <row r="53" spans="5:52" x14ac:dyDescent="0.35">
      <c r="E53" s="1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s="14"/>
    </row>
    <row r="54" spans="5:52" x14ac:dyDescent="0.35">
      <c r="E54" s="13"/>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s="14"/>
    </row>
    <row r="55" spans="5:52" x14ac:dyDescent="0.35">
      <c r="E55" s="13"/>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s="14"/>
    </row>
    <row r="56" spans="5:52" x14ac:dyDescent="0.35">
      <c r="E56" s="13"/>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s="14"/>
    </row>
    <row r="57" spans="5:52" x14ac:dyDescent="0.35">
      <c r="E57" s="13"/>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s="14"/>
    </row>
    <row r="58" spans="5:52" x14ac:dyDescent="0.35">
      <c r="E58" s="13"/>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s="14"/>
    </row>
    <row r="59" spans="5:52" x14ac:dyDescent="0.35">
      <c r="E59" s="13"/>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s="14"/>
    </row>
    <row r="60" spans="5:52" x14ac:dyDescent="0.35">
      <c r="E60" s="13"/>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s="14"/>
    </row>
    <row r="61" spans="5:52" x14ac:dyDescent="0.35">
      <c r="E61" s="13"/>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s="14"/>
    </row>
    <row r="62" spans="5:52" x14ac:dyDescent="0.35">
      <c r="E62" s="13"/>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s="14"/>
    </row>
    <row r="63" spans="5:52" x14ac:dyDescent="0.35">
      <c r="E63" s="1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s="14"/>
    </row>
    <row r="64" spans="5:52" x14ac:dyDescent="0.35">
      <c r="E64" s="13"/>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s="14"/>
    </row>
    <row r="65" spans="5:52" x14ac:dyDescent="0.35">
      <c r="E65" s="13"/>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s="14"/>
    </row>
    <row r="66" spans="5:52" x14ac:dyDescent="0.35">
      <c r="E66" s="13"/>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s="14"/>
    </row>
    <row r="67" spans="5:52" x14ac:dyDescent="0.35">
      <c r="E67" s="13"/>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s="14"/>
    </row>
    <row r="68" spans="5:52" x14ac:dyDescent="0.35">
      <c r="E68" s="13"/>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s="14"/>
    </row>
    <row r="69" spans="5:52" x14ac:dyDescent="0.35">
      <c r="E69" s="13"/>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s="14"/>
    </row>
    <row r="70" spans="5:52" x14ac:dyDescent="0.35">
      <c r="E70" s="13"/>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s="14"/>
    </row>
    <row r="71" spans="5:52" x14ac:dyDescent="0.35">
      <c r="E71" s="13"/>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s="14"/>
    </row>
    <row r="72" spans="5:52" x14ac:dyDescent="0.35">
      <c r="E72" s="13"/>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s="14"/>
    </row>
    <row r="73" spans="5:52" x14ac:dyDescent="0.35">
      <c r="E73" s="1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s="14"/>
    </row>
    <row r="74" spans="5:52" x14ac:dyDescent="0.35">
      <c r="E74" s="13"/>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s="14"/>
    </row>
    <row r="75" spans="5:52" x14ac:dyDescent="0.35">
      <c r="E75" s="13"/>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s="14"/>
    </row>
    <row r="76" spans="5:52" x14ac:dyDescent="0.35">
      <c r="E76" s="13"/>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s="14"/>
    </row>
    <row r="77" spans="5:52" x14ac:dyDescent="0.35">
      <c r="E77" s="13"/>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s="14"/>
    </row>
    <row r="78" spans="5:52" x14ac:dyDescent="0.35">
      <c r="E78" s="13"/>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s="14"/>
    </row>
    <row r="79" spans="5:52" x14ac:dyDescent="0.35">
      <c r="E79" s="13"/>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s="14"/>
    </row>
    <row r="80" spans="5:52" x14ac:dyDescent="0.35">
      <c r="E80" s="13"/>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s="14"/>
    </row>
    <row r="81" spans="5:52" x14ac:dyDescent="0.35">
      <c r="E81" s="13"/>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s="14"/>
    </row>
    <row r="82" spans="5:52" x14ac:dyDescent="0.35">
      <c r="E82" s="13"/>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s="14"/>
    </row>
    <row r="83" spans="5:52" x14ac:dyDescent="0.35">
      <c r="E83" s="1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s="14"/>
    </row>
    <row r="84" spans="5:52" x14ac:dyDescent="0.35">
      <c r="E84" s="13"/>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s="14"/>
    </row>
    <row r="85" spans="5:52" x14ac:dyDescent="0.35">
      <c r="E85" s="13"/>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s="14"/>
    </row>
    <row r="86" spans="5:52" x14ac:dyDescent="0.35">
      <c r="E86" s="13"/>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s="14"/>
    </row>
    <row r="87" spans="5:52" ht="15" thickBot="1" x14ac:dyDescent="0.4">
      <c r="E87" s="15"/>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c r="AS87" s="16"/>
      <c r="AT87" s="16"/>
      <c r="AU87" s="16"/>
      <c r="AV87" s="16"/>
      <c r="AW87" s="16"/>
      <c r="AX87" s="16"/>
      <c r="AY87" s="16"/>
      <c r="AZ87" s="17"/>
    </row>
  </sheetData>
  <conditionalFormatting sqref="B8:B37">
    <cfRule type="expression" dxfId="2" priority="1">
      <formula>A8=""</formula>
    </cfRule>
  </conditionalFormatting>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E6E43-6B22-4737-8E2E-57A059E7E54E}">
  <sheetPr>
    <tabColor theme="9" tint="0.39997558519241921"/>
  </sheetPr>
  <dimension ref="A1:AZ87"/>
  <sheetViews>
    <sheetView workbookViewId="0"/>
    <sheetView workbookViewId="1"/>
  </sheetViews>
  <sheetFormatPr defaultColWidth="9.1796875" defaultRowHeight="14.5" x14ac:dyDescent="0.35"/>
  <cols>
    <col min="1" max="1" width="25.81640625" style="5" customWidth="1"/>
    <col min="2" max="2" width="40.7265625" style="5" customWidth="1"/>
    <col min="3" max="16384" width="9.1796875" style="5"/>
  </cols>
  <sheetData>
    <row r="1" spans="1:52" ht="20" thickBot="1" x14ac:dyDescent="0.5">
      <c r="A1" s="94" t="s">
        <v>15</v>
      </c>
    </row>
    <row r="2" spans="1:52" ht="15" thickTop="1" x14ac:dyDescent="0.35">
      <c r="A2" s="144" t="s">
        <v>231</v>
      </c>
      <c r="B2" s="144"/>
      <c r="C2" s="144"/>
    </row>
    <row r="3" spans="1:52" x14ac:dyDescent="0.35">
      <c r="A3" s="5" t="s">
        <v>203</v>
      </c>
    </row>
    <row r="4" spans="1:52" x14ac:dyDescent="0.35">
      <c r="A4" s="145" t="s">
        <v>344</v>
      </c>
      <c r="B4" s="144"/>
      <c r="C4" s="144"/>
      <c r="D4" s="144"/>
      <c r="E4" s="144"/>
      <c r="F4" s="144"/>
      <c r="G4" s="144"/>
      <c r="H4" s="144"/>
      <c r="I4" s="144"/>
      <c r="J4" s="144"/>
      <c r="K4" s="144"/>
      <c r="L4" s="144"/>
    </row>
    <row r="5" spans="1:52" x14ac:dyDescent="0.35">
      <c r="A5" s="5" t="s">
        <v>203</v>
      </c>
    </row>
    <row r="6" spans="1:52" ht="15" thickBot="1" x14ac:dyDescent="0.4">
      <c r="A6" s="95" t="s">
        <v>244</v>
      </c>
    </row>
    <row r="7" spans="1:52" x14ac:dyDescent="0.35">
      <c r="A7" s="105" t="s">
        <v>4</v>
      </c>
      <c r="B7" s="24" t="s">
        <v>15</v>
      </c>
      <c r="C7" s="5" t="s">
        <v>157</v>
      </c>
      <c r="E7" s="10" t="s">
        <v>159</v>
      </c>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2"/>
    </row>
    <row r="8" spans="1:52" x14ac:dyDescent="0.35">
      <c r="A8" s="6">
        <f>'Project Information'!$B$9</f>
        <v>2033</v>
      </c>
      <c r="B8" s="156">
        <v>0</v>
      </c>
      <c r="E8" s="13"/>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s="14"/>
    </row>
    <row r="9" spans="1:52" x14ac:dyDescent="0.35">
      <c r="A9" s="1">
        <f>IF(A8&lt;'Project Information'!B$11,A8+1,"")</f>
        <v>2034</v>
      </c>
      <c r="B9" s="156">
        <v>0</v>
      </c>
      <c r="E9" s="13"/>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s="14"/>
    </row>
    <row r="10" spans="1:52" x14ac:dyDescent="0.35">
      <c r="A10" s="1">
        <f>IF(A9&lt;'Project Information'!B$11,A9+1,"")</f>
        <v>2035</v>
      </c>
      <c r="B10" s="156">
        <v>0</v>
      </c>
      <c r="E10" s="13"/>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s="14"/>
    </row>
    <row r="11" spans="1:52" x14ac:dyDescent="0.35">
      <c r="A11" s="1">
        <f>IF(A10&lt;'Project Information'!B$11,A10+1,"")</f>
        <v>2036</v>
      </c>
      <c r="B11" s="156">
        <v>0</v>
      </c>
      <c r="E11" s="13"/>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s="14"/>
    </row>
    <row r="12" spans="1:52" x14ac:dyDescent="0.35">
      <c r="A12" s="1">
        <f>IF(A11&lt;'Project Information'!B$11,A11+1,"")</f>
        <v>2037</v>
      </c>
      <c r="B12" s="156">
        <v>0</v>
      </c>
      <c r="E12" s="13"/>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s="14"/>
    </row>
    <row r="13" spans="1:52" x14ac:dyDescent="0.35">
      <c r="A13" s="1">
        <f>IF(A12&lt;'Project Information'!B$11,A12+1,"")</f>
        <v>2038</v>
      </c>
      <c r="B13" s="156">
        <v>0</v>
      </c>
      <c r="E13" s="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s="14"/>
    </row>
    <row r="14" spans="1:52" x14ac:dyDescent="0.35">
      <c r="A14" s="1">
        <f>IF(A13&lt;'Project Information'!B$11,A13+1,"")</f>
        <v>2039</v>
      </c>
      <c r="B14" s="156">
        <v>0</v>
      </c>
      <c r="E14" s="13"/>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s="14"/>
    </row>
    <row r="15" spans="1:52" x14ac:dyDescent="0.35">
      <c r="A15" s="1">
        <f>IF(A14&lt;'Project Information'!B$11,A14+1,"")</f>
        <v>2040</v>
      </c>
      <c r="B15" s="156">
        <v>0</v>
      </c>
      <c r="E15" s="13"/>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s="14"/>
    </row>
    <row r="16" spans="1:52" x14ac:dyDescent="0.35">
      <c r="A16" s="1">
        <f>IF(A15&lt;'Project Information'!B$11,A15+1,"")</f>
        <v>2041</v>
      </c>
      <c r="B16" s="156">
        <v>0</v>
      </c>
      <c r="E16" s="13"/>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s="14"/>
    </row>
    <row r="17" spans="1:52" x14ac:dyDescent="0.35">
      <c r="A17" s="1">
        <f>IF(A16&lt;'Project Information'!B$11,A16+1,"")</f>
        <v>2042</v>
      </c>
      <c r="B17" s="156">
        <v>0</v>
      </c>
      <c r="E17" s="13"/>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s="14"/>
    </row>
    <row r="18" spans="1:52" x14ac:dyDescent="0.35">
      <c r="A18" s="1">
        <f>IF(A17&lt;'Project Information'!B$11,A17+1,"")</f>
        <v>2043</v>
      </c>
      <c r="B18" s="156">
        <v>0</v>
      </c>
      <c r="E18" s="13"/>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s="14"/>
    </row>
    <row r="19" spans="1:52" x14ac:dyDescent="0.35">
      <c r="A19" s="1">
        <f>IF(A18&lt;'Project Information'!B$11,A18+1,"")</f>
        <v>2044</v>
      </c>
      <c r="B19" s="156">
        <v>0</v>
      </c>
      <c r="E19" s="13"/>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s="14"/>
    </row>
    <row r="20" spans="1:52" x14ac:dyDescent="0.35">
      <c r="A20" s="1">
        <f>IF(A19&lt;'Project Information'!B$11,A19+1,"")</f>
        <v>2045</v>
      </c>
      <c r="B20" s="156">
        <v>0</v>
      </c>
      <c r="E20" s="13"/>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s="14"/>
    </row>
    <row r="21" spans="1:52" x14ac:dyDescent="0.35">
      <c r="A21" s="1">
        <f>IF(A20&lt;'Project Information'!B$11,A20+1,"")</f>
        <v>2046</v>
      </c>
      <c r="B21" s="156">
        <v>0</v>
      </c>
      <c r="E21" s="13"/>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s="14"/>
    </row>
    <row r="22" spans="1:52" x14ac:dyDescent="0.35">
      <c r="A22" s="1">
        <f>IF(A21&lt;'Project Information'!B$11,A21+1,"")</f>
        <v>2047</v>
      </c>
      <c r="B22" s="156">
        <v>0</v>
      </c>
      <c r="E22" s="13"/>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s="14"/>
    </row>
    <row r="23" spans="1:52" x14ac:dyDescent="0.35">
      <c r="A23" s="1">
        <f>IF(A22&lt;'Project Information'!B$11,A22+1,"")</f>
        <v>2048</v>
      </c>
      <c r="B23" s="156">
        <v>0</v>
      </c>
      <c r="E23" s="1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s="14"/>
    </row>
    <row r="24" spans="1:52" x14ac:dyDescent="0.35">
      <c r="A24" s="1">
        <f>IF(A23&lt;'Project Information'!B$11,A23+1,"")</f>
        <v>2049</v>
      </c>
      <c r="B24" s="156">
        <v>0</v>
      </c>
      <c r="E24" s="13"/>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s="14"/>
    </row>
    <row r="25" spans="1:52" x14ac:dyDescent="0.35">
      <c r="A25" s="1">
        <f>IF(A24&lt;'Project Information'!B$11,A24+1,"")</f>
        <v>2050</v>
      </c>
      <c r="B25" s="156">
        <v>0</v>
      </c>
      <c r="E25" s="13"/>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s="14"/>
    </row>
    <row r="26" spans="1:52" x14ac:dyDescent="0.35">
      <c r="A26" s="1">
        <f>IF(A25&lt;'Project Information'!B$11,A25+1,"")</f>
        <v>2051</v>
      </c>
      <c r="B26" s="156">
        <v>0</v>
      </c>
      <c r="E26" s="13"/>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s="14"/>
    </row>
    <row r="27" spans="1:52" x14ac:dyDescent="0.35">
      <c r="A27" s="1">
        <f>IF(A26&lt;'Project Information'!B$11,A26+1,"")</f>
        <v>2052</v>
      </c>
      <c r="B27" s="156">
        <v>0</v>
      </c>
      <c r="E27" s="13"/>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s="14"/>
    </row>
    <row r="28" spans="1:52" x14ac:dyDescent="0.35">
      <c r="A28" s="1">
        <f>IF(A27&lt;'Project Information'!B$11,A27+1,"")</f>
        <v>2053</v>
      </c>
      <c r="B28" s="156">
        <v>0</v>
      </c>
      <c r="E28" s="13"/>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s="14"/>
    </row>
    <row r="29" spans="1:52" x14ac:dyDescent="0.35">
      <c r="A29" s="1">
        <f>IF(A28&lt;'Project Information'!B$11,A28+1,"")</f>
        <v>2054</v>
      </c>
      <c r="B29" s="156">
        <v>0</v>
      </c>
      <c r="E29" s="13"/>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s="14"/>
    </row>
    <row r="30" spans="1:52" x14ac:dyDescent="0.35">
      <c r="A30" s="1">
        <f>IF(A29&lt;'Project Information'!B$11,A29+1,"")</f>
        <v>2055</v>
      </c>
      <c r="B30" s="156">
        <v>0</v>
      </c>
      <c r="E30" s="13"/>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s="14"/>
    </row>
    <row r="31" spans="1:52" x14ac:dyDescent="0.35">
      <c r="A31" s="1">
        <f>IF(A30&lt;'Project Information'!B$11,A30+1,"")</f>
        <v>2056</v>
      </c>
      <c r="B31" s="156">
        <v>0</v>
      </c>
      <c r="E31" s="13"/>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s="14"/>
    </row>
    <row r="32" spans="1:52" x14ac:dyDescent="0.35">
      <c r="A32" s="1">
        <f>IF(A31&lt;'Project Information'!B$11,A31+1,"")</f>
        <v>2057</v>
      </c>
      <c r="B32" s="156">
        <v>0</v>
      </c>
      <c r="E32" s="13"/>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s="14"/>
    </row>
    <row r="33" spans="1:52" x14ac:dyDescent="0.35">
      <c r="A33" s="1">
        <f>IF(A32&lt;'Project Information'!B$11,A32+1,"")</f>
        <v>2058</v>
      </c>
      <c r="B33" s="156">
        <v>0</v>
      </c>
      <c r="E33" s="1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s="14"/>
    </row>
    <row r="34" spans="1:52" x14ac:dyDescent="0.35">
      <c r="A34" s="1">
        <f>IF(A33&lt;'Project Information'!B$11,A33+1,"")</f>
        <v>2059</v>
      </c>
      <c r="B34" s="156">
        <v>0</v>
      </c>
      <c r="E34" s="13"/>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s="14"/>
    </row>
    <row r="35" spans="1:52" x14ac:dyDescent="0.35">
      <c r="A35" s="1">
        <f>IF(A34&lt;'Project Information'!B$11,A34+1,"")</f>
        <v>2060</v>
      </c>
      <c r="B35" s="156">
        <v>0</v>
      </c>
      <c r="E35" s="13"/>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s="14"/>
    </row>
    <row r="36" spans="1:52" x14ac:dyDescent="0.35">
      <c r="A36" s="1">
        <f>IF(A35&lt;'Project Information'!B$11,A35+1,"")</f>
        <v>2061</v>
      </c>
      <c r="B36" s="156">
        <v>0</v>
      </c>
      <c r="E36" s="13"/>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s="14"/>
    </row>
    <row r="37" spans="1:52" x14ac:dyDescent="0.35">
      <c r="A37" s="2">
        <f>IF(A36&lt;'Project Information'!B$11,A36+1,"")</f>
        <v>2062</v>
      </c>
      <c r="B37" s="117">
        <v>0</v>
      </c>
      <c r="E37" s="13"/>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s="14"/>
    </row>
    <row r="38" spans="1:52" x14ac:dyDescent="0.35">
      <c r="E38" s="13"/>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s="14"/>
    </row>
    <row r="39" spans="1:52" x14ac:dyDescent="0.35">
      <c r="E39" s="13"/>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s="14"/>
    </row>
    <row r="40" spans="1:52" x14ac:dyDescent="0.35">
      <c r="E40" s="13"/>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s="14"/>
    </row>
    <row r="41" spans="1:52" x14ac:dyDescent="0.35">
      <c r="E41" s="13"/>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s="14"/>
    </row>
    <row r="42" spans="1:52" x14ac:dyDescent="0.35">
      <c r="E42" s="13"/>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s="14"/>
    </row>
    <row r="43" spans="1:52" x14ac:dyDescent="0.35">
      <c r="E43" s="1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s="14"/>
    </row>
    <row r="44" spans="1:52" x14ac:dyDescent="0.35">
      <c r="E44" s="13"/>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s="14"/>
    </row>
    <row r="45" spans="1:52" x14ac:dyDescent="0.35">
      <c r="E45" s="13"/>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s="14"/>
    </row>
    <row r="46" spans="1:52" x14ac:dyDescent="0.35">
      <c r="E46" s="13"/>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s="14"/>
    </row>
    <row r="47" spans="1:52" x14ac:dyDescent="0.35">
      <c r="E47" s="13"/>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s="14"/>
    </row>
    <row r="48" spans="1:52" x14ac:dyDescent="0.35">
      <c r="E48" s="13"/>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s="14"/>
    </row>
    <row r="49" spans="5:52" x14ac:dyDescent="0.35">
      <c r="E49" s="13"/>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s="14"/>
    </row>
    <row r="50" spans="5:52" x14ac:dyDescent="0.35">
      <c r="E50" s="13"/>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s="14"/>
    </row>
    <row r="51" spans="5:52" x14ac:dyDescent="0.35">
      <c r="E51" s="13"/>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s="14"/>
    </row>
    <row r="52" spans="5:52" x14ac:dyDescent="0.35">
      <c r="E52" s="13"/>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s="14"/>
    </row>
    <row r="53" spans="5:52" x14ac:dyDescent="0.35">
      <c r="E53" s="1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s="14"/>
    </row>
    <row r="54" spans="5:52" x14ac:dyDescent="0.35">
      <c r="E54" s="13"/>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s="14"/>
    </row>
    <row r="55" spans="5:52" x14ac:dyDescent="0.35">
      <c r="E55" s="13"/>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s="14"/>
    </row>
    <row r="56" spans="5:52" x14ac:dyDescent="0.35">
      <c r="E56" s="13"/>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s="14"/>
    </row>
    <row r="57" spans="5:52" x14ac:dyDescent="0.35">
      <c r="E57" s="13"/>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s="14"/>
    </row>
    <row r="58" spans="5:52" x14ac:dyDescent="0.35">
      <c r="E58" s="13"/>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s="14"/>
    </row>
    <row r="59" spans="5:52" x14ac:dyDescent="0.35">
      <c r="E59" s="13"/>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s="14"/>
    </row>
    <row r="60" spans="5:52" x14ac:dyDescent="0.35">
      <c r="E60" s="13"/>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s="14"/>
    </row>
    <row r="61" spans="5:52" x14ac:dyDescent="0.35">
      <c r="E61" s="13"/>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s="14"/>
    </row>
    <row r="62" spans="5:52" x14ac:dyDescent="0.35">
      <c r="E62" s="13"/>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s="14"/>
    </row>
    <row r="63" spans="5:52" x14ac:dyDescent="0.35">
      <c r="E63" s="1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s="14"/>
    </row>
    <row r="64" spans="5:52" x14ac:dyDescent="0.35">
      <c r="E64" s="13"/>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s="14"/>
    </row>
    <row r="65" spans="5:52" x14ac:dyDescent="0.35">
      <c r="E65" s="13"/>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s="14"/>
    </row>
    <row r="66" spans="5:52" x14ac:dyDescent="0.35">
      <c r="E66" s="13"/>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s="14"/>
    </row>
    <row r="67" spans="5:52" x14ac:dyDescent="0.35">
      <c r="E67" s="13"/>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s="14"/>
    </row>
    <row r="68" spans="5:52" x14ac:dyDescent="0.35">
      <c r="E68" s="13"/>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s="14"/>
    </row>
    <row r="69" spans="5:52" x14ac:dyDescent="0.35">
      <c r="E69" s="13"/>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s="14"/>
    </row>
    <row r="70" spans="5:52" x14ac:dyDescent="0.35">
      <c r="E70" s="13"/>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s="14"/>
    </row>
    <row r="71" spans="5:52" x14ac:dyDescent="0.35">
      <c r="E71" s="13"/>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s="14"/>
    </row>
    <row r="72" spans="5:52" x14ac:dyDescent="0.35">
      <c r="E72" s="13"/>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s="14"/>
    </row>
    <row r="73" spans="5:52" x14ac:dyDescent="0.35">
      <c r="E73" s="1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s="14"/>
    </row>
    <row r="74" spans="5:52" x14ac:dyDescent="0.35">
      <c r="E74" s="13"/>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s="14"/>
    </row>
    <row r="75" spans="5:52" x14ac:dyDescent="0.35">
      <c r="E75" s="13"/>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s="14"/>
    </row>
    <row r="76" spans="5:52" x14ac:dyDescent="0.35">
      <c r="E76" s="13"/>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s="14"/>
    </row>
    <row r="77" spans="5:52" x14ac:dyDescent="0.35">
      <c r="E77" s="13"/>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s="14"/>
    </row>
    <row r="78" spans="5:52" x14ac:dyDescent="0.35">
      <c r="E78" s="13"/>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s="14"/>
    </row>
    <row r="79" spans="5:52" x14ac:dyDescent="0.35">
      <c r="E79" s="13"/>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s="14"/>
    </row>
    <row r="80" spans="5:52" x14ac:dyDescent="0.35">
      <c r="E80" s="13"/>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s="14"/>
    </row>
    <row r="81" spans="5:52" x14ac:dyDescent="0.35">
      <c r="E81" s="13"/>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s="14"/>
    </row>
    <row r="82" spans="5:52" x14ac:dyDescent="0.35">
      <c r="E82" s="13"/>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s="14"/>
    </row>
    <row r="83" spans="5:52" x14ac:dyDescent="0.35">
      <c r="E83" s="1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s="14"/>
    </row>
    <row r="84" spans="5:52" x14ac:dyDescent="0.35">
      <c r="E84" s="13"/>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s="14"/>
    </row>
    <row r="85" spans="5:52" x14ac:dyDescent="0.35">
      <c r="E85" s="13"/>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s="14"/>
    </row>
    <row r="86" spans="5:52" x14ac:dyDescent="0.35">
      <c r="E86" s="13"/>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s="14"/>
    </row>
    <row r="87" spans="5:52" ht="15" thickBot="1" x14ac:dyDescent="0.4">
      <c r="E87" s="15"/>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c r="AS87" s="16"/>
      <c r="AT87" s="16"/>
      <c r="AU87" s="16"/>
      <c r="AV87" s="16"/>
      <c r="AW87" s="16"/>
      <c r="AX87" s="16"/>
      <c r="AY87" s="16"/>
      <c r="AZ87" s="17"/>
    </row>
  </sheetData>
  <conditionalFormatting sqref="B8:B37">
    <cfRule type="expression" dxfId="1" priority="1">
      <formula>A8=""</formula>
    </cfRule>
  </conditionalFormatting>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1C50E-A8C3-41A1-9AAA-104E7953FC32}">
  <sheetPr>
    <tabColor theme="9" tint="0.39997558519241921"/>
  </sheetPr>
  <dimension ref="A1:AZ91"/>
  <sheetViews>
    <sheetView zoomScaleNormal="100" workbookViewId="0"/>
    <sheetView workbookViewId="1"/>
  </sheetViews>
  <sheetFormatPr defaultColWidth="9.1796875" defaultRowHeight="14.5" x14ac:dyDescent="0.35"/>
  <cols>
    <col min="1" max="1" width="40.81640625" style="5" customWidth="1"/>
    <col min="2" max="2" width="40.7265625" style="5" customWidth="1"/>
    <col min="3" max="16384" width="9.1796875" style="5"/>
  </cols>
  <sheetData>
    <row r="1" spans="1:52" ht="20" thickBot="1" x14ac:dyDescent="0.5">
      <c r="A1" s="94" t="s">
        <v>16</v>
      </c>
    </row>
    <row r="2" spans="1:52" ht="15" thickTop="1" x14ac:dyDescent="0.35">
      <c r="A2" s="144" t="s">
        <v>232</v>
      </c>
      <c r="B2" s="144"/>
      <c r="C2" s="144"/>
      <c r="D2" s="144"/>
      <c r="E2" s="144"/>
      <c r="F2" s="144"/>
      <c r="G2" s="144"/>
    </row>
    <row r="3" spans="1:52" x14ac:dyDescent="0.35">
      <c r="A3" s="144" t="s">
        <v>234</v>
      </c>
      <c r="B3" s="144"/>
      <c r="C3" s="144"/>
    </row>
    <row r="4" spans="1:52" x14ac:dyDescent="0.35">
      <c r="A4" s="144" t="s">
        <v>233</v>
      </c>
      <c r="B4" s="144"/>
      <c r="C4" s="144"/>
      <c r="D4" s="144"/>
      <c r="E4" s="144"/>
      <c r="F4" s="144"/>
    </row>
    <row r="5" spans="1:52" x14ac:dyDescent="0.35">
      <c r="A5" s="5" t="s">
        <v>203</v>
      </c>
    </row>
    <row r="6" spans="1:52" x14ac:dyDescent="0.35">
      <c r="A6" s="144" t="s">
        <v>231</v>
      </c>
      <c r="B6" s="144"/>
    </row>
    <row r="7" spans="1:52" x14ac:dyDescent="0.35">
      <c r="A7" s="5" t="s">
        <v>203</v>
      </c>
    </row>
    <row r="8" spans="1:52" x14ac:dyDescent="0.35">
      <c r="A8" s="145" t="s">
        <v>344</v>
      </c>
      <c r="B8" s="144"/>
      <c r="C8" s="144"/>
      <c r="D8" s="144"/>
      <c r="E8" s="144"/>
      <c r="F8" s="144"/>
      <c r="G8" s="144"/>
      <c r="H8" s="144"/>
      <c r="I8" s="144"/>
      <c r="J8" s="144"/>
      <c r="K8" s="144"/>
    </row>
    <row r="9" spans="1:52" x14ac:dyDescent="0.35">
      <c r="A9" s="38" t="s">
        <v>203</v>
      </c>
    </row>
    <row r="10" spans="1:52" ht="15" thickBot="1" x14ac:dyDescent="0.4">
      <c r="A10" s="95" t="s">
        <v>244</v>
      </c>
    </row>
    <row r="11" spans="1:52" x14ac:dyDescent="0.35">
      <c r="A11" s="107" t="s">
        <v>4</v>
      </c>
      <c r="B11" s="24" t="s">
        <v>16</v>
      </c>
      <c r="C11" s="5" t="s">
        <v>157</v>
      </c>
      <c r="E11" s="10" t="s">
        <v>159</v>
      </c>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2"/>
    </row>
    <row r="12" spans="1:52" x14ac:dyDescent="0.35">
      <c r="A12" s="6">
        <f>'Project Information'!$B$9</f>
        <v>2033</v>
      </c>
      <c r="B12" s="156">
        <v>0</v>
      </c>
      <c r="E12" s="13"/>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s="14"/>
    </row>
    <row r="13" spans="1:52" x14ac:dyDescent="0.35">
      <c r="A13" s="1">
        <f>IF(A12&lt;'Project Information'!B$11,A12+1,"")</f>
        <v>2034</v>
      </c>
      <c r="B13" s="156">
        <v>0</v>
      </c>
      <c r="E13" s="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s="14"/>
    </row>
    <row r="14" spans="1:52" x14ac:dyDescent="0.35">
      <c r="A14" s="1">
        <f>IF(A13&lt;'Project Information'!B$11,A13+1,"")</f>
        <v>2035</v>
      </c>
      <c r="B14" s="156">
        <v>0</v>
      </c>
      <c r="E14" s="13"/>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s="14"/>
    </row>
    <row r="15" spans="1:52" x14ac:dyDescent="0.35">
      <c r="A15" s="1">
        <f>IF(A14&lt;'Project Information'!B$11,A14+1,"")</f>
        <v>2036</v>
      </c>
      <c r="B15" s="156">
        <v>0</v>
      </c>
      <c r="E15" s="13"/>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s="14"/>
    </row>
    <row r="16" spans="1:52" x14ac:dyDescent="0.35">
      <c r="A16" s="1">
        <f>IF(A15&lt;'Project Information'!B$11,A15+1,"")</f>
        <v>2037</v>
      </c>
      <c r="B16" s="156">
        <v>0</v>
      </c>
      <c r="E16" s="13"/>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s="14"/>
    </row>
    <row r="17" spans="1:52" x14ac:dyDescent="0.35">
      <c r="A17" s="1">
        <f>IF(A16&lt;'Project Information'!B$11,A16+1,"")</f>
        <v>2038</v>
      </c>
      <c r="B17" s="156">
        <v>0</v>
      </c>
      <c r="E17" s="13"/>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s="14"/>
    </row>
    <row r="18" spans="1:52" x14ac:dyDescent="0.35">
      <c r="A18" s="1">
        <f>IF(A17&lt;'Project Information'!B$11,A17+1,"")</f>
        <v>2039</v>
      </c>
      <c r="B18" s="156">
        <v>0</v>
      </c>
      <c r="E18" s="13"/>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s="14"/>
    </row>
    <row r="19" spans="1:52" x14ac:dyDescent="0.35">
      <c r="A19" s="1">
        <f>IF(A18&lt;'Project Information'!B$11,A18+1,"")</f>
        <v>2040</v>
      </c>
      <c r="B19" s="156">
        <v>0</v>
      </c>
      <c r="E19" s="13"/>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s="14"/>
    </row>
    <row r="20" spans="1:52" x14ac:dyDescent="0.35">
      <c r="A20" s="1">
        <f>IF(A19&lt;'Project Information'!B$11,A19+1,"")</f>
        <v>2041</v>
      </c>
      <c r="B20" s="156">
        <v>0</v>
      </c>
      <c r="E20" s="13"/>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s="14"/>
    </row>
    <row r="21" spans="1:52" x14ac:dyDescent="0.35">
      <c r="A21" s="1">
        <f>IF(A20&lt;'Project Information'!B$11,A20+1,"")</f>
        <v>2042</v>
      </c>
      <c r="B21" s="156">
        <v>0</v>
      </c>
      <c r="E21" s="13"/>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s="14"/>
    </row>
    <row r="22" spans="1:52" x14ac:dyDescent="0.35">
      <c r="A22" s="1">
        <f>IF(A21&lt;'Project Information'!B$11,A21+1,"")</f>
        <v>2043</v>
      </c>
      <c r="B22" s="156">
        <v>0</v>
      </c>
      <c r="E22" s="13"/>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s="14"/>
    </row>
    <row r="23" spans="1:52" x14ac:dyDescent="0.35">
      <c r="A23" s="1">
        <f>IF(A22&lt;'Project Information'!B$11,A22+1,"")</f>
        <v>2044</v>
      </c>
      <c r="B23" s="156">
        <v>0</v>
      </c>
      <c r="E23" s="1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s="14"/>
    </row>
    <row r="24" spans="1:52" x14ac:dyDescent="0.35">
      <c r="A24" s="1">
        <f>IF(A23&lt;'Project Information'!B$11,A23+1,"")</f>
        <v>2045</v>
      </c>
      <c r="B24" s="156">
        <v>0</v>
      </c>
      <c r="E24" s="13"/>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s="14"/>
    </row>
    <row r="25" spans="1:52" x14ac:dyDescent="0.35">
      <c r="A25" s="1">
        <f>IF(A24&lt;'Project Information'!B$11,A24+1,"")</f>
        <v>2046</v>
      </c>
      <c r="B25" s="156">
        <v>0</v>
      </c>
      <c r="E25" s="13"/>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s="14"/>
    </row>
    <row r="26" spans="1:52" x14ac:dyDescent="0.35">
      <c r="A26" s="1">
        <f>IF(A25&lt;'Project Information'!B$11,A25+1,"")</f>
        <v>2047</v>
      </c>
      <c r="B26" s="156">
        <v>0</v>
      </c>
      <c r="E26" s="13"/>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s="14"/>
    </row>
    <row r="27" spans="1:52" x14ac:dyDescent="0.35">
      <c r="A27" s="1">
        <f>IF(A26&lt;'Project Information'!B$11,A26+1,"")</f>
        <v>2048</v>
      </c>
      <c r="B27" s="156">
        <v>0</v>
      </c>
      <c r="E27" s="13"/>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s="14"/>
    </row>
    <row r="28" spans="1:52" x14ac:dyDescent="0.35">
      <c r="A28" s="1">
        <f>IF(A27&lt;'Project Information'!B$11,A27+1,"")</f>
        <v>2049</v>
      </c>
      <c r="B28" s="156">
        <v>0</v>
      </c>
      <c r="E28" s="13"/>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s="14"/>
    </row>
    <row r="29" spans="1:52" x14ac:dyDescent="0.35">
      <c r="A29" s="1">
        <f>IF(A28&lt;'Project Information'!B$11,A28+1,"")</f>
        <v>2050</v>
      </c>
      <c r="B29" s="156">
        <v>0</v>
      </c>
      <c r="E29" s="13"/>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s="14"/>
    </row>
    <row r="30" spans="1:52" x14ac:dyDescent="0.35">
      <c r="A30" s="1">
        <f>IF(A29&lt;'Project Information'!B$11,A29+1,"")</f>
        <v>2051</v>
      </c>
      <c r="B30" s="156">
        <v>0</v>
      </c>
      <c r="E30" s="13"/>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s="14"/>
    </row>
    <row r="31" spans="1:52" x14ac:dyDescent="0.35">
      <c r="A31" s="1">
        <f>IF(A30&lt;'Project Information'!B$11,A30+1,"")</f>
        <v>2052</v>
      </c>
      <c r="B31" s="156">
        <v>0</v>
      </c>
      <c r="E31" s="13"/>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s="14"/>
    </row>
    <row r="32" spans="1:52" x14ac:dyDescent="0.35">
      <c r="A32" s="1">
        <f>IF(A31&lt;'Project Information'!B$11,A31+1,"")</f>
        <v>2053</v>
      </c>
      <c r="B32" s="156">
        <v>0</v>
      </c>
      <c r="E32" s="13"/>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s="14"/>
    </row>
    <row r="33" spans="1:52" x14ac:dyDescent="0.35">
      <c r="A33" s="1">
        <f>IF(A32&lt;'Project Information'!B$11,A32+1,"")</f>
        <v>2054</v>
      </c>
      <c r="B33" s="156">
        <v>0</v>
      </c>
      <c r="E33" s="1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s="14"/>
    </row>
    <row r="34" spans="1:52" x14ac:dyDescent="0.35">
      <c r="A34" s="1">
        <f>IF(A33&lt;'Project Information'!B$11,A33+1,"")</f>
        <v>2055</v>
      </c>
      <c r="B34" s="156">
        <v>0</v>
      </c>
      <c r="E34" s="13"/>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s="14"/>
    </row>
    <row r="35" spans="1:52" x14ac:dyDescent="0.35">
      <c r="A35" s="1">
        <f>IF(A34&lt;'Project Information'!B$11,A34+1,"")</f>
        <v>2056</v>
      </c>
      <c r="B35" s="156">
        <v>0</v>
      </c>
      <c r="E35" s="13"/>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s="14"/>
    </row>
    <row r="36" spans="1:52" x14ac:dyDescent="0.35">
      <c r="A36" s="1">
        <f>IF(A35&lt;'Project Information'!B$11,A35+1,"")</f>
        <v>2057</v>
      </c>
      <c r="B36" s="156">
        <v>0</v>
      </c>
      <c r="E36" s="13"/>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s="14"/>
    </row>
    <row r="37" spans="1:52" x14ac:dyDescent="0.35">
      <c r="A37" s="1">
        <f>IF(A36&lt;'Project Information'!B$11,A36+1,"")</f>
        <v>2058</v>
      </c>
      <c r="B37" s="156">
        <v>0</v>
      </c>
      <c r="E37" s="13"/>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s="14"/>
    </row>
    <row r="38" spans="1:52" x14ac:dyDescent="0.35">
      <c r="A38" s="1">
        <f>IF(A37&lt;'Project Information'!B$11,A37+1,"")</f>
        <v>2059</v>
      </c>
      <c r="B38" s="156">
        <v>0</v>
      </c>
      <c r="E38" s="13"/>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s="14"/>
    </row>
    <row r="39" spans="1:52" x14ac:dyDescent="0.35">
      <c r="A39" s="1">
        <f>IF(A38&lt;'Project Information'!B$11,A38+1,"")</f>
        <v>2060</v>
      </c>
      <c r="B39" s="156">
        <v>0</v>
      </c>
      <c r="E39" s="13"/>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s="14"/>
    </row>
    <row r="40" spans="1:52" x14ac:dyDescent="0.35">
      <c r="A40" s="1">
        <f>IF(A39&lt;'Project Information'!B$11,A39+1,"")</f>
        <v>2061</v>
      </c>
      <c r="B40" s="156">
        <v>0</v>
      </c>
      <c r="E40" s="13"/>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s="14"/>
    </row>
    <row r="41" spans="1:52" x14ac:dyDescent="0.35">
      <c r="A41" s="2">
        <f>IF(A40&lt;'Project Information'!B$11,A40+1,"")</f>
        <v>2062</v>
      </c>
      <c r="B41" s="117">
        <v>0</v>
      </c>
      <c r="E41" s="13"/>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s="14"/>
    </row>
    <row r="42" spans="1:52" x14ac:dyDescent="0.35">
      <c r="E42" s="13"/>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s="14"/>
    </row>
    <row r="43" spans="1:52" x14ac:dyDescent="0.35">
      <c r="E43" s="1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s="14"/>
    </row>
    <row r="44" spans="1:52" x14ac:dyDescent="0.35">
      <c r="E44" s="13"/>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s="14"/>
    </row>
    <row r="45" spans="1:52" x14ac:dyDescent="0.35">
      <c r="E45" s="13"/>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s="14"/>
    </row>
    <row r="46" spans="1:52" x14ac:dyDescent="0.35">
      <c r="E46" s="13"/>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s="14"/>
    </row>
    <row r="47" spans="1:52" x14ac:dyDescent="0.35">
      <c r="E47" s="13"/>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s="14"/>
    </row>
    <row r="48" spans="1:52" x14ac:dyDescent="0.35">
      <c r="E48" s="13"/>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s="14"/>
    </row>
    <row r="49" spans="5:52" x14ac:dyDescent="0.35">
      <c r="E49" s="13"/>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s="14"/>
    </row>
    <row r="50" spans="5:52" x14ac:dyDescent="0.35">
      <c r="E50" s="13"/>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s="14"/>
    </row>
    <row r="51" spans="5:52" x14ac:dyDescent="0.35">
      <c r="E51" s="13"/>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s="14"/>
    </row>
    <row r="52" spans="5:52" x14ac:dyDescent="0.35">
      <c r="E52" s="13"/>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s="14"/>
    </row>
    <row r="53" spans="5:52" x14ac:dyDescent="0.35">
      <c r="E53" s="1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s="14"/>
    </row>
    <row r="54" spans="5:52" x14ac:dyDescent="0.35">
      <c r="E54" s="13"/>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s="14"/>
    </row>
    <row r="55" spans="5:52" x14ac:dyDescent="0.35">
      <c r="E55" s="13"/>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s="14"/>
    </row>
    <row r="56" spans="5:52" x14ac:dyDescent="0.35">
      <c r="E56" s="13"/>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s="14"/>
    </row>
    <row r="57" spans="5:52" x14ac:dyDescent="0.35">
      <c r="E57" s="13"/>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s="14"/>
    </row>
    <row r="58" spans="5:52" x14ac:dyDescent="0.35">
      <c r="E58" s="13"/>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s="14"/>
    </row>
    <row r="59" spans="5:52" x14ac:dyDescent="0.35">
      <c r="E59" s="13"/>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s="14"/>
    </row>
    <row r="60" spans="5:52" x14ac:dyDescent="0.35">
      <c r="E60" s="13"/>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s="14"/>
    </row>
    <row r="61" spans="5:52" x14ac:dyDescent="0.35">
      <c r="E61" s="13"/>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s="14"/>
    </row>
    <row r="62" spans="5:52" x14ac:dyDescent="0.35">
      <c r="E62" s="13"/>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s="14"/>
    </row>
    <row r="63" spans="5:52" x14ac:dyDescent="0.35">
      <c r="E63" s="1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s="14"/>
    </row>
    <row r="64" spans="5:52" x14ac:dyDescent="0.35">
      <c r="E64" s="13"/>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s="14"/>
    </row>
    <row r="65" spans="5:52" x14ac:dyDescent="0.35">
      <c r="E65" s="13"/>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s="14"/>
    </row>
    <row r="66" spans="5:52" x14ac:dyDescent="0.35">
      <c r="E66" s="13"/>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s="14"/>
    </row>
    <row r="67" spans="5:52" x14ac:dyDescent="0.35">
      <c r="E67" s="13"/>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s="14"/>
    </row>
    <row r="68" spans="5:52" x14ac:dyDescent="0.35">
      <c r="E68" s="13"/>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s="14"/>
    </row>
    <row r="69" spans="5:52" x14ac:dyDescent="0.35">
      <c r="E69" s="13"/>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s="14"/>
    </row>
    <row r="70" spans="5:52" x14ac:dyDescent="0.35">
      <c r="E70" s="13"/>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s="14"/>
    </row>
    <row r="71" spans="5:52" x14ac:dyDescent="0.35">
      <c r="E71" s="13"/>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s="14"/>
    </row>
    <row r="72" spans="5:52" x14ac:dyDescent="0.35">
      <c r="E72" s="13"/>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s="14"/>
    </row>
    <row r="73" spans="5:52" x14ac:dyDescent="0.35">
      <c r="E73" s="1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s="14"/>
    </row>
    <row r="74" spans="5:52" x14ac:dyDescent="0.35">
      <c r="E74" s="13"/>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s="14"/>
    </row>
    <row r="75" spans="5:52" x14ac:dyDescent="0.35">
      <c r="E75" s="13"/>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s="14"/>
    </row>
    <row r="76" spans="5:52" x14ac:dyDescent="0.35">
      <c r="E76" s="13"/>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s="14"/>
    </row>
    <row r="77" spans="5:52" x14ac:dyDescent="0.35">
      <c r="E77" s="13"/>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s="14"/>
    </row>
    <row r="78" spans="5:52" x14ac:dyDescent="0.35">
      <c r="E78" s="13"/>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s="14"/>
    </row>
    <row r="79" spans="5:52" x14ac:dyDescent="0.35">
      <c r="E79" s="13"/>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s="14"/>
    </row>
    <row r="80" spans="5:52" x14ac:dyDescent="0.35">
      <c r="E80" s="13"/>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s="14"/>
    </row>
    <row r="81" spans="5:52" x14ac:dyDescent="0.35">
      <c r="E81" s="13"/>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s="14"/>
    </row>
    <row r="82" spans="5:52" x14ac:dyDescent="0.35">
      <c r="E82" s="13"/>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s="14"/>
    </row>
    <row r="83" spans="5:52" x14ac:dyDescent="0.35">
      <c r="E83" s="1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s="14"/>
    </row>
    <row r="84" spans="5:52" x14ac:dyDescent="0.35">
      <c r="E84" s="13"/>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s="14"/>
    </row>
    <row r="85" spans="5:52" x14ac:dyDescent="0.35">
      <c r="E85" s="13"/>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s="14"/>
    </row>
    <row r="86" spans="5:52" x14ac:dyDescent="0.35">
      <c r="E86" s="13"/>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s="14"/>
    </row>
    <row r="87" spans="5:52" x14ac:dyDescent="0.35">
      <c r="E87" s="13"/>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s="14"/>
    </row>
    <row r="88" spans="5:52" x14ac:dyDescent="0.35">
      <c r="E88" s="13"/>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s="14"/>
    </row>
    <row r="89" spans="5:52" x14ac:dyDescent="0.35">
      <c r="E89" s="13"/>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s="14"/>
    </row>
    <row r="90" spans="5:52" x14ac:dyDescent="0.35">
      <c r="E90" s="13"/>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s="14"/>
    </row>
    <row r="91" spans="5:52" ht="15" thickBot="1" x14ac:dyDescent="0.4">
      <c r="E91" s="15"/>
      <c r="F91" s="16"/>
      <c r="G91" s="16"/>
      <c r="H91" s="16"/>
      <c r="I91" s="16"/>
      <c r="J91" s="16"/>
      <c r="K91" s="16"/>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7"/>
    </row>
  </sheetData>
  <conditionalFormatting sqref="B12:B41">
    <cfRule type="expression" dxfId="0" priority="1">
      <formula>A12=""</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025BA-DE5B-4828-A79B-58A07C0848A5}">
  <sheetPr>
    <tabColor rgb="FF002060"/>
  </sheetPr>
  <dimension ref="A1:N23"/>
  <sheetViews>
    <sheetView showGridLines="0" zoomScale="85" zoomScaleNormal="85" workbookViewId="0">
      <pane xSplit="1" ySplit="1" topLeftCell="C2" activePane="bottomRight" state="frozen"/>
      <selection activeCell="E20" sqref="E20"/>
      <selection pane="topRight" activeCell="E20" sqref="E20"/>
      <selection pane="bottomLeft" activeCell="E20" sqref="E20"/>
      <selection pane="bottomRight" sqref="A1:N1"/>
    </sheetView>
    <sheetView workbookViewId="1">
      <selection sqref="A1:N1"/>
    </sheetView>
  </sheetViews>
  <sheetFormatPr defaultRowHeight="14.5" x14ac:dyDescent="0.35"/>
  <cols>
    <col min="1" max="1" width="36" customWidth="1"/>
    <col min="2" max="2" width="64.54296875" customWidth="1"/>
    <col min="3" max="9" width="11" customWidth="1"/>
    <col min="10" max="10" width="12" customWidth="1"/>
    <col min="11" max="11" width="13" customWidth="1"/>
    <col min="12" max="12" width="16" customWidth="1"/>
    <col min="13" max="13" width="42" customWidth="1"/>
  </cols>
  <sheetData>
    <row r="1" spans="1:14" ht="22" customHeight="1" x14ac:dyDescent="0.35">
      <c r="A1" s="349" t="s">
        <v>464</v>
      </c>
      <c r="B1" s="348"/>
      <c r="C1" s="348"/>
      <c r="D1" s="348"/>
      <c r="E1" s="348"/>
      <c r="F1" s="348"/>
      <c r="G1" s="348"/>
      <c r="H1" s="348"/>
      <c r="I1" s="348"/>
      <c r="J1" s="348"/>
      <c r="K1" s="348"/>
      <c r="L1" s="348"/>
      <c r="M1" s="348"/>
      <c r="N1" s="348"/>
    </row>
    <row r="2" spans="1:14" ht="5" customHeight="1" x14ac:dyDescent="0.35"/>
    <row r="3" spans="1:14" ht="18" customHeight="1" x14ac:dyDescent="0.35">
      <c r="A3" s="350" t="s">
        <v>465</v>
      </c>
      <c r="B3" s="348"/>
      <c r="C3" s="348"/>
      <c r="D3" s="348"/>
      <c r="E3" s="348"/>
      <c r="F3" s="348"/>
      <c r="G3" s="348"/>
      <c r="H3" s="348"/>
      <c r="I3" s="348"/>
      <c r="J3" s="348"/>
      <c r="K3" s="348"/>
      <c r="L3" s="348"/>
      <c r="M3" s="348"/>
    </row>
    <row r="4" spans="1:14" ht="44" customHeight="1" x14ac:dyDescent="0.35">
      <c r="A4" s="232" t="s">
        <v>466</v>
      </c>
      <c r="B4" s="232" t="s">
        <v>467</v>
      </c>
      <c r="C4" s="232" t="s">
        <v>468</v>
      </c>
      <c r="D4" s="232" t="s">
        <v>469</v>
      </c>
      <c r="E4" s="232" t="s">
        <v>470</v>
      </c>
      <c r="F4" s="232" t="s">
        <v>471</v>
      </c>
      <c r="G4" s="232" t="s">
        <v>472</v>
      </c>
      <c r="H4" s="232" t="s">
        <v>473</v>
      </c>
      <c r="I4" s="232" t="s">
        <v>385</v>
      </c>
      <c r="J4" s="232"/>
      <c r="K4" s="232"/>
      <c r="L4" s="232"/>
      <c r="M4" s="232"/>
    </row>
    <row r="5" spans="1:14" ht="14" customHeight="1" x14ac:dyDescent="0.35">
      <c r="A5" s="233" t="s">
        <v>412</v>
      </c>
      <c r="B5" s="256">
        <v>0.375</v>
      </c>
      <c r="C5" s="256">
        <v>0.375</v>
      </c>
      <c r="D5" s="256">
        <v>0</v>
      </c>
      <c r="E5" s="256">
        <v>0.25</v>
      </c>
      <c r="F5" s="267">
        <f>SUM(B5:E5)</f>
        <v>1</v>
      </c>
      <c r="G5" s="289">
        <f>Safety!$B$12</f>
        <v>13700000</v>
      </c>
      <c r="H5" s="272">
        <f>F5*G5</f>
        <v>13700000</v>
      </c>
      <c r="I5" s="268" t="s">
        <v>554</v>
      </c>
    </row>
    <row r="6" spans="1:14" ht="14" customHeight="1" x14ac:dyDescent="0.35">
      <c r="A6" s="233" t="s">
        <v>413</v>
      </c>
      <c r="B6" s="256">
        <v>1.125</v>
      </c>
      <c r="C6" s="256">
        <v>1.5</v>
      </c>
      <c r="D6" s="256">
        <v>0.125</v>
      </c>
      <c r="E6" s="256">
        <v>0.25</v>
      </c>
      <c r="F6" s="267">
        <f>SUM(B6:E6)</f>
        <v>3</v>
      </c>
      <c r="G6" s="289">
        <f>Safety!$B$11</f>
        <v>1302300</v>
      </c>
      <c r="H6" s="272">
        <f>F6*G6</f>
        <v>3906900</v>
      </c>
      <c r="I6" s="268" t="s">
        <v>554</v>
      </c>
    </row>
    <row r="7" spans="1:14" ht="14" customHeight="1" x14ac:dyDescent="0.35">
      <c r="A7" s="233" t="s">
        <v>414</v>
      </c>
      <c r="B7" s="256">
        <v>13.375</v>
      </c>
      <c r="C7" s="256">
        <v>11</v>
      </c>
      <c r="D7" s="256">
        <v>1.5</v>
      </c>
      <c r="E7" s="256">
        <v>1.375</v>
      </c>
      <c r="F7" s="267">
        <f>SUM(B7:E7)</f>
        <v>27.25</v>
      </c>
      <c r="G7" s="289">
        <f>Safety!$B$10</f>
        <v>256300</v>
      </c>
      <c r="H7" s="272">
        <f>F7*G7</f>
        <v>6984175</v>
      </c>
      <c r="I7" s="268" t="s">
        <v>554</v>
      </c>
    </row>
    <row r="8" spans="1:14" ht="14" customHeight="1" x14ac:dyDescent="0.35">
      <c r="A8" s="233" t="s">
        <v>415</v>
      </c>
      <c r="B8" s="256">
        <v>12.875</v>
      </c>
      <c r="C8" s="256">
        <v>11.625</v>
      </c>
      <c r="D8" s="256">
        <v>1.5</v>
      </c>
      <c r="E8" s="256">
        <v>2</v>
      </c>
      <c r="F8" s="267">
        <f>SUM(B8:E8)</f>
        <v>28</v>
      </c>
      <c r="G8" s="289">
        <f>Safety!$B$9</f>
        <v>122400</v>
      </c>
      <c r="H8" s="272">
        <f>F8*G8</f>
        <v>3427200</v>
      </c>
      <c r="I8" s="268" t="s">
        <v>554</v>
      </c>
    </row>
    <row r="9" spans="1:14" ht="14" customHeight="1" x14ac:dyDescent="0.35">
      <c r="A9" s="233" t="s">
        <v>416</v>
      </c>
      <c r="B9" s="256">
        <v>89.625</v>
      </c>
      <c r="C9" s="256">
        <v>79.875</v>
      </c>
      <c r="D9" s="256">
        <v>10.875</v>
      </c>
      <c r="E9" s="256">
        <v>8.5</v>
      </c>
      <c r="F9" s="267">
        <f>SUM(B9:E9)</f>
        <v>188.875</v>
      </c>
      <c r="G9" s="289">
        <f>Safety!$B$8</f>
        <v>5500</v>
      </c>
      <c r="H9" s="272">
        <f>F9*G9</f>
        <v>1038812.5</v>
      </c>
      <c r="I9" s="268" t="s">
        <v>554</v>
      </c>
    </row>
    <row r="10" spans="1:14" ht="14" customHeight="1" x14ac:dyDescent="0.35">
      <c r="A10" s="243" t="s">
        <v>417</v>
      </c>
      <c r="B10" s="271">
        <f t="shared" ref="B10:H10" si="0">SUM(B5:B9)</f>
        <v>117.375</v>
      </c>
      <c r="C10" s="271">
        <f t="shared" si="0"/>
        <v>104.375</v>
      </c>
      <c r="D10" s="271">
        <f t="shared" si="0"/>
        <v>14</v>
      </c>
      <c r="E10" s="271">
        <f t="shared" si="0"/>
        <v>12.375</v>
      </c>
      <c r="F10" s="271">
        <f t="shared" si="0"/>
        <v>248.125</v>
      </c>
      <c r="G10" s="272">
        <f t="shared" si="0"/>
        <v>15386500</v>
      </c>
      <c r="H10" s="272">
        <f t="shared" si="0"/>
        <v>29057087.5</v>
      </c>
      <c r="I10" s="352" t="s">
        <v>474</v>
      </c>
      <c r="J10" s="348"/>
      <c r="K10" s="348"/>
      <c r="L10" s="348"/>
      <c r="M10" s="348"/>
    </row>
    <row r="11" spans="1:14" ht="5" customHeight="1" x14ac:dyDescent="0.35"/>
    <row r="12" spans="1:14" ht="18" customHeight="1" x14ac:dyDescent="0.35">
      <c r="A12" s="350" t="s">
        <v>475</v>
      </c>
      <c r="B12" s="348"/>
      <c r="C12" s="348"/>
      <c r="D12" s="348"/>
      <c r="E12" s="348"/>
      <c r="F12" s="348"/>
      <c r="G12" s="348"/>
      <c r="H12" s="348"/>
      <c r="I12" s="348"/>
      <c r="J12" s="348"/>
      <c r="K12" s="348"/>
      <c r="L12" s="348"/>
      <c r="M12" s="348"/>
    </row>
    <row r="13" spans="1:14" ht="52" customHeight="1" x14ac:dyDescent="0.35">
      <c r="A13" s="232" t="s">
        <v>476</v>
      </c>
      <c r="B13" s="232" t="s">
        <v>477</v>
      </c>
      <c r="C13" s="232" t="s">
        <v>478</v>
      </c>
      <c r="D13" s="232" t="s">
        <v>479</v>
      </c>
      <c r="E13" s="232" t="s">
        <v>480</v>
      </c>
      <c r="F13" s="232" t="s">
        <v>481</v>
      </c>
      <c r="G13" s="232"/>
      <c r="H13" s="232"/>
      <c r="I13" s="232"/>
      <c r="J13" s="232"/>
      <c r="K13" s="232"/>
      <c r="L13" s="232"/>
      <c r="M13" s="232"/>
    </row>
    <row r="14" spans="1:14" ht="14" customHeight="1" x14ac:dyDescent="0.35">
      <c r="A14" s="243" t="s">
        <v>408</v>
      </c>
      <c r="B14" s="275" t="s">
        <v>482</v>
      </c>
      <c r="C14" s="256">
        <v>27.75</v>
      </c>
      <c r="D14" s="256">
        <v>0.745</v>
      </c>
      <c r="E14" s="273">
        <f>C14*D14</f>
        <v>20.673749999999998</v>
      </c>
      <c r="F14" s="274" t="s">
        <v>483</v>
      </c>
      <c r="G14" s="353" t="s">
        <v>484</v>
      </c>
      <c r="H14" s="354"/>
      <c r="I14" s="355"/>
      <c r="K14" s="353"/>
      <c r="L14" s="354"/>
      <c r="M14" s="354"/>
    </row>
    <row r="15" spans="1:14" ht="14" customHeight="1" x14ac:dyDescent="0.35">
      <c r="A15" s="243" t="s">
        <v>408</v>
      </c>
      <c r="B15" s="275" t="s">
        <v>485</v>
      </c>
      <c r="C15" s="256">
        <v>0.25</v>
      </c>
      <c r="D15" s="256">
        <v>0.11899999999999999</v>
      </c>
      <c r="E15" s="273">
        <f>C15*D15</f>
        <v>2.9749999999999999E-2</v>
      </c>
      <c r="F15" s="274" t="s">
        <v>483</v>
      </c>
      <c r="G15" s="351" t="s">
        <v>486</v>
      </c>
      <c r="H15" s="352"/>
      <c r="I15" s="356"/>
      <c r="K15" s="351"/>
      <c r="L15" s="352"/>
      <c r="M15" s="352"/>
    </row>
    <row r="16" spans="1:14" ht="14" customHeight="1" x14ac:dyDescent="0.35">
      <c r="A16" s="243" t="s">
        <v>408</v>
      </c>
      <c r="B16" s="275" t="s">
        <v>487</v>
      </c>
      <c r="C16" s="256">
        <v>117.5</v>
      </c>
      <c r="D16" s="256">
        <v>1.2470000000000001</v>
      </c>
      <c r="E16" s="273">
        <f>C16*(D16-1)</f>
        <v>29.022500000000012</v>
      </c>
      <c r="F16" s="276" t="s">
        <v>488</v>
      </c>
      <c r="G16" s="351" t="s">
        <v>489</v>
      </c>
      <c r="H16" s="352"/>
      <c r="I16" s="356"/>
      <c r="K16" s="351"/>
      <c r="L16" s="352"/>
      <c r="M16" s="352"/>
    </row>
    <row r="17" spans="1:13" ht="14" customHeight="1" x14ac:dyDescent="0.35">
      <c r="A17" s="243" t="s">
        <v>409</v>
      </c>
      <c r="B17" s="275" t="s">
        <v>490</v>
      </c>
      <c r="C17" s="256">
        <v>24.625</v>
      </c>
      <c r="D17" s="256">
        <v>0.745</v>
      </c>
      <c r="E17" s="273">
        <f>C17*D17</f>
        <v>18.345624999999998</v>
      </c>
      <c r="F17" s="274" t="s">
        <v>483</v>
      </c>
      <c r="G17" s="351" t="s">
        <v>555</v>
      </c>
      <c r="H17" s="352"/>
      <c r="I17" s="356"/>
      <c r="K17" s="351"/>
      <c r="L17" s="352"/>
      <c r="M17" s="352"/>
    </row>
    <row r="18" spans="1:13" ht="14" customHeight="1" x14ac:dyDescent="0.35">
      <c r="A18" s="243" t="s">
        <v>409</v>
      </c>
      <c r="B18" s="275" t="s">
        <v>491</v>
      </c>
      <c r="C18" s="256">
        <v>0.125</v>
      </c>
      <c r="D18" s="256">
        <v>0.11899999999999999</v>
      </c>
      <c r="E18" s="273">
        <f>C18*D18</f>
        <v>1.4874999999999999E-2</v>
      </c>
      <c r="F18" s="274" t="s">
        <v>483</v>
      </c>
      <c r="G18" s="351" t="s">
        <v>492</v>
      </c>
      <c r="H18" s="352"/>
      <c r="I18" s="356"/>
      <c r="K18" s="351"/>
      <c r="L18" s="352"/>
      <c r="M18" s="352"/>
    </row>
    <row r="19" spans="1:13" ht="14" customHeight="1" x14ac:dyDescent="0.35">
      <c r="A19" s="243" t="s">
        <v>409</v>
      </c>
      <c r="B19" s="275" t="s">
        <v>493</v>
      </c>
      <c r="C19" s="256">
        <v>104.38</v>
      </c>
      <c r="D19" s="256">
        <v>1.2470000000000001</v>
      </c>
      <c r="E19" s="273">
        <f>C19*(D19-1)</f>
        <v>25.781860000000009</v>
      </c>
      <c r="F19" s="276" t="s">
        <v>488</v>
      </c>
      <c r="G19" s="351" t="s">
        <v>494</v>
      </c>
      <c r="H19" s="352"/>
      <c r="I19" s="356"/>
      <c r="K19" s="351"/>
      <c r="L19" s="352"/>
      <c r="M19" s="352"/>
    </row>
    <row r="20" spans="1:13" ht="14" customHeight="1" x14ac:dyDescent="0.35">
      <c r="A20" s="243" t="s">
        <v>410</v>
      </c>
      <c r="B20" s="275" t="s">
        <v>495</v>
      </c>
      <c r="C20" s="256">
        <v>2.17</v>
      </c>
      <c r="D20" s="256">
        <v>0.84</v>
      </c>
      <c r="E20" s="273">
        <f>C20*D20</f>
        <v>1.8228</v>
      </c>
      <c r="F20" s="274" t="s">
        <v>483</v>
      </c>
      <c r="G20" s="351" t="s">
        <v>441</v>
      </c>
      <c r="H20" s="352"/>
      <c r="I20" s="356"/>
      <c r="K20" s="351"/>
      <c r="L20" s="352"/>
      <c r="M20" s="352"/>
    </row>
    <row r="21" spans="1:13" ht="14" customHeight="1" x14ac:dyDescent="0.35">
      <c r="A21" s="243" t="s">
        <v>411</v>
      </c>
      <c r="B21" s="275" t="s">
        <v>495</v>
      </c>
      <c r="C21" s="256">
        <v>1.84</v>
      </c>
      <c r="D21" s="256">
        <v>0.84</v>
      </c>
      <c r="E21" s="273">
        <f>C21*D21</f>
        <v>1.5456000000000001</v>
      </c>
      <c r="F21" s="274" t="s">
        <v>483</v>
      </c>
      <c r="G21" s="351" t="s">
        <v>496</v>
      </c>
      <c r="H21" s="352"/>
      <c r="I21" s="356"/>
      <c r="K21" s="351"/>
      <c r="L21" s="352"/>
      <c r="M21" s="352"/>
    </row>
    <row r="22" spans="1:13" ht="14" customHeight="1" x14ac:dyDescent="0.35">
      <c r="A22" s="243" t="s">
        <v>497</v>
      </c>
      <c r="B22" s="275" t="s">
        <v>498</v>
      </c>
      <c r="C22" s="256">
        <v>37.200000000000003</v>
      </c>
      <c r="D22" s="256">
        <v>0.87</v>
      </c>
      <c r="E22" s="273">
        <f>C22*D22</f>
        <v>32.364000000000004</v>
      </c>
      <c r="F22" s="274" t="s">
        <v>483</v>
      </c>
      <c r="G22" s="351" t="s">
        <v>556</v>
      </c>
      <c r="H22" s="352"/>
      <c r="I22" s="356"/>
      <c r="K22" s="351"/>
      <c r="L22" s="352"/>
      <c r="M22" s="352"/>
    </row>
    <row r="23" spans="1:13" ht="5" customHeight="1" x14ac:dyDescent="0.35"/>
  </sheetData>
  <mergeCells count="22">
    <mergeCell ref="K22:M22"/>
    <mergeCell ref="K21:M21"/>
    <mergeCell ref="K20:M20"/>
    <mergeCell ref="G14:I14"/>
    <mergeCell ref="G15:I15"/>
    <mergeCell ref="G16:I16"/>
    <mergeCell ref="G17:I17"/>
    <mergeCell ref="G18:I18"/>
    <mergeCell ref="G19:I19"/>
    <mergeCell ref="G20:I20"/>
    <mergeCell ref="G21:I21"/>
    <mergeCell ref="G22:I22"/>
    <mergeCell ref="A1:N1"/>
    <mergeCell ref="A3:M3"/>
    <mergeCell ref="K19:M19"/>
    <mergeCell ref="I10:M10"/>
    <mergeCell ref="A12:M12"/>
    <mergeCell ref="K14:M14"/>
    <mergeCell ref="K15:M15"/>
    <mergeCell ref="K16:M16"/>
    <mergeCell ref="K17:M17"/>
    <mergeCell ref="K18:M18"/>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166CB-5122-42C3-A6DC-7F4FB90181F5}">
  <sheetPr>
    <tabColor rgb="FF002060"/>
  </sheetPr>
  <dimension ref="A1:N53"/>
  <sheetViews>
    <sheetView showGridLines="0" zoomScale="115" zoomScaleNormal="115" workbookViewId="0">
      <pane xSplit="1" ySplit="3" topLeftCell="C4" activePane="bottomRight" state="frozen"/>
      <selection sqref="A1:N1"/>
      <selection pane="topRight" sqref="A1:N1"/>
      <selection pane="bottomLeft" sqref="A1:N1"/>
      <selection pane="bottomRight" activeCell="A3" sqref="A3"/>
    </sheetView>
    <sheetView workbookViewId="1">
      <selection sqref="A1:N1"/>
    </sheetView>
  </sheetViews>
  <sheetFormatPr defaultRowHeight="14.5" x14ac:dyDescent="0.35"/>
  <cols>
    <col min="1" max="1" width="6" customWidth="1"/>
    <col min="2" max="2" width="20" customWidth="1"/>
    <col min="3" max="11" width="13" customWidth="1"/>
  </cols>
  <sheetData>
    <row r="1" spans="1:14" ht="22" customHeight="1" x14ac:dyDescent="0.35">
      <c r="A1" s="349" t="s">
        <v>499</v>
      </c>
      <c r="B1" s="348"/>
      <c r="C1" s="348"/>
      <c r="D1" s="348"/>
      <c r="E1" s="348"/>
      <c r="F1" s="348"/>
      <c r="G1" s="348"/>
      <c r="H1" s="348"/>
      <c r="I1" s="348"/>
      <c r="J1" s="348"/>
      <c r="K1" s="348"/>
      <c r="L1" s="348"/>
      <c r="M1" s="348"/>
      <c r="N1" s="348"/>
    </row>
    <row r="2" spans="1:14" ht="18" customHeight="1" x14ac:dyDescent="0.35">
      <c r="A2" s="350" t="s">
        <v>500</v>
      </c>
      <c r="B2" s="348"/>
      <c r="C2" s="348"/>
      <c r="D2" s="348"/>
      <c r="E2" s="348"/>
      <c r="F2" s="348"/>
      <c r="G2" s="348"/>
      <c r="H2" s="348"/>
      <c r="I2" s="348"/>
      <c r="J2" s="348"/>
      <c r="K2" s="348"/>
    </row>
    <row r="3" spans="1:14" ht="36" customHeight="1" x14ac:dyDescent="0.35">
      <c r="A3" s="232" t="s">
        <v>358</v>
      </c>
      <c r="B3" s="232" t="s">
        <v>408</v>
      </c>
      <c r="C3" s="232" t="s">
        <v>409</v>
      </c>
      <c r="D3" s="232" t="s">
        <v>410</v>
      </c>
      <c r="E3" s="232" t="s">
        <v>411</v>
      </c>
      <c r="F3" s="232" t="s">
        <v>359</v>
      </c>
      <c r="G3" s="232" t="s">
        <v>361</v>
      </c>
    </row>
    <row r="4" spans="1:14" ht="14" customHeight="1" x14ac:dyDescent="0.35">
      <c r="B4" s="243" t="s">
        <v>501</v>
      </c>
      <c r="C4" s="246">
        <v>27000</v>
      </c>
      <c r="D4" s="246">
        <v>27000</v>
      </c>
      <c r="E4" s="246">
        <v>10570</v>
      </c>
      <c r="F4" s="246">
        <v>4830</v>
      </c>
      <c r="G4" s="277" t="s">
        <v>502</v>
      </c>
      <c r="H4" s="352"/>
      <c r="I4" s="348"/>
      <c r="J4" s="348"/>
      <c r="K4" s="348"/>
    </row>
    <row r="5" spans="1:14" ht="14" customHeight="1" x14ac:dyDescent="0.35">
      <c r="B5" s="243" t="s">
        <v>503</v>
      </c>
      <c r="C5" s="245">
        <v>0.09</v>
      </c>
      <c r="D5" s="245">
        <v>0.09</v>
      </c>
      <c r="E5" s="245">
        <v>0.24</v>
      </c>
      <c r="F5" s="245">
        <v>0.16</v>
      </c>
      <c r="G5" s="277" t="s">
        <v>504</v>
      </c>
      <c r="H5" s="352"/>
      <c r="I5" s="348"/>
      <c r="J5" s="348"/>
      <c r="K5" s="348"/>
    </row>
    <row r="6" spans="1:14" ht="14" customHeight="1" x14ac:dyDescent="0.35">
      <c r="B6" s="243" t="s">
        <v>505</v>
      </c>
      <c r="C6" s="245">
        <v>0.91</v>
      </c>
      <c r="D6" s="245">
        <v>0.91</v>
      </c>
      <c r="E6" s="245">
        <v>0.76</v>
      </c>
      <c r="F6" s="245">
        <v>0.84</v>
      </c>
      <c r="G6" s="277" t="s">
        <v>504</v>
      </c>
      <c r="H6" s="352"/>
      <c r="I6" s="348"/>
      <c r="J6" s="348"/>
      <c r="K6" s="348"/>
    </row>
    <row r="7" spans="1:14" ht="14" customHeight="1" x14ac:dyDescent="0.35">
      <c r="B7" s="233" t="s">
        <v>506</v>
      </c>
      <c r="C7" s="266">
        <f>ROUND(C4*C5,0)</f>
        <v>2430</v>
      </c>
      <c r="D7" s="266">
        <f>ROUND(D4*D5,0)</f>
        <v>2430</v>
      </c>
      <c r="E7" s="266">
        <f>ROUND(E4*E5,0)</f>
        <v>2537</v>
      </c>
      <c r="F7" s="266">
        <f>ROUND(F4*F5,0)</f>
        <v>773</v>
      </c>
      <c r="G7" s="277" t="s">
        <v>502</v>
      </c>
      <c r="H7" s="352"/>
      <c r="I7" s="348"/>
      <c r="J7" s="348"/>
      <c r="K7" s="348"/>
    </row>
    <row r="8" spans="1:14" ht="14" customHeight="1" x14ac:dyDescent="0.35">
      <c r="B8" s="233" t="s">
        <v>507</v>
      </c>
      <c r="C8" s="266">
        <f>ROUND(C4*C6,0)</f>
        <v>24570</v>
      </c>
      <c r="D8" s="266">
        <f>ROUND(D4*D6,0)</f>
        <v>24570</v>
      </c>
      <c r="E8" s="266">
        <f>ROUND(E4*E6,0)</f>
        <v>8033</v>
      </c>
      <c r="F8" s="266">
        <f>ROUND(F4*F6,0)</f>
        <v>4057</v>
      </c>
      <c r="G8" s="277" t="s">
        <v>502</v>
      </c>
      <c r="H8" s="352"/>
      <c r="I8" s="348"/>
      <c r="J8" s="348"/>
      <c r="K8" s="348"/>
    </row>
    <row r="9" spans="1:14" ht="14" customHeight="1" x14ac:dyDescent="0.35">
      <c r="B9" s="233" t="s">
        <v>508</v>
      </c>
      <c r="C9" s="273">
        <f>ROUND(C4*22*365/1000000,2)</f>
        <v>216.81</v>
      </c>
      <c r="D9" s="273">
        <f>ROUND(D4*22*365/1000000,2)</f>
        <v>216.81</v>
      </c>
      <c r="E9" s="273">
        <f>ROUND(E4*7.5*365/1000000,2)</f>
        <v>28.94</v>
      </c>
      <c r="F9" s="273">
        <f>ROUND(F4*15*365/1000000,2)</f>
        <v>26.44</v>
      </c>
      <c r="G9" s="277" t="s">
        <v>509</v>
      </c>
      <c r="H9" s="352"/>
      <c r="I9" s="348"/>
      <c r="J9" s="348"/>
      <c r="K9" s="348"/>
    </row>
    <row r="10" spans="1:14" ht="5" customHeight="1" x14ac:dyDescent="0.35"/>
    <row r="11" spans="1:14" ht="18" customHeight="1" x14ac:dyDescent="0.35">
      <c r="A11" s="350" t="s">
        <v>510</v>
      </c>
      <c r="B11" s="348"/>
      <c r="C11" s="348"/>
      <c r="D11" s="348"/>
      <c r="E11" s="348"/>
      <c r="F11" s="348"/>
      <c r="G11" s="348"/>
      <c r="H11" s="348"/>
      <c r="I11" s="348"/>
      <c r="J11" s="348"/>
      <c r="K11" s="348"/>
    </row>
    <row r="12" spans="1:14" ht="18" customHeight="1" x14ac:dyDescent="0.35">
      <c r="B12" s="357"/>
      <c r="C12" s="348"/>
      <c r="D12" s="348"/>
      <c r="E12" s="348"/>
      <c r="F12" s="348"/>
      <c r="G12" s="348"/>
      <c r="H12" s="348"/>
      <c r="I12" s="348"/>
      <c r="J12" s="348"/>
      <c r="K12" s="348"/>
    </row>
    <row r="13" spans="1:14" ht="44" customHeight="1" x14ac:dyDescent="0.35">
      <c r="A13" s="232" t="s">
        <v>4</v>
      </c>
      <c r="B13" s="232" t="s">
        <v>511</v>
      </c>
      <c r="C13" s="232" t="s">
        <v>512</v>
      </c>
      <c r="D13" s="232" t="s">
        <v>513</v>
      </c>
      <c r="E13" s="232" t="s">
        <v>514</v>
      </c>
      <c r="F13" s="232" t="s">
        <v>515</v>
      </c>
      <c r="G13" s="232" t="s">
        <v>516</v>
      </c>
      <c r="H13" s="232" t="s">
        <v>517</v>
      </c>
      <c r="I13" s="232" t="s">
        <v>518</v>
      </c>
      <c r="J13" s="232" t="s">
        <v>519</v>
      </c>
      <c r="K13" s="232" t="s">
        <v>520</v>
      </c>
    </row>
    <row r="14" spans="1:14" ht="14" customHeight="1" x14ac:dyDescent="0.35">
      <c r="A14" s="278">
        <v>2025</v>
      </c>
      <c r="B14" s="334">
        <f>Inputs!$D$16</f>
        <v>27000</v>
      </c>
      <c r="C14" s="266">
        <f>ROUND(B14*Inputs!$E$16,0)</f>
        <v>2430</v>
      </c>
      <c r="D14" s="245">
        <v>0.09</v>
      </c>
      <c r="E14" s="266">
        <f>ROUND(B14*(1-Inputs!$E$16),0)</f>
        <v>24570</v>
      </c>
      <c r="F14" s="334">
        <f>Inputs!$D$18</f>
        <v>10570</v>
      </c>
      <c r="G14" s="266">
        <f>ROUND(F14*Inputs!$E$18,0)</f>
        <v>2537</v>
      </c>
      <c r="H14" s="334">
        <f>Inputs!$D$19</f>
        <v>4830</v>
      </c>
      <c r="I14" s="266">
        <f>ROUND(H14*Inputs!$E$19,0)</f>
        <v>773</v>
      </c>
      <c r="J14" s="279" t="s">
        <v>521</v>
      </c>
      <c r="K14" s="279" t="s">
        <v>521</v>
      </c>
    </row>
    <row r="15" spans="1:14" ht="14" customHeight="1" x14ac:dyDescent="0.35">
      <c r="A15" s="280">
        <v>2026</v>
      </c>
      <c r="B15" s="269">
        <f>ROUND(B14*(1+Inputs!$B$57),0)</f>
        <v>27270</v>
      </c>
      <c r="C15" s="269">
        <f>ROUND(B15*Inputs!$E$16,0)</f>
        <v>2454</v>
      </c>
      <c r="D15" s="245">
        <v>0.09</v>
      </c>
      <c r="E15" s="269">
        <f>ROUND(B15*(1-Inputs!$E$16),0)</f>
        <v>24816</v>
      </c>
      <c r="F15" s="269">
        <f>ROUND(F14*(1+Inputs!$B$58),0)</f>
        <v>10623</v>
      </c>
      <c r="G15" s="269">
        <f>ROUND(F15*Inputs!$E$18,0)</f>
        <v>2550</v>
      </c>
      <c r="H15" s="269">
        <f>ROUND(H14*(1+Inputs!$B$58),0)</f>
        <v>4854</v>
      </c>
      <c r="I15" s="269">
        <f>ROUND(H15*Inputs!$E$19,0)</f>
        <v>777</v>
      </c>
      <c r="J15" s="281" t="s">
        <v>521</v>
      </c>
      <c r="K15" s="281" t="s">
        <v>521</v>
      </c>
    </row>
    <row r="16" spans="1:14" ht="14" customHeight="1" x14ac:dyDescent="0.35">
      <c r="A16" s="282">
        <v>2027</v>
      </c>
      <c r="B16" s="266">
        <f>ROUND(B15*(1+Inputs!$B$57),0)</f>
        <v>27543</v>
      </c>
      <c r="C16" s="266">
        <f>ROUND(B16*Inputs!$E$16,0)</f>
        <v>2479</v>
      </c>
      <c r="D16" s="245">
        <v>0.09</v>
      </c>
      <c r="E16" s="266">
        <f>ROUND(B16*(1-Inputs!$E$16),0)</f>
        <v>25064</v>
      </c>
      <c r="F16" s="266">
        <f>ROUND(F15*(1+Inputs!$B$58),0)</f>
        <v>10676</v>
      </c>
      <c r="G16" s="266">
        <f>ROUND(F16*Inputs!$E$18,0)</f>
        <v>2562</v>
      </c>
      <c r="H16" s="266">
        <f>ROUND(H15*(1+Inputs!$B$58),0)</f>
        <v>4878</v>
      </c>
      <c r="I16" s="266">
        <f>ROUND(H16*Inputs!$E$19,0)</f>
        <v>780</v>
      </c>
      <c r="J16" s="279" t="s">
        <v>521</v>
      </c>
      <c r="K16" s="279" t="s">
        <v>521</v>
      </c>
    </row>
    <row r="17" spans="1:11" ht="14" customHeight="1" x14ac:dyDescent="0.35">
      <c r="A17" s="280">
        <v>2028</v>
      </c>
      <c r="B17" s="269">
        <f>ROUND(B16*(1+Inputs!$B$57),0)</f>
        <v>27818</v>
      </c>
      <c r="C17" s="269">
        <f>ROUND(B17*Inputs!$E$16,0)</f>
        <v>2504</v>
      </c>
      <c r="D17" s="245">
        <v>0.09</v>
      </c>
      <c r="E17" s="269">
        <f>ROUND(B17*(1-Inputs!$E$16),0)</f>
        <v>25314</v>
      </c>
      <c r="F17" s="269">
        <f>ROUND(F16*(1+Inputs!$B$58),0)</f>
        <v>10729</v>
      </c>
      <c r="G17" s="269">
        <f>ROUND(F17*Inputs!$E$18,0)</f>
        <v>2575</v>
      </c>
      <c r="H17" s="269">
        <f>ROUND(H16*(1+Inputs!$B$58),0)</f>
        <v>4902</v>
      </c>
      <c r="I17" s="269">
        <f>ROUND(H17*Inputs!$E$19,0)</f>
        <v>784</v>
      </c>
      <c r="J17" s="281" t="s">
        <v>521</v>
      </c>
      <c r="K17" s="281" t="s">
        <v>521</v>
      </c>
    </row>
    <row r="18" spans="1:11" ht="14" customHeight="1" x14ac:dyDescent="0.35">
      <c r="A18" s="282">
        <v>2029</v>
      </c>
      <c r="B18" s="266">
        <f>ROUND(B17*(1+Inputs!$B$57),0)</f>
        <v>28096</v>
      </c>
      <c r="C18" s="266">
        <f>ROUND(B18*Inputs!$E$16,0)</f>
        <v>2529</v>
      </c>
      <c r="D18" s="245">
        <v>0.09</v>
      </c>
      <c r="E18" s="266">
        <f>ROUND(B18*(1-Inputs!$E$16),0)</f>
        <v>25567</v>
      </c>
      <c r="F18" s="266">
        <f>ROUND(F17*(1+Inputs!$B$58),0)</f>
        <v>10783</v>
      </c>
      <c r="G18" s="266">
        <f>ROUND(F18*Inputs!$E$18,0)</f>
        <v>2588</v>
      </c>
      <c r="H18" s="266">
        <f>ROUND(H17*(1+Inputs!$B$58),0)</f>
        <v>4927</v>
      </c>
      <c r="I18" s="266">
        <f>ROUND(H18*Inputs!$E$19,0)</f>
        <v>788</v>
      </c>
      <c r="J18" s="279" t="s">
        <v>521</v>
      </c>
      <c r="K18" s="279" t="s">
        <v>521</v>
      </c>
    </row>
    <row r="19" spans="1:11" ht="14" customHeight="1" x14ac:dyDescent="0.35">
      <c r="A19" s="280">
        <v>2030</v>
      </c>
      <c r="B19" s="269">
        <f>ROUND(B18*(1+Inputs!$B$57),0)</f>
        <v>28377</v>
      </c>
      <c r="C19" s="269">
        <f>ROUND(B19*Inputs!$E$16,0)</f>
        <v>2554</v>
      </c>
      <c r="D19" s="245">
        <v>0.09</v>
      </c>
      <c r="E19" s="269">
        <f>ROUND(B19*(1-Inputs!$E$16),0)</f>
        <v>25823</v>
      </c>
      <c r="F19" s="269">
        <f>ROUND(F18*(1+Inputs!$B$58),0)</f>
        <v>10837</v>
      </c>
      <c r="G19" s="269">
        <f>ROUND(F19*Inputs!$E$18,0)</f>
        <v>2601</v>
      </c>
      <c r="H19" s="269">
        <f>ROUND(H18*(1+Inputs!$B$58),0)</f>
        <v>4952</v>
      </c>
      <c r="I19" s="269">
        <f>ROUND(H19*Inputs!$E$19,0)</f>
        <v>792</v>
      </c>
      <c r="J19" s="281" t="s">
        <v>521</v>
      </c>
      <c r="K19" s="281" t="s">
        <v>521</v>
      </c>
    </row>
    <row r="20" spans="1:11" ht="14" customHeight="1" x14ac:dyDescent="0.35">
      <c r="A20" s="282">
        <v>2031</v>
      </c>
      <c r="B20" s="266">
        <f>ROUND(B19*(1+Inputs!$B$57),0)</f>
        <v>28661</v>
      </c>
      <c r="C20" s="266">
        <f>ROUND(B20*Inputs!$E$16,0)</f>
        <v>2579</v>
      </c>
      <c r="D20" s="245">
        <v>0.09</v>
      </c>
      <c r="E20" s="266">
        <f>ROUND(B20*(1-Inputs!$E$16),0)</f>
        <v>26082</v>
      </c>
      <c r="F20" s="266">
        <f>ROUND(F19*(1+Inputs!$B$58),0)</f>
        <v>10891</v>
      </c>
      <c r="G20" s="266">
        <f>ROUND(F20*Inputs!$E$18,0)</f>
        <v>2614</v>
      </c>
      <c r="H20" s="266">
        <f>ROUND(H19*(1+Inputs!$B$58),0)</f>
        <v>4977</v>
      </c>
      <c r="I20" s="266">
        <f>ROUND(H20*Inputs!$E$19,0)</f>
        <v>796</v>
      </c>
      <c r="J20" s="279" t="s">
        <v>521</v>
      </c>
      <c r="K20" s="279" t="s">
        <v>521</v>
      </c>
    </row>
    <row r="21" spans="1:11" ht="14" customHeight="1" x14ac:dyDescent="0.35">
      <c r="A21" s="280">
        <v>2032</v>
      </c>
      <c r="B21" s="269">
        <f>ROUND(B20*(1+Inputs!$B$57),0)</f>
        <v>28948</v>
      </c>
      <c r="C21" s="269">
        <f>ROUND(B21*Inputs!$E$16,0)</f>
        <v>2605</v>
      </c>
      <c r="D21" s="245">
        <v>0.09</v>
      </c>
      <c r="E21" s="269">
        <f>ROUND(B21*(1-Inputs!$E$16),0)</f>
        <v>26343</v>
      </c>
      <c r="F21" s="269">
        <f>ROUND(F20*(1+Inputs!$B$58),0)</f>
        <v>10945</v>
      </c>
      <c r="G21" s="269">
        <f>ROUND(F21*Inputs!$E$18,0)</f>
        <v>2627</v>
      </c>
      <c r="H21" s="269">
        <f>ROUND(H20*(1+Inputs!$B$58),0)</f>
        <v>5002</v>
      </c>
      <c r="I21" s="269">
        <f>ROUND(H21*Inputs!$E$19,0)</f>
        <v>800</v>
      </c>
      <c r="J21" s="281" t="s">
        <v>521</v>
      </c>
      <c r="K21" s="281" t="s">
        <v>521</v>
      </c>
    </row>
    <row r="22" spans="1:11" ht="14" customHeight="1" x14ac:dyDescent="0.35">
      <c r="A22" s="283">
        <v>2033</v>
      </c>
      <c r="B22" s="284">
        <f>ROUND(B21*(1+Inputs!$B$57),0)</f>
        <v>29237</v>
      </c>
      <c r="C22" s="284">
        <f>ROUND(B22*Inputs!$E$16,0)</f>
        <v>2631</v>
      </c>
      <c r="D22" s="285">
        <v>0.09</v>
      </c>
      <c r="E22" s="284">
        <f>ROUND(B22*(1-Inputs!$E$16),0)</f>
        <v>26606</v>
      </c>
      <c r="F22" s="284">
        <f>ROUND(F21*(1+Inputs!$B$58),0)</f>
        <v>11000</v>
      </c>
      <c r="G22" s="284">
        <f>ROUND(F22*Inputs!$E$18,0)</f>
        <v>2640</v>
      </c>
      <c r="H22" s="284">
        <f>ROUND(H21*(1+Inputs!$B$58),0)</f>
        <v>5027</v>
      </c>
      <c r="I22" s="284">
        <f>ROUND(H22*Inputs!$E$19,0)</f>
        <v>804</v>
      </c>
      <c r="J22" s="286">
        <f>B22/B22</f>
        <v>1</v>
      </c>
      <c r="K22" s="286">
        <f>F22/F22</f>
        <v>1</v>
      </c>
    </row>
    <row r="23" spans="1:11" ht="14" customHeight="1" x14ac:dyDescent="0.35">
      <c r="A23" s="280">
        <v>2034</v>
      </c>
      <c r="B23" s="269">
        <f>ROUND(B22*(1+Inputs!$B$57),0)</f>
        <v>29529</v>
      </c>
      <c r="C23" s="269">
        <f>ROUND(B23*Inputs!$E$16,0)</f>
        <v>2658</v>
      </c>
      <c r="D23" s="245">
        <v>0.09</v>
      </c>
      <c r="E23" s="269">
        <f>ROUND(B23*(1-Inputs!$E$16),0)</f>
        <v>26871</v>
      </c>
      <c r="F23" s="269">
        <f>ROUND(F22*(1+Inputs!$B$58),0)</f>
        <v>11055</v>
      </c>
      <c r="G23" s="269">
        <f>ROUND(F23*Inputs!$E$18,0)</f>
        <v>2653</v>
      </c>
      <c r="H23" s="269">
        <f>ROUND(H22*(1+Inputs!$B$58),0)</f>
        <v>5052</v>
      </c>
      <c r="I23" s="269">
        <f>ROUND(H23*Inputs!$E$19,0)</f>
        <v>808</v>
      </c>
      <c r="J23" s="287">
        <f>B23/B22</f>
        <v>1.0099873448028183</v>
      </c>
      <c r="K23" s="287">
        <f>F23/F22</f>
        <v>1.0049999999999999</v>
      </c>
    </row>
    <row r="24" spans="1:11" ht="14" customHeight="1" x14ac:dyDescent="0.35">
      <c r="A24" s="282">
        <v>2035</v>
      </c>
      <c r="B24" s="266">
        <f>ROUND(B23*(1+Inputs!$B$57),0)</f>
        <v>29824</v>
      </c>
      <c r="C24" s="266">
        <f>ROUND(B24*Inputs!$E$16,0)</f>
        <v>2684</v>
      </c>
      <c r="D24" s="245">
        <v>0.09</v>
      </c>
      <c r="E24" s="266">
        <f>ROUND(B24*(1-Inputs!$E$16),0)</f>
        <v>27140</v>
      </c>
      <c r="F24" s="266">
        <f>ROUND(F23*(1+Inputs!$B$58),0)</f>
        <v>11110</v>
      </c>
      <c r="G24" s="266">
        <f>ROUND(F24*Inputs!$E$18,0)</f>
        <v>2666</v>
      </c>
      <c r="H24" s="266">
        <f>ROUND(H23*(1+Inputs!$B$58),0)</f>
        <v>5077</v>
      </c>
      <c r="I24" s="266">
        <f>ROUND(H24*Inputs!$E$19,0)</f>
        <v>812</v>
      </c>
      <c r="J24" s="288">
        <f>B24/B22</f>
        <v>1.0200772993125149</v>
      </c>
      <c r="K24" s="288">
        <f>F24/F22</f>
        <v>1.01</v>
      </c>
    </row>
    <row r="25" spans="1:11" ht="14" customHeight="1" x14ac:dyDescent="0.35">
      <c r="A25" s="280">
        <v>2036</v>
      </c>
      <c r="B25" s="269">
        <f>ROUND(B24*(1+Inputs!$B$57),0)</f>
        <v>30122</v>
      </c>
      <c r="C25" s="269">
        <f>ROUND(B25*Inputs!$E$16,0)</f>
        <v>2711</v>
      </c>
      <c r="D25" s="245">
        <v>0.09</v>
      </c>
      <c r="E25" s="269">
        <f>ROUND(B25*(1-Inputs!$E$16),0)</f>
        <v>27411</v>
      </c>
      <c r="F25" s="269">
        <f>ROUND(F24*(1+Inputs!$B$58),0)</f>
        <v>11166</v>
      </c>
      <c r="G25" s="269">
        <f>ROUND(F25*Inputs!$E$18,0)</f>
        <v>2680</v>
      </c>
      <c r="H25" s="269">
        <f>ROUND(H24*(1+Inputs!$B$58),0)</f>
        <v>5102</v>
      </c>
      <c r="I25" s="269">
        <f>ROUND(H25*Inputs!$E$19,0)</f>
        <v>816</v>
      </c>
      <c r="J25" s="287">
        <f>B25/B22</f>
        <v>1.0302698635290899</v>
      </c>
      <c r="K25" s="287">
        <f>F25/F22</f>
        <v>1.015090909090909</v>
      </c>
    </row>
    <row r="26" spans="1:11" ht="14" customHeight="1" x14ac:dyDescent="0.35">
      <c r="A26" s="282">
        <v>2037</v>
      </c>
      <c r="B26" s="266">
        <f>ROUND(B25*(1+Inputs!$B$57),0)</f>
        <v>30423</v>
      </c>
      <c r="C26" s="266">
        <f>ROUND(B26*Inputs!$E$16,0)</f>
        <v>2738</v>
      </c>
      <c r="D26" s="245">
        <v>0.09</v>
      </c>
      <c r="E26" s="266">
        <f>ROUND(B26*(1-Inputs!$E$16),0)</f>
        <v>27685</v>
      </c>
      <c r="F26" s="266">
        <f>ROUND(F25*(1+Inputs!$B$58),0)</f>
        <v>11222</v>
      </c>
      <c r="G26" s="266">
        <f>ROUND(F26*Inputs!$E$18,0)</f>
        <v>2693</v>
      </c>
      <c r="H26" s="266">
        <f>ROUND(H25*(1+Inputs!$B$58),0)</f>
        <v>5128</v>
      </c>
      <c r="I26" s="266">
        <f>ROUND(H26*Inputs!$E$19,0)</f>
        <v>820</v>
      </c>
      <c r="J26" s="288">
        <f>B26/B22</f>
        <v>1.040565037452543</v>
      </c>
      <c r="K26" s="288">
        <f>F26/F22</f>
        <v>1.0201818181818181</v>
      </c>
    </row>
    <row r="27" spans="1:11" ht="14" customHeight="1" x14ac:dyDescent="0.35">
      <c r="A27" s="280">
        <v>2038</v>
      </c>
      <c r="B27" s="269">
        <f>ROUND(B26*(1+Inputs!$B$57),0)</f>
        <v>30727</v>
      </c>
      <c r="C27" s="269">
        <f>ROUND(B27*Inputs!$E$16,0)</f>
        <v>2765</v>
      </c>
      <c r="D27" s="245">
        <v>0.09</v>
      </c>
      <c r="E27" s="269">
        <f>ROUND(B27*(1-Inputs!$E$16),0)</f>
        <v>27962</v>
      </c>
      <c r="F27" s="269">
        <f>ROUND(F26*(1+Inputs!$B$58),0)</f>
        <v>11278</v>
      </c>
      <c r="G27" s="269">
        <f>ROUND(F27*Inputs!$E$18,0)</f>
        <v>2707</v>
      </c>
      <c r="H27" s="269">
        <f>ROUND(H26*(1+Inputs!$B$58),0)</f>
        <v>5154</v>
      </c>
      <c r="I27" s="269">
        <f>ROUND(H27*Inputs!$E$19,0)</f>
        <v>825</v>
      </c>
      <c r="J27" s="287">
        <f>B27/B22</f>
        <v>1.0509628210828745</v>
      </c>
      <c r="K27" s="287">
        <f>F27/F22</f>
        <v>1.0252727272727273</v>
      </c>
    </row>
    <row r="28" spans="1:11" ht="14" customHeight="1" x14ac:dyDescent="0.35">
      <c r="A28" s="282">
        <v>2039</v>
      </c>
      <c r="B28" s="266">
        <f>ROUND(B27*(1+Inputs!$B$57),0)</f>
        <v>31034</v>
      </c>
      <c r="C28" s="266">
        <f>ROUND(B28*Inputs!$E$16,0)</f>
        <v>2793</v>
      </c>
      <c r="D28" s="245">
        <v>0.09</v>
      </c>
      <c r="E28" s="266">
        <f>ROUND(B28*(1-Inputs!$E$16),0)</f>
        <v>28241</v>
      </c>
      <c r="F28" s="266">
        <f>ROUND(F27*(1+Inputs!$B$58),0)</f>
        <v>11334</v>
      </c>
      <c r="G28" s="266">
        <f>ROUND(F28*Inputs!$E$18,0)</f>
        <v>2720</v>
      </c>
      <c r="H28" s="266">
        <f>ROUND(H27*(1+Inputs!$B$58),0)</f>
        <v>5180</v>
      </c>
      <c r="I28" s="266">
        <f>ROUND(H28*Inputs!$E$19,0)</f>
        <v>829</v>
      </c>
      <c r="J28" s="288">
        <f>B28/B22</f>
        <v>1.0614632144200842</v>
      </c>
      <c r="K28" s="288">
        <f>F28/F22</f>
        <v>1.0303636363636364</v>
      </c>
    </row>
    <row r="29" spans="1:11" ht="14" customHeight="1" x14ac:dyDescent="0.35">
      <c r="A29" s="280">
        <v>2040</v>
      </c>
      <c r="B29" s="269">
        <f>ROUND(B28*(1+Inputs!$B$57),0)</f>
        <v>31344</v>
      </c>
      <c r="C29" s="269">
        <f>ROUND(B29*Inputs!$E$16,0)</f>
        <v>2821</v>
      </c>
      <c r="D29" s="245">
        <v>0.09</v>
      </c>
      <c r="E29" s="269">
        <f>ROUND(B29*(1-Inputs!$E$16),0)</f>
        <v>28523</v>
      </c>
      <c r="F29" s="269">
        <f>ROUND(F28*(1+Inputs!$B$58),0)</f>
        <v>11391</v>
      </c>
      <c r="G29" s="269">
        <f>ROUND(F29*Inputs!$E$18,0)</f>
        <v>2734</v>
      </c>
      <c r="H29" s="269">
        <f>ROUND(H28*(1+Inputs!$B$58),0)</f>
        <v>5206</v>
      </c>
      <c r="I29" s="269">
        <f>ROUND(H29*Inputs!$E$19,0)</f>
        <v>833</v>
      </c>
      <c r="J29" s="287">
        <f>B29/B22</f>
        <v>1.0720662174641722</v>
      </c>
      <c r="K29" s="287">
        <f>F29/F22</f>
        <v>1.0355454545454545</v>
      </c>
    </row>
    <row r="30" spans="1:11" ht="14" customHeight="1" x14ac:dyDescent="0.35">
      <c r="A30" s="282">
        <v>2041</v>
      </c>
      <c r="B30" s="266">
        <f>ROUND(B29*(1+Inputs!$B$57),0)</f>
        <v>31657</v>
      </c>
      <c r="C30" s="266">
        <f>ROUND(B30*Inputs!$E$16,0)</f>
        <v>2849</v>
      </c>
      <c r="D30" s="245">
        <v>0.09</v>
      </c>
      <c r="E30" s="266">
        <f>ROUND(B30*(1-Inputs!$E$16),0)</f>
        <v>28808</v>
      </c>
      <c r="F30" s="266">
        <f>ROUND(F29*(1+Inputs!$B$58),0)</f>
        <v>11448</v>
      </c>
      <c r="G30" s="266">
        <f>ROUND(F30*Inputs!$E$18,0)</f>
        <v>2748</v>
      </c>
      <c r="H30" s="266">
        <f>ROUND(H29*(1+Inputs!$B$58),0)</f>
        <v>5232</v>
      </c>
      <c r="I30" s="266">
        <f>ROUND(H30*Inputs!$E$19,0)</f>
        <v>837</v>
      </c>
      <c r="J30" s="288">
        <f>B30/B22</f>
        <v>1.0827718302151383</v>
      </c>
      <c r="K30" s="288">
        <f>F30/F22</f>
        <v>1.0407272727272727</v>
      </c>
    </row>
    <row r="31" spans="1:11" ht="14" customHeight="1" x14ac:dyDescent="0.35">
      <c r="A31" s="280">
        <v>2042</v>
      </c>
      <c r="B31" s="269">
        <f>ROUND(B30*(1+Inputs!$B$57),0)</f>
        <v>31974</v>
      </c>
      <c r="C31" s="269">
        <f>ROUND(B31*Inputs!$E$16,0)</f>
        <v>2878</v>
      </c>
      <c r="D31" s="245">
        <v>0.09</v>
      </c>
      <c r="E31" s="269">
        <f>ROUND(B31*(1-Inputs!$E$16),0)</f>
        <v>29096</v>
      </c>
      <c r="F31" s="269">
        <f>ROUND(F30*(1+Inputs!$B$58),0)</f>
        <v>11505</v>
      </c>
      <c r="G31" s="269">
        <f>ROUND(F31*Inputs!$E$18,0)</f>
        <v>2761</v>
      </c>
      <c r="H31" s="269">
        <f>ROUND(H30*(1+Inputs!$B$58),0)</f>
        <v>5258</v>
      </c>
      <c r="I31" s="269">
        <f>ROUND(H31*Inputs!$E$19,0)</f>
        <v>841</v>
      </c>
      <c r="J31" s="287">
        <f>B31/B22</f>
        <v>1.0936142559086091</v>
      </c>
      <c r="K31" s="287">
        <f>F31/F22</f>
        <v>1.0459090909090909</v>
      </c>
    </row>
    <row r="32" spans="1:11" ht="14" customHeight="1" x14ac:dyDescent="0.35">
      <c r="A32" s="282">
        <v>2043</v>
      </c>
      <c r="B32" s="266">
        <f>ROUND(B31*(1+Inputs!$B$57),0)</f>
        <v>32294</v>
      </c>
      <c r="C32" s="266">
        <f>ROUND(B32*Inputs!$E$16,0)</f>
        <v>2906</v>
      </c>
      <c r="D32" s="245">
        <v>0.09</v>
      </c>
      <c r="E32" s="266">
        <f>ROUND(B32*(1-Inputs!$E$16),0)</f>
        <v>29388</v>
      </c>
      <c r="F32" s="266">
        <f>ROUND(F31*(1+Inputs!$B$58),0)</f>
        <v>11563</v>
      </c>
      <c r="G32" s="266">
        <f>ROUND(F32*Inputs!$E$18,0)</f>
        <v>2775</v>
      </c>
      <c r="H32" s="266">
        <f>ROUND(H31*(1+Inputs!$B$58),0)</f>
        <v>5284</v>
      </c>
      <c r="I32" s="266">
        <f>ROUND(H32*Inputs!$E$19,0)</f>
        <v>845</v>
      </c>
      <c r="J32" s="288">
        <f>B32/B22</f>
        <v>1.1045592913089579</v>
      </c>
      <c r="K32" s="288">
        <f>F32/F22</f>
        <v>1.0511818181818182</v>
      </c>
    </row>
    <row r="33" spans="1:11" ht="14" customHeight="1" x14ac:dyDescent="0.35">
      <c r="A33" s="280">
        <v>2044</v>
      </c>
      <c r="B33" s="269">
        <f>ROUND(B32*(1+Inputs!$B$57),0)</f>
        <v>32617</v>
      </c>
      <c r="C33" s="269">
        <f>ROUND(B33*Inputs!$E$16,0)</f>
        <v>2936</v>
      </c>
      <c r="D33" s="245">
        <v>0.09</v>
      </c>
      <c r="E33" s="269">
        <f>ROUND(B33*(1-Inputs!$E$16),0)</f>
        <v>29681</v>
      </c>
      <c r="F33" s="269">
        <f>ROUND(F32*(1+Inputs!$B$58),0)</f>
        <v>11621</v>
      </c>
      <c r="G33" s="269">
        <f>ROUND(F33*Inputs!$E$18,0)</f>
        <v>2789</v>
      </c>
      <c r="H33" s="269">
        <f>ROUND(H32*(1+Inputs!$B$58),0)</f>
        <v>5310</v>
      </c>
      <c r="I33" s="269">
        <f>ROUND(H33*Inputs!$E$19,0)</f>
        <v>850</v>
      </c>
      <c r="J33" s="287">
        <f>B33/B22</f>
        <v>1.1156069364161849</v>
      </c>
      <c r="K33" s="287">
        <f>F33/F22</f>
        <v>1.0564545454545455</v>
      </c>
    </row>
    <row r="34" spans="1:11" ht="14" customHeight="1" x14ac:dyDescent="0.35">
      <c r="A34" s="282">
        <v>2045</v>
      </c>
      <c r="B34" s="266">
        <f>ROUND(B33*(1+Inputs!$B$57),0)</f>
        <v>32943</v>
      </c>
      <c r="C34" s="266">
        <f>ROUND(B34*Inputs!$E$16,0)</f>
        <v>2965</v>
      </c>
      <c r="D34" s="245">
        <v>0.09</v>
      </c>
      <c r="E34" s="266">
        <f>ROUND(B34*(1-Inputs!$E$16),0)</f>
        <v>29978</v>
      </c>
      <c r="F34" s="266">
        <f>ROUND(F33*(1+Inputs!$B$58),0)</f>
        <v>11679</v>
      </c>
      <c r="G34" s="266">
        <f>ROUND(F34*Inputs!$E$18,0)</f>
        <v>2803</v>
      </c>
      <c r="H34" s="266">
        <f>ROUND(H33*(1+Inputs!$B$58),0)</f>
        <v>5337</v>
      </c>
      <c r="I34" s="266">
        <f>ROUND(H34*Inputs!$E$19,0)</f>
        <v>854</v>
      </c>
      <c r="J34" s="288">
        <f>B34/B22</f>
        <v>1.1267571912302903</v>
      </c>
      <c r="K34" s="288">
        <f>F34/F22</f>
        <v>1.0617272727272726</v>
      </c>
    </row>
    <row r="35" spans="1:11" ht="14" customHeight="1" x14ac:dyDescent="0.35">
      <c r="A35" s="280">
        <v>2046</v>
      </c>
      <c r="B35" s="269">
        <f>ROUND(B34*(1+Inputs!$B$57),0)</f>
        <v>33272</v>
      </c>
      <c r="C35" s="269">
        <f>ROUND(B35*Inputs!$E$16,0)</f>
        <v>2994</v>
      </c>
      <c r="D35" s="245">
        <v>0.09</v>
      </c>
      <c r="E35" s="269">
        <f>ROUND(B35*(1-Inputs!$E$16),0)</f>
        <v>30278</v>
      </c>
      <c r="F35" s="269">
        <f>ROUND(F34*(1+Inputs!$B$58),0)</f>
        <v>11737</v>
      </c>
      <c r="G35" s="269">
        <f>ROUND(F35*Inputs!$E$18,0)</f>
        <v>2817</v>
      </c>
      <c r="H35" s="269">
        <f>ROUND(H34*(1+Inputs!$B$58),0)</f>
        <v>5364</v>
      </c>
      <c r="I35" s="269">
        <f>ROUND(H35*Inputs!$E$19,0)</f>
        <v>858</v>
      </c>
      <c r="J35" s="287">
        <f>B35/B22</f>
        <v>1.138010055751274</v>
      </c>
      <c r="K35" s="287">
        <f>F35/F22</f>
        <v>1.0669999999999999</v>
      </c>
    </row>
    <row r="36" spans="1:11" ht="14" customHeight="1" x14ac:dyDescent="0.35">
      <c r="A36" s="282">
        <v>2047</v>
      </c>
      <c r="B36" s="266">
        <f>ROUND(B35*(1+Inputs!$B$57),0)</f>
        <v>33605</v>
      </c>
      <c r="C36" s="266">
        <f>ROUND(B36*Inputs!$E$16,0)</f>
        <v>3024</v>
      </c>
      <c r="D36" s="245">
        <v>0.09</v>
      </c>
      <c r="E36" s="266">
        <f>ROUND(B36*(1-Inputs!$E$16),0)</f>
        <v>30581</v>
      </c>
      <c r="F36" s="266">
        <f>ROUND(F35*(1+Inputs!$B$58),0)</f>
        <v>11796</v>
      </c>
      <c r="G36" s="266">
        <f>ROUND(F36*Inputs!$E$18,0)</f>
        <v>2831</v>
      </c>
      <c r="H36" s="266">
        <f>ROUND(H35*(1+Inputs!$B$58),0)</f>
        <v>5391</v>
      </c>
      <c r="I36" s="266">
        <f>ROUND(H36*Inputs!$E$19,0)</f>
        <v>863</v>
      </c>
      <c r="J36" s="288">
        <f>B36/B22</f>
        <v>1.1493997332147621</v>
      </c>
      <c r="K36" s="288">
        <f>F36/F22</f>
        <v>1.0723636363636364</v>
      </c>
    </row>
    <row r="37" spans="1:11" ht="14" customHeight="1" x14ac:dyDescent="0.35">
      <c r="A37" s="280">
        <v>2048</v>
      </c>
      <c r="B37" s="269">
        <f>ROUND(B36*(1+Inputs!$B$57),0)</f>
        <v>33941</v>
      </c>
      <c r="C37" s="269">
        <f>ROUND(B37*Inputs!$E$16,0)</f>
        <v>3055</v>
      </c>
      <c r="D37" s="245">
        <v>0.09</v>
      </c>
      <c r="E37" s="269">
        <f>ROUND(B37*(1-Inputs!$E$16),0)</f>
        <v>30886</v>
      </c>
      <c r="F37" s="269">
        <f>ROUND(F36*(1+Inputs!$B$58),0)</f>
        <v>11855</v>
      </c>
      <c r="G37" s="269">
        <f>ROUND(F37*Inputs!$E$18,0)</f>
        <v>2845</v>
      </c>
      <c r="H37" s="269">
        <f>ROUND(H36*(1+Inputs!$B$58),0)</f>
        <v>5418</v>
      </c>
      <c r="I37" s="269">
        <f>ROUND(H37*Inputs!$E$19,0)</f>
        <v>867</v>
      </c>
      <c r="J37" s="287">
        <f>B37/B22</f>
        <v>1.1608920203851285</v>
      </c>
      <c r="K37" s="287">
        <f>F37/F22</f>
        <v>1.0777272727272726</v>
      </c>
    </row>
    <row r="38" spans="1:11" ht="14" customHeight="1" x14ac:dyDescent="0.35">
      <c r="A38" s="282">
        <v>2049</v>
      </c>
      <c r="B38" s="266">
        <f>ROUND(B37*(1+Inputs!$B$57),0)</f>
        <v>34280</v>
      </c>
      <c r="C38" s="266">
        <f>ROUND(B38*Inputs!$E$16,0)</f>
        <v>3085</v>
      </c>
      <c r="D38" s="245">
        <v>0.09</v>
      </c>
      <c r="E38" s="266">
        <f>ROUND(B38*(1-Inputs!$E$16),0)</f>
        <v>31195</v>
      </c>
      <c r="F38" s="266">
        <f>ROUND(F37*(1+Inputs!$B$58),0)</f>
        <v>11914</v>
      </c>
      <c r="G38" s="266">
        <f>ROUND(F38*Inputs!$E$18,0)</f>
        <v>2859</v>
      </c>
      <c r="H38" s="266">
        <f>ROUND(H37*(1+Inputs!$B$58),0)</f>
        <v>5445</v>
      </c>
      <c r="I38" s="266">
        <f>ROUND(H38*Inputs!$E$19,0)</f>
        <v>871</v>
      </c>
      <c r="J38" s="288">
        <f>B38/B22</f>
        <v>1.1724869172623731</v>
      </c>
      <c r="K38" s="288">
        <f>F38/F22</f>
        <v>1.0830909090909091</v>
      </c>
    </row>
    <row r="39" spans="1:11" ht="14" customHeight="1" x14ac:dyDescent="0.35">
      <c r="A39" s="280">
        <v>2050</v>
      </c>
      <c r="B39" s="269">
        <f>ROUND(B38*(1+Inputs!$B$57),0)</f>
        <v>34623</v>
      </c>
      <c r="C39" s="269">
        <f>ROUND(B39*Inputs!$E$16,0)</f>
        <v>3116</v>
      </c>
      <c r="D39" s="245">
        <v>0.09</v>
      </c>
      <c r="E39" s="269">
        <f>ROUND(B39*(1-Inputs!$E$16),0)</f>
        <v>31507</v>
      </c>
      <c r="F39" s="269">
        <f>ROUND(F38*(1+Inputs!$B$58),0)</f>
        <v>11974</v>
      </c>
      <c r="G39" s="269">
        <f>ROUND(F39*Inputs!$E$18,0)</f>
        <v>2874</v>
      </c>
      <c r="H39" s="269">
        <f>ROUND(H38*(1+Inputs!$B$58),0)</f>
        <v>5472</v>
      </c>
      <c r="I39" s="269">
        <f>ROUND(H39*Inputs!$E$19,0)</f>
        <v>876</v>
      </c>
      <c r="J39" s="287">
        <f>B39/B22</f>
        <v>1.184218627082122</v>
      </c>
      <c r="K39" s="287">
        <f>F39/F22</f>
        <v>1.0885454545454545</v>
      </c>
    </row>
    <row r="40" spans="1:11" ht="14" customHeight="1" x14ac:dyDescent="0.35">
      <c r="A40" s="282">
        <v>2051</v>
      </c>
      <c r="B40" s="266">
        <f>ROUND(B39*(1+Inputs!$B$57),0)</f>
        <v>34969</v>
      </c>
      <c r="C40" s="266">
        <f>ROUND(B40*Inputs!$E$16,0)</f>
        <v>3147</v>
      </c>
      <c r="D40" s="245">
        <v>0.09</v>
      </c>
      <c r="E40" s="266">
        <f>ROUND(B40*(1-Inputs!$E$16),0)</f>
        <v>31822</v>
      </c>
      <c r="F40" s="266">
        <f>ROUND(F39*(1+Inputs!$B$58),0)</f>
        <v>12034</v>
      </c>
      <c r="G40" s="266">
        <f>ROUND(F40*Inputs!$E$18,0)</f>
        <v>2888</v>
      </c>
      <c r="H40" s="266">
        <f>ROUND(H39*(1+Inputs!$B$58),0)</f>
        <v>5499</v>
      </c>
      <c r="I40" s="266">
        <f>ROUND(H40*Inputs!$E$19,0)</f>
        <v>880</v>
      </c>
      <c r="J40" s="288">
        <f>B40/B22</f>
        <v>1.1960529466087493</v>
      </c>
      <c r="K40" s="288">
        <f>F40/F22</f>
        <v>1.0940000000000001</v>
      </c>
    </row>
    <row r="41" spans="1:11" ht="14" customHeight="1" x14ac:dyDescent="0.35">
      <c r="A41" s="280">
        <v>2052</v>
      </c>
      <c r="B41" s="269">
        <f>ROUND(B40*(1+Inputs!$B$57),0)</f>
        <v>35319</v>
      </c>
      <c r="C41" s="269">
        <f>ROUND(B41*Inputs!$E$16,0)</f>
        <v>3179</v>
      </c>
      <c r="D41" s="245">
        <v>0.09</v>
      </c>
      <c r="E41" s="269">
        <f>ROUND(B41*(1-Inputs!$E$16),0)</f>
        <v>32140</v>
      </c>
      <c r="F41" s="269">
        <f>ROUND(F40*(1+Inputs!$B$58),0)</f>
        <v>12094</v>
      </c>
      <c r="G41" s="269">
        <f>ROUND(F41*Inputs!$E$18,0)</f>
        <v>2903</v>
      </c>
      <c r="H41" s="269">
        <f>ROUND(H40*(1+Inputs!$B$58),0)</f>
        <v>5526</v>
      </c>
      <c r="I41" s="269">
        <f>ROUND(H41*Inputs!$E$19,0)</f>
        <v>884</v>
      </c>
      <c r="J41" s="287">
        <f t="shared" ref="J41:J51" si="0">B41/B22</f>
        <v>1.2080240790778807</v>
      </c>
      <c r="K41" s="287">
        <f t="shared" ref="K41:K51" si="1">F41/F22</f>
        <v>1.0994545454545455</v>
      </c>
    </row>
    <row r="42" spans="1:11" ht="14" customHeight="1" x14ac:dyDescent="0.35">
      <c r="A42" s="282">
        <f t="shared" ref="A42:A51" si="2">A41+1</f>
        <v>2053</v>
      </c>
      <c r="B42" s="266">
        <f>ROUND(B41*(1+Inputs!$B$57),0)</f>
        <v>35672</v>
      </c>
      <c r="C42" s="266">
        <f>ROUND(B42*Inputs!$E$16,0)</f>
        <v>3210</v>
      </c>
      <c r="D42" s="245">
        <v>0.09</v>
      </c>
      <c r="E42" s="266">
        <f>ROUND(B42*(1-Inputs!$E$16),0)</f>
        <v>32462</v>
      </c>
      <c r="F42" s="266">
        <f>ROUND(F41*(1+Inputs!$B$58),0)</f>
        <v>12154</v>
      </c>
      <c r="G42" s="266">
        <f>ROUND(F42*Inputs!$E$18,0)</f>
        <v>2917</v>
      </c>
      <c r="H42" s="266">
        <f>ROUND(H41*(1+Inputs!$B$58),0)</f>
        <v>5554</v>
      </c>
      <c r="I42" s="266">
        <f>ROUND(H42*Inputs!$E$19,0)</f>
        <v>889</v>
      </c>
      <c r="J42" s="288">
        <f t="shared" si="0"/>
        <v>1.2080327813336043</v>
      </c>
      <c r="K42" s="288">
        <f t="shared" si="1"/>
        <v>1.0994120307553144</v>
      </c>
    </row>
    <row r="43" spans="1:11" ht="14" customHeight="1" x14ac:dyDescent="0.35">
      <c r="A43" s="280">
        <f t="shared" si="2"/>
        <v>2054</v>
      </c>
      <c r="B43" s="269">
        <f>ROUND(B42*(1+Inputs!$B$57),0)</f>
        <v>36029</v>
      </c>
      <c r="C43" s="269">
        <f>ROUND(B43*Inputs!$E$16,0)</f>
        <v>3243</v>
      </c>
      <c r="D43" s="245">
        <v>0.09</v>
      </c>
      <c r="E43" s="269">
        <f>ROUND(B43*(1-Inputs!$E$16),0)</f>
        <v>32786</v>
      </c>
      <c r="F43" s="269">
        <f>ROUND(F42*(1+Inputs!$B$58),0)</f>
        <v>12215</v>
      </c>
      <c r="G43" s="269">
        <f>ROUND(F43*Inputs!$E$18,0)</f>
        <v>2932</v>
      </c>
      <c r="H43" s="269">
        <f>ROUND(H42*(1+Inputs!$B$58),0)</f>
        <v>5582</v>
      </c>
      <c r="I43" s="269">
        <f>ROUND(H43*Inputs!$E$19,0)</f>
        <v>893</v>
      </c>
      <c r="J43" s="287">
        <f t="shared" si="0"/>
        <v>1.2080539163090129</v>
      </c>
      <c r="K43" s="287">
        <f t="shared" si="1"/>
        <v>1.0994599459945995</v>
      </c>
    </row>
    <row r="44" spans="1:11" ht="14" customHeight="1" x14ac:dyDescent="0.35">
      <c r="A44" s="282">
        <f t="shared" si="2"/>
        <v>2055</v>
      </c>
      <c r="B44" s="266">
        <f>ROUND(B43*(1+Inputs!$B$57),0)</f>
        <v>36389</v>
      </c>
      <c r="C44" s="266">
        <f>ROUND(B44*Inputs!$E$16,0)</f>
        <v>3275</v>
      </c>
      <c r="D44" s="245">
        <v>0.09</v>
      </c>
      <c r="E44" s="266">
        <f>ROUND(B44*(1-Inputs!$E$16),0)</f>
        <v>33114</v>
      </c>
      <c r="F44" s="266">
        <f>ROUND(F43*(1+Inputs!$B$58),0)</f>
        <v>12276</v>
      </c>
      <c r="G44" s="266">
        <f>ROUND(F44*Inputs!$E$18,0)</f>
        <v>2946</v>
      </c>
      <c r="H44" s="266">
        <f>ROUND(H43*(1+Inputs!$B$58),0)</f>
        <v>5610</v>
      </c>
      <c r="I44" s="266">
        <f>ROUND(H44*Inputs!$E$19,0)</f>
        <v>898</v>
      </c>
      <c r="J44" s="288">
        <f t="shared" si="0"/>
        <v>1.2080539140827302</v>
      </c>
      <c r="K44" s="288">
        <f t="shared" si="1"/>
        <v>1.0994089199355186</v>
      </c>
    </row>
    <row r="45" spans="1:11" ht="14" customHeight="1" x14ac:dyDescent="0.35">
      <c r="A45" s="280">
        <f t="shared" si="2"/>
        <v>2056</v>
      </c>
      <c r="B45" s="269">
        <f>ROUND(B44*(1+Inputs!$B$57),0)</f>
        <v>36753</v>
      </c>
      <c r="C45" s="269">
        <f>ROUND(B45*Inputs!$E$16,0)</f>
        <v>3308</v>
      </c>
      <c r="D45" s="245">
        <v>0.09</v>
      </c>
      <c r="E45" s="269">
        <f>ROUND(B45*(1-Inputs!$E$16),0)</f>
        <v>33445</v>
      </c>
      <c r="F45" s="269">
        <f>ROUND(F44*(1+Inputs!$B$58),0)</f>
        <v>12337</v>
      </c>
      <c r="G45" s="269">
        <f>ROUND(F45*Inputs!$E$18,0)</f>
        <v>2961</v>
      </c>
      <c r="H45" s="269">
        <f>ROUND(H44*(1+Inputs!$B$58),0)</f>
        <v>5638</v>
      </c>
      <c r="I45" s="269">
        <f>ROUND(H45*Inputs!$E$19,0)</f>
        <v>902</v>
      </c>
      <c r="J45" s="287">
        <f t="shared" si="0"/>
        <v>1.2080662656542747</v>
      </c>
      <c r="K45" s="287">
        <f t="shared" si="1"/>
        <v>1.0993584031366959</v>
      </c>
    </row>
    <row r="46" spans="1:11" ht="14" customHeight="1" x14ac:dyDescent="0.35">
      <c r="A46" s="282">
        <f t="shared" si="2"/>
        <v>2057</v>
      </c>
      <c r="B46" s="266">
        <f>ROUND(B45*(1+Inputs!$B$57),0)</f>
        <v>37121</v>
      </c>
      <c r="C46" s="266">
        <f>ROUND(B46*Inputs!$E$16,0)</f>
        <v>3341</v>
      </c>
      <c r="D46" s="245">
        <v>0.09</v>
      </c>
      <c r="E46" s="266">
        <f>ROUND(B46*(1-Inputs!$E$16),0)</f>
        <v>33780</v>
      </c>
      <c r="F46" s="266">
        <f>ROUND(F45*(1+Inputs!$B$58),0)</f>
        <v>12399</v>
      </c>
      <c r="G46" s="266">
        <f>ROUND(F46*Inputs!$E$18,0)</f>
        <v>2976</v>
      </c>
      <c r="H46" s="266">
        <f>ROUND(H45*(1+Inputs!$B$58),0)</f>
        <v>5666</v>
      </c>
      <c r="I46" s="266">
        <f>ROUND(H46*Inputs!$E$19,0)</f>
        <v>907</v>
      </c>
      <c r="J46" s="288">
        <f t="shared" si="0"/>
        <v>1.2080906043544766</v>
      </c>
      <c r="K46" s="288">
        <f t="shared" si="1"/>
        <v>1.099397056215641</v>
      </c>
    </row>
    <row r="47" spans="1:11" ht="14" customHeight="1" x14ac:dyDescent="0.35">
      <c r="A47" s="280">
        <f t="shared" si="2"/>
        <v>2058</v>
      </c>
      <c r="B47" s="269">
        <f>ROUND(B46*(1+Inputs!$B$57),0)</f>
        <v>37492</v>
      </c>
      <c r="C47" s="269">
        <f>ROUND(B47*Inputs!$E$16,0)</f>
        <v>3374</v>
      </c>
      <c r="D47" s="245">
        <v>0.09</v>
      </c>
      <c r="E47" s="269">
        <f>ROUND(B47*(1-Inputs!$E$16),0)</f>
        <v>34118</v>
      </c>
      <c r="F47" s="269">
        <f>ROUND(F46*(1+Inputs!$B$58),0)</f>
        <v>12461</v>
      </c>
      <c r="G47" s="269">
        <f>ROUND(F47*Inputs!$E$18,0)</f>
        <v>2991</v>
      </c>
      <c r="H47" s="269">
        <f>ROUND(H46*(1+Inputs!$B$58),0)</f>
        <v>5694</v>
      </c>
      <c r="I47" s="269">
        <f>ROUND(H47*Inputs!$E$19,0)</f>
        <v>911</v>
      </c>
      <c r="J47" s="287">
        <f t="shared" si="0"/>
        <v>1.2080943481343043</v>
      </c>
      <c r="K47" s="287">
        <f t="shared" si="1"/>
        <v>1.0994353273336863</v>
      </c>
    </row>
    <row r="48" spans="1:11" ht="14" customHeight="1" x14ac:dyDescent="0.35">
      <c r="A48" s="282">
        <f t="shared" si="2"/>
        <v>2059</v>
      </c>
      <c r="B48" s="266">
        <f>ROUND(B47*(1+Inputs!$B$57),0)</f>
        <v>37867</v>
      </c>
      <c r="C48" s="266">
        <f>ROUND(B48*Inputs!$E$16,0)</f>
        <v>3408</v>
      </c>
      <c r="D48" s="245">
        <v>0.09</v>
      </c>
      <c r="E48" s="266">
        <f>ROUND(B48*(1-Inputs!$E$16),0)</f>
        <v>34459</v>
      </c>
      <c r="F48" s="266">
        <f>ROUND(F47*(1+Inputs!$B$58),0)</f>
        <v>12523</v>
      </c>
      <c r="G48" s="266">
        <f>ROUND(F48*Inputs!$E$18,0)</f>
        <v>3006</v>
      </c>
      <c r="H48" s="266">
        <f>ROUND(H47*(1+Inputs!$B$58),0)</f>
        <v>5722</v>
      </c>
      <c r="I48" s="266">
        <f>ROUND(H48*Inputs!$E$19,0)</f>
        <v>916</v>
      </c>
      <c r="J48" s="288">
        <f t="shared" si="0"/>
        <v>1.2081100051046452</v>
      </c>
      <c r="K48" s="288">
        <f t="shared" si="1"/>
        <v>1.0993767009042226</v>
      </c>
    </row>
    <row r="49" spans="1:11" ht="14" customHeight="1" x14ac:dyDescent="0.35">
      <c r="A49" s="280">
        <f t="shared" si="2"/>
        <v>2060</v>
      </c>
      <c r="B49" s="269">
        <f>ROUND(B48*(1+Inputs!$B$57),0)</f>
        <v>38246</v>
      </c>
      <c r="C49" s="269">
        <f>ROUND(B49*Inputs!$E$16,0)</f>
        <v>3442</v>
      </c>
      <c r="D49" s="245">
        <v>0.09</v>
      </c>
      <c r="E49" s="269">
        <f>ROUND(B49*(1-Inputs!$E$16),0)</f>
        <v>34804</v>
      </c>
      <c r="F49" s="269">
        <f>ROUND(F48*(1+Inputs!$B$58),0)</f>
        <v>12586</v>
      </c>
      <c r="G49" s="269">
        <f>ROUND(F49*Inputs!$E$18,0)</f>
        <v>3021</v>
      </c>
      <c r="H49" s="269">
        <f>ROUND(H48*(1+Inputs!$B$58),0)</f>
        <v>5751</v>
      </c>
      <c r="I49" s="269">
        <f>ROUND(H49*Inputs!$E$19,0)</f>
        <v>920</v>
      </c>
      <c r="J49" s="287">
        <f t="shared" si="0"/>
        <v>1.2081372208358341</v>
      </c>
      <c r="K49" s="287">
        <f t="shared" si="1"/>
        <v>1.0994060097833682</v>
      </c>
    </row>
    <row r="50" spans="1:11" ht="14" customHeight="1" x14ac:dyDescent="0.35">
      <c r="A50" s="282">
        <f t="shared" si="2"/>
        <v>2061</v>
      </c>
      <c r="B50" s="266">
        <f>ROUND(B49*(1+Inputs!$B$57),0)</f>
        <v>38628</v>
      </c>
      <c r="C50" s="266">
        <f>ROUND(B50*Inputs!$E$16,0)</f>
        <v>3477</v>
      </c>
      <c r="D50" s="245">
        <v>0.09</v>
      </c>
      <c r="E50" s="266">
        <f>ROUND(B50*(1-Inputs!$E$16),0)</f>
        <v>35151</v>
      </c>
      <c r="F50" s="266">
        <f>ROUND(F49*(1+Inputs!$B$58),0)</f>
        <v>12649</v>
      </c>
      <c r="G50" s="266">
        <f>ROUND(F50*Inputs!$E$18,0)</f>
        <v>3036</v>
      </c>
      <c r="H50" s="266">
        <f>ROUND(H49*(1+Inputs!$B$58),0)</f>
        <v>5780</v>
      </c>
      <c r="I50" s="266">
        <f>ROUND(H50*Inputs!$E$19,0)</f>
        <v>925</v>
      </c>
      <c r="J50" s="288">
        <f t="shared" si="0"/>
        <v>1.2081065866016139</v>
      </c>
      <c r="K50" s="288">
        <f t="shared" si="1"/>
        <v>1.0994350282485876</v>
      </c>
    </row>
    <row r="51" spans="1:11" ht="14" customHeight="1" x14ac:dyDescent="0.35">
      <c r="A51" s="280">
        <f t="shared" si="2"/>
        <v>2062</v>
      </c>
      <c r="B51" s="269">
        <f>ROUND(B50*(1+Inputs!$B$57),0)</f>
        <v>39014</v>
      </c>
      <c r="C51" s="269">
        <f>ROUND(B51*Inputs!$E$16,0)</f>
        <v>3511</v>
      </c>
      <c r="D51" s="245">
        <v>0.09</v>
      </c>
      <c r="E51" s="269">
        <f>ROUND(B51*(1-Inputs!$E$16),0)</f>
        <v>35503</v>
      </c>
      <c r="F51" s="269">
        <f>ROUND(F50*(1+Inputs!$B$58),0)</f>
        <v>12712</v>
      </c>
      <c r="G51" s="269">
        <f>ROUND(F51*Inputs!$E$18,0)</f>
        <v>3051</v>
      </c>
      <c r="H51" s="269">
        <f>ROUND(H50*(1+Inputs!$B$58),0)</f>
        <v>5809</v>
      </c>
      <c r="I51" s="269">
        <f>ROUND(H51*Inputs!$E$19,0)</f>
        <v>929</v>
      </c>
      <c r="J51" s="287">
        <f t="shared" si="0"/>
        <v>1.2080881897566111</v>
      </c>
      <c r="K51" s="287">
        <f t="shared" si="1"/>
        <v>1.0993686759491481</v>
      </c>
    </row>
    <row r="52" spans="1:11" ht="5" customHeight="1" x14ac:dyDescent="0.35"/>
    <row r="53" spans="1:11" ht="20" customHeight="1" x14ac:dyDescent="0.35">
      <c r="B53" s="352"/>
      <c r="C53" s="348"/>
      <c r="D53" s="348"/>
      <c r="E53" s="348"/>
      <c r="F53" s="348"/>
      <c r="G53" s="348"/>
      <c r="H53" s="348"/>
      <c r="I53" s="348"/>
      <c r="J53" s="348"/>
      <c r="K53" s="348"/>
    </row>
  </sheetData>
  <mergeCells count="11">
    <mergeCell ref="B53:K53"/>
    <mergeCell ref="A1:N1"/>
    <mergeCell ref="A2:K2"/>
    <mergeCell ref="H4:K4"/>
    <mergeCell ref="H5:K5"/>
    <mergeCell ref="H6:K6"/>
    <mergeCell ref="H7:K7"/>
    <mergeCell ref="H8:K8"/>
    <mergeCell ref="H9:K9"/>
    <mergeCell ref="A11:K11"/>
    <mergeCell ref="B12:K12"/>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223E3-CA4A-450A-91B0-3ECFC3741DDC}">
  <sheetPr>
    <tabColor theme="8" tint="0.39997558519241921"/>
  </sheetPr>
  <dimension ref="A1:Q65"/>
  <sheetViews>
    <sheetView zoomScale="85" zoomScaleNormal="85" workbookViewId="0"/>
    <sheetView workbookViewId="1"/>
  </sheetViews>
  <sheetFormatPr defaultColWidth="9.1796875" defaultRowHeight="14.5" x14ac:dyDescent="0.35"/>
  <cols>
    <col min="1" max="1" width="32.54296875" style="5" customWidth="1"/>
    <col min="2" max="2" width="30.26953125" style="5" customWidth="1"/>
    <col min="3" max="3" width="23.81640625" style="5" customWidth="1"/>
    <col min="4" max="4" width="25.453125" style="5" customWidth="1"/>
    <col min="5" max="5" width="31" style="5" customWidth="1"/>
    <col min="6" max="6" width="27.81640625" style="5" customWidth="1"/>
    <col min="7" max="7" width="27.453125" style="5" customWidth="1"/>
    <col min="8" max="8" width="28.7265625" style="5" customWidth="1"/>
    <col min="9" max="9" width="30.81640625" style="5" customWidth="1"/>
    <col min="10" max="10" width="30.26953125" style="5" customWidth="1"/>
    <col min="11" max="11" width="26.453125" style="5" customWidth="1"/>
    <col min="12" max="12" width="21.1796875" style="5" customWidth="1"/>
    <col min="13" max="13" width="19.453125" style="5" customWidth="1"/>
    <col min="14" max="14" width="21" style="5" customWidth="1"/>
    <col min="15" max="15" width="19" style="5" customWidth="1"/>
    <col min="16" max="16" width="19.453125" style="5" customWidth="1"/>
    <col min="17" max="17" width="25.7265625" style="5" customWidth="1"/>
    <col min="18" max="18" width="18.1796875" style="5" customWidth="1"/>
    <col min="19" max="19" width="11" style="5" customWidth="1"/>
    <col min="20" max="20" width="19.81640625" style="5" customWidth="1"/>
    <col min="21" max="21" width="25.1796875" style="5" customWidth="1"/>
    <col min="22" max="16384" width="9.1796875" style="5"/>
  </cols>
  <sheetData>
    <row r="1" spans="1:17" ht="20" thickBot="1" x14ac:dyDescent="0.5">
      <c r="A1" s="94" t="s">
        <v>218</v>
      </c>
    </row>
    <row r="2" spans="1:17" ht="15" thickTop="1" x14ac:dyDescent="0.35">
      <c r="A2" s="144" t="s">
        <v>160</v>
      </c>
      <c r="B2" s="144"/>
      <c r="C2" s="144"/>
      <c r="D2" s="144"/>
      <c r="E2" s="144"/>
      <c r="F2" s="144"/>
      <c r="G2" s="144"/>
      <c r="H2" s="144"/>
      <c r="I2" s="144"/>
      <c r="J2" s="144"/>
    </row>
    <row r="3" spans="1:17" x14ac:dyDescent="0.35">
      <c r="A3" s="5" t="s">
        <v>203</v>
      </c>
    </row>
    <row r="4" spans="1:17" x14ac:dyDescent="0.35">
      <c r="A4" s="95" t="s">
        <v>235</v>
      </c>
    </row>
    <row r="5" spans="1:17" x14ac:dyDescent="0.35">
      <c r="A5" s="108" t="s">
        <v>4</v>
      </c>
      <c r="B5" s="111" t="s">
        <v>7</v>
      </c>
      <c r="C5" s="111" t="s">
        <v>8</v>
      </c>
      <c r="D5" s="111" t="s">
        <v>9</v>
      </c>
      <c r="E5" s="111" t="s">
        <v>10</v>
      </c>
      <c r="F5" s="111" t="s">
        <v>326</v>
      </c>
      <c r="G5" s="111"/>
      <c r="H5" s="111" t="s">
        <v>255</v>
      </c>
      <c r="I5" s="111" t="s">
        <v>12</v>
      </c>
      <c r="J5" s="111" t="s">
        <v>11</v>
      </c>
      <c r="K5" s="111" t="s">
        <v>18</v>
      </c>
      <c r="L5" s="111" t="str">
        <f>'Other Benefit 1'!B7</f>
        <v>Other Benefit 1</v>
      </c>
      <c r="M5" s="111" t="str">
        <f>'Other Benefit 2'!B7</f>
        <v>Other Benefit 2</v>
      </c>
      <c r="N5" s="111" t="str">
        <f>'Other Benefit 3'!B7</f>
        <v>Other Benefit 3</v>
      </c>
      <c r="O5" s="111" t="str">
        <f>'Other Benefit 4'!B11</f>
        <v>Other Benefit 4</v>
      </c>
      <c r="P5" s="111" t="s">
        <v>17</v>
      </c>
      <c r="Q5" s="105" t="s">
        <v>0</v>
      </c>
    </row>
    <row r="6" spans="1:17" x14ac:dyDescent="0.35">
      <c r="A6" s="6">
        <f>'Project Information'!$B$9</f>
        <v>2033</v>
      </c>
      <c r="B6" s="7">
        <f>'Operations and Maintenance'!D8</f>
        <v>-9608986.6600000001</v>
      </c>
      <c r="C6" s="7">
        <f>Safety!D22</f>
        <v>6245483</v>
      </c>
      <c r="D6" s="7">
        <f>'Travel Time Savings'!D20</f>
        <v>6699227.7234235806</v>
      </c>
      <c r="E6" s="7">
        <f>'Vehicle Operating Cost Savings'!D26</f>
        <v>65519.544187875566</v>
      </c>
      <c r="F6" s="21">
        <f>'Emissions Reduction'!S33</f>
        <v>0</v>
      </c>
      <c r="G6" s="21"/>
      <c r="H6" s="21">
        <f>'Other Highway Use Externalities'!B20</f>
        <v>0</v>
      </c>
      <c r="I6" s="7">
        <f>'Amenity Benefits'!B11</f>
        <v>0</v>
      </c>
      <c r="J6" s="7">
        <f>'Health Benefits'!B15</f>
        <v>0</v>
      </c>
      <c r="K6" s="7">
        <f>'Residual Value'!B23</f>
        <v>0</v>
      </c>
      <c r="L6" s="7">
        <f>'Other Benefit 1'!B8</f>
        <v>0</v>
      </c>
      <c r="M6" s="7">
        <f>'Other Benefit 2'!B8</f>
        <v>0</v>
      </c>
      <c r="N6" s="7">
        <f>'Other Benefit 3'!B8</f>
        <v>0</v>
      </c>
      <c r="O6" s="7">
        <f>'Other Benefit 4'!B12</f>
        <v>0</v>
      </c>
      <c r="P6" s="149">
        <f>SUM(C6:O6)-B6</f>
        <v>22619216.927611455</v>
      </c>
      <c r="Q6" s="8">
        <f>IFERROR(((P6)/(1.07)^(A6-Overview!$B$22)),0)</f>
        <v>12303355.317758413</v>
      </c>
    </row>
    <row r="7" spans="1:17" x14ac:dyDescent="0.35">
      <c r="A7" s="1">
        <f>IF(A6&lt;'Project Information'!B$11,A6+1,"")</f>
        <v>2034</v>
      </c>
      <c r="B7" s="7">
        <f>'Operations and Maintenance'!D9</f>
        <v>-9608986.6600000001</v>
      </c>
      <c r="C7" s="7">
        <f>Safety!D23</f>
        <v>6307937.8300000001</v>
      </c>
      <c r="D7" s="7">
        <f>'Travel Time Savings'!D21</f>
        <v>6764407.0888904762</v>
      </c>
      <c r="E7" s="7">
        <f>'Vehicle Operating Cost Savings'!D27</f>
        <v>65847.007849653339</v>
      </c>
      <c r="F7" s="21">
        <f>'Emissions Reduction'!S34</f>
        <v>0</v>
      </c>
      <c r="G7" s="21"/>
      <c r="H7" s="21">
        <f>'Other Highway Use Externalities'!B21</f>
        <v>0</v>
      </c>
      <c r="I7" s="7">
        <f>'Amenity Benefits'!B12</f>
        <v>0</v>
      </c>
      <c r="J7" s="7">
        <f>'Health Benefits'!B16</f>
        <v>0</v>
      </c>
      <c r="K7" s="7">
        <f>'Residual Value'!B24</f>
        <v>0</v>
      </c>
      <c r="L7" s="7">
        <f>'Other Benefit 1'!B9</f>
        <v>0</v>
      </c>
      <c r="M7" s="7">
        <f>'Other Benefit 2'!B9</f>
        <v>0</v>
      </c>
      <c r="N7" s="7">
        <f>'Other Benefit 3'!B9</f>
        <v>0</v>
      </c>
      <c r="O7" s="7">
        <f>'Other Benefit 4'!B13</f>
        <v>0</v>
      </c>
      <c r="P7" s="149">
        <f t="shared" ref="P7:P35" si="0">SUM(C7:O7)-B7</f>
        <v>22747178.586740129</v>
      </c>
      <c r="Q7" s="8">
        <f>IFERROR(((P7)/(1.07)^(A7-Overview!$B$22)),0)</f>
        <v>11563512.132631354</v>
      </c>
    </row>
    <row r="8" spans="1:17" x14ac:dyDescent="0.35">
      <c r="A8" s="1">
        <f>IF(A7&lt;'Project Information'!B$11,A7+1,"")</f>
        <v>2035</v>
      </c>
      <c r="B8" s="7">
        <f>'Operations and Maintenance'!D10</f>
        <v>-9608986.6600000001</v>
      </c>
      <c r="C8" s="7">
        <f>Safety!D24</f>
        <v>6371017.2083000001</v>
      </c>
      <c r="D8" s="7">
        <f>'Travel Time Savings'!D22</f>
        <v>6830238.3301533731</v>
      </c>
      <c r="E8" s="7">
        <f>'Vehicle Operating Cost Savings'!D28</f>
        <v>66174.471511431126</v>
      </c>
      <c r="F8" s="21">
        <f>'Emissions Reduction'!S35</f>
        <v>0</v>
      </c>
      <c r="G8" s="21"/>
      <c r="H8" s="21">
        <f>'Other Highway Use Externalities'!B22</f>
        <v>0</v>
      </c>
      <c r="I8" s="7">
        <f>'Amenity Benefits'!B13</f>
        <v>0</v>
      </c>
      <c r="J8" s="7">
        <f>'Health Benefits'!B17</f>
        <v>0</v>
      </c>
      <c r="K8" s="7">
        <f>'Residual Value'!B25</f>
        <v>0</v>
      </c>
      <c r="L8" s="7">
        <f>'Other Benefit 1'!B10</f>
        <v>0</v>
      </c>
      <c r="M8" s="7">
        <f>'Other Benefit 2'!B10</f>
        <v>0</v>
      </c>
      <c r="N8" s="7">
        <f>'Other Benefit 3'!B10</f>
        <v>0</v>
      </c>
      <c r="O8" s="7">
        <f>'Other Benefit 4'!B14</f>
        <v>0</v>
      </c>
      <c r="P8" s="149">
        <f t="shared" si="0"/>
        <v>22876416.669964805</v>
      </c>
      <c r="Q8" s="8">
        <f>IFERROR(((P8)/(1.07)^(A8-Overview!$B$22)),0)</f>
        <v>10868420.767061183</v>
      </c>
    </row>
    <row r="9" spans="1:17" x14ac:dyDescent="0.35">
      <c r="A9" s="1">
        <f>IF(A8&lt;'Project Information'!B$11,A8+1,"")</f>
        <v>2036</v>
      </c>
      <c r="B9" s="7">
        <f>'Operations and Maintenance'!D11</f>
        <v>-9608986.6600000001</v>
      </c>
      <c r="C9" s="7">
        <f>Safety!D25</f>
        <v>6434727.3803829998</v>
      </c>
      <c r="D9" s="7">
        <f>'Travel Time Savings'!D23</f>
        <v>6896748.8763043303</v>
      </c>
      <c r="E9" s="7">
        <f>'Vehicle Operating Cost Savings'!D29</f>
        <v>66507.437680319999</v>
      </c>
      <c r="F9" s="21">
        <f>'Emissions Reduction'!S36</f>
        <v>0</v>
      </c>
      <c r="G9" s="21"/>
      <c r="H9" s="21">
        <f>'Other Highway Use Externalities'!B23</f>
        <v>0</v>
      </c>
      <c r="I9" s="7">
        <f>'Amenity Benefits'!B14</f>
        <v>0</v>
      </c>
      <c r="J9" s="7">
        <f>'Health Benefits'!B18</f>
        <v>0</v>
      </c>
      <c r="K9" s="7">
        <f>'Residual Value'!B26</f>
        <v>0</v>
      </c>
      <c r="L9" s="7">
        <f>'Other Benefit 1'!B11</f>
        <v>0</v>
      </c>
      <c r="M9" s="7">
        <f>'Other Benefit 2'!B11</f>
        <v>0</v>
      </c>
      <c r="N9" s="7">
        <f>'Other Benefit 3'!B11</f>
        <v>0</v>
      </c>
      <c r="O9" s="7">
        <f>'Other Benefit 4'!B15</f>
        <v>0</v>
      </c>
      <c r="P9" s="149">
        <f t="shared" si="0"/>
        <v>23006970.354367651</v>
      </c>
      <c r="Q9" s="8">
        <f>IFERROR(((P9)/(1.07)^(A9-Overview!$B$22)),0)</f>
        <v>10215369.983236294</v>
      </c>
    </row>
    <row r="10" spans="1:17" x14ac:dyDescent="0.35">
      <c r="A10" s="1">
        <f>IF(A9&lt;'Project Information'!B$11,A9+1,"")</f>
        <v>2037</v>
      </c>
      <c r="B10" s="7">
        <f>'Operations and Maintenance'!D12</f>
        <v>-9608986.6600000001</v>
      </c>
      <c r="C10" s="7">
        <f>Safety!D26</f>
        <v>6499074.6541868299</v>
      </c>
      <c r="D10" s="7">
        <f>'Travel Time Savings'!D24</f>
        <v>6963920.1591016687</v>
      </c>
      <c r="E10" s="7">
        <f>'Vehicle Operating Cost Savings'!D30</f>
        <v>66841.396880035565</v>
      </c>
      <c r="F10" s="21">
        <f>'Emissions Reduction'!S37</f>
        <v>0</v>
      </c>
      <c r="G10" s="21"/>
      <c r="H10" s="21">
        <f>'Other Highway Use Externalities'!B24</f>
        <v>0</v>
      </c>
      <c r="I10" s="7">
        <f>'Amenity Benefits'!B15</f>
        <v>0</v>
      </c>
      <c r="J10" s="7">
        <f>'Health Benefits'!B19</f>
        <v>0</v>
      </c>
      <c r="K10" s="7">
        <f>'Residual Value'!B27</f>
        <v>0</v>
      </c>
      <c r="L10" s="7">
        <f>'Other Benefit 1'!B12</f>
        <v>0</v>
      </c>
      <c r="M10" s="7">
        <f>'Other Benefit 2'!B12</f>
        <v>0</v>
      </c>
      <c r="N10" s="7">
        <f>'Other Benefit 3'!B12</f>
        <v>0</v>
      </c>
      <c r="O10" s="7">
        <f>'Other Benefit 4'!B16</f>
        <v>0</v>
      </c>
      <c r="P10" s="149">
        <f t="shared" si="0"/>
        <v>23138822.870168537</v>
      </c>
      <c r="Q10" s="8">
        <f>IFERROR(((P10)/(1.07)^(A10-Overview!$B$22)),0)</f>
        <v>9601788.8571101539</v>
      </c>
    </row>
    <row r="11" spans="1:17" x14ac:dyDescent="0.35">
      <c r="A11" s="1">
        <f>IF(A10&lt;'Project Information'!B$11,A10+1,"")</f>
        <v>2038</v>
      </c>
      <c r="B11" s="7">
        <f>'Operations and Maintenance'!D13</f>
        <v>-9608986.6600000001</v>
      </c>
      <c r="C11" s="7">
        <f>Safety!D27</f>
        <v>6564065.4007286979</v>
      </c>
      <c r="D11" s="7">
        <f>'Travel Time Savings'!D25</f>
        <v>7031743.3176950086</v>
      </c>
      <c r="E11" s="7">
        <f>'Vehicle Operating Cost Savings'!D31</f>
        <v>67175.356079751116</v>
      </c>
      <c r="F11" s="21">
        <f>'Emissions Reduction'!S38</f>
        <v>0</v>
      </c>
      <c r="G11" s="21"/>
      <c r="H11" s="21">
        <f>'Other Highway Use Externalities'!B25</f>
        <v>0</v>
      </c>
      <c r="I11" s="7">
        <f>'Amenity Benefits'!B16</f>
        <v>0</v>
      </c>
      <c r="J11" s="7">
        <f>'Health Benefits'!B20</f>
        <v>0</v>
      </c>
      <c r="K11" s="7">
        <f>'Residual Value'!B28</f>
        <v>0</v>
      </c>
      <c r="L11" s="7">
        <f>'Other Benefit 1'!B13</f>
        <v>0</v>
      </c>
      <c r="M11" s="7">
        <f>'Other Benefit 2'!B13</f>
        <v>0</v>
      </c>
      <c r="N11" s="7">
        <f>'Other Benefit 3'!B13</f>
        <v>0</v>
      </c>
      <c r="O11" s="7">
        <f>'Other Benefit 4'!B17</f>
        <v>0</v>
      </c>
      <c r="P11" s="149">
        <f t="shared" si="0"/>
        <v>23271970.734503455</v>
      </c>
      <c r="Q11" s="8">
        <f>IFERROR(((P11)/(1.07)^(A11-Overview!$B$22)),0)</f>
        <v>9025271.4832910579</v>
      </c>
    </row>
    <row r="12" spans="1:17" x14ac:dyDescent="0.35">
      <c r="A12" s="1">
        <f>IF(A11&lt;'Project Information'!B$11,A11+1,"")</f>
        <v>2039</v>
      </c>
      <c r="B12" s="7">
        <f>'Operations and Maintenance'!D14</f>
        <v>-9608986.6600000001</v>
      </c>
      <c r="C12" s="7">
        <f>Safety!D28</f>
        <v>6629706.0547359847</v>
      </c>
      <c r="D12" s="7">
        <f>'Travel Time Savings'!D26</f>
        <v>7100218.352084347</v>
      </c>
      <c r="E12" s="7">
        <f>'Vehicle Operating Cost Savings'!D32</f>
        <v>67509.315279466682</v>
      </c>
      <c r="F12" s="21">
        <f>'Emissions Reduction'!S39</f>
        <v>0</v>
      </c>
      <c r="G12" s="21"/>
      <c r="H12" s="21">
        <f>'Other Highway Use Externalities'!B26</f>
        <v>0</v>
      </c>
      <c r="I12" s="7">
        <f>'Amenity Benefits'!B17</f>
        <v>0</v>
      </c>
      <c r="J12" s="7">
        <f>'Health Benefits'!B21</f>
        <v>0</v>
      </c>
      <c r="K12" s="7">
        <f>'Residual Value'!B29</f>
        <v>0</v>
      </c>
      <c r="L12" s="7">
        <f>'Other Benefit 1'!B14</f>
        <v>0</v>
      </c>
      <c r="M12" s="7">
        <f>'Other Benefit 2'!B14</f>
        <v>0</v>
      </c>
      <c r="N12" s="7">
        <f>'Other Benefit 3'!B14</f>
        <v>0</v>
      </c>
      <c r="O12" s="7">
        <f>'Other Benefit 4'!B18</f>
        <v>0</v>
      </c>
      <c r="P12" s="149">
        <f t="shared" si="0"/>
        <v>23406420.3820998</v>
      </c>
      <c r="Q12" s="8">
        <f>IFERROR(((P12)/(1.07)^(A12-Overview!$B$22)),0)</f>
        <v>8483563.9015678726</v>
      </c>
    </row>
    <row r="13" spans="1:17" x14ac:dyDescent="0.35">
      <c r="A13" s="1">
        <f>IF(A12&lt;'Project Information'!B$11,A12+1,"")</f>
        <v>2040</v>
      </c>
      <c r="B13" s="7">
        <f>'Operations and Maintenance'!D15</f>
        <v>-9608986.6600000001</v>
      </c>
      <c r="C13" s="7">
        <f>Safety!D29</f>
        <v>6696003.1152833449</v>
      </c>
      <c r="D13" s="7">
        <f>'Travel Time Savings'!D27</f>
        <v>7169372.6913617477</v>
      </c>
      <c r="E13" s="7">
        <f>'Vehicle Operating Cost Savings'!D33</f>
        <v>67848.776986293335</v>
      </c>
      <c r="F13" s="21">
        <f>'Emissions Reduction'!S40</f>
        <v>0</v>
      </c>
      <c r="G13" s="21"/>
      <c r="H13" s="21">
        <f>'Other Highway Use Externalities'!B27</f>
        <v>0</v>
      </c>
      <c r="I13" s="7">
        <f>'Amenity Benefits'!B18</f>
        <v>0</v>
      </c>
      <c r="J13" s="7">
        <f>'Health Benefits'!B22</f>
        <v>0</v>
      </c>
      <c r="K13" s="7">
        <f>'Residual Value'!B30</f>
        <v>0</v>
      </c>
      <c r="L13" s="7">
        <f>'Other Benefit 1'!B15</f>
        <v>0</v>
      </c>
      <c r="M13" s="7">
        <f>'Other Benefit 2'!B15</f>
        <v>0</v>
      </c>
      <c r="N13" s="7">
        <f>'Other Benefit 3'!B15</f>
        <v>0</v>
      </c>
      <c r="O13" s="7">
        <f>'Other Benefit 4'!B19</f>
        <v>0</v>
      </c>
      <c r="P13" s="149">
        <f>SUM(C13:O13)-B13</f>
        <v>23542211.243631385</v>
      </c>
      <c r="Q13" s="8">
        <f>IFERROR(((P13)/(1.07)^(A13-Overview!$B$22)),0)</f>
        <v>7974561.4568540212</v>
      </c>
    </row>
    <row r="14" spans="1:17" x14ac:dyDescent="0.35">
      <c r="A14" s="1">
        <f>IF(A13&lt;'Project Information'!B$11,A13+1,"")</f>
        <v>2041</v>
      </c>
      <c r="B14" s="7">
        <f>'Operations and Maintenance'!D16</f>
        <v>-9608986.6600000001</v>
      </c>
      <c r="C14" s="7">
        <f>Safety!D30</f>
        <v>6762963.1464361781</v>
      </c>
      <c r="D14" s="7">
        <f>'Travel Time Savings'!D28</f>
        <v>7239178.9064351488</v>
      </c>
      <c r="E14" s="7">
        <f>'Vehicle Operating Cost Savings'!D34</f>
        <v>68188.238693120016</v>
      </c>
      <c r="F14" s="21">
        <f>'Emissions Reduction'!S41</f>
        <v>0</v>
      </c>
      <c r="G14" s="21"/>
      <c r="H14" s="21">
        <f>'Other Highway Use Externalities'!B28</f>
        <v>0</v>
      </c>
      <c r="I14" s="7">
        <f>'Amenity Benefits'!B19</f>
        <v>0</v>
      </c>
      <c r="J14" s="7">
        <f>'Health Benefits'!B23</f>
        <v>0</v>
      </c>
      <c r="K14" s="7">
        <f>'Residual Value'!B31</f>
        <v>0</v>
      </c>
      <c r="L14" s="7">
        <f>'Other Benefit 1'!B16</f>
        <v>0</v>
      </c>
      <c r="M14" s="7">
        <f>'Other Benefit 2'!B16</f>
        <v>0</v>
      </c>
      <c r="N14" s="7">
        <f>'Other Benefit 3'!B16</f>
        <v>0</v>
      </c>
      <c r="O14" s="7">
        <f>'Other Benefit 4'!B20</f>
        <v>0</v>
      </c>
      <c r="P14" s="149">
        <f t="shared" si="0"/>
        <v>23679316.951564446</v>
      </c>
      <c r="Q14" s="8">
        <f>IFERROR(((P14)/(1.07)^(A14-Overview!$B$22)),0)</f>
        <v>7496265.3305479856</v>
      </c>
    </row>
    <row r="15" spans="1:17" x14ac:dyDescent="0.35">
      <c r="A15" s="1">
        <f>IF(A14&lt;'Project Information'!B$11,A14+1,"")</f>
        <v>2042</v>
      </c>
      <c r="B15" s="7">
        <f>'Operations and Maintenance'!D17</f>
        <v>-9608986.6600000001</v>
      </c>
      <c r="C15" s="7">
        <f>Safety!D31</f>
        <v>6830592.7779005403</v>
      </c>
      <c r="D15" s="7">
        <f>'Travel Time Savings'!D29</f>
        <v>7309854.2892365474</v>
      </c>
      <c r="E15" s="7">
        <f>'Vehicle Operating Cost Savings'!D35</f>
        <v>68527.700399946669</v>
      </c>
      <c r="F15" s="21">
        <f>'Emissions Reduction'!S42</f>
        <v>0</v>
      </c>
      <c r="G15" s="21"/>
      <c r="H15" s="21">
        <f>'Other Highway Use Externalities'!B29</f>
        <v>0</v>
      </c>
      <c r="I15" s="7">
        <f>'Amenity Benefits'!B20</f>
        <v>0</v>
      </c>
      <c r="J15" s="7">
        <f>'Health Benefits'!B24</f>
        <v>0</v>
      </c>
      <c r="K15" s="7">
        <f>'Residual Value'!B32</f>
        <v>0</v>
      </c>
      <c r="L15" s="7">
        <f>'Other Benefit 1'!B17</f>
        <v>0</v>
      </c>
      <c r="M15" s="7">
        <f>'Other Benefit 2'!B17</f>
        <v>0</v>
      </c>
      <c r="N15" s="7">
        <f>'Other Benefit 3'!B17</f>
        <v>0</v>
      </c>
      <c r="O15" s="7">
        <f>'Other Benefit 4'!B21</f>
        <v>0</v>
      </c>
      <c r="P15" s="149">
        <f t="shared" si="0"/>
        <v>23817961.427537035</v>
      </c>
      <c r="Q15" s="8">
        <f>IFERROR(((P15)/(1.07)^(A15-Overview!$B$22)),0)</f>
        <v>7046875.3467478724</v>
      </c>
    </row>
    <row r="16" spans="1:17" x14ac:dyDescent="0.35">
      <c r="A16" s="1">
        <f>IF(A15&lt;'Project Information'!B$11,A15+1,"")</f>
        <v>2043</v>
      </c>
      <c r="B16" s="7">
        <f>'Operations and Maintenance'!D18</f>
        <v>-9608986.6600000001</v>
      </c>
      <c r="C16" s="7">
        <f>Safety!D32</f>
        <v>6898898.7056795461</v>
      </c>
      <c r="D16" s="7">
        <f>'Travel Time Savings'!D30</f>
        <v>7381208.9769260082</v>
      </c>
      <c r="E16" s="7">
        <f>'Vehicle Operating Cost Savings'!D36</f>
        <v>68872.664613884452</v>
      </c>
      <c r="F16" s="21">
        <f>'Emissions Reduction'!S43</f>
        <v>0</v>
      </c>
      <c r="G16" s="21"/>
      <c r="H16" s="21">
        <f>'Other Highway Use Externalities'!B30</f>
        <v>0</v>
      </c>
      <c r="I16" s="7">
        <f>'Amenity Benefits'!B21</f>
        <v>0</v>
      </c>
      <c r="J16" s="7">
        <f>'Health Benefits'!B25</f>
        <v>0</v>
      </c>
      <c r="K16" s="7">
        <f>'Residual Value'!B33</f>
        <v>0</v>
      </c>
      <c r="L16" s="7">
        <f>'Other Benefit 1'!B18</f>
        <v>0</v>
      </c>
      <c r="M16" s="7">
        <f>'Other Benefit 2'!B18</f>
        <v>0</v>
      </c>
      <c r="N16" s="7">
        <f>'Other Benefit 3'!B18</f>
        <v>0</v>
      </c>
      <c r="O16" s="7">
        <f>'Other Benefit 4'!B22</f>
        <v>0</v>
      </c>
      <c r="P16" s="149">
        <f t="shared" si="0"/>
        <v>23957967.007219438</v>
      </c>
      <c r="Q16" s="8">
        <f>IFERROR(((P16)/(1.07)^(A16-Overview!$B$22)),0)</f>
        <v>6624577.5194949377</v>
      </c>
    </row>
    <row r="17" spans="1:17" x14ac:dyDescent="0.35">
      <c r="A17" s="1">
        <f>IF(A16&lt;'Project Information'!B$11,A16+1,"")</f>
        <v>2044</v>
      </c>
      <c r="B17" s="7">
        <f>'Operations and Maintenance'!D19</f>
        <v>-9608986.6600000001</v>
      </c>
      <c r="C17" s="7">
        <f>Safety!D33</f>
        <v>6967887.6927363416</v>
      </c>
      <c r="D17" s="7">
        <f>'Travel Time Savings'!D31</f>
        <v>7453215.5404114695</v>
      </c>
      <c r="E17" s="7">
        <f>'Vehicle Operating Cost Savings'!D37</f>
        <v>69217.628827822235</v>
      </c>
      <c r="F17" s="21">
        <f>'Emissions Reduction'!S44</f>
        <v>0</v>
      </c>
      <c r="G17" s="21"/>
      <c r="H17" s="21">
        <f>'Other Highway Use Externalities'!B31</f>
        <v>0</v>
      </c>
      <c r="I17" s="7">
        <f>'Amenity Benefits'!B22</f>
        <v>0</v>
      </c>
      <c r="J17" s="7">
        <f>'Health Benefits'!B26</f>
        <v>0</v>
      </c>
      <c r="K17" s="7">
        <f>'Residual Value'!B34</f>
        <v>0</v>
      </c>
      <c r="L17" s="7">
        <f>'Other Benefit 1'!B19</f>
        <v>0</v>
      </c>
      <c r="M17" s="7">
        <f>'Other Benefit 2'!B19</f>
        <v>0</v>
      </c>
      <c r="N17" s="7">
        <f>'Other Benefit 3'!B19</f>
        <v>0</v>
      </c>
      <c r="O17" s="7">
        <f>'Other Benefit 4'!B23</f>
        <v>0</v>
      </c>
      <c r="P17" s="149">
        <f t="shared" si="0"/>
        <v>24099307.521975633</v>
      </c>
      <c r="Q17" s="8">
        <f>IFERROR(((P17)/(1.07)^(A17-Overview!$B$22)),0)</f>
        <v>6227719.0183337079</v>
      </c>
    </row>
    <row r="18" spans="1:17" x14ac:dyDescent="0.35">
      <c r="A18" s="1">
        <f>IF(A17&lt;'Project Information'!B$11,A17+1,"")</f>
        <v>2045</v>
      </c>
      <c r="B18" s="7">
        <f>'Operations and Maintenance'!D20</f>
        <v>-9608986.6600000001</v>
      </c>
      <c r="C18" s="7">
        <f>Safety!D34</f>
        <v>7037566.5696637053</v>
      </c>
      <c r="D18" s="7">
        <f>'Travel Time Savings'!D32</f>
        <v>7525882.8405433111</v>
      </c>
      <c r="E18" s="7">
        <f>'Vehicle Operating Cost Savings'!D38</f>
        <v>69563.586072586681</v>
      </c>
      <c r="F18" s="21">
        <f>'Emissions Reduction'!S45</f>
        <v>0</v>
      </c>
      <c r="G18" s="21"/>
      <c r="H18" s="21">
        <f>'Other Highway Use Externalities'!B32</f>
        <v>0</v>
      </c>
      <c r="I18" s="7">
        <f>'Amenity Benefits'!B23</f>
        <v>0</v>
      </c>
      <c r="J18" s="7">
        <f>'Health Benefits'!B27</f>
        <v>0</v>
      </c>
      <c r="K18" s="7">
        <f>'Residual Value'!B35</f>
        <v>0</v>
      </c>
      <c r="L18" s="7">
        <f>'Other Benefit 1'!B20</f>
        <v>0</v>
      </c>
      <c r="M18" s="7">
        <f>'Other Benefit 2'!B20</f>
        <v>0</v>
      </c>
      <c r="N18" s="7">
        <f>'Other Benefit 3'!B20</f>
        <v>0</v>
      </c>
      <c r="O18" s="7">
        <f>'Other Benefit 4'!B24</f>
        <v>0</v>
      </c>
      <c r="P18" s="149">
        <f t="shared" si="0"/>
        <v>24241999.656279601</v>
      </c>
      <c r="Q18" s="8">
        <f>IFERROR(((P18)/(1.07)^(A18-Overview!$B$22)),0)</f>
        <v>5854760.1657849737</v>
      </c>
    </row>
    <row r="19" spans="1:17" x14ac:dyDescent="0.35">
      <c r="A19" s="1">
        <f>IF(A18&lt;'Project Information'!B$11,A18+1,"")</f>
        <v>2046</v>
      </c>
      <c r="B19" s="7">
        <f>'Operations and Maintenance'!D21</f>
        <v>-9608986.6600000001</v>
      </c>
      <c r="C19" s="7">
        <f>Safety!D35</f>
        <v>7107942.2353603421</v>
      </c>
      <c r="D19" s="7">
        <f>'Travel Time Savings'!D33</f>
        <v>7599202.0164711559</v>
      </c>
      <c r="E19" s="7">
        <f>'Vehicle Operating Cost Savings'!D39</f>
        <v>69909.543317351126</v>
      </c>
      <c r="F19" s="21">
        <f>'Emissions Reduction'!S46</f>
        <v>0</v>
      </c>
      <c r="G19" s="21"/>
      <c r="H19" s="21">
        <f>'Other Highway Use Externalities'!B33</f>
        <v>0</v>
      </c>
      <c r="I19" s="7">
        <f>'Amenity Benefits'!B24</f>
        <v>0</v>
      </c>
      <c r="J19" s="7">
        <f>'Health Benefits'!B28</f>
        <v>0</v>
      </c>
      <c r="K19" s="7">
        <f>'Residual Value'!B36</f>
        <v>0</v>
      </c>
      <c r="L19" s="7">
        <f>'Other Benefit 1'!B21</f>
        <v>0</v>
      </c>
      <c r="M19" s="7">
        <f>'Other Benefit 2'!B21</f>
        <v>0</v>
      </c>
      <c r="N19" s="7">
        <f>'Other Benefit 3'!B21</f>
        <v>0</v>
      </c>
      <c r="O19" s="7">
        <f>'Other Benefit 4'!B25</f>
        <v>0</v>
      </c>
      <c r="P19" s="149">
        <f t="shared" si="0"/>
        <v>24386040.45514885</v>
      </c>
      <c r="Q19" s="8">
        <f>IFERROR(((P19)/(1.07)^(A19-Overview!$B$22)),0)</f>
        <v>5504250.3773239814</v>
      </c>
    </row>
    <row r="20" spans="1:17" x14ac:dyDescent="0.35">
      <c r="A20" s="1">
        <f>IF(A19&lt;'Project Information'!B$11,A19+1,"")</f>
        <v>2047</v>
      </c>
      <c r="B20" s="7">
        <f>'Operations and Maintenance'!D22</f>
        <v>-9608986.6600000001</v>
      </c>
      <c r="C20" s="7">
        <f>Safety!D36</f>
        <v>7179021.657713946</v>
      </c>
      <c r="D20" s="7">
        <f>'Travel Time Savings'!D34</f>
        <v>7673417.7892190591</v>
      </c>
      <c r="E20" s="7">
        <f>'Vehicle Operating Cost Savings'!D40</f>
        <v>70261.003069226674</v>
      </c>
      <c r="F20" s="21">
        <f>'Emissions Reduction'!S47</f>
        <v>0</v>
      </c>
      <c r="G20" s="21"/>
      <c r="H20" s="21">
        <f>'Other Highway Use Externalities'!B34</f>
        <v>0</v>
      </c>
      <c r="I20" s="7">
        <f>'Amenity Benefits'!B25</f>
        <v>0</v>
      </c>
      <c r="J20" s="7">
        <f>'Health Benefits'!B29</f>
        <v>0</v>
      </c>
      <c r="K20" s="7">
        <f>'Residual Value'!B37</f>
        <v>0</v>
      </c>
      <c r="L20" s="7">
        <f>'Other Benefit 1'!B22</f>
        <v>0</v>
      </c>
      <c r="M20" s="7">
        <f>'Other Benefit 2'!B22</f>
        <v>0</v>
      </c>
      <c r="N20" s="7">
        <f>'Other Benefit 3'!B22</f>
        <v>0</v>
      </c>
      <c r="O20" s="7">
        <f>'Other Benefit 4'!B26</f>
        <v>0</v>
      </c>
      <c r="P20" s="149">
        <f t="shared" si="0"/>
        <v>24531687.110002235</v>
      </c>
      <c r="Q20" s="8">
        <f>IFERROR(((P20)/(1.07)^(A20-Overview!$B$22)),0)</f>
        <v>5174882.9390548849</v>
      </c>
    </row>
    <row r="21" spans="1:17" x14ac:dyDescent="0.35">
      <c r="A21" s="1">
        <f>IF(A20&lt;'Project Information'!B$11,A20+1,"")</f>
        <v>2048</v>
      </c>
      <c r="B21" s="7">
        <f>'Operations and Maintenance'!D23</f>
        <v>-9608986.6600000001</v>
      </c>
      <c r="C21" s="7">
        <f>Safety!D37</f>
        <v>7250811.8742910856</v>
      </c>
      <c r="D21" s="7">
        <f>'Travel Time Savings'!D35</f>
        <v>7748285.4377629627</v>
      </c>
      <c r="E21" s="7">
        <f>'Vehicle Operating Cost Savings'!D41</f>
        <v>70612.462821102235</v>
      </c>
      <c r="F21" s="21">
        <f>'Emissions Reduction'!S48</f>
        <v>0</v>
      </c>
      <c r="G21" s="21"/>
      <c r="H21" s="21">
        <f>'Other Highway Use Externalities'!B35</f>
        <v>0</v>
      </c>
      <c r="I21" s="7">
        <f>'Amenity Benefits'!B26</f>
        <v>0</v>
      </c>
      <c r="J21" s="7">
        <f>'Health Benefits'!B30</f>
        <v>0</v>
      </c>
      <c r="K21" s="7">
        <f>'Residual Value'!B38</f>
        <v>0</v>
      </c>
      <c r="L21" s="7">
        <f>'Other Benefit 1'!B23</f>
        <v>0</v>
      </c>
      <c r="M21" s="7">
        <f>'Other Benefit 2'!B23</f>
        <v>0</v>
      </c>
      <c r="N21" s="7">
        <f>'Other Benefit 3'!B23</f>
        <v>0</v>
      </c>
      <c r="O21" s="7">
        <f>'Other Benefit 4'!B27</f>
        <v>0</v>
      </c>
      <c r="P21" s="149">
        <f t="shared" si="0"/>
        <v>24678696.434875153</v>
      </c>
      <c r="Q21" s="8">
        <f>IFERROR(((P21)/(1.07)^(A21-Overview!$B$22)),0)</f>
        <v>4865321.5868780473</v>
      </c>
    </row>
    <row r="22" spans="1:17" x14ac:dyDescent="0.35">
      <c r="A22" s="1">
        <f>IF(A21&lt;'Project Information'!B$11,A21+1,"")</f>
        <v>2049</v>
      </c>
      <c r="B22" s="7">
        <f>'Operations and Maintenance'!D24</f>
        <v>-9608986.6600000001</v>
      </c>
      <c r="C22" s="7">
        <f>Safety!D38</f>
        <v>7323319.9930339968</v>
      </c>
      <c r="D22" s="7">
        <f>'Travel Time Savings'!D36</f>
        <v>7823804.9621028658</v>
      </c>
      <c r="E22" s="7">
        <f>'Vehicle Operating Cost Savings'!D42</f>
        <v>70963.922572977783</v>
      </c>
      <c r="F22" s="21">
        <f>'Emissions Reduction'!S49</f>
        <v>0</v>
      </c>
      <c r="G22" s="21"/>
      <c r="H22" s="21">
        <f>'Other Highway Use Externalities'!B36</f>
        <v>0</v>
      </c>
      <c r="I22" s="7">
        <f>'Amenity Benefits'!B27</f>
        <v>0</v>
      </c>
      <c r="J22" s="7">
        <f>'Health Benefits'!B31</f>
        <v>0</v>
      </c>
      <c r="K22" s="7">
        <f>'Residual Value'!B39</f>
        <v>0</v>
      </c>
      <c r="L22" s="7">
        <f>'Other Benefit 1'!B24</f>
        <v>0</v>
      </c>
      <c r="M22" s="7">
        <f>'Other Benefit 2'!B24</f>
        <v>0</v>
      </c>
      <c r="N22" s="7">
        <f>'Other Benefit 3'!B24</f>
        <v>0</v>
      </c>
      <c r="O22" s="7">
        <f>'Other Benefit 4'!B28</f>
        <v>0</v>
      </c>
      <c r="P22" s="149">
        <f t="shared" si="0"/>
        <v>24827075.53770984</v>
      </c>
      <c r="Q22" s="8">
        <f>IFERROR(((P22)/(1.07)^(A22-Overview!$B$22)),0)</f>
        <v>4574368.248105552</v>
      </c>
    </row>
    <row r="23" spans="1:17" x14ac:dyDescent="0.35">
      <c r="A23" s="1">
        <f>IF(A22&lt;'Project Information'!B$11,A22+1,"")</f>
        <v>2050</v>
      </c>
      <c r="B23" s="7">
        <f>'Operations and Maintenance'!D25</f>
        <v>-9608986.6600000001</v>
      </c>
      <c r="C23" s="7">
        <f>Safety!D39</f>
        <v>7396553.1929643368</v>
      </c>
      <c r="D23" s="7">
        <f>'Travel Time Savings'!D37</f>
        <v>7900221.0832628291</v>
      </c>
      <c r="E23" s="7">
        <f>'Vehicle Operating Cost Savings'!D43</f>
        <v>71320.88483196446</v>
      </c>
      <c r="F23" s="21">
        <f>'Emissions Reduction'!S50</f>
        <v>0</v>
      </c>
      <c r="G23" s="21"/>
      <c r="H23" s="21">
        <f>'Other Highway Use Externalities'!B37</f>
        <v>0</v>
      </c>
      <c r="I23" s="7">
        <f>'Amenity Benefits'!B28</f>
        <v>0</v>
      </c>
      <c r="J23" s="7">
        <f>'Health Benefits'!B32</f>
        <v>0</v>
      </c>
      <c r="K23" s="7">
        <f>'Residual Value'!B40</f>
        <v>0</v>
      </c>
      <c r="L23" s="7">
        <f>'Other Benefit 1'!B25</f>
        <v>0</v>
      </c>
      <c r="M23" s="7">
        <f>'Other Benefit 2'!B25</f>
        <v>0</v>
      </c>
      <c r="N23" s="7">
        <f>'Other Benefit 3'!B25</f>
        <v>0</v>
      </c>
      <c r="O23" s="7">
        <f>'Other Benefit 4'!B29</f>
        <v>0</v>
      </c>
      <c r="P23" s="149">
        <f t="shared" si="0"/>
        <v>24977081.82105913</v>
      </c>
      <c r="Q23" s="8">
        <f>IFERROR(((P23)/(1.07)^(A23-Overview!$B$22)),0)</f>
        <v>4300940.918164324</v>
      </c>
    </row>
    <row r="24" spans="1:17" x14ac:dyDescent="0.35">
      <c r="A24" s="1">
        <f>IF(A23&lt;'Project Information'!B$11,A23+1,"")</f>
        <v>2051</v>
      </c>
      <c r="B24" s="7">
        <f>'Operations and Maintenance'!D26</f>
        <v>-9608986.6600000001</v>
      </c>
      <c r="C24" s="7">
        <f>Safety!D40</f>
        <v>7470518.7248939807</v>
      </c>
      <c r="D24" s="7">
        <f>'Travel Time Savings'!D38</f>
        <v>7977289.0802187948</v>
      </c>
      <c r="E24" s="7">
        <f>'Vehicle Operating Cost Savings'!D44</f>
        <v>71677.847090951109</v>
      </c>
      <c r="F24" s="21">
        <f>'Emissions Reduction'!S51</f>
        <v>0</v>
      </c>
      <c r="G24" s="21"/>
      <c r="H24" s="21">
        <f>'Other Highway Use Externalities'!B38</f>
        <v>0</v>
      </c>
      <c r="I24" s="7">
        <f>'Amenity Benefits'!B29</f>
        <v>0</v>
      </c>
      <c r="J24" s="7">
        <f>'Health Benefits'!B33</f>
        <v>0</v>
      </c>
      <c r="K24" s="7">
        <f>'Residual Value'!B41</f>
        <v>0</v>
      </c>
      <c r="L24" s="7">
        <f>'Other Benefit 1'!B26</f>
        <v>0</v>
      </c>
      <c r="M24" s="7">
        <f>'Other Benefit 2'!B26</f>
        <v>0</v>
      </c>
      <c r="N24" s="7">
        <f>'Other Benefit 3'!B26</f>
        <v>0</v>
      </c>
      <c r="O24" s="7">
        <f>'Other Benefit 4'!B30</f>
        <v>0</v>
      </c>
      <c r="P24" s="149">
        <f t="shared" si="0"/>
        <v>25128472.312203728</v>
      </c>
      <c r="Q24" s="8">
        <f>IFERROR(((P24)/(1.07)^(A24-Overview!$B$22)),0)</f>
        <v>4043934.2789011318</v>
      </c>
    </row>
    <row r="25" spans="1:17" x14ac:dyDescent="0.35">
      <c r="A25" s="1">
        <f>IF(A24&lt;'Project Information'!B$11,A24+1,"")</f>
        <v>2052</v>
      </c>
      <c r="B25" s="7">
        <f>'Operations and Maintenance'!D27</f>
        <v>-9608986.6600000001</v>
      </c>
      <c r="C25" s="7">
        <f>Safety!D41</f>
        <v>7545223.9121429203</v>
      </c>
      <c r="D25" s="7">
        <f>'Travel Time Savings'!D39</f>
        <v>8055226.2449027598</v>
      </c>
      <c r="E25" s="7">
        <f>'Vehicle Operating Cost Savings'!D45</f>
        <v>72034.809349937786</v>
      </c>
      <c r="F25" s="21">
        <f>'Emissions Reduction'!S52</f>
        <v>0</v>
      </c>
      <c r="G25" s="21"/>
      <c r="H25" s="21">
        <f>'Other Highway Use Externalities'!B39</f>
        <v>0</v>
      </c>
      <c r="I25" s="7">
        <f>'Amenity Benefits'!B30</f>
        <v>0</v>
      </c>
      <c r="J25" s="7">
        <f>'Health Benefits'!B34</f>
        <v>0</v>
      </c>
      <c r="K25" s="7">
        <f>'Residual Value'!B42</f>
        <v>0</v>
      </c>
      <c r="L25" s="7">
        <f>'Other Benefit 1'!B27</f>
        <v>0</v>
      </c>
      <c r="M25" s="7">
        <f>'Other Benefit 2'!B27</f>
        <v>0</v>
      </c>
      <c r="N25" s="7">
        <f>'Other Benefit 3'!B27</f>
        <v>0</v>
      </c>
      <c r="O25" s="7">
        <f>'Other Benefit 4'!B31</f>
        <v>0</v>
      </c>
      <c r="P25" s="149">
        <f t="shared" si="0"/>
        <v>25281471.62639562</v>
      </c>
      <c r="Q25" s="8">
        <f>IFERROR(((P25)/(1.07)^(A25-Overview!$B$22)),0)</f>
        <v>3802389.2661035</v>
      </c>
    </row>
    <row r="26" spans="1:17" x14ac:dyDescent="0.35">
      <c r="A26" s="1">
        <f>IF(A25&lt;'Project Information'!B$11,A25+1,"")</f>
        <v>2053</v>
      </c>
      <c r="B26" s="7">
        <f>'Operations and Maintenance'!D28</f>
        <v>-9608986.6600000001</v>
      </c>
      <c r="C26" s="7">
        <f>Safety!D42</f>
        <v>7620676.1512643499</v>
      </c>
      <c r="D26" s="7">
        <f>'Travel Time Savings'!D40</f>
        <v>8133824.146233106</v>
      </c>
      <c r="E26" s="7">
        <f>'Vehicle Operating Cost Savings'!D46</f>
        <v>72392.764639751127</v>
      </c>
      <c r="F26" s="21">
        <f>'Emissions Reduction'!S53</f>
        <v>0</v>
      </c>
      <c r="G26" s="21"/>
      <c r="H26" s="21">
        <f>'Other Highway Use Externalities'!B40</f>
        <v>0</v>
      </c>
      <c r="I26" s="7">
        <f>'Amenity Benefits'!B31</f>
        <v>0</v>
      </c>
      <c r="J26" s="7">
        <f>'Health Benefits'!B35</f>
        <v>0</v>
      </c>
      <c r="K26" s="7">
        <f>'Residual Value'!B43</f>
        <v>0</v>
      </c>
      <c r="L26" s="7">
        <f>'Other Benefit 1'!B28</f>
        <v>0</v>
      </c>
      <c r="M26" s="7">
        <f>'Other Benefit 2'!B28</f>
        <v>0</v>
      </c>
      <c r="N26" s="7">
        <f>'Other Benefit 3'!B28</f>
        <v>0</v>
      </c>
      <c r="O26" s="7">
        <f>'Other Benefit 4'!B32</f>
        <v>0</v>
      </c>
      <c r="P26" s="149">
        <f t="shared" si="0"/>
        <v>25435879.722137205</v>
      </c>
      <c r="Q26" s="8">
        <f>IFERROR(((P26)/(1.07)^(A26-Overview!$B$22)),0)</f>
        <v>3575338.8647852172</v>
      </c>
    </row>
    <row r="27" spans="1:17" x14ac:dyDescent="0.35">
      <c r="A27" s="1">
        <f>IF(A26&lt;'Project Information'!B$11,A26+1,"")</f>
        <v>2054</v>
      </c>
      <c r="B27" s="7">
        <f>'Operations and Maintenance'!D29</f>
        <v>-9608986.6600000001</v>
      </c>
      <c r="C27" s="7">
        <f>Safety!D43</f>
        <v>7696882.9127769936</v>
      </c>
      <c r="D27" s="7">
        <f>'Travel Time Savings'!D41</f>
        <v>8213318.6443835143</v>
      </c>
      <c r="E27" s="7">
        <f>'Vehicle Operating Cost Savings'!D47</f>
        <v>72756.222436675554</v>
      </c>
      <c r="F27" s="21">
        <f>'Emissions Reduction'!S54</f>
        <v>0</v>
      </c>
      <c r="G27" s="21"/>
      <c r="H27" s="21">
        <f>'Other Highway Use Externalities'!B41</f>
        <v>0</v>
      </c>
      <c r="I27" s="7">
        <f>'Amenity Benefits'!B32</f>
        <v>0</v>
      </c>
      <c r="J27" s="7">
        <f>'Health Benefits'!B36</f>
        <v>0</v>
      </c>
      <c r="K27" s="7">
        <f>'Residual Value'!B44</f>
        <v>0</v>
      </c>
      <c r="L27" s="7">
        <f>'Other Benefit 1'!B29</f>
        <v>0</v>
      </c>
      <c r="M27" s="7">
        <f>'Other Benefit 2'!B29</f>
        <v>0</v>
      </c>
      <c r="N27" s="7">
        <f>'Other Benefit 3'!B29</f>
        <v>0</v>
      </c>
      <c r="O27" s="7">
        <f>'Other Benefit 4'!B33</f>
        <v>0</v>
      </c>
      <c r="P27" s="149">
        <f t="shared" si="0"/>
        <v>25591944.439597182</v>
      </c>
      <c r="Q27" s="8">
        <f>IFERROR(((P27)/(1.07)^(A27-Overview!$B$22)),0)</f>
        <v>3361939.963410316</v>
      </c>
    </row>
    <row r="28" spans="1:17" x14ac:dyDescent="0.35">
      <c r="A28" s="1">
        <f>IF(A27&lt;'Project Information'!B$11,A27+1,"")</f>
        <v>2055</v>
      </c>
      <c r="B28" s="7">
        <f>'Operations and Maintenance'!D30</f>
        <v>-9608986.6600000001</v>
      </c>
      <c r="C28" s="7">
        <f>Safety!D44</f>
        <v>7773851.7419047635</v>
      </c>
      <c r="D28" s="7">
        <f>'Travel Time Savings'!D42</f>
        <v>8293465.0183299212</v>
      </c>
      <c r="E28" s="7">
        <f>'Vehicle Operating Cost Savings'!D48</f>
        <v>73119.680233599996</v>
      </c>
      <c r="F28" s="21">
        <f>'Emissions Reduction'!S55</f>
        <v>0</v>
      </c>
      <c r="G28" s="21"/>
      <c r="H28" s="21">
        <f>'Other Highway Use Externalities'!B42</f>
        <v>0</v>
      </c>
      <c r="I28" s="7">
        <f>'Amenity Benefits'!B33</f>
        <v>0</v>
      </c>
      <c r="J28" s="7">
        <f>'Health Benefits'!B37</f>
        <v>0</v>
      </c>
      <c r="K28" s="7">
        <f>'Residual Value'!B45</f>
        <v>0</v>
      </c>
      <c r="L28" s="7">
        <f>'Other Benefit 1'!B30</f>
        <v>0</v>
      </c>
      <c r="M28" s="7">
        <f>'Other Benefit 2'!B30</f>
        <v>0</v>
      </c>
      <c r="N28" s="7">
        <f>'Other Benefit 3'!B30</f>
        <v>0</v>
      </c>
      <c r="O28" s="7">
        <f>'Other Benefit 4'!B34</f>
        <v>0</v>
      </c>
      <c r="P28" s="149">
        <f t="shared" si="0"/>
        <v>25749423.100468285</v>
      </c>
      <c r="Q28" s="8">
        <f>IFERROR(((P28)/(1.07)^(A28-Overview!$B$22)),0)</f>
        <v>3161334.0944881472</v>
      </c>
    </row>
    <row r="29" spans="1:17" x14ac:dyDescent="0.35">
      <c r="A29" s="1">
        <f>IF(A28&lt;'Project Information'!B$11,A28+1,"")</f>
        <v>2056</v>
      </c>
      <c r="B29" s="7">
        <f>'Operations and Maintenance'!D31</f>
        <v>-9608986.6600000001</v>
      </c>
      <c r="C29" s="7">
        <f>Safety!D45</f>
        <v>7851590.2593238112</v>
      </c>
      <c r="D29" s="7">
        <f>'Travel Time Savings'!D43</f>
        <v>8374480.5600043284</v>
      </c>
      <c r="E29" s="7">
        <f>'Vehicle Operating Cost Savings'!D49</f>
        <v>73483.138030524438</v>
      </c>
      <c r="F29" s="21">
        <f>'Emissions Reduction'!S56</f>
        <v>0</v>
      </c>
      <c r="G29" s="21"/>
      <c r="H29" s="21">
        <f>'Other Highway Use Externalities'!B43</f>
        <v>0</v>
      </c>
      <c r="I29" s="7">
        <f>'Amenity Benefits'!B34</f>
        <v>0</v>
      </c>
      <c r="J29" s="7">
        <f>'Health Benefits'!B38</f>
        <v>0</v>
      </c>
      <c r="K29" s="7">
        <f>'Residual Value'!B46</f>
        <v>0</v>
      </c>
      <c r="L29" s="7">
        <f>'Other Benefit 1'!B31</f>
        <v>0</v>
      </c>
      <c r="M29" s="7">
        <f>'Other Benefit 2'!B31</f>
        <v>0</v>
      </c>
      <c r="N29" s="7">
        <f>'Other Benefit 3'!B31</f>
        <v>0</v>
      </c>
      <c r="O29" s="7">
        <f>'Other Benefit 4'!B35</f>
        <v>0</v>
      </c>
      <c r="P29" s="149">
        <f t="shared" si="0"/>
        <v>25908540.617358666</v>
      </c>
      <c r="Q29" s="8">
        <f>IFERROR(((P29)/(1.07)^(A29-Overview!$B$22)),0)</f>
        <v>2972775.1686479207</v>
      </c>
    </row>
    <row r="30" spans="1:17" x14ac:dyDescent="0.35">
      <c r="A30" s="1">
        <f>IF(A29&lt;'Project Information'!B$11,A29+1,"")</f>
        <v>2057</v>
      </c>
      <c r="B30" s="7">
        <f>'Operations and Maintenance'!D32</f>
        <v>-9608986.6600000001</v>
      </c>
      <c r="C30" s="7">
        <f>Safety!D46</f>
        <v>7930106.1619170494</v>
      </c>
      <c r="D30" s="7">
        <f>'Travel Time Savings'!D44</f>
        <v>8456392.6984987967</v>
      </c>
      <c r="E30" s="7">
        <f>'Vehicle Operating Cost Savings'!D50</f>
        <v>73852.098334559996</v>
      </c>
      <c r="F30" s="21">
        <f>'Emissions Reduction'!S57</f>
        <v>0</v>
      </c>
      <c r="G30" s="21"/>
      <c r="H30" s="21">
        <f>'Other Highway Use Externalities'!B44</f>
        <v>0</v>
      </c>
      <c r="I30" s="7">
        <f>'Amenity Benefits'!B35</f>
        <v>0</v>
      </c>
      <c r="J30" s="7">
        <f>'Health Benefits'!B39</f>
        <v>0</v>
      </c>
      <c r="K30" s="7">
        <f>'Residual Value'!B47</f>
        <v>0</v>
      </c>
      <c r="L30" s="7">
        <f>'Other Benefit 1'!B32</f>
        <v>0</v>
      </c>
      <c r="M30" s="7">
        <f>'Other Benefit 2'!B32</f>
        <v>0</v>
      </c>
      <c r="N30" s="7">
        <f>'Other Benefit 3'!B32</f>
        <v>0</v>
      </c>
      <c r="O30" s="7">
        <f>'Other Benefit 4'!B36</f>
        <v>0</v>
      </c>
      <c r="P30" s="149">
        <f t="shared" si="0"/>
        <v>26069337.618750408</v>
      </c>
      <c r="Q30" s="8">
        <f>IFERROR(((P30)/(1.07)^(A30-Overview!$B$22)),0)</f>
        <v>2795537.5681547015</v>
      </c>
    </row>
    <row r="31" spans="1:17" x14ac:dyDescent="0.35">
      <c r="A31" s="1">
        <f>IF(A30&lt;'Project Information'!B$11,A30+1,"")</f>
        <v>2058</v>
      </c>
      <c r="B31" s="7">
        <f>'Operations and Maintenance'!D33</f>
        <v>-9608986.6600000001</v>
      </c>
      <c r="C31" s="7">
        <f>Safety!D47</f>
        <v>8009407.2235362204</v>
      </c>
      <c r="D31" s="7">
        <f>'Travel Time Savings'!D45</f>
        <v>8538956.7127892654</v>
      </c>
      <c r="E31" s="7">
        <f>'Vehicle Operating Cost Savings'!D51</f>
        <v>74221.058638595554</v>
      </c>
      <c r="F31" s="21">
        <f>'Emissions Reduction'!S58</f>
        <v>0</v>
      </c>
      <c r="G31" s="21"/>
      <c r="H31" s="21">
        <f>'Other Highway Use Externalities'!B45</f>
        <v>0</v>
      </c>
      <c r="I31" s="7">
        <f>'Amenity Benefits'!B36</f>
        <v>0</v>
      </c>
      <c r="J31" s="7">
        <f>'Health Benefits'!B40</f>
        <v>0</v>
      </c>
      <c r="K31" s="7">
        <f>'Residual Value'!B48</f>
        <v>0</v>
      </c>
      <c r="L31" s="7">
        <f>'Other Benefit 1'!B33</f>
        <v>0</v>
      </c>
      <c r="M31" s="7">
        <f>'Other Benefit 2'!B33</f>
        <v>0</v>
      </c>
      <c r="N31" s="7">
        <f>'Other Benefit 3'!B33</f>
        <v>0</v>
      </c>
      <c r="O31" s="7">
        <f>'Other Benefit 4'!B37</f>
        <v>0</v>
      </c>
      <c r="P31" s="149">
        <f t="shared" si="0"/>
        <v>26231571.654964082</v>
      </c>
      <c r="Q31" s="8">
        <f>IFERROR(((P31)/(1.07)^(A31-Overview!$B$22)),0)</f>
        <v>2628910.9216518621</v>
      </c>
    </row>
    <row r="32" spans="1:17" x14ac:dyDescent="0.35">
      <c r="A32" s="1">
        <f>IF(A31&lt;'Project Information'!B$11,A31+1,"")</f>
        <v>2059</v>
      </c>
      <c r="B32" s="7">
        <f>'Operations and Maintenance'!D34</f>
        <v>-9608986.6600000001</v>
      </c>
      <c r="C32" s="7">
        <f>Safety!D48</f>
        <v>8089501.295771583</v>
      </c>
      <c r="D32" s="7">
        <f>'Travel Time Savings'!D46</f>
        <v>8622389.8948077336</v>
      </c>
      <c r="E32" s="7">
        <f>'Vehicle Operating Cost Savings'!D52</f>
        <v>74590.018942631112</v>
      </c>
      <c r="F32" s="21">
        <f>'Emissions Reduction'!S59</f>
        <v>0</v>
      </c>
      <c r="G32" s="21"/>
      <c r="H32" s="21">
        <f>'Other Highway Use Externalities'!B46</f>
        <v>0</v>
      </c>
      <c r="I32" s="7">
        <f>'Amenity Benefits'!B37</f>
        <v>0</v>
      </c>
      <c r="J32" s="7">
        <f>'Health Benefits'!B41</f>
        <v>0</v>
      </c>
      <c r="K32" s="7">
        <f>'Residual Value'!B49</f>
        <v>0</v>
      </c>
      <c r="L32" s="7">
        <f>'Other Benefit 1'!B34</f>
        <v>0</v>
      </c>
      <c r="M32" s="7">
        <f>'Other Benefit 2'!B34</f>
        <v>0</v>
      </c>
      <c r="N32" s="7">
        <f>'Other Benefit 3'!B34</f>
        <v>0</v>
      </c>
      <c r="O32" s="7">
        <f>'Other Benefit 4'!B38</f>
        <v>0</v>
      </c>
      <c r="P32" s="149">
        <f t="shared" si="0"/>
        <v>26395467.869521949</v>
      </c>
      <c r="Q32" s="8">
        <f>IFERROR(((P32)/(1.07)^(A32-Overview!$B$22)),0)</f>
        <v>2472277.0961432606</v>
      </c>
    </row>
    <row r="33" spans="1:17" x14ac:dyDescent="0.35">
      <c r="A33" s="1">
        <f>IF(A32&lt;'Project Information'!B$11,A32+1,"")</f>
        <v>2060</v>
      </c>
      <c r="B33" s="7">
        <f>'Operations and Maintenance'!D35</f>
        <v>-9608986.6600000001</v>
      </c>
      <c r="C33" s="7">
        <f>Safety!D49</f>
        <v>8170396.3087292993</v>
      </c>
      <c r="D33" s="7">
        <f>'Travel Time Savings'!D47</f>
        <v>8706728.5344966445</v>
      </c>
      <c r="E33" s="7">
        <f>'Vehicle Operating Cost Savings'!D53</f>
        <v>74965.474784604463</v>
      </c>
      <c r="F33" s="21">
        <f>'Emissions Reduction'!S60</f>
        <v>0</v>
      </c>
      <c r="G33" s="21"/>
      <c r="H33" s="21">
        <f>'Other Highway Use Externalities'!B47</f>
        <v>0</v>
      </c>
      <c r="I33" s="7">
        <f>'Amenity Benefits'!B38</f>
        <v>0</v>
      </c>
      <c r="J33" s="7">
        <f>'Health Benefits'!B42</f>
        <v>0</v>
      </c>
      <c r="K33" s="7">
        <f>'Residual Value'!B50</f>
        <v>0</v>
      </c>
      <c r="L33" s="7">
        <f>'Other Benefit 1'!B35</f>
        <v>0</v>
      </c>
      <c r="M33" s="7">
        <f>'Other Benefit 2'!B35</f>
        <v>0</v>
      </c>
      <c r="N33" s="7">
        <f>'Other Benefit 3'!B35</f>
        <v>0</v>
      </c>
      <c r="O33" s="7">
        <f>'Other Benefit 4'!B39</f>
        <v>0</v>
      </c>
      <c r="P33" s="149">
        <f t="shared" si="0"/>
        <v>26561076.97801055</v>
      </c>
      <c r="Q33" s="8">
        <f>IFERROR(((P33)/(1.07)^(A33-Overview!$B$22)),0)</f>
        <v>2325036.0111817545</v>
      </c>
    </row>
    <row r="34" spans="1:17" x14ac:dyDescent="0.35">
      <c r="A34" s="1">
        <f>IF(A33&lt;'Project Information'!B$11,A33+1,"")</f>
        <v>2061</v>
      </c>
      <c r="B34" s="7">
        <f>'Operations and Maintenance'!D36</f>
        <v>-9608986.6600000001</v>
      </c>
      <c r="C34" s="7">
        <f>Safety!D50</f>
        <v>8252100.2718165927</v>
      </c>
      <c r="D34" s="7">
        <f>'Travel Time Savings'!D48</f>
        <v>8791719.049981555</v>
      </c>
      <c r="E34" s="7">
        <f>'Vehicle Operating Cost Savings'!D54</f>
        <v>75340.930626577785</v>
      </c>
      <c r="F34" s="21">
        <f>'Emissions Reduction'!S61</f>
        <v>0</v>
      </c>
      <c r="G34" s="21"/>
      <c r="H34" s="21">
        <f>'Other Highway Use Externalities'!B48</f>
        <v>0</v>
      </c>
      <c r="I34" s="7">
        <f>'Amenity Benefits'!B39</f>
        <v>0</v>
      </c>
      <c r="J34" s="7">
        <f>'Health Benefits'!B43</f>
        <v>0</v>
      </c>
      <c r="K34" s="7">
        <f>'Residual Value'!B51</f>
        <v>0</v>
      </c>
      <c r="L34" s="7">
        <f>'Other Benefit 1'!B36</f>
        <v>0</v>
      </c>
      <c r="M34" s="7">
        <f>'Other Benefit 2'!B36</f>
        <v>0</v>
      </c>
      <c r="N34" s="7">
        <f>'Other Benefit 3'!B36</f>
        <v>0</v>
      </c>
      <c r="O34" s="7">
        <f>'Other Benefit 4'!B40</f>
        <v>0</v>
      </c>
      <c r="P34" s="149">
        <f t="shared" si="0"/>
        <v>26728146.912424725</v>
      </c>
      <c r="Q34" s="8">
        <f>IFERROR(((P34)/(1.07)^(A34-Overview!$B$22)),0)</f>
        <v>2186598.6488210377</v>
      </c>
    </row>
    <row r="35" spans="1:17" x14ac:dyDescent="0.35">
      <c r="A35" s="1">
        <f>IF(A34&lt;'Project Information'!B$11,A34+1,"")</f>
        <v>2062</v>
      </c>
      <c r="B35" s="7">
        <f>'Operations and Maintenance'!D37</f>
        <v>-9608986.6600000001</v>
      </c>
      <c r="C35" s="7">
        <f>Safety!D51</f>
        <v>8334621.2745347591</v>
      </c>
      <c r="D35" s="7">
        <f>'Travel Time Savings'!D49</f>
        <v>8877578.7331944667</v>
      </c>
      <c r="E35" s="7">
        <f>'Vehicle Operating Cost Savings'!D55</f>
        <v>75716.386468551122</v>
      </c>
      <c r="F35" s="21">
        <f>'Emissions Reduction'!S62</f>
        <v>0</v>
      </c>
      <c r="G35" s="21"/>
      <c r="H35" s="21">
        <f>'Other Highway Use Externalities'!B49</f>
        <v>0</v>
      </c>
      <c r="I35" s="7">
        <f>'Amenity Benefits'!B40</f>
        <v>0</v>
      </c>
      <c r="J35" s="7">
        <f>'Health Benefits'!B44</f>
        <v>0</v>
      </c>
      <c r="K35" s="7">
        <f>'Residual Value'!B52</f>
        <v>0</v>
      </c>
      <c r="L35" s="7">
        <f>'Other Benefit 1'!B37</f>
        <v>0</v>
      </c>
      <c r="M35" s="7">
        <f>'Other Benefit 2'!B37</f>
        <v>0</v>
      </c>
      <c r="N35" s="7">
        <f>'Other Benefit 3'!B37</f>
        <v>0</v>
      </c>
      <c r="O35" s="7">
        <f>'Other Benefit 4'!B41</f>
        <v>0</v>
      </c>
      <c r="P35" s="149">
        <f t="shared" si="0"/>
        <v>26896903.054197777</v>
      </c>
      <c r="Q35" s="8">
        <f>IFERROR(((P35)/(1.07)^(A35-Overview!$B$22)),0)</f>
        <v>2056452.7034911267</v>
      </c>
    </row>
    <row r="36" spans="1:17" x14ac:dyDescent="0.35">
      <c r="A36" s="3" t="s">
        <v>315</v>
      </c>
      <c r="B36" s="162">
        <f>SUM(B6:B35)</f>
        <v>-288269599.80000001</v>
      </c>
      <c r="C36" s="162">
        <f t="shared" ref="C36:O36" si="1">SUM(C6:C35)</f>
        <v>217248448.72801018</v>
      </c>
      <c r="D36" s="162">
        <f t="shared" si="1"/>
        <v>232151517.6992268</v>
      </c>
      <c r="E36" s="162">
        <f t="shared" si="1"/>
        <v>2115011.3712517694</v>
      </c>
      <c r="F36" s="165">
        <f t="shared" si="1"/>
        <v>0</v>
      </c>
      <c r="G36" s="165"/>
      <c r="H36" s="165">
        <f t="shared" si="1"/>
        <v>0</v>
      </c>
      <c r="I36" s="162">
        <f t="shared" si="1"/>
        <v>0</v>
      </c>
      <c r="J36" s="162">
        <f t="shared" si="1"/>
        <v>0</v>
      </c>
      <c r="K36" s="162">
        <f t="shared" si="1"/>
        <v>0</v>
      </c>
      <c r="L36" s="162">
        <f t="shared" si="1"/>
        <v>0</v>
      </c>
      <c r="M36" s="162">
        <f t="shared" si="1"/>
        <v>0</v>
      </c>
      <c r="N36" s="162">
        <f t="shared" si="1"/>
        <v>0</v>
      </c>
      <c r="O36" s="162">
        <f t="shared" si="1"/>
        <v>0</v>
      </c>
      <c r="P36" s="163">
        <f>SUM(P6:P35)</f>
        <v>739784577.59848881</v>
      </c>
      <c r="Q36" s="157"/>
    </row>
    <row r="37" spans="1:17" x14ac:dyDescent="0.35">
      <c r="A37" s="25" t="s">
        <v>177</v>
      </c>
      <c r="B37" s="162">
        <f>NPV(0.07,B6:B35)/(1.07)^($A$6-Overview!$B$22-1)</f>
        <v>-69397782.728855804</v>
      </c>
      <c r="C37" s="162">
        <f>NPV(0.07,C6:C35)/(1.07)^($A$6-Overview!$B$22-1)</f>
        <v>49855277.028221734</v>
      </c>
      <c r="D37" s="162">
        <f>NPV(0.07,D6:D35)/(1.07)^($A$6-Overview!$B$22-1)</f>
        <v>53338108.185918421</v>
      </c>
      <c r="E37" s="162">
        <f>NPV(0.07,E6:E35)/(1.07)^($A$6-Overview!$B$22-1)</f>
        <v>497161.99273053929</v>
      </c>
      <c r="F37" s="37">
        <f>NPV(0.07,F6:F35)/(1.07)^($A$6-Overview!$B$22-1)</f>
        <v>0</v>
      </c>
      <c r="G37" s="37"/>
      <c r="H37" s="37">
        <f>NPV(0.07,H6:H35)/(1.07)^($A$6-Overview!$B$22-1)</f>
        <v>0</v>
      </c>
      <c r="I37" s="162">
        <f>NPV(0.07,I6:I35)/(1.07)^($A$6-Overview!$B$22-1)</f>
        <v>0</v>
      </c>
      <c r="J37" s="162">
        <f>NPV(0.07,J6:J35)/(1.07)^($A$6-Overview!$B$22-1)</f>
        <v>0</v>
      </c>
      <c r="K37" s="162">
        <f>NPV(0.07,K6:K35)/(1.07)^($A$6-Overview!$B$22-1)</f>
        <v>0</v>
      </c>
      <c r="L37" s="162">
        <f>NPV(0.07,L6:L35)/(1.07)^($A$6-Overview!$B$22-1)</f>
        <v>0</v>
      </c>
      <c r="M37" s="162">
        <f>NPV(0.07,M6:M35)/(1.07)^($A$6-Overview!$B$22-1)</f>
        <v>0</v>
      </c>
      <c r="N37" s="162">
        <f>NPV(0.07,N6:N35)/(1.07)^($A$6-Overview!$B$22-1)</f>
        <v>0</v>
      </c>
      <c r="O37" s="162">
        <f>NPV(0.07,O6:O35)/(1.07)^($A$6-Overview!$B$22-1)</f>
        <v>0</v>
      </c>
      <c r="P37" s="162">
        <f>NPV(0.07,P6:P35)/(1.07)^($A$6-Overview!$B$22-1)</f>
        <v>173088329.93572643</v>
      </c>
      <c r="Q37" s="157">
        <f>SUM(Q6:Q35)</f>
        <v>173088329.93572655</v>
      </c>
    </row>
    <row r="38" spans="1:17" x14ac:dyDescent="0.35">
      <c r="A38" s="5" t="s">
        <v>203</v>
      </c>
    </row>
    <row r="39" spans="1:17" x14ac:dyDescent="0.35">
      <c r="A39" s="95" t="s">
        <v>236</v>
      </c>
    </row>
    <row r="40" spans="1:17" x14ac:dyDescent="0.35">
      <c r="A40" s="108" t="s">
        <v>4</v>
      </c>
      <c r="B40" s="111" t="s">
        <v>5</v>
      </c>
      <c r="C40" s="106" t="s">
        <v>6</v>
      </c>
    </row>
    <row r="41" spans="1:17" x14ac:dyDescent="0.35">
      <c r="A41" s="118">
        <f>'Capital Costs'!A9</f>
        <v>2027</v>
      </c>
      <c r="B41" s="7">
        <f>'Capital Costs'!C9</f>
        <v>11960000</v>
      </c>
      <c r="C41" s="18">
        <f>B41/(1.07)^(A41-Overview!$B$22)</f>
        <v>9762922.6076145899</v>
      </c>
    </row>
    <row r="42" spans="1:17" x14ac:dyDescent="0.35">
      <c r="A42" s="119">
        <f t="shared" ref="A42:A55" si="2">A41+1</f>
        <v>2028</v>
      </c>
      <c r="B42" s="7">
        <f>'Capital Costs'!C10</f>
        <v>41860000</v>
      </c>
      <c r="C42" s="18">
        <f>B42/(1.07)^(A42-Overview!$B$22)</f>
        <v>31934793.576309405</v>
      </c>
    </row>
    <row r="43" spans="1:17" x14ac:dyDescent="0.35">
      <c r="A43" s="119">
        <f t="shared" si="2"/>
        <v>2029</v>
      </c>
      <c r="B43" s="7">
        <f>'Capital Costs'!C11</f>
        <v>35880000</v>
      </c>
      <c r="C43" s="18">
        <f>B43/(1.07)^(A43-Overview!$B$22)</f>
        <v>25581944.119874019</v>
      </c>
    </row>
    <row r="44" spans="1:17" x14ac:dyDescent="0.35">
      <c r="A44" s="119">
        <f t="shared" si="2"/>
        <v>2030</v>
      </c>
      <c r="B44" s="7">
        <f>'Capital Costs'!C12</f>
        <v>11960000</v>
      </c>
      <c r="C44" s="18">
        <f>B44/(1.07)^(A44-Overview!$B$22)</f>
        <v>7969452.9968454903</v>
      </c>
    </row>
    <row r="45" spans="1:17" x14ac:dyDescent="0.35">
      <c r="A45" s="119">
        <f t="shared" si="2"/>
        <v>2031</v>
      </c>
      <c r="B45" s="7">
        <f>'Capital Costs'!C13</f>
        <v>11960000</v>
      </c>
      <c r="C45" s="18">
        <f>B45/(1.07)^(A45-Overview!$B$22)</f>
        <v>7448086.9129397096</v>
      </c>
      <c r="D45" s="36"/>
    </row>
    <row r="46" spans="1:17" x14ac:dyDescent="0.35">
      <c r="A46" s="119">
        <f t="shared" si="2"/>
        <v>2032</v>
      </c>
      <c r="B46" s="7">
        <f>'Capital Costs'!C14</f>
        <v>5980000</v>
      </c>
      <c r="C46" s="18">
        <f>B46/(1.07)^(A46-Overview!$B$22)</f>
        <v>3480414.4452989297</v>
      </c>
      <c r="D46" s="36"/>
    </row>
    <row r="47" spans="1:17" x14ac:dyDescent="0.35">
      <c r="A47" s="119">
        <f t="shared" si="2"/>
        <v>2033</v>
      </c>
      <c r="B47" s="7">
        <f>'Capital Costs'!C15</f>
        <v>0</v>
      </c>
      <c r="C47" s="18">
        <f>B47/(1.07)^(A47-Overview!$B$22)</f>
        <v>0</v>
      </c>
      <c r="D47" s="36"/>
    </row>
    <row r="48" spans="1:17" x14ac:dyDescent="0.35">
      <c r="A48" s="119">
        <f t="shared" si="2"/>
        <v>2034</v>
      </c>
      <c r="B48" s="7">
        <f>'Capital Costs'!C16</f>
        <v>0</v>
      </c>
      <c r="C48" s="18">
        <f>B48/(1.07)^(A48-Overview!$B$22)</f>
        <v>0</v>
      </c>
      <c r="D48" s="36"/>
    </row>
    <row r="49" spans="1:4" x14ac:dyDescent="0.35">
      <c r="A49" s="119">
        <f t="shared" si="2"/>
        <v>2035</v>
      </c>
      <c r="B49" s="7">
        <f>'Capital Costs'!C17</f>
        <v>0</v>
      </c>
      <c r="C49" s="18">
        <f>B49/(1.07)^(A49-Overview!$B$22)</f>
        <v>0</v>
      </c>
      <c r="D49" s="36"/>
    </row>
    <row r="50" spans="1:4" x14ac:dyDescent="0.35">
      <c r="A50" s="119">
        <f t="shared" si="2"/>
        <v>2036</v>
      </c>
      <c r="B50" s="7">
        <f>'Capital Costs'!C18</f>
        <v>0</v>
      </c>
      <c r="C50" s="18">
        <f>B50/(1.07)^(A50-Overview!$B$22)</f>
        <v>0</v>
      </c>
    </row>
    <row r="51" spans="1:4" x14ac:dyDescent="0.35">
      <c r="A51" s="119">
        <f t="shared" si="2"/>
        <v>2037</v>
      </c>
      <c r="B51" s="7">
        <f>'Capital Costs'!C19</f>
        <v>0</v>
      </c>
      <c r="C51" s="18">
        <f>B51/(1.07)^(A51-Overview!$B$22)</f>
        <v>0</v>
      </c>
    </row>
    <row r="52" spans="1:4" x14ac:dyDescent="0.35">
      <c r="A52" s="119">
        <f t="shared" si="2"/>
        <v>2038</v>
      </c>
      <c r="B52" s="7">
        <f>'Capital Costs'!C20</f>
        <v>0</v>
      </c>
      <c r="C52" s="18">
        <f>B52/(1.07)^(A52-Overview!$B$22)</f>
        <v>0</v>
      </c>
    </row>
    <row r="53" spans="1:4" x14ac:dyDescent="0.35">
      <c r="A53" s="119">
        <f t="shared" si="2"/>
        <v>2039</v>
      </c>
      <c r="B53" s="7">
        <f>'Capital Costs'!C21</f>
        <v>0</v>
      </c>
      <c r="C53" s="18">
        <f>B53/(1.07)^(A53-Overview!$B$22)</f>
        <v>0</v>
      </c>
    </row>
    <row r="54" spans="1:4" x14ac:dyDescent="0.35">
      <c r="A54" s="119">
        <f t="shared" si="2"/>
        <v>2040</v>
      </c>
      <c r="B54" s="7">
        <f>'Capital Costs'!C22</f>
        <v>0</v>
      </c>
      <c r="C54" s="18">
        <f>B54/(1.07)^(A54-Overview!$B$22)</f>
        <v>0</v>
      </c>
    </row>
    <row r="55" spans="1:4" x14ac:dyDescent="0.35">
      <c r="A55" s="119">
        <f t="shared" si="2"/>
        <v>2041</v>
      </c>
      <c r="B55" s="7">
        <f>'Capital Costs'!C23</f>
        <v>0</v>
      </c>
      <c r="C55" s="18">
        <f>B55/(1.07)^(A55-Overview!$B$22)</f>
        <v>0</v>
      </c>
    </row>
    <row r="56" spans="1:4" x14ac:dyDescent="0.35">
      <c r="A56" s="25" t="s">
        <v>19</v>
      </c>
      <c r="B56" s="162">
        <f>SUM(B41:B55)</f>
        <v>119600000</v>
      </c>
      <c r="C56" s="164">
        <f>SUM(C41:C55)+'Capital Costs'!A5</f>
        <v>86177614.658882141</v>
      </c>
      <c r="D56" s="36"/>
    </row>
    <row r="57" spans="1:4" x14ac:dyDescent="0.35">
      <c r="C57" s="36"/>
      <c r="D57" s="36"/>
    </row>
    <row r="58" spans="1:4" x14ac:dyDescent="0.35">
      <c r="C58" s="36"/>
      <c r="D58" s="36"/>
    </row>
    <row r="59" spans="1:4" x14ac:dyDescent="0.35">
      <c r="C59" s="36"/>
      <c r="D59" s="36"/>
    </row>
    <row r="60" spans="1:4" x14ac:dyDescent="0.35">
      <c r="C60" s="36"/>
      <c r="D60" s="36"/>
    </row>
    <row r="61" spans="1:4" x14ac:dyDescent="0.35">
      <c r="C61" s="36"/>
      <c r="D61" s="36"/>
    </row>
    <row r="62" spans="1:4" x14ac:dyDescent="0.35">
      <c r="C62" s="36"/>
      <c r="D62" s="36"/>
    </row>
    <row r="63" spans="1:4" x14ac:dyDescent="0.35">
      <c r="D63" s="36"/>
    </row>
    <row r="65" spans="3:3" x14ac:dyDescent="0.35">
      <c r="C65" s="29"/>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06FF2-EC53-4111-9343-1323F6427D32}">
  <sheetPr>
    <tabColor theme="0" tint="-0.249977111117893"/>
  </sheetPr>
  <dimension ref="A1:C8"/>
  <sheetViews>
    <sheetView workbookViewId="0">
      <selection activeCell="C12" sqref="C12"/>
    </sheetView>
    <sheetView workbookViewId="1"/>
  </sheetViews>
  <sheetFormatPr defaultColWidth="8.7265625" defaultRowHeight="14.5" x14ac:dyDescent="0.35"/>
  <cols>
    <col min="1" max="1" width="41.26953125" style="5" customWidth="1"/>
    <col min="2" max="2" width="31.453125" style="5" customWidth="1"/>
    <col min="3" max="16384" width="8.7265625" style="5"/>
  </cols>
  <sheetData>
    <row r="1" spans="1:3" ht="20" thickBot="1" x14ac:dyDescent="0.5">
      <c r="A1" s="94" t="s">
        <v>217</v>
      </c>
    </row>
    <row r="2" spans="1:3" ht="19" thickTop="1" x14ac:dyDescent="0.35">
      <c r="A2" s="102" t="s">
        <v>203</v>
      </c>
    </row>
    <row r="3" spans="1:3" x14ac:dyDescent="0.35">
      <c r="A3" s="95" t="s">
        <v>214</v>
      </c>
    </row>
    <row r="4" spans="1:3" x14ac:dyDescent="0.35">
      <c r="A4" s="104" t="s">
        <v>31</v>
      </c>
      <c r="B4" s="104" t="s">
        <v>211</v>
      </c>
    </row>
    <row r="5" spans="1:3" x14ac:dyDescent="0.35">
      <c r="A5" s="96" t="s">
        <v>0</v>
      </c>
      <c r="B5" s="103">
        <f>Summary!Q37</f>
        <v>173088329.93572655</v>
      </c>
    </row>
    <row r="6" spans="1:3" x14ac:dyDescent="0.35">
      <c r="A6" s="96" t="s">
        <v>1</v>
      </c>
      <c r="B6" s="103">
        <f>Summary!C56</f>
        <v>86177614.658882141</v>
      </c>
    </row>
    <row r="7" spans="1:3" x14ac:dyDescent="0.35">
      <c r="A7" s="96" t="s">
        <v>2</v>
      </c>
      <c r="B7" s="103">
        <f>B5-B6</f>
        <v>86910715.276844412</v>
      </c>
    </row>
    <row r="8" spans="1:3" x14ac:dyDescent="0.35">
      <c r="A8" s="96" t="s">
        <v>3</v>
      </c>
      <c r="B8" s="137">
        <f>IFERROR(B5/B6, "Enter Costs in 'Capital Cost' sheet")</f>
        <v>2.008506856692009</v>
      </c>
      <c r="C8" s="5" t="s">
        <v>257</v>
      </c>
    </row>
  </sheetData>
  <conditionalFormatting sqref="A4:B4">
    <cfRule type="expression" dxfId="20" priority="1">
      <formula>ISNUMBER(SEARCH("_sns",A$4))</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7D2A8-0D1D-45CA-80EB-C8363DA63B93}">
  <sheetPr>
    <tabColor theme="0" tint="-0.249977111117893"/>
  </sheetPr>
  <dimension ref="A1:B23"/>
  <sheetViews>
    <sheetView zoomScale="130" zoomScaleNormal="130" workbookViewId="0"/>
    <sheetView workbookViewId="1"/>
  </sheetViews>
  <sheetFormatPr defaultColWidth="9.1796875" defaultRowHeight="14.5" x14ac:dyDescent="0.35"/>
  <cols>
    <col min="1" max="1" width="72.81640625" style="5" customWidth="1"/>
    <col min="2" max="2" width="11.26953125" style="5" bestFit="1" customWidth="1"/>
    <col min="3" max="16384" width="9.1796875" style="5"/>
  </cols>
  <sheetData>
    <row r="1" spans="1:1" ht="20" thickBot="1" x14ac:dyDescent="0.5">
      <c r="A1" s="45" t="s">
        <v>301</v>
      </c>
    </row>
    <row r="2" spans="1:1" ht="15" thickTop="1" x14ac:dyDescent="0.35">
      <c r="A2" s="46" t="s">
        <v>198</v>
      </c>
    </row>
    <row r="3" spans="1:1" ht="17.5" thickBot="1" x14ac:dyDescent="0.45">
      <c r="A3" s="48" t="s">
        <v>302</v>
      </c>
    </row>
    <row r="4" spans="1:1" ht="76" customHeight="1" thickTop="1" x14ac:dyDescent="0.35">
      <c r="A4" s="50" t="s">
        <v>303</v>
      </c>
    </row>
    <row r="5" spans="1:1" x14ac:dyDescent="0.35">
      <c r="A5" s="46" t="s">
        <v>199</v>
      </c>
    </row>
    <row r="6" spans="1:1" ht="17.5" thickBot="1" x14ac:dyDescent="0.45">
      <c r="A6" s="47" t="s">
        <v>200</v>
      </c>
    </row>
    <row r="7" spans="1:1" ht="15" thickTop="1" x14ac:dyDescent="0.35">
      <c r="A7" s="52" t="s">
        <v>304</v>
      </c>
    </row>
    <row r="8" spans="1:1" x14ac:dyDescent="0.35">
      <c r="A8" s="52" t="s">
        <v>305</v>
      </c>
    </row>
    <row r="9" spans="1:1" ht="29" x14ac:dyDescent="0.35">
      <c r="A9" s="51" t="s">
        <v>306</v>
      </c>
    </row>
    <row r="10" spans="1:1" x14ac:dyDescent="0.35">
      <c r="A10" s="53" t="str">
        <f>HYPERLINK("https://www.transportation.gov/mission/office-secretary/office-policy/transportation-policy/benefit-cost-analysis-guidance", "See USDOT BCA Guidance for full details.")</f>
        <v>See USDOT BCA Guidance for full details.</v>
      </c>
    </row>
    <row r="11" spans="1:1" x14ac:dyDescent="0.35">
      <c r="A11" s="46" t="s">
        <v>198</v>
      </c>
    </row>
    <row r="12" spans="1:1" ht="17.5" thickBot="1" x14ac:dyDescent="0.45">
      <c r="A12" s="47" t="s">
        <v>201</v>
      </c>
    </row>
    <row r="13" spans="1:1" ht="15" thickTop="1" x14ac:dyDescent="0.35">
      <c r="A13" s="54" t="s">
        <v>284</v>
      </c>
    </row>
    <row r="14" spans="1:1" ht="29" x14ac:dyDescent="0.35">
      <c r="A14" s="158" t="s">
        <v>307</v>
      </c>
    </row>
    <row r="15" spans="1:1" ht="29" x14ac:dyDescent="0.35">
      <c r="A15" s="159" t="s">
        <v>308</v>
      </c>
    </row>
    <row r="16" spans="1:1" ht="29" x14ac:dyDescent="0.35">
      <c r="A16" s="161" t="s">
        <v>309</v>
      </c>
    </row>
    <row r="17" spans="1:2" ht="43.5" x14ac:dyDescent="0.35">
      <c r="A17" s="49" t="s">
        <v>256</v>
      </c>
    </row>
    <row r="18" spans="1:2" x14ac:dyDescent="0.35">
      <c r="A18" s="49" t="s">
        <v>249</v>
      </c>
    </row>
    <row r="19" spans="1:2" ht="43.5" x14ac:dyDescent="0.35">
      <c r="A19" s="55" t="s">
        <v>285</v>
      </c>
    </row>
    <row r="22" spans="1:2" x14ac:dyDescent="0.35">
      <c r="A22" s="6" t="s">
        <v>158</v>
      </c>
      <c r="B22" s="166">
        <v>2024</v>
      </c>
    </row>
    <row r="23" spans="1:2" x14ac:dyDescent="0.35">
      <c r="A23" s="2" t="s">
        <v>310</v>
      </c>
      <c r="B23" s="167">
        <v>46014</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F9DC5-C9C2-4023-B877-38772BB6BEA7}">
  <sheetPr>
    <tabColor theme="9" tint="0.39997558519241921"/>
  </sheetPr>
  <dimension ref="A1:E11"/>
  <sheetViews>
    <sheetView workbookViewId="0">
      <selection activeCell="B7" sqref="B7"/>
    </sheetView>
    <sheetView workbookViewId="1"/>
  </sheetViews>
  <sheetFormatPr defaultColWidth="8.7265625" defaultRowHeight="14.5" x14ac:dyDescent="0.35"/>
  <cols>
    <col min="1" max="1" width="56.26953125" style="5" customWidth="1"/>
    <col min="2" max="16384" width="8.7265625" style="5"/>
  </cols>
  <sheetData>
    <row r="1" spans="1:5" ht="20" thickBot="1" x14ac:dyDescent="0.5">
      <c r="A1" s="94" t="s">
        <v>208</v>
      </c>
    </row>
    <row r="2" spans="1:5" ht="15" thickTop="1" x14ac:dyDescent="0.35">
      <c r="A2" s="144" t="s">
        <v>178</v>
      </c>
      <c r="B2" s="144"/>
      <c r="C2" s="144"/>
      <c r="D2" s="144"/>
      <c r="E2" s="144"/>
    </row>
    <row r="3" spans="1:5" x14ac:dyDescent="0.35">
      <c r="A3" s="5" t="s">
        <v>203</v>
      </c>
    </row>
    <row r="4" spans="1:5" x14ac:dyDescent="0.35">
      <c r="A4" s="95" t="s">
        <v>209</v>
      </c>
    </row>
    <row r="5" spans="1:5" x14ac:dyDescent="0.35">
      <c r="A5" s="98" t="s">
        <v>210</v>
      </c>
      <c r="B5" s="99" t="s">
        <v>211</v>
      </c>
    </row>
    <row r="6" spans="1:5" x14ac:dyDescent="0.35">
      <c r="A6" s="43" t="s">
        <v>158</v>
      </c>
      <c r="B6" s="96">
        <f>Overview!B22</f>
        <v>2024</v>
      </c>
    </row>
    <row r="7" spans="1:5" x14ac:dyDescent="0.35">
      <c r="A7" s="43" t="s">
        <v>278</v>
      </c>
      <c r="B7" s="23">
        <v>2027</v>
      </c>
      <c r="C7" s="5" t="s">
        <v>295</v>
      </c>
    </row>
    <row r="8" spans="1:5" x14ac:dyDescent="0.35">
      <c r="A8" s="43" t="s">
        <v>163</v>
      </c>
      <c r="B8" s="23">
        <v>6</v>
      </c>
      <c r="C8" s="5" t="s">
        <v>165</v>
      </c>
    </row>
    <row r="9" spans="1:5" x14ac:dyDescent="0.35">
      <c r="A9" s="43" t="s">
        <v>162</v>
      </c>
      <c r="B9" s="96">
        <f>B7+B8</f>
        <v>2033</v>
      </c>
    </row>
    <row r="10" spans="1:5" x14ac:dyDescent="0.35">
      <c r="A10" s="43" t="s">
        <v>164</v>
      </c>
      <c r="B10" s="23">
        <f>Inputs!B10</f>
        <v>30</v>
      </c>
      <c r="C10" s="5" t="s">
        <v>311</v>
      </c>
    </row>
    <row r="11" spans="1:5" x14ac:dyDescent="0.35">
      <c r="A11" s="43" t="s">
        <v>168</v>
      </c>
      <c r="B11" s="97">
        <f>B7+B8+B10-1</f>
        <v>2062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762AA-A4A0-4AEE-A83B-E1DACDC73A36}">
  <sheetPr>
    <tabColor theme="0" tint="-0.249977111117893"/>
  </sheetPr>
  <dimension ref="A1:F242"/>
  <sheetViews>
    <sheetView topLeftCell="A204" zoomScaleNormal="100" workbookViewId="0">
      <selection activeCell="A241" sqref="A241:E241"/>
    </sheetView>
    <sheetView workbookViewId="1"/>
  </sheetViews>
  <sheetFormatPr defaultRowHeight="14.5" x14ac:dyDescent="0.35"/>
  <cols>
    <col min="1" max="1" width="48.81640625" customWidth="1"/>
    <col min="2" max="2" width="27.26953125" customWidth="1"/>
    <col min="3" max="3" width="22.54296875" customWidth="1"/>
    <col min="4" max="4" width="19" customWidth="1"/>
    <col min="5" max="5" width="13.54296875" customWidth="1"/>
    <col min="6" max="6" width="12" customWidth="1"/>
  </cols>
  <sheetData>
    <row r="1" spans="1:6" ht="21" x14ac:dyDescent="0.5">
      <c r="A1" s="56" t="s">
        <v>202</v>
      </c>
      <c r="B1" s="57"/>
      <c r="C1" s="57"/>
      <c r="D1" s="57"/>
      <c r="E1" s="71"/>
      <c r="F1" s="71"/>
    </row>
    <row r="2" spans="1:6" x14ac:dyDescent="0.35">
      <c r="A2" s="144" t="s">
        <v>287</v>
      </c>
      <c r="B2" s="144"/>
      <c r="C2" s="144"/>
      <c r="D2" s="144"/>
      <c r="E2" s="144"/>
      <c r="F2" s="60"/>
    </row>
    <row r="3" spans="1:6" x14ac:dyDescent="0.35">
      <c r="A3" s="61" t="s">
        <v>286</v>
      </c>
      <c r="F3" s="60"/>
    </row>
    <row r="4" spans="1:6" x14ac:dyDescent="0.35">
      <c r="A4" s="62" t="s">
        <v>203</v>
      </c>
      <c r="F4" s="60"/>
    </row>
    <row r="5" spans="1:6" x14ac:dyDescent="0.35">
      <c r="A5" s="63" t="s">
        <v>258</v>
      </c>
      <c r="B5" s="64"/>
      <c r="C5" s="64"/>
      <c r="D5" s="64"/>
      <c r="E5" s="64"/>
      <c r="F5" s="60"/>
    </row>
    <row r="6" spans="1:6" ht="17.25" customHeight="1" x14ac:dyDescent="0.35">
      <c r="A6" s="66" t="s">
        <v>20</v>
      </c>
      <c r="B6" s="66" t="s">
        <v>327</v>
      </c>
      <c r="C6" s="64"/>
      <c r="D6" s="64"/>
      <c r="E6" s="64"/>
      <c r="F6" s="60"/>
    </row>
    <row r="7" spans="1:6" x14ac:dyDescent="0.35">
      <c r="A7" s="67" t="s">
        <v>21</v>
      </c>
      <c r="B7" s="68">
        <v>5500</v>
      </c>
      <c r="C7" s="64"/>
      <c r="D7" s="64"/>
      <c r="E7" s="64"/>
      <c r="F7" s="60"/>
    </row>
    <row r="8" spans="1:6" x14ac:dyDescent="0.35">
      <c r="A8" s="67" t="s">
        <v>22</v>
      </c>
      <c r="B8" s="68">
        <v>122400</v>
      </c>
      <c r="C8" s="64"/>
      <c r="D8" s="64"/>
      <c r="E8" s="64"/>
      <c r="F8" s="60"/>
    </row>
    <row r="9" spans="1:6" x14ac:dyDescent="0.35">
      <c r="A9" s="67" t="s">
        <v>23</v>
      </c>
      <c r="B9" s="68">
        <v>256300</v>
      </c>
      <c r="C9" s="64"/>
      <c r="D9" s="64"/>
      <c r="E9" s="64"/>
      <c r="F9" s="60"/>
    </row>
    <row r="10" spans="1:6" x14ac:dyDescent="0.35">
      <c r="A10" s="67" t="s">
        <v>24</v>
      </c>
      <c r="B10" s="68">
        <v>1302300</v>
      </c>
      <c r="C10" s="64"/>
      <c r="D10" s="64"/>
      <c r="E10" s="64"/>
      <c r="F10" s="60"/>
    </row>
    <row r="11" spans="1:6" x14ac:dyDescent="0.35">
      <c r="A11" s="67" t="s">
        <v>25</v>
      </c>
      <c r="B11" s="68">
        <v>13700000</v>
      </c>
      <c r="C11" s="64"/>
      <c r="D11" s="64"/>
      <c r="E11" s="64"/>
      <c r="F11" s="60"/>
    </row>
    <row r="12" spans="1:6" x14ac:dyDescent="0.35">
      <c r="A12" s="67" t="s">
        <v>26</v>
      </c>
      <c r="B12" s="68">
        <v>238500</v>
      </c>
      <c r="C12" s="64"/>
      <c r="D12" s="64"/>
      <c r="E12" s="64"/>
      <c r="F12" s="60"/>
    </row>
    <row r="13" spans="1:6" x14ac:dyDescent="0.35">
      <c r="A13" s="63" t="s">
        <v>316</v>
      </c>
      <c r="B13" s="64"/>
      <c r="C13" s="64"/>
      <c r="D13" s="64"/>
      <c r="E13" s="64"/>
      <c r="F13" s="60"/>
    </row>
    <row r="14" spans="1:6" x14ac:dyDescent="0.35">
      <c r="A14" s="66" t="s">
        <v>27</v>
      </c>
      <c r="B14" s="66" t="s">
        <v>327</v>
      </c>
      <c r="C14" s="64"/>
      <c r="D14" s="64"/>
      <c r="E14" s="64"/>
      <c r="F14" s="60"/>
    </row>
    <row r="15" spans="1:6" x14ac:dyDescent="0.35">
      <c r="A15" s="67" t="s">
        <v>259</v>
      </c>
      <c r="B15" s="68">
        <v>9700</v>
      </c>
      <c r="C15" s="64"/>
      <c r="D15" s="64"/>
      <c r="E15" s="64"/>
      <c r="F15" s="60"/>
    </row>
    <row r="16" spans="1:6" x14ac:dyDescent="0.35">
      <c r="A16" s="67" t="s">
        <v>28</v>
      </c>
      <c r="B16" s="68">
        <v>342400</v>
      </c>
      <c r="C16" s="64"/>
      <c r="D16" s="64"/>
      <c r="E16" s="64"/>
      <c r="F16" s="60"/>
    </row>
    <row r="17" spans="1:6" x14ac:dyDescent="0.35">
      <c r="A17" s="67" t="s">
        <v>29</v>
      </c>
      <c r="B17" s="68">
        <v>15366900</v>
      </c>
      <c r="C17" s="64"/>
      <c r="D17" s="64"/>
      <c r="E17" s="64"/>
      <c r="F17" s="60"/>
    </row>
    <row r="18" spans="1:6" x14ac:dyDescent="0.35">
      <c r="A18" s="65" t="s">
        <v>203</v>
      </c>
      <c r="B18" s="64"/>
      <c r="C18" s="64"/>
      <c r="D18" s="64"/>
      <c r="E18" s="64"/>
      <c r="F18" s="60"/>
    </row>
    <row r="19" spans="1:6" x14ac:dyDescent="0.35">
      <c r="A19" s="63" t="s">
        <v>260</v>
      </c>
      <c r="B19" s="64"/>
      <c r="C19" s="64"/>
      <c r="D19" s="64"/>
      <c r="E19" s="64"/>
      <c r="F19" s="60"/>
    </row>
    <row r="20" spans="1:6" ht="15" customHeight="1" x14ac:dyDescent="0.35">
      <c r="A20" s="358" t="s">
        <v>30</v>
      </c>
      <c r="B20" s="358"/>
      <c r="C20" s="64"/>
      <c r="D20" s="64"/>
      <c r="E20" s="64"/>
      <c r="F20" s="60"/>
    </row>
    <row r="21" spans="1:6" x14ac:dyDescent="0.35">
      <c r="A21" s="358" t="s">
        <v>330</v>
      </c>
      <c r="B21" s="358"/>
      <c r="C21" s="64"/>
      <c r="D21" s="64"/>
      <c r="E21" s="64"/>
      <c r="F21" s="60"/>
    </row>
    <row r="22" spans="1:6" x14ac:dyDescent="0.35">
      <c r="A22" s="66" t="s">
        <v>31</v>
      </c>
      <c r="B22" s="66" t="s">
        <v>32</v>
      </c>
      <c r="C22" s="64"/>
      <c r="D22" s="64"/>
      <c r="E22" s="64"/>
      <c r="F22" s="60"/>
    </row>
    <row r="23" spans="1:6" x14ac:dyDescent="0.35">
      <c r="A23" s="67" t="s">
        <v>33</v>
      </c>
      <c r="B23" s="69"/>
      <c r="C23" s="64"/>
      <c r="D23" s="64"/>
      <c r="E23" s="64"/>
      <c r="F23" s="60"/>
    </row>
    <row r="24" spans="1:6" ht="16" x14ac:dyDescent="0.35">
      <c r="A24" s="67" t="s">
        <v>38</v>
      </c>
      <c r="B24" s="70">
        <v>20.100000000000001</v>
      </c>
      <c r="C24" s="64"/>
      <c r="D24" s="64"/>
      <c r="E24" s="64"/>
      <c r="F24" s="60"/>
    </row>
    <row r="25" spans="1:6" ht="16" x14ac:dyDescent="0.35">
      <c r="A25" s="67" t="s">
        <v>39</v>
      </c>
      <c r="B25" s="70">
        <v>34.6</v>
      </c>
      <c r="C25" s="64"/>
      <c r="D25" s="64"/>
      <c r="E25" s="64"/>
      <c r="F25" s="60"/>
    </row>
    <row r="26" spans="1:6" ht="16" x14ac:dyDescent="0.35">
      <c r="A26" s="67" t="s">
        <v>40</v>
      </c>
      <c r="B26" s="70">
        <v>21.8</v>
      </c>
      <c r="C26" s="64"/>
      <c r="D26" s="64"/>
      <c r="E26" s="64"/>
      <c r="F26" s="60"/>
    </row>
    <row r="27" spans="1:6" x14ac:dyDescent="0.35">
      <c r="A27" s="67"/>
      <c r="B27" s="70"/>
      <c r="C27" s="64"/>
      <c r="D27" s="64"/>
      <c r="E27" s="64"/>
      <c r="F27" s="60"/>
    </row>
    <row r="28" spans="1:6" ht="16" x14ac:dyDescent="0.35">
      <c r="A28" s="67" t="s">
        <v>41</v>
      </c>
      <c r="B28" s="70">
        <v>40.200000000000003</v>
      </c>
      <c r="C28" s="64"/>
      <c r="D28" s="64"/>
      <c r="E28" s="64"/>
      <c r="F28" s="60"/>
    </row>
    <row r="29" spans="1:6" x14ac:dyDescent="0.35">
      <c r="A29" s="69"/>
      <c r="B29" s="70"/>
      <c r="C29" s="64"/>
      <c r="D29" s="64"/>
      <c r="E29" s="64"/>
      <c r="F29" s="60"/>
    </row>
    <row r="30" spans="1:6" ht="16" x14ac:dyDescent="0.35">
      <c r="A30" s="67" t="s">
        <v>42</v>
      </c>
      <c r="B30" s="70"/>
      <c r="C30" s="64"/>
      <c r="D30" s="64"/>
      <c r="E30" s="64"/>
      <c r="F30" s="60"/>
    </row>
    <row r="31" spans="1:6" x14ac:dyDescent="0.35">
      <c r="A31" s="67" t="s">
        <v>34</v>
      </c>
      <c r="B31" s="70">
        <v>37.200000000000003</v>
      </c>
      <c r="C31" s="64"/>
      <c r="D31" s="64"/>
      <c r="E31" s="64"/>
      <c r="F31" s="60"/>
    </row>
    <row r="32" spans="1:6" x14ac:dyDescent="0.35">
      <c r="A32" s="67" t="s">
        <v>35</v>
      </c>
      <c r="B32" s="70">
        <v>40.299999999999997</v>
      </c>
      <c r="C32" s="64"/>
      <c r="D32" s="64"/>
      <c r="E32" s="64"/>
      <c r="F32" s="60"/>
    </row>
    <row r="33" spans="1:6" x14ac:dyDescent="0.35">
      <c r="A33" s="67" t="s">
        <v>36</v>
      </c>
      <c r="B33" s="70">
        <v>59.5</v>
      </c>
      <c r="C33" s="64"/>
      <c r="D33" s="64"/>
      <c r="E33" s="64"/>
      <c r="F33" s="60"/>
    </row>
    <row r="34" spans="1:6" x14ac:dyDescent="0.35">
      <c r="A34" s="67" t="s">
        <v>37</v>
      </c>
      <c r="B34" s="70">
        <v>54.2</v>
      </c>
      <c r="C34" s="64"/>
      <c r="D34" s="64"/>
      <c r="E34" s="64"/>
      <c r="F34" s="60"/>
    </row>
    <row r="35" spans="1:6" x14ac:dyDescent="0.35">
      <c r="A35" s="73"/>
      <c r="B35" s="74"/>
      <c r="C35" s="64"/>
      <c r="D35" s="64"/>
      <c r="E35" s="64"/>
      <c r="F35" s="60"/>
    </row>
    <row r="36" spans="1:6" ht="83.25" customHeight="1" x14ac:dyDescent="0.35">
      <c r="A36" s="359" t="s">
        <v>328</v>
      </c>
      <c r="B36" s="360"/>
      <c r="C36" s="64"/>
      <c r="D36" s="64"/>
      <c r="E36" s="64"/>
      <c r="F36" s="60"/>
    </row>
    <row r="37" spans="1:6" ht="54" customHeight="1" x14ac:dyDescent="0.35">
      <c r="A37" s="359" t="s">
        <v>43</v>
      </c>
      <c r="B37" s="360"/>
      <c r="C37" s="64"/>
      <c r="D37" s="64"/>
      <c r="E37" s="64"/>
      <c r="F37" s="60"/>
    </row>
    <row r="38" spans="1:6" ht="58.5" customHeight="1" x14ac:dyDescent="0.35">
      <c r="A38" s="359" t="s">
        <v>329</v>
      </c>
      <c r="B38" s="360"/>
      <c r="C38" s="64"/>
      <c r="D38" s="64"/>
      <c r="E38" s="64"/>
      <c r="F38" s="60"/>
    </row>
    <row r="39" spans="1:6" ht="25.5" customHeight="1" x14ac:dyDescent="0.35">
      <c r="A39" s="363" t="s">
        <v>44</v>
      </c>
      <c r="B39" s="364"/>
      <c r="C39" s="64"/>
      <c r="D39" s="64"/>
      <c r="E39" s="64"/>
      <c r="F39" s="60"/>
    </row>
    <row r="40" spans="1:6" ht="23.25" customHeight="1" x14ac:dyDescent="0.35">
      <c r="A40" s="365" t="s">
        <v>45</v>
      </c>
      <c r="B40" s="366"/>
      <c r="C40" s="64"/>
      <c r="D40" s="64"/>
      <c r="E40" s="64"/>
      <c r="F40" s="60"/>
    </row>
    <row r="41" spans="1:6" x14ac:dyDescent="0.35">
      <c r="A41" s="5" t="s">
        <v>203</v>
      </c>
      <c r="B41" s="64"/>
      <c r="C41" s="64"/>
      <c r="D41" s="64"/>
      <c r="E41" s="64"/>
      <c r="F41" s="60"/>
    </row>
    <row r="42" spans="1:6" x14ac:dyDescent="0.35">
      <c r="A42" s="63" t="s">
        <v>261</v>
      </c>
      <c r="B42" s="64"/>
      <c r="C42" s="64"/>
      <c r="D42" s="64"/>
      <c r="E42" s="64"/>
      <c r="F42" s="60"/>
    </row>
    <row r="43" spans="1:6" x14ac:dyDescent="0.35">
      <c r="A43" s="75" t="s">
        <v>46</v>
      </c>
      <c r="B43" s="76" t="s">
        <v>47</v>
      </c>
      <c r="C43" s="64"/>
      <c r="D43" s="64"/>
      <c r="E43" s="64"/>
      <c r="F43" s="60"/>
    </row>
    <row r="44" spans="1:6" ht="16" x14ac:dyDescent="0.35">
      <c r="A44" s="67" t="s">
        <v>51</v>
      </c>
      <c r="B44" s="77">
        <v>1.34</v>
      </c>
      <c r="C44" s="64"/>
      <c r="D44" s="64"/>
      <c r="E44" s="64"/>
      <c r="F44" s="60"/>
    </row>
    <row r="45" spans="1:6" x14ac:dyDescent="0.35">
      <c r="A45" s="67" t="s">
        <v>48</v>
      </c>
      <c r="B45" s="77">
        <v>1.41</v>
      </c>
      <c r="C45" s="64"/>
      <c r="D45" s="64"/>
      <c r="E45" s="64"/>
      <c r="F45" s="60"/>
    </row>
    <row r="46" spans="1:6" x14ac:dyDescent="0.35">
      <c r="A46" s="67" t="s">
        <v>49</v>
      </c>
      <c r="B46" s="77">
        <v>1.81</v>
      </c>
      <c r="C46" s="64"/>
      <c r="D46" s="64"/>
      <c r="E46" s="64"/>
      <c r="F46" s="60"/>
    </row>
    <row r="47" spans="1:6" x14ac:dyDescent="0.35">
      <c r="A47" s="67" t="s">
        <v>50</v>
      </c>
      <c r="B47" s="77">
        <v>1.52</v>
      </c>
      <c r="C47" s="64"/>
      <c r="D47" s="64"/>
      <c r="E47" s="64"/>
      <c r="F47" s="60"/>
    </row>
    <row r="48" spans="1:6" x14ac:dyDescent="0.35">
      <c r="A48" s="65"/>
      <c r="B48" s="72"/>
      <c r="C48" s="64"/>
      <c r="D48" s="64"/>
      <c r="E48" s="64"/>
      <c r="F48" s="60"/>
    </row>
    <row r="49" spans="1:6" ht="45" customHeight="1" x14ac:dyDescent="0.35">
      <c r="A49" s="361" t="s">
        <v>52</v>
      </c>
      <c r="B49" s="362"/>
      <c r="C49" s="64"/>
      <c r="D49" s="64"/>
      <c r="E49" s="64"/>
      <c r="F49" s="60"/>
    </row>
    <row r="50" spans="1:6" x14ac:dyDescent="0.35">
      <c r="A50" s="5" t="s">
        <v>203</v>
      </c>
      <c r="B50" s="64"/>
      <c r="C50" s="64"/>
      <c r="D50" s="64"/>
      <c r="E50" s="64"/>
      <c r="F50" s="60"/>
    </row>
    <row r="51" spans="1:6" x14ac:dyDescent="0.35">
      <c r="A51" s="63" t="s">
        <v>262</v>
      </c>
      <c r="B51" s="64"/>
      <c r="C51" s="64"/>
      <c r="D51" s="64"/>
      <c r="E51" s="64"/>
      <c r="F51" s="60"/>
    </row>
    <row r="52" spans="1:6" ht="30" customHeight="1" x14ac:dyDescent="0.35">
      <c r="A52" s="75" t="s">
        <v>46</v>
      </c>
      <c r="B52" s="76" t="s">
        <v>331</v>
      </c>
      <c r="C52" s="64"/>
      <c r="D52" s="64"/>
      <c r="E52" s="64"/>
      <c r="F52" s="60"/>
    </row>
    <row r="53" spans="1:6" ht="16" x14ac:dyDescent="0.35">
      <c r="A53" s="67" t="s">
        <v>75</v>
      </c>
      <c r="B53" s="78">
        <v>0.56000000000000005</v>
      </c>
      <c r="C53" s="64"/>
      <c r="D53" s="64"/>
      <c r="E53" s="64"/>
      <c r="F53" s="60"/>
    </row>
    <row r="54" spans="1:6" ht="16" x14ac:dyDescent="0.35">
      <c r="A54" s="67" t="s">
        <v>76</v>
      </c>
      <c r="B54" s="78">
        <v>1.23</v>
      </c>
      <c r="C54" s="64"/>
      <c r="D54" s="64"/>
      <c r="E54" s="64"/>
      <c r="F54" s="60"/>
    </row>
    <row r="55" spans="1:6" x14ac:dyDescent="0.35">
      <c r="A55" s="65"/>
      <c r="B55" s="72"/>
      <c r="C55" s="64"/>
      <c r="D55" s="64"/>
      <c r="E55" s="64"/>
      <c r="F55" s="60"/>
    </row>
    <row r="56" spans="1:6" ht="68.25" customHeight="1" x14ac:dyDescent="0.35">
      <c r="A56" s="359" t="s">
        <v>53</v>
      </c>
      <c r="B56" s="360"/>
      <c r="C56" s="64"/>
      <c r="D56" s="64"/>
      <c r="E56" s="64"/>
      <c r="F56" s="60"/>
    </row>
    <row r="57" spans="1:6" ht="72" customHeight="1" x14ac:dyDescent="0.35">
      <c r="A57" s="361" t="s">
        <v>54</v>
      </c>
      <c r="B57" s="362"/>
      <c r="C57" s="64"/>
      <c r="D57" s="64"/>
      <c r="E57" s="64"/>
      <c r="F57" s="60"/>
    </row>
    <row r="58" spans="1:6" x14ac:dyDescent="0.35">
      <c r="A58" s="5" t="s">
        <v>203</v>
      </c>
      <c r="B58" s="64"/>
      <c r="C58" s="64"/>
      <c r="D58" s="64"/>
      <c r="E58" s="64"/>
      <c r="F58" s="60"/>
    </row>
    <row r="59" spans="1:6" x14ac:dyDescent="0.35">
      <c r="A59" s="63" t="s">
        <v>263</v>
      </c>
      <c r="B59" s="64"/>
      <c r="C59" s="64"/>
      <c r="D59" s="64"/>
      <c r="E59" s="64"/>
      <c r="F59" s="60"/>
    </row>
    <row r="60" spans="1:6" x14ac:dyDescent="0.35">
      <c r="A60" s="79"/>
      <c r="B60" s="367" t="s">
        <v>332</v>
      </c>
      <c r="C60" s="368"/>
      <c r="D60" s="170"/>
      <c r="E60" s="64"/>
      <c r="F60" s="60"/>
    </row>
    <row r="61" spans="1:6" ht="16" x14ac:dyDescent="0.35">
      <c r="A61" s="79" t="s">
        <v>265</v>
      </c>
      <c r="B61" s="79" t="s">
        <v>275</v>
      </c>
      <c r="C61" s="79" t="s">
        <v>318</v>
      </c>
      <c r="D61" s="170"/>
      <c r="E61" s="64"/>
      <c r="F61" s="60"/>
    </row>
    <row r="62" spans="1:6" x14ac:dyDescent="0.35">
      <c r="A62" s="122" t="s">
        <v>266</v>
      </c>
      <c r="B62" s="122"/>
      <c r="C62" s="169"/>
      <c r="D62" s="65"/>
      <c r="E62" s="64"/>
      <c r="F62" s="60"/>
    </row>
    <row r="63" spans="1:6" x14ac:dyDescent="0.35">
      <c r="A63" s="67" t="s">
        <v>267</v>
      </c>
      <c r="B63" s="120">
        <v>259</v>
      </c>
      <c r="C63" s="120">
        <v>799</v>
      </c>
      <c r="D63" s="171"/>
      <c r="E63" s="64"/>
      <c r="F63" s="60"/>
    </row>
    <row r="64" spans="1:6" x14ac:dyDescent="0.35">
      <c r="A64" s="67" t="s">
        <v>268</v>
      </c>
      <c r="B64" s="120">
        <v>281</v>
      </c>
      <c r="C64" s="120">
        <v>109</v>
      </c>
      <c r="D64" s="171"/>
      <c r="E64" s="64"/>
      <c r="F64" s="60"/>
    </row>
    <row r="65" spans="1:6" x14ac:dyDescent="0.35">
      <c r="A65" s="67" t="s">
        <v>269</v>
      </c>
      <c r="B65" s="120">
        <v>723</v>
      </c>
      <c r="C65" s="120">
        <v>109</v>
      </c>
      <c r="D65" s="171"/>
      <c r="E65" s="64"/>
      <c r="F65" s="60"/>
    </row>
    <row r="66" spans="1:6" x14ac:dyDescent="0.35">
      <c r="A66" s="67" t="s">
        <v>270</v>
      </c>
      <c r="B66" s="120">
        <v>327</v>
      </c>
      <c r="C66" s="120">
        <v>109</v>
      </c>
      <c r="D66" s="171"/>
      <c r="E66" s="64"/>
      <c r="F66" s="60"/>
    </row>
    <row r="67" spans="1:6" x14ac:dyDescent="0.35">
      <c r="A67" s="122" t="s">
        <v>271</v>
      </c>
      <c r="B67" s="122"/>
      <c r="C67" s="169"/>
      <c r="D67" s="65"/>
      <c r="E67" s="64"/>
      <c r="F67" s="60"/>
    </row>
    <row r="68" spans="1:6" x14ac:dyDescent="0.35">
      <c r="A68" s="67" t="s">
        <v>267</v>
      </c>
      <c r="B68" s="120">
        <v>655</v>
      </c>
      <c r="C68" s="120">
        <v>2356</v>
      </c>
      <c r="D68" s="171"/>
      <c r="E68" s="64"/>
      <c r="F68" s="60"/>
    </row>
    <row r="69" spans="1:6" x14ac:dyDescent="0.35">
      <c r="A69" s="67" t="s">
        <v>268</v>
      </c>
      <c r="B69" s="120">
        <v>642</v>
      </c>
      <c r="C69" s="120">
        <v>780</v>
      </c>
      <c r="D69" s="171"/>
      <c r="E69" s="64"/>
      <c r="F69" s="60"/>
    </row>
    <row r="70" spans="1:6" x14ac:dyDescent="0.35">
      <c r="A70" s="67" t="s">
        <v>269</v>
      </c>
      <c r="B70" s="120">
        <v>1084</v>
      </c>
      <c r="C70" s="120">
        <v>780</v>
      </c>
      <c r="D70" s="171"/>
      <c r="E70" s="64"/>
      <c r="F70" s="60"/>
    </row>
    <row r="71" spans="1:6" x14ac:dyDescent="0.35">
      <c r="A71" s="67" t="s">
        <v>270</v>
      </c>
      <c r="B71" s="120">
        <v>688</v>
      </c>
      <c r="C71" s="120">
        <v>780</v>
      </c>
      <c r="D71" s="171"/>
      <c r="E71" s="64"/>
      <c r="F71" s="60"/>
    </row>
    <row r="72" spans="1:6" x14ac:dyDescent="0.35">
      <c r="A72" s="122" t="s">
        <v>272</v>
      </c>
      <c r="B72" s="122"/>
      <c r="C72" s="169"/>
      <c r="D72" s="65"/>
      <c r="E72" s="64"/>
      <c r="F72" s="60"/>
    </row>
    <row r="73" spans="1:6" x14ac:dyDescent="0.35">
      <c r="A73" s="67" t="s">
        <v>273</v>
      </c>
      <c r="B73" s="70">
        <v>1.0900000000000001</v>
      </c>
      <c r="C73" s="121" t="s">
        <v>100</v>
      </c>
      <c r="D73" s="172"/>
      <c r="E73" s="64"/>
      <c r="F73" s="60"/>
    </row>
    <row r="74" spans="1:6" ht="28" customHeight="1" x14ac:dyDescent="0.35">
      <c r="A74" s="369" t="s">
        <v>320</v>
      </c>
      <c r="B74" s="369"/>
      <c r="C74" s="370"/>
      <c r="D74" s="173"/>
      <c r="E74" s="64"/>
      <c r="F74" s="60"/>
    </row>
    <row r="75" spans="1:6" ht="66.75" customHeight="1" x14ac:dyDescent="0.35">
      <c r="A75" s="371" t="s">
        <v>319</v>
      </c>
      <c r="B75" s="371"/>
      <c r="C75" s="362"/>
      <c r="D75" s="173"/>
      <c r="E75" s="64"/>
      <c r="F75" s="60"/>
    </row>
    <row r="76" spans="1:6" x14ac:dyDescent="0.35">
      <c r="A76" s="5" t="s">
        <v>203</v>
      </c>
      <c r="B76" s="64"/>
      <c r="C76" s="64"/>
      <c r="D76" s="64"/>
      <c r="E76" s="64"/>
      <c r="F76" s="60"/>
    </row>
    <row r="77" spans="1:6" x14ac:dyDescent="0.35">
      <c r="A77" s="63" t="s">
        <v>56</v>
      </c>
      <c r="B77" s="64"/>
      <c r="C77" s="64"/>
      <c r="D77" s="64"/>
      <c r="E77" s="64"/>
      <c r="F77" s="60"/>
    </row>
    <row r="78" spans="1:6" ht="17" x14ac:dyDescent="0.35">
      <c r="A78" s="79" t="s">
        <v>55</v>
      </c>
      <c r="B78" s="76" t="s">
        <v>205</v>
      </c>
      <c r="C78" s="76" t="s">
        <v>206</v>
      </c>
      <c r="D78" s="76" t="s">
        <v>207</v>
      </c>
      <c r="E78" s="174"/>
      <c r="F78" s="60"/>
    </row>
    <row r="79" spans="1:6" x14ac:dyDescent="0.35">
      <c r="A79" s="67">
        <v>2025</v>
      </c>
      <c r="B79" s="68">
        <v>21600</v>
      </c>
      <c r="C79" s="68">
        <v>59000</v>
      </c>
      <c r="D79" s="68">
        <v>1054000</v>
      </c>
      <c r="E79" s="175"/>
      <c r="F79" s="60"/>
    </row>
    <row r="80" spans="1:6" x14ac:dyDescent="0.35">
      <c r="A80" s="67">
        <v>2026</v>
      </c>
      <c r="B80" s="68">
        <v>22000</v>
      </c>
      <c r="C80" s="68">
        <v>60100</v>
      </c>
      <c r="D80" s="68">
        <v>1070700</v>
      </c>
      <c r="E80" s="175"/>
      <c r="F80" s="60"/>
    </row>
    <row r="81" spans="1:6" x14ac:dyDescent="0.35">
      <c r="A81" s="67">
        <v>2027</v>
      </c>
      <c r="B81" s="68">
        <v>22500</v>
      </c>
      <c r="C81" s="68">
        <v>61100</v>
      </c>
      <c r="D81" s="68">
        <v>1087800</v>
      </c>
      <c r="E81" s="175"/>
      <c r="F81" s="60"/>
    </row>
    <row r="82" spans="1:6" x14ac:dyDescent="0.35">
      <c r="A82" s="67">
        <v>2028</v>
      </c>
      <c r="B82" s="68">
        <v>22900</v>
      </c>
      <c r="C82" s="68">
        <v>62200</v>
      </c>
      <c r="D82" s="68">
        <v>1105100</v>
      </c>
      <c r="E82" s="175"/>
      <c r="F82" s="60"/>
    </row>
    <row r="83" spans="1:6" x14ac:dyDescent="0.35">
      <c r="A83" s="67">
        <v>2029</v>
      </c>
      <c r="B83" s="68">
        <v>23300</v>
      </c>
      <c r="C83" s="68">
        <v>63400</v>
      </c>
      <c r="D83" s="68">
        <v>1122600</v>
      </c>
      <c r="E83" s="175"/>
      <c r="F83" s="60"/>
    </row>
    <row r="84" spans="1:6" x14ac:dyDescent="0.35">
      <c r="A84" s="67">
        <v>2030</v>
      </c>
      <c r="B84" s="68">
        <v>23800</v>
      </c>
      <c r="C84" s="68">
        <v>64500</v>
      </c>
      <c r="D84" s="68">
        <v>1140500</v>
      </c>
      <c r="E84" s="175"/>
      <c r="F84" s="60"/>
    </row>
    <row r="85" spans="1:6" x14ac:dyDescent="0.35">
      <c r="A85" s="67">
        <v>2031</v>
      </c>
      <c r="B85" s="68">
        <v>23800</v>
      </c>
      <c r="C85" s="68">
        <v>64500</v>
      </c>
      <c r="D85" s="68">
        <v>1140500</v>
      </c>
      <c r="E85" s="175"/>
      <c r="F85" s="60"/>
    </row>
    <row r="86" spans="1:6" x14ac:dyDescent="0.35">
      <c r="A86" s="67">
        <v>2032</v>
      </c>
      <c r="B86" s="68">
        <v>23800</v>
      </c>
      <c r="C86" s="68">
        <v>64500</v>
      </c>
      <c r="D86" s="68">
        <v>1140500</v>
      </c>
      <c r="E86" s="175"/>
      <c r="F86" s="60"/>
    </row>
    <row r="87" spans="1:6" x14ac:dyDescent="0.35">
      <c r="A87" s="67">
        <v>2033</v>
      </c>
      <c r="B87" s="68">
        <v>23800</v>
      </c>
      <c r="C87" s="68">
        <v>64500</v>
      </c>
      <c r="D87" s="68">
        <v>1140500</v>
      </c>
      <c r="E87" s="175"/>
      <c r="F87" s="60"/>
    </row>
    <row r="88" spans="1:6" x14ac:dyDescent="0.35">
      <c r="A88" s="67">
        <v>2034</v>
      </c>
      <c r="B88" s="68">
        <v>23800</v>
      </c>
      <c r="C88" s="68">
        <v>64500</v>
      </c>
      <c r="D88" s="68">
        <v>1140500</v>
      </c>
      <c r="E88" s="175"/>
      <c r="F88" s="60"/>
    </row>
    <row r="89" spans="1:6" x14ac:dyDescent="0.35">
      <c r="A89" s="67">
        <v>2035</v>
      </c>
      <c r="B89" s="68">
        <v>23800</v>
      </c>
      <c r="C89" s="68">
        <v>64500</v>
      </c>
      <c r="D89" s="68">
        <v>1140500</v>
      </c>
      <c r="E89" s="175"/>
      <c r="F89" s="60"/>
    </row>
    <row r="90" spans="1:6" x14ac:dyDescent="0.35">
      <c r="A90" s="67">
        <v>2036</v>
      </c>
      <c r="B90" s="68">
        <v>23800</v>
      </c>
      <c r="C90" s="68">
        <v>64500</v>
      </c>
      <c r="D90" s="68">
        <v>1140500</v>
      </c>
      <c r="E90" s="175"/>
      <c r="F90" s="60"/>
    </row>
    <row r="91" spans="1:6" x14ac:dyDescent="0.35">
      <c r="A91" s="67">
        <v>2037</v>
      </c>
      <c r="B91" s="68">
        <v>23800</v>
      </c>
      <c r="C91" s="68">
        <v>64500</v>
      </c>
      <c r="D91" s="68">
        <v>1140500</v>
      </c>
      <c r="E91" s="175"/>
      <c r="F91" s="60"/>
    </row>
    <row r="92" spans="1:6" x14ac:dyDescent="0.35">
      <c r="A92" s="67">
        <v>2038</v>
      </c>
      <c r="B92" s="68">
        <v>23800</v>
      </c>
      <c r="C92" s="68">
        <v>64500</v>
      </c>
      <c r="D92" s="68">
        <v>1140500</v>
      </c>
      <c r="E92" s="175"/>
      <c r="F92" s="60"/>
    </row>
    <row r="93" spans="1:6" x14ac:dyDescent="0.35">
      <c r="A93" s="67">
        <v>2039</v>
      </c>
      <c r="B93" s="68">
        <v>23800</v>
      </c>
      <c r="C93" s="68">
        <v>64500</v>
      </c>
      <c r="D93" s="68">
        <v>1140500</v>
      </c>
      <c r="E93" s="175"/>
      <c r="F93" s="60"/>
    </row>
    <row r="94" spans="1:6" x14ac:dyDescent="0.35">
      <c r="A94" s="67">
        <v>2040</v>
      </c>
      <c r="B94" s="68">
        <v>23800</v>
      </c>
      <c r="C94" s="68">
        <v>64500</v>
      </c>
      <c r="D94" s="68">
        <v>1140500</v>
      </c>
      <c r="E94" s="175"/>
      <c r="F94" s="60"/>
    </row>
    <row r="95" spans="1:6" x14ac:dyDescent="0.35">
      <c r="A95" s="67">
        <v>2041</v>
      </c>
      <c r="B95" s="68">
        <v>23800</v>
      </c>
      <c r="C95" s="68">
        <v>64500</v>
      </c>
      <c r="D95" s="68">
        <v>1140500</v>
      </c>
      <c r="E95" s="175"/>
      <c r="F95" s="60"/>
    </row>
    <row r="96" spans="1:6" x14ac:dyDescent="0.35">
      <c r="A96" s="67">
        <v>2042</v>
      </c>
      <c r="B96" s="68">
        <v>23800</v>
      </c>
      <c r="C96" s="68">
        <v>64500</v>
      </c>
      <c r="D96" s="68">
        <v>1140500</v>
      </c>
      <c r="E96" s="175"/>
      <c r="F96" s="60"/>
    </row>
    <row r="97" spans="1:6" x14ac:dyDescent="0.35">
      <c r="A97" s="67">
        <v>2043</v>
      </c>
      <c r="B97" s="68">
        <v>23800</v>
      </c>
      <c r="C97" s="68">
        <v>64500</v>
      </c>
      <c r="D97" s="68">
        <v>1140500</v>
      </c>
      <c r="E97" s="175"/>
      <c r="F97" s="60"/>
    </row>
    <row r="98" spans="1:6" x14ac:dyDescent="0.35">
      <c r="A98" s="67">
        <v>2044</v>
      </c>
      <c r="B98" s="68">
        <v>23800</v>
      </c>
      <c r="C98" s="68">
        <v>64500</v>
      </c>
      <c r="D98" s="68">
        <v>1140500</v>
      </c>
      <c r="E98" s="175"/>
      <c r="F98" s="60"/>
    </row>
    <row r="99" spans="1:6" x14ac:dyDescent="0.35">
      <c r="A99" s="67">
        <v>2045</v>
      </c>
      <c r="B99" s="68">
        <v>23800</v>
      </c>
      <c r="C99" s="68">
        <v>64500</v>
      </c>
      <c r="D99" s="68">
        <v>1140500</v>
      </c>
      <c r="E99" s="175"/>
      <c r="F99" s="60"/>
    </row>
    <row r="100" spans="1:6" x14ac:dyDescent="0.35">
      <c r="A100" s="67">
        <v>2046</v>
      </c>
      <c r="B100" s="68">
        <v>23800</v>
      </c>
      <c r="C100" s="68">
        <v>64500</v>
      </c>
      <c r="D100" s="68">
        <v>1140500</v>
      </c>
      <c r="E100" s="175"/>
      <c r="F100" s="60"/>
    </row>
    <row r="101" spans="1:6" x14ac:dyDescent="0.35">
      <c r="A101" s="67">
        <v>2047</v>
      </c>
      <c r="B101" s="68">
        <v>23800</v>
      </c>
      <c r="C101" s="68">
        <v>64500</v>
      </c>
      <c r="D101" s="68">
        <v>1140500</v>
      </c>
      <c r="E101" s="175"/>
      <c r="F101" s="60"/>
    </row>
    <row r="102" spans="1:6" x14ac:dyDescent="0.35">
      <c r="A102" s="67">
        <v>2048</v>
      </c>
      <c r="B102" s="68">
        <v>23800</v>
      </c>
      <c r="C102" s="68">
        <v>64500</v>
      </c>
      <c r="D102" s="68">
        <v>1140500</v>
      </c>
      <c r="E102" s="175"/>
      <c r="F102" s="60"/>
    </row>
    <row r="103" spans="1:6" x14ac:dyDescent="0.35">
      <c r="A103" s="67">
        <v>2049</v>
      </c>
      <c r="B103" s="68">
        <v>23800</v>
      </c>
      <c r="C103" s="68">
        <v>64500</v>
      </c>
      <c r="D103" s="68">
        <v>1140500</v>
      </c>
      <c r="E103" s="175"/>
      <c r="F103" s="60"/>
    </row>
    <row r="104" spans="1:6" x14ac:dyDescent="0.35">
      <c r="A104" s="67">
        <v>2050</v>
      </c>
      <c r="B104" s="68">
        <v>23800</v>
      </c>
      <c r="C104" s="68">
        <v>64500</v>
      </c>
      <c r="D104" s="68">
        <v>1140500</v>
      </c>
      <c r="E104" s="175"/>
      <c r="F104" s="60"/>
    </row>
    <row r="105" spans="1:6" x14ac:dyDescent="0.35">
      <c r="A105" s="67">
        <v>2051</v>
      </c>
      <c r="B105" s="68">
        <v>23800</v>
      </c>
      <c r="C105" s="68">
        <v>64500</v>
      </c>
      <c r="D105" s="68">
        <v>1140500</v>
      </c>
      <c r="E105" s="175"/>
      <c r="F105" s="60"/>
    </row>
    <row r="106" spans="1:6" x14ac:dyDescent="0.35">
      <c r="A106" s="67">
        <v>2052</v>
      </c>
      <c r="B106" s="68">
        <v>23800</v>
      </c>
      <c r="C106" s="68">
        <v>64500</v>
      </c>
      <c r="D106" s="68">
        <v>1140500</v>
      </c>
      <c r="E106" s="175"/>
      <c r="F106" s="60"/>
    </row>
    <row r="107" spans="1:6" x14ac:dyDescent="0.35">
      <c r="A107" s="67">
        <v>2053</v>
      </c>
      <c r="B107" s="68">
        <v>23800</v>
      </c>
      <c r="C107" s="68">
        <v>64500</v>
      </c>
      <c r="D107" s="68">
        <v>1140500</v>
      </c>
      <c r="E107" s="175"/>
      <c r="F107" s="60"/>
    </row>
    <row r="108" spans="1:6" x14ac:dyDescent="0.35">
      <c r="A108" s="67">
        <v>2054</v>
      </c>
      <c r="B108" s="68">
        <v>23800</v>
      </c>
      <c r="C108" s="68">
        <v>64500</v>
      </c>
      <c r="D108" s="68">
        <v>1140500</v>
      </c>
      <c r="E108" s="175"/>
      <c r="F108" s="60"/>
    </row>
    <row r="109" spans="1:6" x14ac:dyDescent="0.35">
      <c r="A109" s="67">
        <v>2055</v>
      </c>
      <c r="B109" s="68">
        <v>23800</v>
      </c>
      <c r="C109" s="68">
        <v>64500</v>
      </c>
      <c r="D109" s="68">
        <v>1140500</v>
      </c>
      <c r="E109" s="175"/>
      <c r="F109" s="60"/>
    </row>
    <row r="110" spans="1:6" x14ac:dyDescent="0.35">
      <c r="A110" s="80"/>
      <c r="B110" s="81"/>
      <c r="C110" s="81"/>
      <c r="D110" s="82"/>
      <c r="E110" s="175"/>
      <c r="F110" s="60"/>
    </row>
    <row r="111" spans="1:6" ht="27.75" customHeight="1" x14ac:dyDescent="0.35">
      <c r="A111" s="359" t="s">
        <v>264</v>
      </c>
      <c r="B111" s="372"/>
      <c r="C111" s="372"/>
      <c r="D111" s="360"/>
      <c r="E111" s="176"/>
      <c r="F111" s="60"/>
    </row>
    <row r="112" spans="1:6" ht="17" x14ac:dyDescent="0.35">
      <c r="A112" s="373" t="s">
        <v>77</v>
      </c>
      <c r="B112" s="374"/>
      <c r="C112" s="374"/>
      <c r="D112" s="375"/>
      <c r="E112" s="176"/>
      <c r="F112" s="60"/>
    </row>
    <row r="113" spans="1:6" x14ac:dyDescent="0.35">
      <c r="A113" s="5" t="s">
        <v>203</v>
      </c>
      <c r="B113" s="64"/>
      <c r="C113" s="64"/>
      <c r="D113" s="64"/>
      <c r="E113" s="64"/>
      <c r="F113" s="60"/>
    </row>
    <row r="114" spans="1:6" x14ac:dyDescent="0.35">
      <c r="A114" s="63" t="s">
        <v>57</v>
      </c>
      <c r="B114" s="64"/>
      <c r="C114" s="64"/>
      <c r="D114" s="64"/>
      <c r="E114" s="64"/>
      <c r="F114" s="60"/>
    </row>
    <row r="115" spans="1:6" ht="34.5" customHeight="1" x14ac:dyDescent="0.35">
      <c r="A115" s="75" t="s">
        <v>58</v>
      </c>
      <c r="B115" s="76" t="s">
        <v>333</v>
      </c>
      <c r="C115" s="64"/>
      <c r="D115" s="64"/>
      <c r="E115" s="64"/>
      <c r="F115" s="60"/>
    </row>
    <row r="116" spans="1:6" x14ac:dyDescent="0.35">
      <c r="A116" s="83">
        <v>2005</v>
      </c>
      <c r="B116" s="77">
        <v>1.54</v>
      </c>
      <c r="C116" s="64"/>
      <c r="D116" s="64"/>
      <c r="E116" s="64"/>
      <c r="F116" s="60"/>
    </row>
    <row r="117" spans="1:6" x14ac:dyDescent="0.35">
      <c r="A117" s="83">
        <v>2006</v>
      </c>
      <c r="B117" s="77">
        <v>1.49</v>
      </c>
      <c r="C117" s="64"/>
      <c r="D117" s="64"/>
      <c r="E117" s="64"/>
      <c r="F117" s="60"/>
    </row>
    <row r="118" spans="1:6" x14ac:dyDescent="0.35">
      <c r="A118" s="83">
        <v>2007</v>
      </c>
      <c r="B118" s="77">
        <v>1.45</v>
      </c>
      <c r="C118" s="64"/>
      <c r="D118" s="64"/>
      <c r="E118" s="64"/>
      <c r="F118" s="60"/>
    </row>
    <row r="119" spans="1:6" x14ac:dyDescent="0.35">
      <c r="A119" s="83">
        <v>2008</v>
      </c>
      <c r="B119" s="77">
        <v>1.43</v>
      </c>
      <c r="C119" s="64"/>
      <c r="D119" s="64"/>
      <c r="E119" s="64"/>
      <c r="F119" s="60"/>
    </row>
    <row r="120" spans="1:6" x14ac:dyDescent="0.35">
      <c r="A120" s="83">
        <v>2009</v>
      </c>
      <c r="B120" s="77">
        <v>1.42</v>
      </c>
      <c r="C120" s="64"/>
      <c r="D120" s="64"/>
      <c r="E120" s="64"/>
      <c r="F120" s="60"/>
    </row>
    <row r="121" spans="1:6" x14ac:dyDescent="0.35">
      <c r="A121" s="83">
        <v>2010</v>
      </c>
      <c r="B121" s="77">
        <v>1.4</v>
      </c>
      <c r="C121" s="64"/>
      <c r="D121" s="64"/>
      <c r="E121" s="64"/>
      <c r="F121" s="60"/>
    </row>
    <row r="122" spans="1:6" x14ac:dyDescent="0.35">
      <c r="A122" s="83">
        <v>2011</v>
      </c>
      <c r="B122" s="77">
        <v>1.37</v>
      </c>
      <c r="C122" s="64"/>
      <c r="D122" s="64"/>
      <c r="E122" s="64"/>
      <c r="F122" s="60"/>
    </row>
    <row r="123" spans="1:6" x14ac:dyDescent="0.35">
      <c r="A123" s="83">
        <v>2012</v>
      </c>
      <c r="B123" s="77">
        <v>1.35</v>
      </c>
      <c r="C123" s="64"/>
      <c r="D123" s="64"/>
      <c r="E123" s="64"/>
      <c r="F123" s="60"/>
    </row>
    <row r="124" spans="1:6" x14ac:dyDescent="0.35">
      <c r="A124" s="83">
        <v>2013</v>
      </c>
      <c r="B124" s="77">
        <v>1.32</v>
      </c>
      <c r="C124" s="64"/>
      <c r="D124" s="64"/>
      <c r="E124" s="64"/>
      <c r="F124" s="60"/>
    </row>
    <row r="125" spans="1:6" x14ac:dyDescent="0.35">
      <c r="A125" s="83">
        <v>2014</v>
      </c>
      <c r="B125" s="77">
        <v>1.3</v>
      </c>
      <c r="C125" s="64"/>
      <c r="D125" s="64"/>
      <c r="E125" s="64"/>
      <c r="F125" s="60"/>
    </row>
    <row r="126" spans="1:6" x14ac:dyDescent="0.35">
      <c r="A126" s="83">
        <v>2015</v>
      </c>
      <c r="B126" s="77">
        <v>1.29</v>
      </c>
      <c r="C126" s="64"/>
      <c r="D126" s="64"/>
      <c r="E126" s="64"/>
      <c r="F126" s="60"/>
    </row>
    <row r="127" spans="1:6" x14ac:dyDescent="0.35">
      <c r="A127" s="83">
        <v>2016</v>
      </c>
      <c r="B127" s="77">
        <v>1.28</v>
      </c>
      <c r="C127" s="64"/>
      <c r="D127" s="64"/>
      <c r="E127" s="64"/>
      <c r="F127" s="60"/>
    </row>
    <row r="128" spans="1:6" x14ac:dyDescent="0.35">
      <c r="A128" s="83">
        <v>2017</v>
      </c>
      <c r="B128" s="77">
        <v>1.25</v>
      </c>
      <c r="C128" s="64"/>
      <c r="D128" s="64"/>
      <c r="E128" s="64"/>
      <c r="F128" s="60"/>
    </row>
    <row r="129" spans="1:6" x14ac:dyDescent="0.35">
      <c r="A129" s="83">
        <v>2018</v>
      </c>
      <c r="B129" s="77">
        <v>1.23</v>
      </c>
      <c r="C129" s="64"/>
      <c r="D129" s="64"/>
      <c r="E129" s="64"/>
      <c r="F129" s="60"/>
    </row>
    <row r="130" spans="1:6" x14ac:dyDescent="0.35">
      <c r="A130" s="83">
        <v>2019</v>
      </c>
      <c r="B130" s="77">
        <v>1.21</v>
      </c>
      <c r="C130" s="64"/>
      <c r="D130" s="64"/>
      <c r="E130" s="64"/>
      <c r="F130" s="60"/>
    </row>
    <row r="131" spans="1:6" x14ac:dyDescent="0.35">
      <c r="A131" s="83">
        <v>2020</v>
      </c>
      <c r="B131" s="77">
        <v>1.19</v>
      </c>
      <c r="C131" s="64"/>
      <c r="D131" s="64"/>
      <c r="E131" s="64"/>
      <c r="F131" s="60"/>
    </row>
    <row r="132" spans="1:6" x14ac:dyDescent="0.35">
      <c r="A132" s="83">
        <v>2021</v>
      </c>
      <c r="B132" s="77">
        <v>1.1399999999999999</v>
      </c>
      <c r="C132" s="64"/>
      <c r="D132" s="64"/>
      <c r="E132" s="64"/>
      <c r="F132" s="60"/>
    </row>
    <row r="133" spans="1:6" x14ac:dyDescent="0.35">
      <c r="A133" s="83">
        <v>2022</v>
      </c>
      <c r="B133" s="77">
        <v>1.06</v>
      </c>
      <c r="C133" s="64"/>
      <c r="D133" s="64"/>
      <c r="E133" s="64"/>
      <c r="F133" s="60"/>
    </row>
    <row r="134" spans="1:6" x14ac:dyDescent="0.35">
      <c r="A134" s="83">
        <v>2023</v>
      </c>
      <c r="B134" s="77">
        <v>1.02</v>
      </c>
      <c r="C134" s="64"/>
      <c r="D134" s="64"/>
      <c r="E134" s="64"/>
      <c r="F134" s="60"/>
    </row>
    <row r="135" spans="1:6" x14ac:dyDescent="0.35">
      <c r="A135" s="83">
        <v>2024</v>
      </c>
      <c r="B135" s="77">
        <v>1</v>
      </c>
      <c r="C135" s="64"/>
      <c r="D135" s="64"/>
      <c r="E135" s="64"/>
      <c r="F135" s="60"/>
    </row>
    <row r="136" spans="1:6" x14ac:dyDescent="0.35">
      <c r="A136" s="5" t="s">
        <v>203</v>
      </c>
      <c r="B136" s="64"/>
      <c r="C136" s="64"/>
      <c r="D136" s="64"/>
      <c r="E136" s="64"/>
      <c r="F136" s="60"/>
    </row>
    <row r="137" spans="1:6" x14ac:dyDescent="0.35">
      <c r="A137" s="63" t="s">
        <v>59</v>
      </c>
      <c r="B137" s="64"/>
      <c r="C137" s="64"/>
      <c r="D137" s="64"/>
      <c r="E137" s="64"/>
      <c r="F137" s="60"/>
    </row>
    <row r="138" spans="1:6" ht="51.75" customHeight="1" x14ac:dyDescent="0.35">
      <c r="A138" s="75" t="s">
        <v>60</v>
      </c>
      <c r="B138" s="76" t="s">
        <v>334</v>
      </c>
      <c r="C138" s="64"/>
      <c r="D138" s="64"/>
      <c r="E138" s="64"/>
      <c r="F138" s="60"/>
    </row>
    <row r="139" spans="1:6" ht="16" x14ac:dyDescent="0.35">
      <c r="A139" s="84" t="s">
        <v>78</v>
      </c>
      <c r="B139" s="70">
        <v>0.13</v>
      </c>
      <c r="C139" s="64"/>
      <c r="D139" s="64"/>
      <c r="E139" s="64"/>
      <c r="F139" s="60"/>
    </row>
    <row r="140" spans="1:6" x14ac:dyDescent="0.35">
      <c r="A140" s="84" t="s">
        <v>61</v>
      </c>
      <c r="B140" s="70">
        <v>1.24</v>
      </c>
      <c r="C140" s="64"/>
      <c r="D140" s="64"/>
      <c r="E140" s="64"/>
      <c r="F140" s="60"/>
    </row>
    <row r="141" spans="1:6" x14ac:dyDescent="0.35">
      <c r="A141" s="84" t="s">
        <v>79</v>
      </c>
      <c r="B141" s="70">
        <v>0.1</v>
      </c>
      <c r="C141" s="64"/>
      <c r="D141" s="64"/>
      <c r="E141" s="64"/>
      <c r="F141" s="60"/>
    </row>
    <row r="142" spans="1:6" ht="30" customHeight="1" x14ac:dyDescent="0.35">
      <c r="A142" s="85" t="s">
        <v>62</v>
      </c>
      <c r="B142" s="86">
        <v>1.1000000000000001E-3</v>
      </c>
      <c r="C142" s="64"/>
      <c r="D142" s="64"/>
      <c r="E142" s="64"/>
      <c r="F142" s="60"/>
    </row>
    <row r="143" spans="1:6" x14ac:dyDescent="0.35">
      <c r="A143" s="5" t="s">
        <v>203</v>
      </c>
      <c r="B143" s="4"/>
      <c r="C143" s="64"/>
      <c r="D143" s="64"/>
      <c r="E143" s="64"/>
      <c r="F143" s="60"/>
    </row>
    <row r="144" spans="1:6" ht="30" x14ac:dyDescent="0.35">
      <c r="A144" s="75" t="s">
        <v>60</v>
      </c>
      <c r="B144" s="76" t="s">
        <v>335</v>
      </c>
      <c r="C144" s="64"/>
      <c r="D144" s="64"/>
      <c r="E144" s="64"/>
      <c r="F144" s="60"/>
    </row>
    <row r="145" spans="1:6" ht="34.5" customHeight="1" x14ac:dyDescent="0.35">
      <c r="A145" s="85" t="s">
        <v>80</v>
      </c>
      <c r="B145" s="70">
        <v>0.22</v>
      </c>
      <c r="C145" s="64"/>
      <c r="D145" s="64"/>
      <c r="E145" s="64"/>
      <c r="F145" s="60"/>
    </row>
    <row r="146" spans="1:6" ht="35.25" customHeight="1" x14ac:dyDescent="0.35">
      <c r="A146" s="85" t="s">
        <v>63</v>
      </c>
      <c r="B146" s="70">
        <v>0.56999999999999995</v>
      </c>
      <c r="C146" s="64"/>
      <c r="D146" s="64"/>
      <c r="E146" s="64"/>
      <c r="F146" s="60"/>
    </row>
    <row r="147" spans="1:6" x14ac:dyDescent="0.35">
      <c r="A147" s="184"/>
      <c r="B147" s="185"/>
      <c r="C147" s="64"/>
      <c r="D147" s="64"/>
      <c r="E147" s="64"/>
      <c r="F147" s="60"/>
    </row>
    <row r="148" spans="1:6" ht="111" customHeight="1" x14ac:dyDescent="0.35">
      <c r="A148" s="359" t="s">
        <v>64</v>
      </c>
      <c r="B148" s="360"/>
      <c r="C148" s="64"/>
      <c r="D148" s="64"/>
      <c r="E148" s="64"/>
      <c r="F148" s="60"/>
    </row>
    <row r="149" spans="1:6" ht="36" customHeight="1" x14ac:dyDescent="0.35">
      <c r="A149" s="361" t="s">
        <v>65</v>
      </c>
      <c r="B149" s="362"/>
      <c r="C149" s="64"/>
      <c r="D149" s="64"/>
      <c r="E149" s="64"/>
      <c r="F149" s="60"/>
    </row>
    <row r="150" spans="1:6" x14ac:dyDescent="0.35">
      <c r="A150" s="5" t="s">
        <v>203</v>
      </c>
      <c r="B150" s="64"/>
      <c r="C150" s="64"/>
      <c r="D150" s="64"/>
      <c r="E150" s="64"/>
      <c r="F150" s="60"/>
    </row>
    <row r="151" spans="1:6" x14ac:dyDescent="0.35">
      <c r="A151" s="63" t="s">
        <v>66</v>
      </c>
      <c r="B151" s="64"/>
      <c r="C151" s="64"/>
      <c r="D151" s="64"/>
      <c r="E151" s="64"/>
      <c r="F151" s="60"/>
    </row>
    <row r="152" spans="1:6" ht="36.75" customHeight="1" x14ac:dyDescent="0.35">
      <c r="A152" s="75" t="s">
        <v>67</v>
      </c>
      <c r="B152" s="76" t="s">
        <v>336</v>
      </c>
      <c r="C152" s="64"/>
      <c r="D152" s="64"/>
      <c r="E152" s="64"/>
      <c r="F152" s="60"/>
    </row>
    <row r="153" spans="1:6" x14ac:dyDescent="0.35">
      <c r="A153" s="67" t="s">
        <v>68</v>
      </c>
      <c r="B153" s="78">
        <v>1.76</v>
      </c>
      <c r="C153" s="64"/>
      <c r="D153" s="64"/>
      <c r="E153" s="64"/>
      <c r="F153" s="60"/>
    </row>
    <row r="154" spans="1:6" ht="16" x14ac:dyDescent="0.35">
      <c r="A154" s="67" t="s">
        <v>72</v>
      </c>
      <c r="B154" s="78">
        <v>2.21</v>
      </c>
      <c r="C154" s="64"/>
      <c r="D154" s="64"/>
      <c r="E154" s="64"/>
      <c r="F154" s="60"/>
    </row>
    <row r="155" spans="1:6" x14ac:dyDescent="0.35">
      <c r="A155" s="67" t="s">
        <v>69</v>
      </c>
      <c r="B155" s="78">
        <v>2.09</v>
      </c>
      <c r="C155" s="64"/>
      <c r="D155" s="64"/>
      <c r="E155" s="64"/>
      <c r="F155" s="60"/>
    </row>
    <row r="156" spans="1:6" x14ac:dyDescent="0.35">
      <c r="A156" s="67" t="s">
        <v>70</v>
      </c>
      <c r="B156" s="78">
        <v>0.33</v>
      </c>
      <c r="C156" s="64"/>
      <c r="D156" s="64"/>
      <c r="E156" s="64"/>
      <c r="F156" s="60"/>
    </row>
    <row r="157" spans="1:6" x14ac:dyDescent="0.35">
      <c r="A157" s="67" t="s">
        <v>71</v>
      </c>
      <c r="B157" s="78">
        <v>2.09</v>
      </c>
      <c r="C157" s="64"/>
      <c r="D157" s="64"/>
      <c r="E157" s="64"/>
      <c r="F157" s="60"/>
    </row>
    <row r="158" spans="1:6" x14ac:dyDescent="0.35">
      <c r="A158" s="73"/>
      <c r="B158" s="74"/>
      <c r="C158" s="64"/>
      <c r="D158" s="64"/>
      <c r="E158" s="64"/>
      <c r="F158" s="60"/>
    </row>
    <row r="159" spans="1:6" ht="153.75" customHeight="1" x14ac:dyDescent="0.35">
      <c r="A159" s="359" t="s">
        <v>74</v>
      </c>
      <c r="B159" s="360"/>
      <c r="C159" s="64"/>
      <c r="D159" s="64"/>
      <c r="E159" s="64"/>
      <c r="F159" s="60"/>
    </row>
    <row r="160" spans="1:6" ht="50.25" customHeight="1" x14ac:dyDescent="0.35">
      <c r="A160" s="361" t="s">
        <v>73</v>
      </c>
      <c r="B160" s="362"/>
      <c r="C160" s="64"/>
      <c r="D160" s="64"/>
      <c r="E160" s="64"/>
      <c r="F160" s="60"/>
    </row>
    <row r="161" spans="1:6" x14ac:dyDescent="0.35">
      <c r="A161" s="5" t="s">
        <v>203</v>
      </c>
      <c r="F161" s="60"/>
    </row>
    <row r="162" spans="1:6" x14ac:dyDescent="0.35">
      <c r="A162" s="63" t="s">
        <v>81</v>
      </c>
      <c r="F162" s="60"/>
    </row>
    <row r="163" spans="1:6" ht="15.75" customHeight="1" x14ac:dyDescent="0.35">
      <c r="A163" s="379" t="s">
        <v>82</v>
      </c>
      <c r="B163" s="378" t="s">
        <v>337</v>
      </c>
      <c r="C163" s="378"/>
      <c r="D163" s="378"/>
      <c r="F163" s="60"/>
    </row>
    <row r="164" spans="1:6" ht="37.5" customHeight="1" x14ac:dyDescent="0.35">
      <c r="A164" s="379"/>
      <c r="B164" s="76" t="s">
        <v>84</v>
      </c>
      <c r="C164" s="76" t="s">
        <v>86</v>
      </c>
      <c r="D164" s="76" t="s">
        <v>85</v>
      </c>
      <c r="F164" s="60"/>
    </row>
    <row r="165" spans="1:6" x14ac:dyDescent="0.35">
      <c r="A165" s="87" t="s">
        <v>87</v>
      </c>
      <c r="B165" s="88">
        <v>0.04</v>
      </c>
      <c r="C165" s="88">
        <v>0.04</v>
      </c>
      <c r="D165" s="88">
        <v>7.0000000000000007E-2</v>
      </c>
      <c r="F165" s="60"/>
    </row>
    <row r="166" spans="1:6" x14ac:dyDescent="0.35">
      <c r="A166" s="87" t="s">
        <v>88</v>
      </c>
      <c r="B166" s="88">
        <v>0.36</v>
      </c>
      <c r="C166" s="88">
        <v>0.17</v>
      </c>
      <c r="D166" s="88">
        <v>1</v>
      </c>
      <c r="F166" s="60"/>
    </row>
    <row r="167" spans="1:6" x14ac:dyDescent="0.35">
      <c r="A167" s="87" t="s">
        <v>89</v>
      </c>
      <c r="B167" s="88">
        <v>0.27</v>
      </c>
      <c r="C167" s="88">
        <v>0.27</v>
      </c>
      <c r="D167" s="88">
        <v>0.13</v>
      </c>
      <c r="F167" s="60"/>
    </row>
    <row r="168" spans="1:6" x14ac:dyDescent="0.35">
      <c r="A168" s="87" t="s">
        <v>90</v>
      </c>
      <c r="B168" s="88">
        <v>0.36</v>
      </c>
      <c r="C168" s="88">
        <v>0.06</v>
      </c>
      <c r="D168" s="88">
        <v>0.12</v>
      </c>
      <c r="F168" s="60"/>
    </row>
    <row r="169" spans="1:6" ht="16" x14ac:dyDescent="0.35">
      <c r="A169" s="87" t="s">
        <v>106</v>
      </c>
      <c r="B169" s="88">
        <v>0.22</v>
      </c>
      <c r="C169" s="88">
        <v>0.16</v>
      </c>
      <c r="D169" s="88">
        <v>0.15</v>
      </c>
      <c r="F169" s="60"/>
    </row>
    <row r="170" spans="1:6" ht="16" x14ac:dyDescent="0.35">
      <c r="A170" s="87" t="s">
        <v>107</v>
      </c>
      <c r="B170" s="88">
        <v>0.28999999999999998</v>
      </c>
      <c r="C170" s="88">
        <v>0.19</v>
      </c>
      <c r="D170" s="88">
        <v>0.15</v>
      </c>
      <c r="F170" s="60"/>
    </row>
    <row r="171" spans="1:6" x14ac:dyDescent="0.35">
      <c r="A171" s="87" t="s">
        <v>91</v>
      </c>
      <c r="B171" s="88">
        <v>0.17</v>
      </c>
      <c r="C171" s="88">
        <v>0.17</v>
      </c>
      <c r="D171" s="88">
        <v>0.12</v>
      </c>
      <c r="F171" s="60"/>
    </row>
    <row r="172" spans="1:6" x14ac:dyDescent="0.35">
      <c r="A172" s="87" t="s">
        <v>92</v>
      </c>
      <c r="B172" s="88">
        <v>0.13</v>
      </c>
      <c r="C172" s="88">
        <v>0.13</v>
      </c>
      <c r="D172" s="88">
        <v>7.0000000000000007E-2</v>
      </c>
      <c r="F172" s="60"/>
    </row>
    <row r="173" spans="1:6" x14ac:dyDescent="0.35">
      <c r="A173" s="87" t="s">
        <v>93</v>
      </c>
      <c r="B173" s="88">
        <v>0.09</v>
      </c>
      <c r="C173" s="88">
        <v>0.03</v>
      </c>
      <c r="D173" s="88">
        <v>0.21</v>
      </c>
      <c r="F173" s="60"/>
    </row>
    <row r="174" spans="1:6" x14ac:dyDescent="0.35">
      <c r="A174" s="87" t="s">
        <v>94</v>
      </c>
      <c r="B174" s="88">
        <v>0.37</v>
      </c>
      <c r="C174" s="88">
        <v>0.37</v>
      </c>
      <c r="D174" s="88">
        <v>0.23</v>
      </c>
      <c r="F174" s="60"/>
    </row>
    <row r="175" spans="1:6" x14ac:dyDescent="0.35">
      <c r="A175" s="87" t="s">
        <v>95</v>
      </c>
      <c r="B175" s="88">
        <v>0.48</v>
      </c>
      <c r="C175" s="88">
        <v>0.09</v>
      </c>
      <c r="D175" s="88">
        <v>0.08</v>
      </c>
      <c r="F175" s="60"/>
    </row>
    <row r="176" spans="1:6" x14ac:dyDescent="0.35">
      <c r="A176" s="87" t="s">
        <v>96</v>
      </c>
      <c r="B176" s="88">
        <v>0.36</v>
      </c>
      <c r="C176" s="88">
        <v>0.36</v>
      </c>
      <c r="D176" s="88">
        <v>0.37</v>
      </c>
      <c r="F176" s="60"/>
    </row>
    <row r="177" spans="1:6" ht="16" x14ac:dyDescent="0.35">
      <c r="A177" s="87" t="s">
        <v>108</v>
      </c>
      <c r="B177" s="88">
        <v>0.72</v>
      </c>
      <c r="C177" s="88">
        <v>0.72</v>
      </c>
      <c r="D177" s="88">
        <v>0.72</v>
      </c>
      <c r="F177" s="60"/>
    </row>
    <row r="178" spans="1:6" x14ac:dyDescent="0.35">
      <c r="A178" s="87" t="s">
        <v>97</v>
      </c>
      <c r="B178" s="88">
        <v>0.12</v>
      </c>
      <c r="C178" s="88">
        <v>0.12</v>
      </c>
      <c r="D178" s="88">
        <v>0.08</v>
      </c>
      <c r="F178" s="60"/>
    </row>
    <row r="179" spans="1:6" x14ac:dyDescent="0.35">
      <c r="A179" s="87" t="s">
        <v>98</v>
      </c>
      <c r="B179" s="88">
        <v>0.27</v>
      </c>
      <c r="C179" s="88">
        <v>0.11</v>
      </c>
      <c r="D179" s="88">
        <v>0.55000000000000004</v>
      </c>
      <c r="F179" s="60"/>
    </row>
    <row r="180" spans="1:6" x14ac:dyDescent="0.35">
      <c r="A180" s="87" t="s">
        <v>99</v>
      </c>
      <c r="B180" s="89" t="s">
        <v>100</v>
      </c>
      <c r="C180" s="89" t="s">
        <v>100</v>
      </c>
      <c r="D180" s="88">
        <v>0.11</v>
      </c>
      <c r="F180" s="60"/>
    </row>
    <row r="181" spans="1:6" x14ac:dyDescent="0.35">
      <c r="A181" s="87" t="s">
        <v>101</v>
      </c>
      <c r="B181" s="89" t="s">
        <v>100</v>
      </c>
      <c r="C181" s="89" t="s">
        <v>100</v>
      </c>
      <c r="D181" s="88">
        <v>0.13</v>
      </c>
      <c r="F181" s="60"/>
    </row>
    <row r="182" spans="1:6" x14ac:dyDescent="0.35">
      <c r="A182" s="87" t="s">
        <v>102</v>
      </c>
      <c r="B182" s="89" t="s">
        <v>100</v>
      </c>
      <c r="C182" s="89" t="s">
        <v>100</v>
      </c>
      <c r="D182" s="88">
        <v>0.08</v>
      </c>
      <c r="F182" s="60"/>
    </row>
    <row r="183" spans="1:6" x14ac:dyDescent="0.35">
      <c r="A183" s="87" t="s">
        <v>103</v>
      </c>
      <c r="B183" s="89" t="s">
        <v>100</v>
      </c>
      <c r="C183" s="89" t="s">
        <v>100</v>
      </c>
      <c r="D183" s="88">
        <v>0.04</v>
      </c>
      <c r="F183" s="60"/>
    </row>
    <row r="184" spans="1:6" x14ac:dyDescent="0.35">
      <c r="A184" s="87" t="s">
        <v>104</v>
      </c>
      <c r="B184" s="89" t="s">
        <v>100</v>
      </c>
      <c r="C184" s="89" t="s">
        <v>100</v>
      </c>
      <c r="D184" s="88">
        <v>0.11</v>
      </c>
      <c r="F184" s="60"/>
    </row>
    <row r="185" spans="1:6" x14ac:dyDescent="0.35">
      <c r="A185" s="87" t="s">
        <v>105</v>
      </c>
      <c r="B185" s="89" t="s">
        <v>100</v>
      </c>
      <c r="C185" s="89" t="s">
        <v>100</v>
      </c>
      <c r="D185" s="88">
        <v>0.06</v>
      </c>
      <c r="F185" s="60"/>
    </row>
    <row r="186" spans="1:6" ht="16" x14ac:dyDescent="0.35">
      <c r="A186" s="87" t="s">
        <v>109</v>
      </c>
      <c r="B186" s="89" t="s">
        <v>100</v>
      </c>
      <c r="C186" s="89" t="s">
        <v>100</v>
      </c>
      <c r="D186" s="88">
        <v>0.23</v>
      </c>
      <c r="F186" s="60"/>
    </row>
    <row r="187" spans="1:6" x14ac:dyDescent="0.35">
      <c r="A187" s="90"/>
      <c r="B187" s="58"/>
      <c r="C187" s="58"/>
      <c r="D187" s="59"/>
      <c r="F187" s="60"/>
    </row>
    <row r="188" spans="1:6" ht="63.75" customHeight="1" x14ac:dyDescent="0.35">
      <c r="A188" s="361" t="s">
        <v>110</v>
      </c>
      <c r="B188" s="371"/>
      <c r="C188" s="371"/>
      <c r="D188" s="362"/>
      <c r="F188" s="60"/>
    </row>
    <row r="189" spans="1:6" x14ac:dyDescent="0.35">
      <c r="A189" s="5" t="s">
        <v>203</v>
      </c>
      <c r="F189" s="60"/>
    </row>
    <row r="190" spans="1:6" x14ac:dyDescent="0.35">
      <c r="A190" s="63" t="s">
        <v>111</v>
      </c>
      <c r="F190" s="60"/>
    </row>
    <row r="191" spans="1:6" x14ac:dyDescent="0.35">
      <c r="A191" s="379" t="s">
        <v>82</v>
      </c>
      <c r="B191" s="378" t="s">
        <v>337</v>
      </c>
      <c r="C191" s="378"/>
      <c r="D191" s="378"/>
      <c r="F191" s="60"/>
    </row>
    <row r="192" spans="1:6" x14ac:dyDescent="0.35">
      <c r="A192" s="379"/>
      <c r="B192" s="76" t="s">
        <v>83</v>
      </c>
      <c r="C192" s="76" t="s">
        <v>112</v>
      </c>
      <c r="D192" s="76" t="s">
        <v>113</v>
      </c>
      <c r="F192" s="60"/>
    </row>
    <row r="193" spans="1:6" x14ac:dyDescent="0.35">
      <c r="A193" s="87" t="s">
        <v>88</v>
      </c>
      <c r="B193" s="88">
        <v>0.25</v>
      </c>
      <c r="C193" s="88">
        <v>0.25</v>
      </c>
      <c r="D193" s="88">
        <v>0.25</v>
      </c>
      <c r="F193" s="60"/>
    </row>
    <row r="194" spans="1:6" x14ac:dyDescent="0.35">
      <c r="A194" s="87" t="s">
        <v>114</v>
      </c>
      <c r="B194" s="88">
        <v>0.15</v>
      </c>
      <c r="C194" s="88">
        <v>0.15</v>
      </c>
      <c r="D194" s="88">
        <v>0.36</v>
      </c>
      <c r="F194" s="60"/>
    </row>
    <row r="195" spans="1:6" x14ac:dyDescent="0.35">
      <c r="A195" s="87" t="s">
        <v>115</v>
      </c>
      <c r="B195" s="88">
        <v>0.1</v>
      </c>
      <c r="C195" s="88">
        <v>0.1</v>
      </c>
      <c r="D195" s="88">
        <v>0.1</v>
      </c>
      <c r="F195" s="60"/>
    </row>
    <row r="196" spans="1:6" x14ac:dyDescent="0.35">
      <c r="A196" s="87" t="s">
        <v>90</v>
      </c>
      <c r="B196" s="88">
        <v>0.44</v>
      </c>
      <c r="C196" s="88">
        <v>0.44</v>
      </c>
      <c r="D196" s="88">
        <v>0.45</v>
      </c>
      <c r="F196" s="60"/>
    </row>
    <row r="197" spans="1:6" x14ac:dyDescent="0.35">
      <c r="A197" s="87" t="s">
        <v>96</v>
      </c>
      <c r="B197" s="88">
        <v>0.25</v>
      </c>
      <c r="C197" s="88">
        <v>0.25</v>
      </c>
      <c r="D197" s="88">
        <v>0.73</v>
      </c>
      <c r="F197" s="60"/>
    </row>
    <row r="198" spans="1:6" x14ac:dyDescent="0.35">
      <c r="A198" s="87" t="s">
        <v>116</v>
      </c>
      <c r="B198" s="88">
        <v>0.36</v>
      </c>
      <c r="C198" s="88">
        <v>0.14000000000000001</v>
      </c>
      <c r="D198" s="88">
        <v>0.55000000000000004</v>
      </c>
      <c r="F198" s="60"/>
    </row>
    <row r="199" spans="1:6" x14ac:dyDescent="0.35">
      <c r="A199" s="87" t="s">
        <v>117</v>
      </c>
      <c r="B199" s="88">
        <v>0.05</v>
      </c>
      <c r="C199" s="88">
        <v>0.05</v>
      </c>
      <c r="D199" s="88">
        <v>0.05</v>
      </c>
      <c r="F199" s="60"/>
    </row>
    <row r="200" spans="1:6" x14ac:dyDescent="0.35">
      <c r="A200" s="87" t="s">
        <v>118</v>
      </c>
      <c r="B200" s="89" t="s">
        <v>100</v>
      </c>
      <c r="C200" s="89" t="s">
        <v>100</v>
      </c>
      <c r="D200" s="88">
        <v>0.03</v>
      </c>
      <c r="F200" s="60"/>
    </row>
    <row r="201" spans="1:6" x14ac:dyDescent="0.35">
      <c r="A201" s="87" t="s">
        <v>91</v>
      </c>
      <c r="B201" s="89" t="s">
        <v>100</v>
      </c>
      <c r="C201" s="89" t="s">
        <v>100</v>
      </c>
      <c r="D201" s="88">
        <v>0.22</v>
      </c>
      <c r="F201" s="60"/>
    </row>
    <row r="202" spans="1:6" x14ac:dyDescent="0.35">
      <c r="A202" s="5" t="s">
        <v>203</v>
      </c>
      <c r="F202" s="60"/>
    </row>
    <row r="203" spans="1:6" x14ac:dyDescent="0.35">
      <c r="A203" s="63" t="s">
        <v>119</v>
      </c>
      <c r="F203" s="60"/>
    </row>
    <row r="204" spans="1:6" ht="44.5" x14ac:dyDescent="0.35">
      <c r="A204" s="75" t="s">
        <v>120</v>
      </c>
      <c r="B204" s="91" t="s">
        <v>338</v>
      </c>
      <c r="C204" s="91" t="s">
        <v>339</v>
      </c>
      <c r="F204" s="60"/>
    </row>
    <row r="205" spans="1:6" ht="16.5" x14ac:dyDescent="0.35">
      <c r="A205" s="87" t="s">
        <v>125</v>
      </c>
      <c r="B205" s="88">
        <v>0.36</v>
      </c>
      <c r="C205" s="88">
        <v>0.44</v>
      </c>
      <c r="F205" s="60"/>
    </row>
    <row r="206" spans="1:6" ht="16.5" x14ac:dyDescent="0.35">
      <c r="A206" s="87" t="s">
        <v>126</v>
      </c>
      <c r="B206" s="88">
        <v>0.73</v>
      </c>
      <c r="C206" s="88">
        <v>0.87</v>
      </c>
      <c r="F206" s="60"/>
    </row>
    <row r="207" spans="1:6" ht="16.5" x14ac:dyDescent="0.35">
      <c r="A207" s="87" t="s">
        <v>127</v>
      </c>
      <c r="B207" s="88">
        <v>1.82</v>
      </c>
      <c r="C207" s="88">
        <v>1.74</v>
      </c>
      <c r="F207" s="60"/>
    </row>
    <row r="208" spans="1:6" x14ac:dyDescent="0.35">
      <c r="A208" s="87" t="s">
        <v>121</v>
      </c>
      <c r="B208" s="88">
        <v>2.1800000000000002</v>
      </c>
      <c r="C208" s="88">
        <v>2.1800000000000002</v>
      </c>
      <c r="F208" s="60"/>
    </row>
    <row r="209" spans="1:6" x14ac:dyDescent="0.35">
      <c r="A209" s="87" t="s">
        <v>122</v>
      </c>
      <c r="B209" s="88">
        <v>3.63</v>
      </c>
      <c r="C209" s="88">
        <v>3.92</v>
      </c>
      <c r="F209" s="60"/>
    </row>
    <row r="210" spans="1:6" x14ac:dyDescent="0.35">
      <c r="A210" s="87" t="s">
        <v>123</v>
      </c>
      <c r="B210" s="88">
        <v>4</v>
      </c>
      <c r="C210" s="88">
        <v>4.3600000000000003</v>
      </c>
      <c r="F210" s="60"/>
    </row>
    <row r="211" spans="1:6" x14ac:dyDescent="0.35">
      <c r="A211" s="87" t="s">
        <v>124</v>
      </c>
      <c r="B211" s="88">
        <v>5.81</v>
      </c>
      <c r="C211" s="88">
        <v>4.3600000000000003</v>
      </c>
      <c r="F211" s="60"/>
    </row>
    <row r="212" spans="1:6" ht="16.5" x14ac:dyDescent="0.35">
      <c r="A212" s="87" t="s">
        <v>128</v>
      </c>
      <c r="B212" s="88">
        <v>4</v>
      </c>
      <c r="C212" s="88">
        <v>4.3600000000000003</v>
      </c>
      <c r="F212" s="60"/>
    </row>
    <row r="213" spans="1:6" x14ac:dyDescent="0.35">
      <c r="A213" s="90"/>
      <c r="B213" s="58"/>
      <c r="C213" s="59"/>
      <c r="F213" s="60"/>
    </row>
    <row r="214" spans="1:6" ht="48.75" customHeight="1" x14ac:dyDescent="0.35">
      <c r="A214" s="359" t="s">
        <v>129</v>
      </c>
      <c r="B214" s="372"/>
      <c r="C214" s="360"/>
      <c r="F214" s="60"/>
    </row>
    <row r="215" spans="1:6" ht="96.75" customHeight="1" x14ac:dyDescent="0.35">
      <c r="A215" s="359" t="s">
        <v>130</v>
      </c>
      <c r="B215" s="372"/>
      <c r="C215" s="360"/>
      <c r="F215" s="60"/>
    </row>
    <row r="216" spans="1:6" ht="66.75" customHeight="1" x14ac:dyDescent="0.35">
      <c r="A216" s="361" t="s">
        <v>156</v>
      </c>
      <c r="B216" s="371"/>
      <c r="C216" s="362"/>
      <c r="F216" s="60"/>
    </row>
    <row r="217" spans="1:6" x14ac:dyDescent="0.35">
      <c r="A217" s="5" t="s">
        <v>203</v>
      </c>
      <c r="F217" s="60"/>
    </row>
    <row r="218" spans="1:6" x14ac:dyDescent="0.35">
      <c r="A218" s="63" t="s">
        <v>131</v>
      </c>
      <c r="F218" s="60"/>
    </row>
    <row r="219" spans="1:6" ht="30.5" x14ac:dyDescent="0.35">
      <c r="A219" s="75" t="s">
        <v>133</v>
      </c>
      <c r="B219" s="91" t="s">
        <v>204</v>
      </c>
      <c r="C219" s="91" t="s">
        <v>340</v>
      </c>
      <c r="F219" s="60"/>
    </row>
    <row r="220" spans="1:6" ht="16.5" x14ac:dyDescent="0.35">
      <c r="A220" s="87" t="s">
        <v>134</v>
      </c>
      <c r="B220" s="89" t="s">
        <v>136</v>
      </c>
      <c r="C220" s="88">
        <v>8.36</v>
      </c>
      <c r="F220" s="60"/>
    </row>
    <row r="221" spans="1:6" ht="16.5" x14ac:dyDescent="0.35">
      <c r="A221" s="87" t="s">
        <v>135</v>
      </c>
      <c r="B221" s="89" t="s">
        <v>137</v>
      </c>
      <c r="C221" s="88">
        <v>7.45</v>
      </c>
      <c r="F221" s="60"/>
    </row>
    <row r="222" spans="1:6" x14ac:dyDescent="0.35">
      <c r="A222" s="90"/>
      <c r="B222" s="58"/>
      <c r="C222" s="59"/>
      <c r="F222" s="60"/>
    </row>
    <row r="223" spans="1:6" ht="50.25" customHeight="1" x14ac:dyDescent="0.35">
      <c r="A223" s="359" t="s">
        <v>138</v>
      </c>
      <c r="B223" s="372"/>
      <c r="C223" s="360"/>
      <c r="F223" s="60"/>
    </row>
    <row r="224" spans="1:6" ht="51" customHeight="1" x14ac:dyDescent="0.35">
      <c r="A224" s="359" t="s">
        <v>139</v>
      </c>
      <c r="B224" s="372"/>
      <c r="C224" s="360"/>
      <c r="F224" s="60"/>
    </row>
    <row r="225" spans="1:6" ht="49.5" customHeight="1" x14ac:dyDescent="0.35">
      <c r="A225" s="359" t="s">
        <v>140</v>
      </c>
      <c r="B225" s="372"/>
      <c r="C225" s="360"/>
      <c r="F225" s="60"/>
    </row>
    <row r="226" spans="1:6" ht="80.25" customHeight="1" x14ac:dyDescent="0.35">
      <c r="A226" s="361" t="s">
        <v>141</v>
      </c>
      <c r="B226" s="371"/>
      <c r="C226" s="362"/>
      <c r="F226" s="60"/>
    </row>
    <row r="227" spans="1:6" x14ac:dyDescent="0.35">
      <c r="A227" s="5" t="s">
        <v>203</v>
      </c>
      <c r="F227" s="60"/>
    </row>
    <row r="228" spans="1:6" x14ac:dyDescent="0.35">
      <c r="A228" s="63" t="s">
        <v>132</v>
      </c>
      <c r="F228" s="60"/>
    </row>
    <row r="229" spans="1:6" ht="15.75" customHeight="1" x14ac:dyDescent="0.35">
      <c r="A229" s="379" t="s">
        <v>142</v>
      </c>
      <c r="B229" s="380" t="s">
        <v>341</v>
      </c>
      <c r="C229" s="381"/>
      <c r="D229" s="381"/>
      <c r="E229" s="382"/>
      <c r="F229" s="178"/>
    </row>
    <row r="230" spans="1:6" ht="16" x14ac:dyDescent="0.35">
      <c r="A230" s="379"/>
      <c r="B230" s="76" t="s">
        <v>143</v>
      </c>
      <c r="C230" s="76" t="s">
        <v>144</v>
      </c>
      <c r="D230" s="76" t="s">
        <v>145</v>
      </c>
      <c r="E230" s="76" t="s">
        <v>322</v>
      </c>
      <c r="F230" s="179"/>
    </row>
    <row r="231" spans="1:6" x14ac:dyDescent="0.35">
      <c r="A231" s="87" t="s">
        <v>146</v>
      </c>
      <c r="B231" s="92">
        <v>0.14699999999999999</v>
      </c>
      <c r="C231" s="93">
        <v>2.0999999999999999E-3</v>
      </c>
      <c r="D231" s="92">
        <v>1.9E-2</v>
      </c>
      <c r="E231" s="92" t="s">
        <v>100</v>
      </c>
      <c r="F231" s="180"/>
    </row>
    <row r="232" spans="1:6" x14ac:dyDescent="0.35">
      <c r="A232" s="87" t="s">
        <v>147</v>
      </c>
      <c r="B232" s="92">
        <v>3.1E-2</v>
      </c>
      <c r="C232" s="93">
        <v>2.0000000000000001E-4</v>
      </c>
      <c r="D232" s="92">
        <v>0.105</v>
      </c>
      <c r="E232" s="92" t="s">
        <v>100</v>
      </c>
      <c r="F232" s="180"/>
    </row>
    <row r="233" spans="1:6" x14ac:dyDescent="0.35">
      <c r="A233" s="87" t="s">
        <v>148</v>
      </c>
      <c r="B233" s="92">
        <v>0.124</v>
      </c>
      <c r="C233" s="93">
        <v>1.1000000000000001E-3</v>
      </c>
      <c r="D233" s="92">
        <v>4.2999999999999997E-2</v>
      </c>
      <c r="E233" s="92">
        <v>1.2999999999999999E-2</v>
      </c>
      <c r="F233" s="180"/>
    </row>
    <row r="234" spans="1:6" x14ac:dyDescent="0.35">
      <c r="A234" s="87" t="s">
        <v>149</v>
      </c>
      <c r="B234" s="92">
        <v>0.36699999999999999</v>
      </c>
      <c r="C234" s="93">
        <v>4.65E-2</v>
      </c>
      <c r="D234" s="92">
        <v>1.7000000000000001E-2</v>
      </c>
      <c r="E234" s="92" t="s">
        <v>100</v>
      </c>
      <c r="F234" s="180"/>
    </row>
    <row r="235" spans="1:6" x14ac:dyDescent="0.35">
      <c r="A235" s="87" t="s">
        <v>150</v>
      </c>
      <c r="B235" s="92">
        <v>0.08</v>
      </c>
      <c r="C235" s="93">
        <v>3.8999999999999998E-3</v>
      </c>
      <c r="D235" s="92">
        <v>0.03</v>
      </c>
      <c r="E235" s="92" t="s">
        <v>100</v>
      </c>
      <c r="F235" s="180"/>
    </row>
    <row r="236" spans="1:6" x14ac:dyDescent="0.35">
      <c r="A236" s="87" t="s">
        <v>151</v>
      </c>
      <c r="B236" s="92">
        <v>0.251</v>
      </c>
      <c r="C236" s="93">
        <v>2.3400000000000001E-2</v>
      </c>
      <c r="D236" s="92">
        <v>2.3E-2</v>
      </c>
      <c r="E236" s="92">
        <v>3.7999999999999999E-2</v>
      </c>
      <c r="F236" s="180"/>
    </row>
    <row r="237" spans="1:6" x14ac:dyDescent="0.35">
      <c r="A237" s="87" t="s">
        <v>152</v>
      </c>
      <c r="B237" s="92">
        <v>0.16300000000000001</v>
      </c>
      <c r="C237" s="93">
        <v>5.4000000000000003E-3</v>
      </c>
      <c r="D237" s="92">
        <v>1.9E-2</v>
      </c>
      <c r="E237" s="92" t="s">
        <v>100</v>
      </c>
      <c r="F237" s="180"/>
    </row>
    <row r="238" spans="1:6" x14ac:dyDescent="0.35">
      <c r="A238" s="87" t="s">
        <v>153</v>
      </c>
      <c r="B238" s="92">
        <v>3.7999999999999999E-2</v>
      </c>
      <c r="C238" s="93">
        <v>6.9999999999999999E-4</v>
      </c>
      <c r="D238" s="92">
        <v>9.4E-2</v>
      </c>
      <c r="E238" s="92" t="s">
        <v>100</v>
      </c>
      <c r="F238" s="180"/>
    </row>
    <row r="239" spans="1:6" x14ac:dyDescent="0.35">
      <c r="A239" s="87" t="s">
        <v>154</v>
      </c>
      <c r="B239" s="92">
        <v>0.13600000000000001</v>
      </c>
      <c r="C239" s="93">
        <v>3.3E-3</v>
      </c>
      <c r="D239" s="92">
        <v>4.1000000000000002E-2</v>
      </c>
      <c r="E239" s="92">
        <v>1.6E-2</v>
      </c>
      <c r="F239" s="180"/>
    </row>
    <row r="240" spans="1:6" x14ac:dyDescent="0.35">
      <c r="A240" s="90"/>
      <c r="B240" s="58"/>
      <c r="C240" s="58"/>
      <c r="D240" s="59"/>
      <c r="E240" s="177"/>
      <c r="F240" s="181"/>
    </row>
    <row r="241" spans="1:6" ht="45.75" customHeight="1" x14ac:dyDescent="0.35">
      <c r="A241" s="359" t="s">
        <v>342</v>
      </c>
      <c r="B241" s="372"/>
      <c r="C241" s="372"/>
      <c r="D241" s="372"/>
      <c r="E241" s="360"/>
      <c r="F241" s="182"/>
    </row>
    <row r="242" spans="1:6" ht="32.5" customHeight="1" x14ac:dyDescent="0.35">
      <c r="A242" s="376" t="s">
        <v>321</v>
      </c>
      <c r="B242" s="376"/>
      <c r="C242" s="376"/>
      <c r="D242" s="376"/>
      <c r="E242" s="377"/>
      <c r="F242" s="183"/>
    </row>
  </sheetData>
  <mergeCells count="35">
    <mergeCell ref="A148:B148"/>
    <mergeCell ref="A149:B149"/>
    <mergeCell ref="A159:B159"/>
    <mergeCell ref="A226:C226"/>
    <mergeCell ref="A229:A230"/>
    <mergeCell ref="A214:C214"/>
    <mergeCell ref="A215:C215"/>
    <mergeCell ref="A216:C216"/>
    <mergeCell ref="B229:E229"/>
    <mergeCell ref="A241:E241"/>
    <mergeCell ref="A242:E242"/>
    <mergeCell ref="A225:C225"/>
    <mergeCell ref="B163:D163"/>
    <mergeCell ref="A163:A164"/>
    <mergeCell ref="A223:C223"/>
    <mergeCell ref="A224:C224"/>
    <mergeCell ref="A188:D188"/>
    <mergeCell ref="A191:A192"/>
    <mergeCell ref="B191:D191"/>
    <mergeCell ref="A20:B20"/>
    <mergeCell ref="A21:B21"/>
    <mergeCell ref="A36:B36"/>
    <mergeCell ref="A37:B37"/>
    <mergeCell ref="A160:B160"/>
    <mergeCell ref="A38:B38"/>
    <mergeCell ref="A39:B39"/>
    <mergeCell ref="A40:B40"/>
    <mergeCell ref="A49:B49"/>
    <mergeCell ref="A56:B56"/>
    <mergeCell ref="A57:B57"/>
    <mergeCell ref="B60:C60"/>
    <mergeCell ref="A74:C74"/>
    <mergeCell ref="A75:C75"/>
    <mergeCell ref="A111:D111"/>
    <mergeCell ref="A112:D112"/>
  </mergeCells>
  <hyperlinks>
    <hyperlink ref="A3" r:id="rId1" display="Tables A-1 through A-4 come from USDOT BCA Guidance (March 2022, Revised)" xr:uid="{68918682-7B21-4C2E-A89E-E2125912E2A4}"/>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F280EE709480C4A814056404C03C755" ma:contentTypeVersion="13" ma:contentTypeDescription="Create a new document." ma:contentTypeScope="" ma:versionID="8b9c765f856e7a809359204b9c4f061d">
  <xsd:schema xmlns:xsd="http://www.w3.org/2001/XMLSchema" xmlns:xs="http://www.w3.org/2001/XMLSchema" xmlns:p="http://schemas.microsoft.com/office/2006/metadata/properties" xmlns:ns2="1105510d-043a-4047-872e-83a0db36d0ca" xmlns:ns3="b3517f6a-f444-4614-af0d-96020a84cc07" targetNamespace="http://schemas.microsoft.com/office/2006/metadata/properties" ma:root="true" ma:fieldsID="58fb3f7929d7c5e21f899c3dfc872417" ns2:_="" ns3:_="">
    <xsd:import namespace="1105510d-043a-4047-872e-83a0db36d0ca"/>
    <xsd:import namespace="b3517f6a-f444-4614-af0d-96020a84cc0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05510d-043a-4047-872e-83a0db36d0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ddd0feca-3926-49d8-aff6-3a45e16c693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3517f6a-f444-4614-af0d-96020a84cc0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030257e-0afb-438f-a11b-234e3b5f42d8}" ma:internalName="TaxCatchAll" ma:showField="CatchAllData" ma:web="b3517f6a-f444-4614-af0d-96020a84cc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105510d-043a-4047-872e-83a0db36d0ca">
      <Terms xmlns="http://schemas.microsoft.com/office/infopath/2007/PartnerControls"/>
    </lcf76f155ced4ddcb4097134ff3c332f>
    <TaxCatchAll xmlns="b3517f6a-f444-4614-af0d-96020a84cc0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CCF48D-033C-4B9F-89F0-AEB858885A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05510d-043a-4047-872e-83a0db36d0ca"/>
    <ds:schemaRef ds:uri="b3517f6a-f444-4614-af0d-96020a84cc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7A905A7-6BDF-40F7-9D06-0BE34A93534A}">
  <ds:schemaRefs>
    <ds:schemaRef ds:uri="http://schemas.microsoft.com/office/2006/metadata/properties"/>
    <ds:schemaRef ds:uri="http://schemas.microsoft.com/office/infopath/2007/PartnerControls"/>
    <ds:schemaRef ds:uri="1105510d-043a-4047-872e-83a0db36d0ca"/>
    <ds:schemaRef ds:uri="b3517f6a-f444-4614-af0d-96020a84cc07"/>
  </ds:schemaRefs>
</ds:datastoreItem>
</file>

<file path=customXml/itemProps3.xml><?xml version="1.0" encoding="utf-8"?>
<ds:datastoreItem xmlns:ds="http://schemas.openxmlformats.org/officeDocument/2006/customXml" ds:itemID="{B0EA4255-B197-415E-B095-32884398AE9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24</vt:i4>
      </vt:variant>
    </vt:vector>
  </HeadingPairs>
  <TitlesOfParts>
    <vt:vector size="24" baseType="lpstr">
      <vt:lpstr>Inputs</vt:lpstr>
      <vt:lpstr>Outputs</vt:lpstr>
      <vt:lpstr>Safety Data</vt:lpstr>
      <vt:lpstr>Traffic Volumes</vt:lpstr>
      <vt:lpstr>Summary</vt:lpstr>
      <vt:lpstr>Final Results</vt:lpstr>
      <vt:lpstr>Overview</vt:lpstr>
      <vt:lpstr>Project Information</vt:lpstr>
      <vt:lpstr>Parameter Values</vt:lpstr>
      <vt:lpstr>User Volumes</vt:lpstr>
      <vt:lpstr>Capital Costs</vt:lpstr>
      <vt:lpstr>Operations and Maintenance</vt:lpstr>
      <vt:lpstr>Safety</vt:lpstr>
      <vt:lpstr>Travel Time Savings</vt:lpstr>
      <vt:lpstr>Vehicle Operating Cost Savings</vt:lpstr>
      <vt:lpstr>Emissions Reduction</vt:lpstr>
      <vt:lpstr>Other Highway Use Externalities</vt:lpstr>
      <vt:lpstr>Amenity Benefits</vt:lpstr>
      <vt:lpstr>Health Benefits</vt:lpstr>
      <vt:lpstr>Residual Value</vt:lpstr>
      <vt:lpstr>Other Benefit 1</vt:lpstr>
      <vt:lpstr>Other Benefit 2</vt:lpstr>
      <vt:lpstr>Other Benefit 3</vt:lpstr>
      <vt:lpstr>Other Benefit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Riesenberg, Jordan (OST)</dc:creator>
  <cp:lastModifiedBy>Paul Newtson</cp:lastModifiedBy>
  <dcterms:created xsi:type="dcterms:W3CDTF">2023-03-14T14:10:51Z</dcterms:created>
  <dcterms:modified xsi:type="dcterms:W3CDTF">2026-07-01T19:22:15Z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0x0101001F280EE709480C4A814056404C03C755</vt:lpwstr>
  </property>
  <property fmtid="{D5CDD505-2E9C-101B-9397-08002B2CF9AE}" pid="3" name="MediaServiceImageTags">
    <vt:lpwstr/>
  </property>
</Properties>
</file>