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bluejayadvisors-my.sharepoint.com/personal/paul_newtson_bluejay-advisors_com/Documents/Desktop/"/>
    </mc:Choice>
  </mc:AlternateContent>
  <xr:revisionPtr revIDLastSave="77" documentId="8_{ADB2EA6C-CAC2-4FAC-8760-FF0177B4A196}" xr6:coauthVersionLast="47" xr6:coauthVersionMax="47" xr10:uidLastSave="{8494600A-CD90-487F-A6E0-3408432A473E}"/>
  <bookViews>
    <workbookView xWindow="-110" yWindow="-110" windowWidth="19420" windowHeight="11500" tabRatio="941" xr2:uid="{C6A7C393-817D-48EB-88EE-C99A59F4D49F}"/>
  </bookViews>
  <sheets>
    <sheet name="Summary" sheetId="1" r:id="rId1"/>
    <sheet name="Final Results" sheetId="2" r:id="rId2"/>
    <sheet name="Outputs" sheetId="3" r:id="rId3"/>
    <sheet name="BCA_Inputs" sheetId="4" r:id="rId4"/>
    <sheet name="Consolidated_Volumes" sheetId="5" r:id="rId5"/>
    <sheet name="Distance_Assumptions" sheetId="6" r:id="rId6"/>
    <sheet name="Overview" sheetId="8" r:id="rId7"/>
    <sheet name="Project Information" sheetId="9" r:id="rId8"/>
    <sheet name="Parameter Values" sheetId="10" r:id="rId9"/>
    <sheet name="User Volumes" sheetId="11" r:id="rId10"/>
    <sheet name="Capital Costs" sheetId="12" r:id="rId11"/>
    <sheet name="Operations and Maintenance" sheetId="13" r:id="rId12"/>
    <sheet name="Safety" sheetId="14" r:id="rId13"/>
    <sheet name="Travel Time Savings" sheetId="15" r:id="rId14"/>
    <sheet name="Vehicle Operating Cost Savings" sheetId="16" r:id="rId15"/>
    <sheet name="Emissions Reduction" sheetId="17" r:id="rId16"/>
    <sheet name="Other Highway Use Externalities" sheetId="18" r:id="rId17"/>
    <sheet name="Amenity Benefits" sheetId="19" r:id="rId18"/>
    <sheet name="Health Benefits" sheetId="20" r:id="rId19"/>
    <sheet name="Residual Value" sheetId="21" r:id="rId20"/>
    <sheet name="Other Benefit 1" sheetId="22" r:id="rId21"/>
    <sheet name="Other Benefit 2" sheetId="23" r:id="rId22"/>
    <sheet name="Other Benefit 3" sheetId="24" r:id="rId23"/>
    <sheet name="Other Benefit 4" sheetId="25"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F3" i="5" l="1"/>
  <c r="BG3" i="5" s="1"/>
  <c r="BH3" i="5" s="1"/>
  <c r="BI3" i="5" s="1"/>
  <c r="BJ3" i="5" s="1"/>
  <c r="BK3" i="5" s="1"/>
  <c r="BL3" i="5" s="1"/>
  <c r="BM3" i="5" s="1"/>
  <c r="BN3" i="5" s="1"/>
  <c r="BO3" i="5" s="1"/>
  <c r="BP3" i="5" s="1"/>
  <c r="BQ3" i="5" s="1"/>
  <c r="BR3" i="5" s="1"/>
  <c r="BS3" i="5" s="1"/>
  <c r="BT3" i="5" s="1"/>
  <c r="BU3" i="5" s="1"/>
  <c r="BV3" i="5" s="1"/>
  <c r="BW3" i="5" s="1"/>
  <c r="BX3" i="5" s="1"/>
  <c r="BY3" i="5" s="1"/>
  <c r="BZ3" i="5" s="1"/>
  <c r="CA3" i="5" s="1"/>
  <c r="CB3" i="5" s="1"/>
  <c r="CC3" i="5" s="1"/>
  <c r="CD3" i="5" s="1"/>
  <c r="CE3" i="5" s="1"/>
  <c r="CF3" i="5" s="1"/>
  <c r="CG3" i="5" s="1"/>
  <c r="CH3" i="5" s="1"/>
  <c r="BE3" i="5"/>
  <c r="BD3" i="5"/>
  <c r="BC3" i="5"/>
  <c r="BB3" i="5"/>
  <c r="BA3" i="5"/>
  <c r="P63" i="16"/>
  <c r="P62" i="16"/>
  <c r="P61" i="16"/>
  <c r="P60" i="16"/>
  <c r="P59" i="16"/>
  <c r="P58" i="16"/>
  <c r="P57" i="16"/>
  <c r="P56" i="16"/>
  <c r="P55" i="16"/>
  <c r="P54" i="16"/>
  <c r="P53" i="16"/>
  <c r="P52" i="16"/>
  <c r="P51" i="16"/>
  <c r="P50" i="16"/>
  <c r="P49" i="16"/>
  <c r="P48" i="16"/>
  <c r="P47" i="16"/>
  <c r="P46" i="16"/>
  <c r="P45" i="16"/>
  <c r="P44" i="16"/>
  <c r="P43" i="16"/>
  <c r="P42" i="16"/>
  <c r="P41" i="16"/>
  <c r="P40" i="16"/>
  <c r="P39" i="16"/>
  <c r="P38" i="16"/>
  <c r="P37" i="16"/>
  <c r="P36" i="16"/>
  <c r="P35" i="16"/>
  <c r="P34" i="16"/>
  <c r="P33" i="16"/>
  <c r="O25" i="15"/>
  <c r="O24" i="15"/>
  <c r="O23" i="15"/>
  <c r="O22" i="15"/>
  <c r="K29" i="16"/>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I26" i="14"/>
  <c r="A40" i="5" l="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DP3" i="5"/>
  <c r="DQ3" i="5" s="1"/>
  <c r="DR3" i="5" s="1"/>
  <c r="DS3" i="5" s="1"/>
  <c r="DT3" i="5" s="1"/>
  <c r="DU3" i="5" s="1"/>
  <c r="DV3" i="5" s="1"/>
  <c r="DW3" i="5" s="1"/>
  <c r="DX3" i="5" s="1"/>
  <c r="DY3" i="5" s="1"/>
  <c r="DZ3" i="5" s="1"/>
  <c r="EA3" i="5" s="1"/>
  <c r="EB3" i="5" s="1"/>
  <c r="EC3" i="5" s="1"/>
  <c r="ED3" i="5" s="1"/>
  <c r="EE3" i="5" s="1"/>
  <c r="EF3" i="5" s="1"/>
  <c r="EG3" i="5" s="1"/>
  <c r="EH3" i="5" s="1"/>
  <c r="EI3" i="5" s="1"/>
  <c r="EJ3" i="5" s="1"/>
  <c r="EK3" i="5" s="1"/>
  <c r="EL3" i="5" s="1"/>
  <c r="EM3" i="5" s="1"/>
  <c r="EN3" i="5" s="1"/>
  <c r="EO3" i="5" s="1"/>
  <c r="EP3" i="5" s="1"/>
  <c r="EQ3" i="5" s="1"/>
  <c r="ER3" i="5" s="1"/>
  <c r="CK3" i="5"/>
  <c r="CL3" i="5" s="1"/>
  <c r="CM3" i="5" s="1"/>
  <c r="CN3" i="5" s="1"/>
  <c r="CO3" i="5" s="1"/>
  <c r="CP3" i="5" s="1"/>
  <c r="CQ3" i="5" s="1"/>
  <c r="CR3" i="5" s="1"/>
  <c r="CS3" i="5" s="1"/>
  <c r="CT3" i="5" s="1"/>
  <c r="CU3" i="5" s="1"/>
  <c r="CV3" i="5" s="1"/>
  <c r="CW3" i="5" s="1"/>
  <c r="CX3" i="5" s="1"/>
  <c r="CY3" i="5" s="1"/>
  <c r="CZ3" i="5" s="1"/>
  <c r="DA3" i="5" s="1"/>
  <c r="DB3" i="5" s="1"/>
  <c r="DC3" i="5" s="1"/>
  <c r="DD3" i="5" s="1"/>
  <c r="DE3" i="5" s="1"/>
  <c r="DF3" i="5" s="1"/>
  <c r="DG3" i="5" s="1"/>
  <c r="DH3" i="5" s="1"/>
  <c r="DI3" i="5" s="1"/>
  <c r="DJ3" i="5" s="1"/>
  <c r="DK3" i="5" s="1"/>
  <c r="DL3" i="5" s="1"/>
  <c r="DM3" i="5" s="1"/>
  <c r="BE30" i="5"/>
  <c r="BF30" i="5" s="1"/>
  <c r="BG30" i="5" s="1"/>
  <c r="BH30" i="5" s="1"/>
  <c r="BI30" i="5" s="1"/>
  <c r="BE29" i="5"/>
  <c r="BF29" i="5" s="1"/>
  <c r="BE28" i="5"/>
  <c r="BF28" i="5" s="1"/>
  <c r="BE27" i="5"/>
  <c r="BE26" i="5"/>
  <c r="BF26" i="5" s="1"/>
  <c r="BE25" i="5"/>
  <c r="BF25" i="5" s="1"/>
  <c r="BE24" i="5"/>
  <c r="BF24" i="5" s="1"/>
  <c r="BE23" i="5"/>
  <c r="BF23" i="5" s="1"/>
  <c r="BG23" i="5" s="1"/>
  <c r="BH23" i="5" s="1"/>
  <c r="BE22" i="5"/>
  <c r="BF22" i="5" s="1"/>
  <c r="BE21" i="5"/>
  <c r="BF21" i="5" s="1"/>
  <c r="BE20" i="5"/>
  <c r="BE19" i="5"/>
  <c r="BF19" i="5" s="1"/>
  <c r="BE18" i="5"/>
  <c r="BE17" i="5"/>
  <c r="BE16" i="5"/>
  <c r="BF16" i="5" s="1"/>
  <c r="BE15" i="5"/>
  <c r="BF15" i="5" s="1"/>
  <c r="BG15" i="5" s="1"/>
  <c r="BH15" i="5" s="1"/>
  <c r="BE14" i="5"/>
  <c r="BE13" i="5"/>
  <c r="BF13" i="5" s="1"/>
  <c r="BE12" i="5"/>
  <c r="BE11" i="5"/>
  <c r="BF11" i="5" s="1"/>
  <c r="BG11" i="5" s="1"/>
  <c r="BH11" i="5" s="1"/>
  <c r="BI11" i="5" s="1"/>
  <c r="BE10" i="5"/>
  <c r="BF10" i="5" s="1"/>
  <c r="BG10" i="5" s="1"/>
  <c r="BE9" i="5"/>
  <c r="BE8" i="5"/>
  <c r="BE7" i="5"/>
  <c r="BF7" i="5" s="1"/>
  <c r="BG7" i="5" s="1"/>
  <c r="BH7" i="5" s="1"/>
  <c r="BI7" i="5" s="1"/>
  <c r="BJ7" i="5" s="1"/>
  <c r="BK7" i="5" s="1"/>
  <c r="BL7" i="5" s="1"/>
  <c r="BM7" i="5" s="1"/>
  <c r="BN7" i="5" s="1"/>
  <c r="BO7" i="5" s="1"/>
  <c r="BP7" i="5" s="1"/>
  <c r="BQ7" i="5" s="1"/>
  <c r="BR7" i="5" s="1"/>
  <c r="BS7" i="5" s="1"/>
  <c r="BT7" i="5" s="1"/>
  <c r="BU7" i="5" s="1"/>
  <c r="BV7" i="5" s="1"/>
  <c r="BW7" i="5" s="1"/>
  <c r="BX7" i="5" s="1"/>
  <c r="BY7" i="5" s="1"/>
  <c r="BZ7" i="5" s="1"/>
  <c r="CA7" i="5" s="1"/>
  <c r="CB7" i="5" s="1"/>
  <c r="CC7" i="5" s="1"/>
  <c r="CD7" i="5" s="1"/>
  <c r="CE7" i="5" s="1"/>
  <c r="CF7" i="5" s="1"/>
  <c r="CG7" i="5" s="1"/>
  <c r="CH7" i="5" s="1"/>
  <c r="BE6" i="5"/>
  <c r="BF6" i="5" s="1"/>
  <c r="BG6" i="5" s="1"/>
  <c r="BE5" i="5"/>
  <c r="BF5" i="5" s="1"/>
  <c r="BG5" i="5" s="1"/>
  <c r="BH5" i="5" s="1"/>
  <c r="BI5" i="5" s="1"/>
  <c r="BJ5" i="5" s="1"/>
  <c r="BK5" i="5" s="1"/>
  <c r="BL5" i="5" s="1"/>
  <c r="BM5" i="5" s="1"/>
  <c r="BN5" i="5" s="1"/>
  <c r="BO5" i="5" s="1"/>
  <c r="BP5" i="5" s="1"/>
  <c r="BQ5" i="5" s="1"/>
  <c r="BR5" i="5" s="1"/>
  <c r="BS5" i="5" s="1"/>
  <c r="BT5" i="5" s="1"/>
  <c r="BU5" i="5" s="1"/>
  <c r="BV5" i="5" s="1"/>
  <c r="BW5" i="5" s="1"/>
  <c r="BX5" i="5" s="1"/>
  <c r="BY5" i="5" s="1"/>
  <c r="BZ5" i="5" s="1"/>
  <c r="CA5" i="5" s="1"/>
  <c r="CB5" i="5" s="1"/>
  <c r="CC5" i="5" s="1"/>
  <c r="CD5" i="5" s="1"/>
  <c r="CE5" i="5" s="1"/>
  <c r="CF5" i="5" s="1"/>
  <c r="CG5" i="5" s="1"/>
  <c r="CH5" i="5" s="1"/>
  <c r="BE4" i="5"/>
  <c r="U30" i="5"/>
  <c r="V30" i="5" s="1"/>
  <c r="W30" i="5" s="1"/>
  <c r="X30" i="5" s="1"/>
  <c r="Y30" i="5" s="1"/>
  <c r="Z30" i="5" s="1"/>
  <c r="AA30" i="5" s="1"/>
  <c r="AB30" i="5" s="1"/>
  <c r="AC30" i="5" s="1"/>
  <c r="AD30" i="5" s="1"/>
  <c r="AE30" i="5" s="1"/>
  <c r="AF30" i="5" s="1"/>
  <c r="AG30" i="5" s="1"/>
  <c r="AH30" i="5" s="1"/>
  <c r="AI30" i="5" s="1"/>
  <c r="AJ30" i="5" s="1"/>
  <c r="AK30" i="5" s="1"/>
  <c r="AL30" i="5" s="1"/>
  <c r="AM30" i="5" s="1"/>
  <c r="AN30" i="5" s="1"/>
  <c r="AO30" i="5" s="1"/>
  <c r="AP30" i="5" s="1"/>
  <c r="AQ30" i="5" s="1"/>
  <c r="AR30" i="5" s="1"/>
  <c r="AS30" i="5" s="1"/>
  <c r="AT30" i="5" s="1"/>
  <c r="AU30" i="5" s="1"/>
  <c r="AV30" i="5" s="1"/>
  <c r="AW30" i="5" s="1"/>
  <c r="AX30" i="5" s="1"/>
  <c r="U29" i="5"/>
  <c r="V29" i="5" s="1"/>
  <c r="W29" i="5" s="1"/>
  <c r="X29" i="5" s="1"/>
  <c r="Y29" i="5" s="1"/>
  <c r="Z29" i="5" s="1"/>
  <c r="AA29" i="5" s="1"/>
  <c r="AB29" i="5" s="1"/>
  <c r="AC29" i="5" s="1"/>
  <c r="AD29" i="5" s="1"/>
  <c r="AE29" i="5" s="1"/>
  <c r="AF29" i="5" s="1"/>
  <c r="AG29" i="5" s="1"/>
  <c r="AH29" i="5" s="1"/>
  <c r="AI29" i="5" s="1"/>
  <c r="AJ29" i="5" s="1"/>
  <c r="AK29" i="5" s="1"/>
  <c r="AL29" i="5" s="1"/>
  <c r="AM29" i="5" s="1"/>
  <c r="AN29" i="5" s="1"/>
  <c r="AO29" i="5" s="1"/>
  <c r="AP29" i="5" s="1"/>
  <c r="AQ29" i="5" s="1"/>
  <c r="AR29" i="5" s="1"/>
  <c r="AS29" i="5" s="1"/>
  <c r="AT29" i="5" s="1"/>
  <c r="AU29" i="5" s="1"/>
  <c r="AV29" i="5" s="1"/>
  <c r="AW29" i="5" s="1"/>
  <c r="AX29" i="5" s="1"/>
  <c r="U28" i="5"/>
  <c r="V28" i="5" s="1"/>
  <c r="W28" i="5" s="1"/>
  <c r="X28" i="5" s="1"/>
  <c r="Y28" i="5" s="1"/>
  <c r="Z28" i="5" s="1"/>
  <c r="AA28" i="5" s="1"/>
  <c r="AB28" i="5" s="1"/>
  <c r="AC28" i="5" s="1"/>
  <c r="AD28" i="5" s="1"/>
  <c r="AE28" i="5" s="1"/>
  <c r="AF28" i="5" s="1"/>
  <c r="AG28" i="5" s="1"/>
  <c r="AH28" i="5" s="1"/>
  <c r="AI28" i="5" s="1"/>
  <c r="AJ28" i="5" s="1"/>
  <c r="AK28" i="5" s="1"/>
  <c r="AL28" i="5" s="1"/>
  <c r="AM28" i="5" s="1"/>
  <c r="AN28" i="5" s="1"/>
  <c r="AO28" i="5" s="1"/>
  <c r="AP28" i="5" s="1"/>
  <c r="AQ28" i="5" s="1"/>
  <c r="AR28" i="5" s="1"/>
  <c r="AS28" i="5" s="1"/>
  <c r="AT28" i="5" s="1"/>
  <c r="AU28" i="5" s="1"/>
  <c r="AV28" i="5" s="1"/>
  <c r="AW28" i="5" s="1"/>
  <c r="AX28" i="5" s="1"/>
  <c r="U27" i="5"/>
  <c r="V27" i="5" s="1"/>
  <c r="W27" i="5" s="1"/>
  <c r="X27" i="5" s="1"/>
  <c r="Y27" i="5" s="1"/>
  <c r="Z27" i="5" s="1"/>
  <c r="AA27" i="5" s="1"/>
  <c r="AB27" i="5" s="1"/>
  <c r="AC27" i="5" s="1"/>
  <c r="AD27" i="5" s="1"/>
  <c r="AE27" i="5" s="1"/>
  <c r="AF27" i="5" s="1"/>
  <c r="AG27" i="5" s="1"/>
  <c r="AH27" i="5" s="1"/>
  <c r="AI27" i="5" s="1"/>
  <c r="AJ27" i="5" s="1"/>
  <c r="AK27" i="5" s="1"/>
  <c r="AL27" i="5" s="1"/>
  <c r="AM27" i="5" s="1"/>
  <c r="AN27" i="5" s="1"/>
  <c r="AO27" i="5" s="1"/>
  <c r="AP27" i="5" s="1"/>
  <c r="AQ27" i="5" s="1"/>
  <c r="AR27" i="5" s="1"/>
  <c r="AS27" i="5" s="1"/>
  <c r="AT27" i="5" s="1"/>
  <c r="AU27" i="5" s="1"/>
  <c r="AV27" i="5" s="1"/>
  <c r="AW27" i="5" s="1"/>
  <c r="AX27" i="5" s="1"/>
  <c r="U26" i="5"/>
  <c r="V26" i="5" s="1"/>
  <c r="W26" i="5" s="1"/>
  <c r="X26" i="5" s="1"/>
  <c r="Y26" i="5" s="1"/>
  <c r="Z26" i="5" s="1"/>
  <c r="AA26" i="5" s="1"/>
  <c r="AB26" i="5" s="1"/>
  <c r="AC26" i="5" s="1"/>
  <c r="AD26" i="5" s="1"/>
  <c r="AE26" i="5" s="1"/>
  <c r="AF26" i="5" s="1"/>
  <c r="AG26" i="5" s="1"/>
  <c r="AH26" i="5" s="1"/>
  <c r="AI26" i="5" s="1"/>
  <c r="AJ26" i="5" s="1"/>
  <c r="AK26" i="5" s="1"/>
  <c r="AL26" i="5" s="1"/>
  <c r="AM26" i="5" s="1"/>
  <c r="AN26" i="5" s="1"/>
  <c r="AO26" i="5" s="1"/>
  <c r="AP26" i="5" s="1"/>
  <c r="AQ26" i="5" s="1"/>
  <c r="AR26" i="5" s="1"/>
  <c r="AS26" i="5" s="1"/>
  <c r="AT26" i="5" s="1"/>
  <c r="AU26" i="5" s="1"/>
  <c r="AV26" i="5" s="1"/>
  <c r="AW26" i="5" s="1"/>
  <c r="AX26" i="5" s="1"/>
  <c r="U25" i="5"/>
  <c r="V25" i="5" s="1"/>
  <c r="W25" i="5" s="1"/>
  <c r="X25" i="5" s="1"/>
  <c r="Y25" i="5" s="1"/>
  <c r="Z25" i="5" s="1"/>
  <c r="AA25" i="5" s="1"/>
  <c r="AB25" i="5" s="1"/>
  <c r="AC25" i="5" s="1"/>
  <c r="AD25" i="5" s="1"/>
  <c r="AE25" i="5" s="1"/>
  <c r="AF25" i="5" s="1"/>
  <c r="AG25" i="5" s="1"/>
  <c r="AH25" i="5" s="1"/>
  <c r="AI25" i="5" s="1"/>
  <c r="AJ25" i="5" s="1"/>
  <c r="AK25" i="5" s="1"/>
  <c r="AL25" i="5" s="1"/>
  <c r="AM25" i="5" s="1"/>
  <c r="AN25" i="5" s="1"/>
  <c r="AO25" i="5" s="1"/>
  <c r="AP25" i="5" s="1"/>
  <c r="AQ25" i="5" s="1"/>
  <c r="AR25" i="5" s="1"/>
  <c r="AS25" i="5" s="1"/>
  <c r="AT25" i="5" s="1"/>
  <c r="AU25" i="5" s="1"/>
  <c r="AV25" i="5" s="1"/>
  <c r="AW25" i="5" s="1"/>
  <c r="AX25" i="5" s="1"/>
  <c r="U24" i="5"/>
  <c r="V24" i="5" s="1"/>
  <c r="W24" i="5" s="1"/>
  <c r="X24" i="5" s="1"/>
  <c r="Y24" i="5" s="1"/>
  <c r="Z24" i="5" s="1"/>
  <c r="AA24" i="5" s="1"/>
  <c r="AB24" i="5" s="1"/>
  <c r="AC24" i="5" s="1"/>
  <c r="AD24" i="5" s="1"/>
  <c r="AE24" i="5" s="1"/>
  <c r="AF24" i="5" s="1"/>
  <c r="AG24" i="5" s="1"/>
  <c r="AH24" i="5" s="1"/>
  <c r="AI24" i="5" s="1"/>
  <c r="AJ24" i="5" s="1"/>
  <c r="AK24" i="5" s="1"/>
  <c r="AL24" i="5" s="1"/>
  <c r="AM24" i="5" s="1"/>
  <c r="AN24" i="5" s="1"/>
  <c r="AO24" i="5" s="1"/>
  <c r="AP24" i="5" s="1"/>
  <c r="AQ24" i="5" s="1"/>
  <c r="AR24" i="5" s="1"/>
  <c r="AS24" i="5" s="1"/>
  <c r="AT24" i="5" s="1"/>
  <c r="AU24" i="5" s="1"/>
  <c r="AV24" i="5" s="1"/>
  <c r="AW24" i="5" s="1"/>
  <c r="AX24" i="5" s="1"/>
  <c r="U23" i="5"/>
  <c r="V23" i="5" s="1"/>
  <c r="W23" i="5" s="1"/>
  <c r="X23" i="5" s="1"/>
  <c r="Y23" i="5" s="1"/>
  <c r="Z23" i="5" s="1"/>
  <c r="AA23" i="5" s="1"/>
  <c r="AB23" i="5" s="1"/>
  <c r="AC23" i="5" s="1"/>
  <c r="AD23" i="5" s="1"/>
  <c r="AE23" i="5" s="1"/>
  <c r="AF23" i="5" s="1"/>
  <c r="AG23" i="5" s="1"/>
  <c r="AH23" i="5" s="1"/>
  <c r="AI23" i="5" s="1"/>
  <c r="AJ23" i="5" s="1"/>
  <c r="AK23" i="5" s="1"/>
  <c r="AL23" i="5" s="1"/>
  <c r="AM23" i="5" s="1"/>
  <c r="AN23" i="5" s="1"/>
  <c r="AO23" i="5" s="1"/>
  <c r="AP23" i="5" s="1"/>
  <c r="AQ23" i="5" s="1"/>
  <c r="AR23" i="5" s="1"/>
  <c r="AS23" i="5" s="1"/>
  <c r="AT23" i="5" s="1"/>
  <c r="AU23" i="5" s="1"/>
  <c r="AV23" i="5" s="1"/>
  <c r="AW23" i="5" s="1"/>
  <c r="AX23" i="5" s="1"/>
  <c r="U22" i="5"/>
  <c r="V22" i="5" s="1"/>
  <c r="W22" i="5" s="1"/>
  <c r="X22" i="5" s="1"/>
  <c r="Y22" i="5" s="1"/>
  <c r="Z22" i="5" s="1"/>
  <c r="AA22" i="5" s="1"/>
  <c r="AB22" i="5" s="1"/>
  <c r="AC22" i="5" s="1"/>
  <c r="AD22" i="5" s="1"/>
  <c r="AE22" i="5" s="1"/>
  <c r="AF22" i="5" s="1"/>
  <c r="AG22" i="5" s="1"/>
  <c r="AH22" i="5" s="1"/>
  <c r="AI22" i="5" s="1"/>
  <c r="AJ22" i="5" s="1"/>
  <c r="AK22" i="5" s="1"/>
  <c r="AL22" i="5" s="1"/>
  <c r="AM22" i="5" s="1"/>
  <c r="AN22" i="5" s="1"/>
  <c r="AO22" i="5" s="1"/>
  <c r="AP22" i="5" s="1"/>
  <c r="AQ22" i="5" s="1"/>
  <c r="AR22" i="5" s="1"/>
  <c r="AS22" i="5" s="1"/>
  <c r="AT22" i="5" s="1"/>
  <c r="AU22" i="5" s="1"/>
  <c r="AV22" i="5" s="1"/>
  <c r="AW22" i="5" s="1"/>
  <c r="AX22" i="5" s="1"/>
  <c r="U21" i="5"/>
  <c r="V21" i="5" s="1"/>
  <c r="W21" i="5" s="1"/>
  <c r="X21" i="5" s="1"/>
  <c r="Y21" i="5" s="1"/>
  <c r="Z21" i="5" s="1"/>
  <c r="AA21" i="5" s="1"/>
  <c r="AB21" i="5" s="1"/>
  <c r="AC21" i="5" s="1"/>
  <c r="AD21" i="5" s="1"/>
  <c r="AE21" i="5" s="1"/>
  <c r="AF21" i="5" s="1"/>
  <c r="AG21" i="5" s="1"/>
  <c r="AH21" i="5" s="1"/>
  <c r="AI21" i="5" s="1"/>
  <c r="AJ21" i="5" s="1"/>
  <c r="AK21" i="5" s="1"/>
  <c r="AL21" i="5" s="1"/>
  <c r="AM21" i="5" s="1"/>
  <c r="AN21" i="5" s="1"/>
  <c r="AO21" i="5" s="1"/>
  <c r="AP21" i="5" s="1"/>
  <c r="AQ21" i="5" s="1"/>
  <c r="AR21" i="5" s="1"/>
  <c r="AS21" i="5" s="1"/>
  <c r="AT21" i="5" s="1"/>
  <c r="AU21" i="5" s="1"/>
  <c r="AV21" i="5" s="1"/>
  <c r="AW21" i="5" s="1"/>
  <c r="AX21" i="5" s="1"/>
  <c r="U20" i="5"/>
  <c r="V20" i="5" s="1"/>
  <c r="W20" i="5" s="1"/>
  <c r="X20" i="5" s="1"/>
  <c r="Y20" i="5" s="1"/>
  <c r="Z20" i="5" s="1"/>
  <c r="AA20" i="5" s="1"/>
  <c r="AB20" i="5" s="1"/>
  <c r="AC20" i="5" s="1"/>
  <c r="AD20" i="5" s="1"/>
  <c r="AE20" i="5" s="1"/>
  <c r="AF20" i="5" s="1"/>
  <c r="AG20" i="5" s="1"/>
  <c r="AH20" i="5" s="1"/>
  <c r="AI20" i="5" s="1"/>
  <c r="AJ20" i="5" s="1"/>
  <c r="AK20" i="5" s="1"/>
  <c r="AL20" i="5" s="1"/>
  <c r="AM20" i="5" s="1"/>
  <c r="AN20" i="5" s="1"/>
  <c r="AO20" i="5" s="1"/>
  <c r="AP20" i="5" s="1"/>
  <c r="AQ20" i="5" s="1"/>
  <c r="AR20" i="5" s="1"/>
  <c r="AS20" i="5" s="1"/>
  <c r="AT20" i="5" s="1"/>
  <c r="AU20" i="5" s="1"/>
  <c r="AV20" i="5" s="1"/>
  <c r="AW20" i="5" s="1"/>
  <c r="AX20" i="5" s="1"/>
  <c r="U19" i="5"/>
  <c r="U18" i="5"/>
  <c r="V18" i="5" s="1"/>
  <c r="W18" i="5" s="1"/>
  <c r="X18" i="5" s="1"/>
  <c r="Y18" i="5" s="1"/>
  <c r="Z18" i="5" s="1"/>
  <c r="AA18" i="5" s="1"/>
  <c r="AB18" i="5" s="1"/>
  <c r="AC18" i="5" s="1"/>
  <c r="AD18" i="5" s="1"/>
  <c r="AE18" i="5" s="1"/>
  <c r="AF18" i="5" s="1"/>
  <c r="AG18" i="5" s="1"/>
  <c r="AH18" i="5" s="1"/>
  <c r="AI18" i="5" s="1"/>
  <c r="AJ18" i="5" s="1"/>
  <c r="AK18" i="5" s="1"/>
  <c r="AL18" i="5" s="1"/>
  <c r="AM18" i="5" s="1"/>
  <c r="AN18" i="5" s="1"/>
  <c r="AO18" i="5" s="1"/>
  <c r="AP18" i="5" s="1"/>
  <c r="AQ18" i="5" s="1"/>
  <c r="AR18" i="5" s="1"/>
  <c r="AS18" i="5" s="1"/>
  <c r="AT18" i="5" s="1"/>
  <c r="AU18" i="5" s="1"/>
  <c r="AV18" i="5" s="1"/>
  <c r="AW18" i="5" s="1"/>
  <c r="AX18" i="5" s="1"/>
  <c r="U17" i="5"/>
  <c r="V17" i="5" s="1"/>
  <c r="W17" i="5" s="1"/>
  <c r="X17" i="5" s="1"/>
  <c r="Y17" i="5" s="1"/>
  <c r="Z17" i="5" s="1"/>
  <c r="AA17" i="5" s="1"/>
  <c r="AB17" i="5" s="1"/>
  <c r="AC17" i="5" s="1"/>
  <c r="AD17" i="5" s="1"/>
  <c r="AE17" i="5" s="1"/>
  <c r="AF17" i="5" s="1"/>
  <c r="AG17" i="5" s="1"/>
  <c r="AH17" i="5" s="1"/>
  <c r="AI17" i="5" s="1"/>
  <c r="AJ17" i="5" s="1"/>
  <c r="AK17" i="5" s="1"/>
  <c r="AL17" i="5" s="1"/>
  <c r="AM17" i="5" s="1"/>
  <c r="AN17" i="5" s="1"/>
  <c r="AO17" i="5" s="1"/>
  <c r="AP17" i="5" s="1"/>
  <c r="AQ17" i="5" s="1"/>
  <c r="AR17" i="5" s="1"/>
  <c r="AS17" i="5" s="1"/>
  <c r="AT17" i="5" s="1"/>
  <c r="AU17" i="5" s="1"/>
  <c r="AV17" i="5" s="1"/>
  <c r="AW17" i="5" s="1"/>
  <c r="AX17" i="5" s="1"/>
  <c r="U16" i="5"/>
  <c r="V16" i="5" s="1"/>
  <c r="W16" i="5" s="1"/>
  <c r="X16" i="5" s="1"/>
  <c r="Y16" i="5" s="1"/>
  <c r="Z16" i="5" s="1"/>
  <c r="AA16" i="5" s="1"/>
  <c r="AB16" i="5" s="1"/>
  <c r="AC16" i="5" s="1"/>
  <c r="AD16" i="5" s="1"/>
  <c r="AE16" i="5" s="1"/>
  <c r="AF16" i="5" s="1"/>
  <c r="AG16" i="5" s="1"/>
  <c r="AH16" i="5" s="1"/>
  <c r="AI16" i="5" s="1"/>
  <c r="AJ16" i="5" s="1"/>
  <c r="AK16" i="5" s="1"/>
  <c r="AL16" i="5" s="1"/>
  <c r="AM16" i="5" s="1"/>
  <c r="AN16" i="5" s="1"/>
  <c r="AO16" i="5" s="1"/>
  <c r="AP16" i="5" s="1"/>
  <c r="AQ16" i="5" s="1"/>
  <c r="AR16" i="5" s="1"/>
  <c r="AS16" i="5" s="1"/>
  <c r="AT16" i="5" s="1"/>
  <c r="AU16" i="5" s="1"/>
  <c r="AV16" i="5" s="1"/>
  <c r="AW16" i="5" s="1"/>
  <c r="AX16" i="5" s="1"/>
  <c r="U15" i="5"/>
  <c r="V15" i="5" s="1"/>
  <c r="W15" i="5" s="1"/>
  <c r="X15" i="5" s="1"/>
  <c r="Y15" i="5" s="1"/>
  <c r="Z15" i="5" s="1"/>
  <c r="AA15" i="5" s="1"/>
  <c r="AB15" i="5" s="1"/>
  <c r="AC15" i="5" s="1"/>
  <c r="AD15" i="5" s="1"/>
  <c r="AE15" i="5" s="1"/>
  <c r="AF15" i="5" s="1"/>
  <c r="AG15" i="5" s="1"/>
  <c r="AH15" i="5" s="1"/>
  <c r="AI15" i="5" s="1"/>
  <c r="AJ15" i="5" s="1"/>
  <c r="AK15" i="5" s="1"/>
  <c r="AL15" i="5" s="1"/>
  <c r="AM15" i="5" s="1"/>
  <c r="AN15" i="5" s="1"/>
  <c r="AO15" i="5" s="1"/>
  <c r="AP15" i="5" s="1"/>
  <c r="AQ15" i="5" s="1"/>
  <c r="AR15" i="5" s="1"/>
  <c r="AS15" i="5" s="1"/>
  <c r="AT15" i="5" s="1"/>
  <c r="AU15" i="5" s="1"/>
  <c r="AV15" i="5" s="1"/>
  <c r="AW15" i="5" s="1"/>
  <c r="AX15" i="5" s="1"/>
  <c r="U14" i="5"/>
  <c r="V14" i="5" s="1"/>
  <c r="W14" i="5" s="1"/>
  <c r="X14" i="5" s="1"/>
  <c r="Y14" i="5" s="1"/>
  <c r="Z14" i="5" s="1"/>
  <c r="AA14" i="5" s="1"/>
  <c r="AB14" i="5" s="1"/>
  <c r="AC14" i="5" s="1"/>
  <c r="AD14" i="5" s="1"/>
  <c r="AE14" i="5" s="1"/>
  <c r="AF14" i="5" s="1"/>
  <c r="AG14" i="5" s="1"/>
  <c r="AH14" i="5" s="1"/>
  <c r="AI14" i="5" s="1"/>
  <c r="AJ14" i="5" s="1"/>
  <c r="AK14" i="5" s="1"/>
  <c r="AL14" i="5" s="1"/>
  <c r="AM14" i="5" s="1"/>
  <c r="AN14" i="5" s="1"/>
  <c r="AO14" i="5" s="1"/>
  <c r="AP14" i="5" s="1"/>
  <c r="AQ14" i="5" s="1"/>
  <c r="AR14" i="5" s="1"/>
  <c r="AS14" i="5" s="1"/>
  <c r="AT14" i="5" s="1"/>
  <c r="AU14" i="5" s="1"/>
  <c r="AV14" i="5" s="1"/>
  <c r="AW14" i="5" s="1"/>
  <c r="AX14" i="5" s="1"/>
  <c r="U13" i="5"/>
  <c r="V13" i="5" s="1"/>
  <c r="W13" i="5" s="1"/>
  <c r="X13" i="5" s="1"/>
  <c r="Y13" i="5" s="1"/>
  <c r="Z13" i="5" s="1"/>
  <c r="AA13" i="5" s="1"/>
  <c r="AB13" i="5" s="1"/>
  <c r="AC13" i="5" s="1"/>
  <c r="AD13" i="5" s="1"/>
  <c r="AE13" i="5" s="1"/>
  <c r="AF13" i="5" s="1"/>
  <c r="AG13" i="5" s="1"/>
  <c r="AH13" i="5" s="1"/>
  <c r="AI13" i="5" s="1"/>
  <c r="AJ13" i="5" s="1"/>
  <c r="AK13" i="5" s="1"/>
  <c r="AL13" i="5" s="1"/>
  <c r="AM13" i="5" s="1"/>
  <c r="AN13" i="5" s="1"/>
  <c r="AO13" i="5" s="1"/>
  <c r="AP13" i="5" s="1"/>
  <c r="AQ13" i="5" s="1"/>
  <c r="AR13" i="5" s="1"/>
  <c r="AS13" i="5" s="1"/>
  <c r="AT13" i="5" s="1"/>
  <c r="AU13" i="5" s="1"/>
  <c r="AV13" i="5" s="1"/>
  <c r="AW13" i="5" s="1"/>
  <c r="AX13" i="5" s="1"/>
  <c r="U12" i="5"/>
  <c r="V12" i="5" s="1"/>
  <c r="W12" i="5" s="1"/>
  <c r="X12" i="5" s="1"/>
  <c r="Y12" i="5" s="1"/>
  <c r="Z12" i="5" s="1"/>
  <c r="AA12" i="5" s="1"/>
  <c r="AB12" i="5" s="1"/>
  <c r="AC12" i="5" s="1"/>
  <c r="AD12" i="5" s="1"/>
  <c r="AE12" i="5" s="1"/>
  <c r="AF12" i="5" s="1"/>
  <c r="AG12" i="5" s="1"/>
  <c r="AH12" i="5" s="1"/>
  <c r="AI12" i="5" s="1"/>
  <c r="AJ12" i="5" s="1"/>
  <c r="AK12" i="5" s="1"/>
  <c r="AL12" i="5" s="1"/>
  <c r="AM12" i="5" s="1"/>
  <c r="AN12" i="5" s="1"/>
  <c r="AO12" i="5" s="1"/>
  <c r="AP12" i="5" s="1"/>
  <c r="AQ12" i="5" s="1"/>
  <c r="AR12" i="5" s="1"/>
  <c r="AS12" i="5" s="1"/>
  <c r="AT12" i="5" s="1"/>
  <c r="AU12" i="5" s="1"/>
  <c r="AV12" i="5" s="1"/>
  <c r="AW12" i="5" s="1"/>
  <c r="AX12" i="5" s="1"/>
  <c r="U11" i="5"/>
  <c r="V11" i="5" s="1"/>
  <c r="W11" i="5" s="1"/>
  <c r="X11" i="5" s="1"/>
  <c r="Y11" i="5" s="1"/>
  <c r="Z11" i="5" s="1"/>
  <c r="AA11" i="5" s="1"/>
  <c r="AB11" i="5" s="1"/>
  <c r="AC11" i="5" s="1"/>
  <c r="AD11" i="5" s="1"/>
  <c r="AE11" i="5" s="1"/>
  <c r="AF11" i="5" s="1"/>
  <c r="AG11" i="5" s="1"/>
  <c r="AH11" i="5" s="1"/>
  <c r="AI11" i="5" s="1"/>
  <c r="AJ11" i="5" s="1"/>
  <c r="AK11" i="5" s="1"/>
  <c r="AL11" i="5" s="1"/>
  <c r="AM11" i="5" s="1"/>
  <c r="AN11" i="5" s="1"/>
  <c r="AO11" i="5" s="1"/>
  <c r="AP11" i="5" s="1"/>
  <c r="AQ11" i="5" s="1"/>
  <c r="AR11" i="5" s="1"/>
  <c r="AS11" i="5" s="1"/>
  <c r="AT11" i="5" s="1"/>
  <c r="AU11" i="5" s="1"/>
  <c r="AV11" i="5" s="1"/>
  <c r="AW11" i="5" s="1"/>
  <c r="AX11" i="5" s="1"/>
  <c r="U10" i="5"/>
  <c r="V10" i="5" s="1"/>
  <c r="W10" i="5" s="1"/>
  <c r="X10" i="5" s="1"/>
  <c r="Y10" i="5" s="1"/>
  <c r="Z10" i="5" s="1"/>
  <c r="AA10" i="5" s="1"/>
  <c r="AB10" i="5" s="1"/>
  <c r="AC10" i="5" s="1"/>
  <c r="AD10" i="5" s="1"/>
  <c r="AE10" i="5" s="1"/>
  <c r="AF10" i="5" s="1"/>
  <c r="AG10" i="5" s="1"/>
  <c r="AH10" i="5" s="1"/>
  <c r="AI10" i="5" s="1"/>
  <c r="AJ10" i="5" s="1"/>
  <c r="AK10" i="5" s="1"/>
  <c r="AL10" i="5" s="1"/>
  <c r="AM10" i="5" s="1"/>
  <c r="AN10" i="5" s="1"/>
  <c r="AO10" i="5" s="1"/>
  <c r="AP10" i="5" s="1"/>
  <c r="AQ10" i="5" s="1"/>
  <c r="AR10" i="5" s="1"/>
  <c r="AS10" i="5" s="1"/>
  <c r="AT10" i="5" s="1"/>
  <c r="AU10" i="5" s="1"/>
  <c r="AV10" i="5" s="1"/>
  <c r="AW10" i="5" s="1"/>
  <c r="AX10" i="5" s="1"/>
  <c r="U9" i="5"/>
  <c r="V9" i="5" s="1"/>
  <c r="W9" i="5" s="1"/>
  <c r="X9" i="5" s="1"/>
  <c r="Y9" i="5" s="1"/>
  <c r="Z9" i="5" s="1"/>
  <c r="AA9" i="5" s="1"/>
  <c r="AB9" i="5" s="1"/>
  <c r="AC9" i="5" s="1"/>
  <c r="AD9" i="5" s="1"/>
  <c r="AE9" i="5" s="1"/>
  <c r="AF9" i="5" s="1"/>
  <c r="AG9" i="5" s="1"/>
  <c r="AH9" i="5" s="1"/>
  <c r="AI9" i="5" s="1"/>
  <c r="AJ9" i="5" s="1"/>
  <c r="AK9" i="5" s="1"/>
  <c r="AL9" i="5" s="1"/>
  <c r="AM9" i="5" s="1"/>
  <c r="AN9" i="5" s="1"/>
  <c r="AO9" i="5" s="1"/>
  <c r="AP9" i="5" s="1"/>
  <c r="AQ9" i="5" s="1"/>
  <c r="AR9" i="5" s="1"/>
  <c r="AS9" i="5" s="1"/>
  <c r="AT9" i="5" s="1"/>
  <c r="AU9" i="5" s="1"/>
  <c r="AV9" i="5" s="1"/>
  <c r="AW9" i="5" s="1"/>
  <c r="AX9" i="5" s="1"/>
  <c r="U8" i="5"/>
  <c r="V8" i="5" s="1"/>
  <c r="W8" i="5" s="1"/>
  <c r="X8" i="5" s="1"/>
  <c r="Y8" i="5" s="1"/>
  <c r="Z8" i="5" s="1"/>
  <c r="AA8" i="5" s="1"/>
  <c r="AB8" i="5" s="1"/>
  <c r="AC8" i="5" s="1"/>
  <c r="AD8" i="5" s="1"/>
  <c r="AE8" i="5" s="1"/>
  <c r="AF8" i="5" s="1"/>
  <c r="AG8" i="5" s="1"/>
  <c r="AH8" i="5" s="1"/>
  <c r="AI8" i="5" s="1"/>
  <c r="AJ8" i="5" s="1"/>
  <c r="AK8" i="5" s="1"/>
  <c r="AL8" i="5" s="1"/>
  <c r="AM8" i="5" s="1"/>
  <c r="AN8" i="5" s="1"/>
  <c r="AO8" i="5" s="1"/>
  <c r="AP8" i="5" s="1"/>
  <c r="AQ8" i="5" s="1"/>
  <c r="AR8" i="5" s="1"/>
  <c r="AS8" i="5" s="1"/>
  <c r="AT8" i="5" s="1"/>
  <c r="AU8" i="5" s="1"/>
  <c r="AV8" i="5" s="1"/>
  <c r="AW8" i="5" s="1"/>
  <c r="AX8" i="5" s="1"/>
  <c r="U7" i="5"/>
  <c r="V7" i="5" s="1"/>
  <c r="W7" i="5" s="1"/>
  <c r="X7" i="5" s="1"/>
  <c r="Y7" i="5" s="1"/>
  <c r="Z7" i="5" s="1"/>
  <c r="AA7" i="5" s="1"/>
  <c r="AB7" i="5" s="1"/>
  <c r="AC7" i="5" s="1"/>
  <c r="AD7" i="5" s="1"/>
  <c r="AE7" i="5" s="1"/>
  <c r="AF7" i="5" s="1"/>
  <c r="AG7" i="5" s="1"/>
  <c r="AH7" i="5" s="1"/>
  <c r="AI7" i="5" s="1"/>
  <c r="AJ7" i="5" s="1"/>
  <c r="AK7" i="5" s="1"/>
  <c r="AL7" i="5" s="1"/>
  <c r="AM7" i="5" s="1"/>
  <c r="AN7" i="5" s="1"/>
  <c r="AO7" i="5" s="1"/>
  <c r="AP7" i="5" s="1"/>
  <c r="AQ7" i="5" s="1"/>
  <c r="AR7" i="5" s="1"/>
  <c r="AS7" i="5" s="1"/>
  <c r="AT7" i="5" s="1"/>
  <c r="AU7" i="5" s="1"/>
  <c r="AV7" i="5" s="1"/>
  <c r="AW7" i="5" s="1"/>
  <c r="AX7" i="5" s="1"/>
  <c r="U6" i="5"/>
  <c r="V6" i="5" s="1"/>
  <c r="W6" i="5" s="1"/>
  <c r="X6" i="5" s="1"/>
  <c r="Y6" i="5" s="1"/>
  <c r="Z6" i="5" s="1"/>
  <c r="AA6" i="5" s="1"/>
  <c r="AB6" i="5" s="1"/>
  <c r="AC6" i="5" s="1"/>
  <c r="AD6" i="5" s="1"/>
  <c r="AE6" i="5" s="1"/>
  <c r="AF6" i="5" s="1"/>
  <c r="AG6" i="5" s="1"/>
  <c r="AH6" i="5" s="1"/>
  <c r="AI6" i="5" s="1"/>
  <c r="AJ6" i="5" s="1"/>
  <c r="AK6" i="5" s="1"/>
  <c r="AL6" i="5" s="1"/>
  <c r="AM6" i="5" s="1"/>
  <c r="AN6" i="5" s="1"/>
  <c r="AO6" i="5" s="1"/>
  <c r="AP6" i="5" s="1"/>
  <c r="AQ6" i="5" s="1"/>
  <c r="AR6" i="5" s="1"/>
  <c r="AS6" i="5" s="1"/>
  <c r="AT6" i="5" s="1"/>
  <c r="AU6" i="5" s="1"/>
  <c r="AV6" i="5" s="1"/>
  <c r="AW6" i="5" s="1"/>
  <c r="AX6" i="5" s="1"/>
  <c r="U5" i="5"/>
  <c r="V5" i="5" s="1"/>
  <c r="W5" i="5" s="1"/>
  <c r="X5" i="5" s="1"/>
  <c r="Y5" i="5" s="1"/>
  <c r="Z5" i="5" s="1"/>
  <c r="AA5" i="5" s="1"/>
  <c r="AB5" i="5" s="1"/>
  <c r="AC5" i="5" s="1"/>
  <c r="AD5" i="5" s="1"/>
  <c r="AE5" i="5" s="1"/>
  <c r="AF5" i="5" s="1"/>
  <c r="AG5" i="5" s="1"/>
  <c r="AH5" i="5" s="1"/>
  <c r="AI5" i="5" s="1"/>
  <c r="AJ5" i="5" s="1"/>
  <c r="AK5" i="5" s="1"/>
  <c r="AL5" i="5" s="1"/>
  <c r="AM5" i="5" s="1"/>
  <c r="AN5" i="5" s="1"/>
  <c r="AO5" i="5" s="1"/>
  <c r="AP5" i="5" s="1"/>
  <c r="AQ5" i="5" s="1"/>
  <c r="AR5" i="5" s="1"/>
  <c r="AS5" i="5" s="1"/>
  <c r="AT5" i="5" s="1"/>
  <c r="AU5" i="5" s="1"/>
  <c r="AV5" i="5" s="1"/>
  <c r="AW5" i="5" s="1"/>
  <c r="AX5" i="5" s="1"/>
  <c r="U4" i="5"/>
  <c r="V3" i="5"/>
  <c r="W3" i="5" s="1"/>
  <c r="X3" i="5" s="1"/>
  <c r="Y3" i="5" s="1"/>
  <c r="Z3" i="5" s="1"/>
  <c r="AA3" i="5" s="1"/>
  <c r="AB3" i="5" s="1"/>
  <c r="AC3" i="5" s="1"/>
  <c r="AD3" i="5" s="1"/>
  <c r="AE3" i="5" s="1"/>
  <c r="AF3" i="5" s="1"/>
  <c r="AG3" i="5" s="1"/>
  <c r="AH3" i="5" s="1"/>
  <c r="AI3" i="5" s="1"/>
  <c r="AJ3" i="5" s="1"/>
  <c r="AK3" i="5" s="1"/>
  <c r="AL3" i="5" s="1"/>
  <c r="AM3" i="5" s="1"/>
  <c r="AN3" i="5" s="1"/>
  <c r="AO3" i="5" s="1"/>
  <c r="AP3" i="5" s="1"/>
  <c r="AQ3" i="5" s="1"/>
  <c r="AR3" i="5" s="1"/>
  <c r="AS3" i="5" s="1"/>
  <c r="AT3" i="5" s="1"/>
  <c r="AU3" i="5" s="1"/>
  <c r="AV3" i="5" s="1"/>
  <c r="AW3" i="5" s="1"/>
  <c r="AX3" i="5" s="1"/>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9" i="24"/>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8" i="24"/>
  <c r="A8" i="23"/>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11" i="22"/>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10" i="22"/>
  <c r="A9" i="22"/>
  <c r="A8" i="22"/>
  <c r="A24" i="21"/>
  <c r="A25" i="21" s="1"/>
  <c r="B25" i="21" s="1"/>
  <c r="B23" i="21"/>
  <c r="K6" i="1" s="1"/>
  <c r="A23" i="21"/>
  <c r="D16" i="21"/>
  <c r="D15" i="21"/>
  <c r="D14" i="21"/>
  <c r="D13" i="21"/>
  <c r="D12" i="21"/>
  <c r="D11" i="21"/>
  <c r="D17" i="21" s="1"/>
  <c r="A15" i="20"/>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11" i="20"/>
  <c r="A10" i="20"/>
  <c r="C9" i="20"/>
  <c r="B9" i="20"/>
  <c r="C8" i="20"/>
  <c r="B8" i="20"/>
  <c r="A13" i="19"/>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12" i="19"/>
  <c r="A11" i="19"/>
  <c r="A23" i="18"/>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22" i="18"/>
  <c r="A21" i="18"/>
  <c r="A20" i="18"/>
  <c r="D16" i="18"/>
  <c r="C16" i="18"/>
  <c r="B16" i="18"/>
  <c r="A16" i="18"/>
  <c r="D15" i="18"/>
  <c r="C15" i="18"/>
  <c r="B15" i="18"/>
  <c r="A15" i="18"/>
  <c r="D14" i="18"/>
  <c r="C14" i="18"/>
  <c r="B14" i="18"/>
  <c r="A14" i="18"/>
  <c r="D13" i="18"/>
  <c r="C13" i="18"/>
  <c r="B13" i="18"/>
  <c r="A13" i="18"/>
  <c r="D12" i="18"/>
  <c r="C12" i="18"/>
  <c r="B12" i="18"/>
  <c r="A12" i="18"/>
  <c r="D11" i="18"/>
  <c r="C11" i="18"/>
  <c r="B11" i="18"/>
  <c r="A11" i="18"/>
  <c r="D10" i="18"/>
  <c r="C10" i="18"/>
  <c r="B10" i="18"/>
  <c r="A10" i="18"/>
  <c r="D9" i="18"/>
  <c r="C9" i="18"/>
  <c r="B9" i="18"/>
  <c r="A9" i="18"/>
  <c r="D8" i="18"/>
  <c r="C8" i="18"/>
  <c r="B8" i="18"/>
  <c r="A8" i="18"/>
  <c r="P33" i="17"/>
  <c r="O33" i="17"/>
  <c r="A33" i="17"/>
  <c r="A34" i="17" s="1"/>
  <c r="B29" i="17"/>
  <c r="B28" i="17"/>
  <c r="B27" i="17"/>
  <c r="B26" i="17"/>
  <c r="B24" i="17"/>
  <c r="B23" i="17"/>
  <c r="B22" i="17"/>
  <c r="B21" i="17"/>
  <c r="B18" i="17"/>
  <c r="B15" i="17"/>
  <c r="B12" i="17"/>
  <c r="A26" i="16"/>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B22" i="16"/>
  <c r="B20" i="16"/>
  <c r="B19" i="16"/>
  <c r="B18" i="16"/>
  <c r="B17" i="16"/>
  <c r="B15" i="16"/>
  <c r="B14" i="16"/>
  <c r="B13" i="16"/>
  <c r="B12" i="16"/>
  <c r="B9" i="16"/>
  <c r="I28" i="16" s="1"/>
  <c r="B8" i="16"/>
  <c r="M24" i="15"/>
  <c r="I24" i="15"/>
  <c r="K24" i="15" s="1"/>
  <c r="M23" i="15"/>
  <c r="I23" i="15"/>
  <c r="K23" i="15" s="1"/>
  <c r="M22" i="15"/>
  <c r="I22" i="15"/>
  <c r="J22" i="15" s="1"/>
  <c r="A22" i="15"/>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21" i="15"/>
  <c r="A20" i="15"/>
  <c r="B16" i="15"/>
  <c r="B15" i="15"/>
  <c r="B14" i="15"/>
  <c r="B13" i="15"/>
  <c r="B11" i="15"/>
  <c r="B10" i="15"/>
  <c r="B9" i="15"/>
  <c r="B8" i="15"/>
  <c r="A23" i="14"/>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22" i="14"/>
  <c r="B18" i="14"/>
  <c r="B17" i="14"/>
  <c r="B16" i="14"/>
  <c r="B13" i="14"/>
  <c r="B12" i="14"/>
  <c r="B11" i="14"/>
  <c r="B10" i="14"/>
  <c r="B9" i="14"/>
  <c r="B8" i="14"/>
  <c r="B7" i="14"/>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A8" i="13"/>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9" i="12"/>
  <c r="A10" i="12" s="1"/>
  <c r="A11" i="12" s="1"/>
  <c r="A12" i="12" s="1"/>
  <c r="A13" i="12" s="1"/>
  <c r="A14" i="12" s="1"/>
  <c r="A4" i="12"/>
  <c r="A14" i="1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13" i="11"/>
  <c r="A12" i="11"/>
  <c r="A11" i="11"/>
  <c r="A10" i="11"/>
  <c r="B6" i="9"/>
  <c r="A10" i="8"/>
  <c r="B22" i="6"/>
  <c r="B9" i="6"/>
  <c r="B5" i="6"/>
  <c r="BD32" i="5"/>
  <c r="BC32" i="5"/>
  <c r="BB32" i="5"/>
  <c r="BA32" i="5"/>
  <c r="AZ32" i="5"/>
  <c r="T32" i="5"/>
  <c r="S32" i="5"/>
  <c r="R32" i="5"/>
  <c r="Q32" i="5"/>
  <c r="P32" i="5"/>
  <c r="N32" i="5"/>
  <c r="M32" i="5"/>
  <c r="L32" i="5"/>
  <c r="K32" i="5"/>
  <c r="BD31" i="5"/>
  <c r="BC31" i="5"/>
  <c r="BB31" i="5"/>
  <c r="BA31" i="5"/>
  <c r="AZ31" i="5"/>
  <c r="T31" i="5"/>
  <c r="S31" i="5"/>
  <c r="R31" i="5"/>
  <c r="Q31" i="5"/>
  <c r="P31" i="5"/>
  <c r="N31" i="5"/>
  <c r="M31" i="5"/>
  <c r="L31" i="5"/>
  <c r="K31" i="5"/>
  <c r="D60" i="4"/>
  <c r="D44" i="4"/>
  <c r="D39" i="4"/>
  <c r="D38" i="4"/>
  <c r="D37" i="4"/>
  <c r="D33" i="4"/>
  <c r="D32" i="4"/>
  <c r="D31" i="4"/>
  <c r="D27" i="4"/>
  <c r="D26" i="4"/>
  <c r="D25" i="4"/>
  <c r="D16" i="4"/>
  <c r="D9" i="4"/>
  <c r="A42" i="1"/>
  <c r="A43" i="1" s="1"/>
  <c r="A44" i="1" s="1"/>
  <c r="A45" i="1" s="1"/>
  <c r="A46" i="1" s="1"/>
  <c r="A47" i="1" s="1"/>
  <c r="A48" i="1" s="1"/>
  <c r="A49" i="1" s="1"/>
  <c r="A50" i="1" s="1"/>
  <c r="A51" i="1" s="1"/>
  <c r="A52" i="1" s="1"/>
  <c r="A53" i="1" s="1"/>
  <c r="A54" i="1" s="1"/>
  <c r="A55" i="1" s="1"/>
  <c r="A41" i="1"/>
  <c r="O36" i="1"/>
  <c r="H36" i="1"/>
  <c r="B36" i="1"/>
  <c r="C5" i="3" s="1"/>
  <c r="O35" i="1"/>
  <c r="N35" i="1"/>
  <c r="M35" i="1"/>
  <c r="L35" i="1"/>
  <c r="J35" i="1"/>
  <c r="I35" i="1"/>
  <c r="H35" i="1"/>
  <c r="B35" i="1"/>
  <c r="O34" i="1"/>
  <c r="N34" i="1"/>
  <c r="M34" i="1"/>
  <c r="L34" i="1"/>
  <c r="J34" i="1"/>
  <c r="I34" i="1"/>
  <c r="H34" i="1"/>
  <c r="B34" i="1"/>
  <c r="O33" i="1"/>
  <c r="N33" i="1"/>
  <c r="M33" i="1"/>
  <c r="L33" i="1"/>
  <c r="J33" i="1"/>
  <c r="I33" i="1"/>
  <c r="H33" i="1"/>
  <c r="B33" i="1"/>
  <c r="O32" i="1"/>
  <c r="N32" i="1"/>
  <c r="M32" i="1"/>
  <c r="L32" i="1"/>
  <c r="J32" i="1"/>
  <c r="I32" i="1"/>
  <c r="H32" i="1"/>
  <c r="B32" i="1"/>
  <c r="O31" i="1"/>
  <c r="N31" i="1"/>
  <c r="M31" i="1"/>
  <c r="L31" i="1"/>
  <c r="J31" i="1"/>
  <c r="I31" i="1"/>
  <c r="H31" i="1"/>
  <c r="B31" i="1"/>
  <c r="O30" i="1"/>
  <c r="N30" i="1"/>
  <c r="M30" i="1"/>
  <c r="L30" i="1"/>
  <c r="J30" i="1"/>
  <c r="I30" i="1"/>
  <c r="H30" i="1"/>
  <c r="B30" i="1"/>
  <c r="O29" i="1"/>
  <c r="N29" i="1"/>
  <c r="M29" i="1"/>
  <c r="L29" i="1"/>
  <c r="J29" i="1"/>
  <c r="I29" i="1"/>
  <c r="H29" i="1"/>
  <c r="B29" i="1"/>
  <c r="O28" i="1"/>
  <c r="N28" i="1"/>
  <c r="M28" i="1"/>
  <c r="L28" i="1"/>
  <c r="J28" i="1"/>
  <c r="I28" i="1"/>
  <c r="H28" i="1"/>
  <c r="B28" i="1"/>
  <c r="O27" i="1"/>
  <c r="N27" i="1"/>
  <c r="M27" i="1"/>
  <c r="L27" i="1"/>
  <c r="J27" i="1"/>
  <c r="I27" i="1"/>
  <c r="H27" i="1"/>
  <c r="B27" i="1"/>
  <c r="O26" i="1"/>
  <c r="N26" i="1"/>
  <c r="M26" i="1"/>
  <c r="L26" i="1"/>
  <c r="J26" i="1"/>
  <c r="I26" i="1"/>
  <c r="H26" i="1"/>
  <c r="B26" i="1"/>
  <c r="O25" i="1"/>
  <c r="N25" i="1"/>
  <c r="M25" i="1"/>
  <c r="L25" i="1"/>
  <c r="J25" i="1"/>
  <c r="I25" i="1"/>
  <c r="H25" i="1"/>
  <c r="B25" i="1"/>
  <c r="O24" i="1"/>
  <c r="N24" i="1"/>
  <c r="M24" i="1"/>
  <c r="L24" i="1"/>
  <c r="J24" i="1"/>
  <c r="I24" i="1"/>
  <c r="H24" i="1"/>
  <c r="B24" i="1"/>
  <c r="O23" i="1"/>
  <c r="N23" i="1"/>
  <c r="M23" i="1"/>
  <c r="L23" i="1"/>
  <c r="J23" i="1"/>
  <c r="I23" i="1"/>
  <c r="H23" i="1"/>
  <c r="B23" i="1"/>
  <c r="O22" i="1"/>
  <c r="N22" i="1"/>
  <c r="M22" i="1"/>
  <c r="L22" i="1"/>
  <c r="J22" i="1"/>
  <c r="I22" i="1"/>
  <c r="H22" i="1"/>
  <c r="B22" i="1"/>
  <c r="O21" i="1"/>
  <c r="N21" i="1"/>
  <c r="M21" i="1"/>
  <c r="L21" i="1"/>
  <c r="J21" i="1"/>
  <c r="I21" i="1"/>
  <c r="H21" i="1"/>
  <c r="B21" i="1"/>
  <c r="O20" i="1"/>
  <c r="N20" i="1"/>
  <c r="M20" i="1"/>
  <c r="L20" i="1"/>
  <c r="J20" i="1"/>
  <c r="I20" i="1"/>
  <c r="H20" i="1"/>
  <c r="B20" i="1"/>
  <c r="O19" i="1"/>
  <c r="N19" i="1"/>
  <c r="M19" i="1"/>
  <c r="L19" i="1"/>
  <c r="J19" i="1"/>
  <c r="I19" i="1"/>
  <c r="H19" i="1"/>
  <c r="B19" i="1"/>
  <c r="O18" i="1"/>
  <c r="N18" i="1"/>
  <c r="M18" i="1"/>
  <c r="L18" i="1"/>
  <c r="J18" i="1"/>
  <c r="I18" i="1"/>
  <c r="H18" i="1"/>
  <c r="B18" i="1"/>
  <c r="O17" i="1"/>
  <c r="N17" i="1"/>
  <c r="M17" i="1"/>
  <c r="L17" i="1"/>
  <c r="J17" i="1"/>
  <c r="I17" i="1"/>
  <c r="H17" i="1"/>
  <c r="B17" i="1"/>
  <c r="O16" i="1"/>
  <c r="N16" i="1"/>
  <c r="M16" i="1"/>
  <c r="L16" i="1"/>
  <c r="J16" i="1"/>
  <c r="I16" i="1"/>
  <c r="H16" i="1"/>
  <c r="B16" i="1"/>
  <c r="O15" i="1"/>
  <c r="N15" i="1"/>
  <c r="M15" i="1"/>
  <c r="L15" i="1"/>
  <c r="J15" i="1"/>
  <c r="I15" i="1"/>
  <c r="H15" i="1"/>
  <c r="B15" i="1"/>
  <c r="O14" i="1"/>
  <c r="N14" i="1"/>
  <c r="M14" i="1"/>
  <c r="L14" i="1"/>
  <c r="J14" i="1"/>
  <c r="I14" i="1"/>
  <c r="H14" i="1"/>
  <c r="B14" i="1"/>
  <c r="O13" i="1"/>
  <c r="N13" i="1"/>
  <c r="M13" i="1"/>
  <c r="L13" i="1"/>
  <c r="J13" i="1"/>
  <c r="I13" i="1"/>
  <c r="H13" i="1"/>
  <c r="B13" i="1"/>
  <c r="O12" i="1"/>
  <c r="N12" i="1"/>
  <c r="M12" i="1"/>
  <c r="L12" i="1"/>
  <c r="J12" i="1"/>
  <c r="I12" i="1"/>
  <c r="H12" i="1"/>
  <c r="B12" i="1"/>
  <c r="O11" i="1"/>
  <c r="N11" i="1"/>
  <c r="M11" i="1"/>
  <c r="L11" i="1"/>
  <c r="J11" i="1"/>
  <c r="I11" i="1"/>
  <c r="H11" i="1"/>
  <c r="B11" i="1"/>
  <c r="O10" i="1"/>
  <c r="N10" i="1"/>
  <c r="M10" i="1"/>
  <c r="L10" i="1"/>
  <c r="J10" i="1"/>
  <c r="I10" i="1"/>
  <c r="H10" i="1"/>
  <c r="B10" i="1"/>
  <c r="O9" i="1"/>
  <c r="N9" i="1"/>
  <c r="M9" i="1"/>
  <c r="L9" i="1"/>
  <c r="J9" i="1"/>
  <c r="I9" i="1"/>
  <c r="H9" i="1"/>
  <c r="B9" i="1"/>
  <c r="O8" i="1"/>
  <c r="N8" i="1"/>
  <c r="M8" i="1"/>
  <c r="L8" i="1"/>
  <c r="K8" i="1"/>
  <c r="J8" i="1"/>
  <c r="I8" i="1"/>
  <c r="H8" i="1"/>
  <c r="B8" i="1"/>
  <c r="O7" i="1"/>
  <c r="N7" i="1"/>
  <c r="M7" i="1"/>
  <c r="L7" i="1"/>
  <c r="J7" i="1"/>
  <c r="I7" i="1"/>
  <c r="H7" i="1"/>
  <c r="B7" i="1"/>
  <c r="O6" i="1"/>
  <c r="N6" i="1"/>
  <c r="N36" i="1" s="1"/>
  <c r="M6" i="1"/>
  <c r="M36" i="1" s="1"/>
  <c r="L6" i="1"/>
  <c r="L36" i="1" s="1"/>
  <c r="J6" i="1"/>
  <c r="J36" i="1" s="1"/>
  <c r="I6" i="1"/>
  <c r="I36" i="1" s="1"/>
  <c r="H6" i="1"/>
  <c r="B6" i="1"/>
  <c r="A6" i="1"/>
  <c r="L37" i="1" s="1"/>
  <c r="O5" i="1"/>
  <c r="N5" i="1"/>
  <c r="M5" i="1"/>
  <c r="L5" i="1"/>
  <c r="D45" i="4" l="1"/>
  <c r="I28" i="15" s="1"/>
  <c r="Q63" i="16"/>
  <c r="Q55" i="16"/>
  <c r="Q47" i="16"/>
  <c r="Q39" i="16"/>
  <c r="Q35" i="16"/>
  <c r="Q50" i="16"/>
  <c r="Q40" i="16"/>
  <c r="Q62" i="16"/>
  <c r="Q54" i="16"/>
  <c r="Q46" i="16"/>
  <c r="Q38" i="16"/>
  <c r="Q58" i="16"/>
  <c r="Q61" i="16"/>
  <c r="Q53" i="16"/>
  <c r="Q45" i="16"/>
  <c r="Q37" i="16"/>
  <c r="Q34" i="16"/>
  <c r="Q56" i="16"/>
  <c r="Q60" i="16"/>
  <c r="Q52" i="16"/>
  <c r="Q44" i="16"/>
  <c r="Q36" i="16"/>
  <c r="Q59" i="16"/>
  <c r="Q51" i="16"/>
  <c r="Q43" i="16"/>
  <c r="Q42" i="16"/>
  <c r="Q48" i="16"/>
  <c r="Q57" i="16"/>
  <c r="Q49" i="16"/>
  <c r="Q41" i="16"/>
  <c r="Q33" i="16"/>
  <c r="D41" i="4"/>
  <c r="M25" i="15"/>
  <c r="D40" i="4"/>
  <c r="K22" i="15"/>
  <c r="L22" i="15" s="1"/>
  <c r="N22" i="15" s="1"/>
  <c r="J23" i="15"/>
  <c r="L23" i="15" s="1"/>
  <c r="N23" i="15" s="1"/>
  <c r="D28" i="4"/>
  <c r="D34" i="4"/>
  <c r="V19" i="5"/>
  <c r="CK19" i="5" s="1"/>
  <c r="DP19" i="5" s="1"/>
  <c r="U32" i="5"/>
  <c r="V4" i="5"/>
  <c r="U31" i="5"/>
  <c r="DM7" i="5"/>
  <c r="ER7" i="5" s="1"/>
  <c r="CS7" i="5"/>
  <c r="DX7" i="5" s="1"/>
  <c r="CL7" i="5"/>
  <c r="DQ7" i="5" s="1"/>
  <c r="CM7" i="5"/>
  <c r="DR7" i="5" s="1"/>
  <c r="CZ7" i="5"/>
  <c r="EE7" i="5" s="1"/>
  <c r="DE7" i="5"/>
  <c r="EJ7" i="5" s="1"/>
  <c r="DJ7" i="5"/>
  <c r="EO7" i="5" s="1"/>
  <c r="CX5" i="5"/>
  <c r="EC5" i="5" s="1"/>
  <c r="DF5" i="5"/>
  <c r="EK5" i="5" s="1"/>
  <c r="DA5" i="5"/>
  <c r="EF5" i="5" s="1"/>
  <c r="CO7" i="5"/>
  <c r="DT7" i="5" s="1"/>
  <c r="DK7" i="5"/>
  <c r="EP7" i="5" s="1"/>
  <c r="DM5" i="5"/>
  <c r="ER5" i="5" s="1"/>
  <c r="CK5" i="5"/>
  <c r="DP5" i="5" s="1"/>
  <c r="DG5" i="5"/>
  <c r="EL5" i="5" s="1"/>
  <c r="CW7" i="5"/>
  <c r="EB7" i="5" s="1"/>
  <c r="CK11" i="5"/>
  <c r="DP11" i="5" s="1"/>
  <c r="CO5" i="5"/>
  <c r="DT5" i="5" s="1"/>
  <c r="DI5" i="5"/>
  <c r="EN5" i="5" s="1"/>
  <c r="CS5" i="5"/>
  <c r="DX5" i="5" s="1"/>
  <c r="DL5" i="5"/>
  <c r="EQ5" i="5" s="1"/>
  <c r="DA7" i="5"/>
  <c r="EF7" i="5" s="1"/>
  <c r="CK23" i="5"/>
  <c r="DP23" i="5" s="1"/>
  <c r="CV5" i="5"/>
  <c r="EA5" i="5" s="1"/>
  <c r="CK7" i="5"/>
  <c r="DP7" i="5" s="1"/>
  <c r="DB7" i="5"/>
  <c r="EG7" i="5" s="1"/>
  <c r="CJ25" i="5"/>
  <c r="DO25" i="5" s="1"/>
  <c r="CW5" i="5"/>
  <c r="EB5" i="5" s="1"/>
  <c r="CJ29" i="5"/>
  <c r="DO29" i="5" s="1"/>
  <c r="BF14" i="5"/>
  <c r="CJ14" i="5"/>
  <c r="DO14" i="5" s="1"/>
  <c r="BF8" i="5"/>
  <c r="CJ8" i="5"/>
  <c r="DO8" i="5" s="1"/>
  <c r="BE31" i="5"/>
  <c r="BE32" i="5"/>
  <c r="BF9" i="5"/>
  <c r="CJ9" i="5"/>
  <c r="DO9" i="5" s="1"/>
  <c r="BF17" i="5"/>
  <c r="CJ17" i="5"/>
  <c r="DO17" i="5" s="1"/>
  <c r="BG25" i="5"/>
  <c r="CK25" i="5"/>
  <c r="DP25" i="5" s="1"/>
  <c r="CJ30" i="5"/>
  <c r="DO30" i="5" s="1"/>
  <c r="CN5" i="5"/>
  <c r="DS5" i="5" s="1"/>
  <c r="CY5" i="5"/>
  <c r="ED5" i="5" s="1"/>
  <c r="CR7" i="5"/>
  <c r="DW7" i="5" s="1"/>
  <c r="DC7" i="5"/>
  <c r="EH7" i="5" s="1"/>
  <c r="CL11" i="5"/>
  <c r="DQ11" i="5" s="1"/>
  <c r="CJ13" i="5"/>
  <c r="DO13" i="5" s="1"/>
  <c r="CL15" i="5"/>
  <c r="DQ15" i="5" s="1"/>
  <c r="CJ28" i="5"/>
  <c r="DO28" i="5" s="1"/>
  <c r="BH10" i="5"/>
  <c r="CL10" i="5"/>
  <c r="DQ10" i="5" s="1"/>
  <c r="BF18" i="5"/>
  <c r="CJ18" i="5"/>
  <c r="DO18" i="5" s="1"/>
  <c r="BG26" i="5"/>
  <c r="CK26" i="5"/>
  <c r="DP26" i="5" s="1"/>
  <c r="CK30" i="5"/>
  <c r="DP30" i="5" s="1"/>
  <c r="CJ6" i="5"/>
  <c r="DO6" i="5" s="1"/>
  <c r="CM11" i="5"/>
  <c r="DR11" i="5" s="1"/>
  <c r="CJ26" i="5"/>
  <c r="DO26" i="5" s="1"/>
  <c r="BJ11" i="5"/>
  <c r="CN11" i="5"/>
  <c r="DS11" i="5" s="1"/>
  <c r="BG19" i="5"/>
  <c r="BF27" i="5"/>
  <c r="CJ27" i="5"/>
  <c r="DO27" i="5" s="1"/>
  <c r="CL30" i="5"/>
  <c r="DQ30" i="5" s="1"/>
  <c r="CP5" i="5"/>
  <c r="DU5" i="5" s="1"/>
  <c r="DD5" i="5"/>
  <c r="EI5" i="5" s="1"/>
  <c r="CK6" i="5"/>
  <c r="DP6" i="5" s="1"/>
  <c r="CT7" i="5"/>
  <c r="DY7" i="5" s="1"/>
  <c r="DH7" i="5"/>
  <c r="EM7" i="5" s="1"/>
  <c r="CJ22" i="5"/>
  <c r="DO22" i="5" s="1"/>
  <c r="BG22" i="5"/>
  <c r="CK22" i="5"/>
  <c r="DP22" i="5" s="1"/>
  <c r="BF4" i="5"/>
  <c r="CJ4" i="5"/>
  <c r="DO4" i="5" s="1"/>
  <c r="BF12" i="5"/>
  <c r="CJ12" i="5"/>
  <c r="DO12" i="5" s="1"/>
  <c r="BF20" i="5"/>
  <c r="CJ20" i="5"/>
  <c r="DO20" i="5" s="1"/>
  <c r="BG28" i="5"/>
  <c r="CK28" i="5"/>
  <c r="DP28" i="5" s="1"/>
  <c r="CM30" i="5"/>
  <c r="DR30" i="5" s="1"/>
  <c r="CQ5" i="5"/>
  <c r="DV5" i="5" s="1"/>
  <c r="DE5" i="5"/>
  <c r="EJ5" i="5" s="1"/>
  <c r="CJ7" i="5"/>
  <c r="DO7" i="5" s="1"/>
  <c r="CU7" i="5"/>
  <c r="DZ7" i="5" s="1"/>
  <c r="DI7" i="5"/>
  <c r="EN7" i="5" s="1"/>
  <c r="CJ16" i="5"/>
  <c r="DO16" i="5" s="1"/>
  <c r="BH6" i="5"/>
  <c r="CL6" i="5"/>
  <c r="DQ6" i="5" s="1"/>
  <c r="CK10" i="5"/>
  <c r="DP10" i="5" s="1"/>
  <c r="CJ10" i="5"/>
  <c r="DO10" i="5" s="1"/>
  <c r="BJ30" i="5"/>
  <c r="CN30" i="5"/>
  <c r="DS30" i="5" s="1"/>
  <c r="CJ11" i="5"/>
  <c r="DO11" i="5" s="1"/>
  <c r="CJ19" i="5"/>
  <c r="DO19" i="5" s="1"/>
  <c r="BG13" i="5"/>
  <c r="CK13" i="5"/>
  <c r="DP13" i="5" s="1"/>
  <c r="BG21" i="5"/>
  <c r="CK21" i="5"/>
  <c r="DP21" i="5" s="1"/>
  <c r="BG29" i="5"/>
  <c r="CK29" i="5"/>
  <c r="DP29" i="5" s="1"/>
  <c r="CJ5" i="5"/>
  <c r="DO5" i="5" s="1"/>
  <c r="CR5" i="5"/>
  <c r="DW5" i="5" s="1"/>
  <c r="CZ5" i="5"/>
  <c r="EE5" i="5" s="1"/>
  <c r="DH5" i="5"/>
  <c r="EM5" i="5" s="1"/>
  <c r="CN7" i="5"/>
  <c r="DS7" i="5" s="1"/>
  <c r="CV7" i="5"/>
  <c r="EA7" i="5" s="1"/>
  <c r="DD7" i="5"/>
  <c r="EI7" i="5" s="1"/>
  <c r="DL7" i="5"/>
  <c r="EQ7" i="5" s="1"/>
  <c r="CJ23" i="5"/>
  <c r="DO23" i="5" s="1"/>
  <c r="BI15" i="5"/>
  <c r="CM15" i="5"/>
  <c r="DR15" i="5" s="1"/>
  <c r="BI23" i="5"/>
  <c r="CM23" i="5"/>
  <c r="DR23" i="5" s="1"/>
  <c r="CL5" i="5"/>
  <c r="DQ5" i="5" s="1"/>
  <c r="CT5" i="5"/>
  <c r="DY5" i="5" s="1"/>
  <c r="DB5" i="5"/>
  <c r="EG5" i="5" s="1"/>
  <c r="DJ5" i="5"/>
  <c r="EO5" i="5" s="1"/>
  <c r="CP7" i="5"/>
  <c r="DU7" i="5" s="1"/>
  <c r="CX7" i="5"/>
  <c r="EC7" i="5" s="1"/>
  <c r="DF7" i="5"/>
  <c r="EK7" i="5" s="1"/>
  <c r="CJ15" i="5"/>
  <c r="DO15" i="5" s="1"/>
  <c r="CL23" i="5"/>
  <c r="DQ23" i="5" s="1"/>
  <c r="BG16" i="5"/>
  <c r="CK16" i="5"/>
  <c r="DP16" i="5" s="1"/>
  <c r="BG24" i="5"/>
  <c r="CK24" i="5"/>
  <c r="DP24" i="5" s="1"/>
  <c r="CM5" i="5"/>
  <c r="DR5" i="5" s="1"/>
  <c r="CU5" i="5"/>
  <c r="DZ5" i="5" s="1"/>
  <c r="DC5" i="5"/>
  <c r="EH5" i="5" s="1"/>
  <c r="DK5" i="5"/>
  <c r="EP5" i="5" s="1"/>
  <c r="CQ7" i="5"/>
  <c r="DV7" i="5" s="1"/>
  <c r="CY7" i="5"/>
  <c r="ED7" i="5" s="1"/>
  <c r="DG7" i="5"/>
  <c r="EL7" i="5" s="1"/>
  <c r="CK15" i="5"/>
  <c r="DP15" i="5" s="1"/>
  <c r="CJ21" i="5"/>
  <c r="DO21" i="5" s="1"/>
  <c r="CJ24" i="5"/>
  <c r="DO24" i="5" s="1"/>
  <c r="K33" i="5"/>
  <c r="T33" i="5"/>
  <c r="P33" i="5"/>
  <c r="BC33" i="5"/>
  <c r="H33" i="5"/>
  <c r="L33" i="5"/>
  <c r="AZ33" i="5"/>
  <c r="BD33" i="5"/>
  <c r="L33" i="16" s="1"/>
  <c r="BA33" i="5"/>
  <c r="M33" i="5"/>
  <c r="Q33" i="5"/>
  <c r="N33" i="5"/>
  <c r="L28" i="16" s="1"/>
  <c r="N28" i="16" s="1"/>
  <c r="BB33" i="5"/>
  <c r="R33" i="5"/>
  <c r="J33" i="5"/>
  <c r="S33" i="5"/>
  <c r="M37" i="1"/>
  <c r="N37" i="1"/>
  <c r="O37" i="1"/>
  <c r="P34" i="17"/>
  <c r="O34" i="17"/>
  <c r="A35" i="17"/>
  <c r="Q34" i="17"/>
  <c r="A15" i="12"/>
  <c r="A16" i="12" s="1"/>
  <c r="A17" i="12" s="1"/>
  <c r="A18" i="12" s="1"/>
  <c r="A19" i="12" s="1"/>
  <c r="C14" i="12"/>
  <c r="B46" i="1" s="1"/>
  <c r="C46" i="1" s="1"/>
  <c r="H37" i="1"/>
  <c r="I37" i="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J37" i="1"/>
  <c r="B37" i="1"/>
  <c r="D5" i="3" s="1"/>
  <c r="C12" i="12"/>
  <c r="B44" i="1" s="1"/>
  <c r="C44" i="1" s="1"/>
  <c r="C10" i="12"/>
  <c r="B42" i="1" s="1"/>
  <c r="C42" i="1" s="1"/>
  <c r="Q33" i="17"/>
  <c r="B24" i="21"/>
  <c r="K7" i="1" s="1"/>
  <c r="C15" i="12"/>
  <c r="B47" i="1" s="1"/>
  <c r="C47" i="1" s="1"/>
  <c r="J24" i="15"/>
  <c r="L24" i="15" s="1"/>
  <c r="N24" i="15" s="1"/>
  <c r="A26" i="21"/>
  <c r="C11" i="12"/>
  <c r="B43" i="1" s="1"/>
  <c r="C43" i="1" s="1"/>
  <c r="C16" i="12"/>
  <c r="B48" i="1" s="1"/>
  <c r="C48" i="1" s="1"/>
  <c r="C17" i="12"/>
  <c r="B49" i="1" s="1"/>
  <c r="C49" i="1" s="1"/>
  <c r="C13" i="12"/>
  <c r="B45" i="1" s="1"/>
  <c r="C45" i="1" s="1"/>
  <c r="C9" i="12"/>
  <c r="C18" i="12"/>
  <c r="B50" i="1" s="1"/>
  <c r="C50" i="1" s="1"/>
  <c r="N62" i="16" l="1"/>
  <c r="N63" i="16"/>
  <c r="N41" i="16"/>
  <c r="N38" i="16"/>
  <c r="N48" i="16"/>
  <c r="N59" i="16"/>
  <c r="N51" i="16"/>
  <c r="N44" i="16"/>
  <c r="N46" i="16"/>
  <c r="N54" i="16"/>
  <c r="N47" i="16"/>
  <c r="N57" i="16"/>
  <c r="N33" i="16"/>
  <c r="M33" i="16" s="1"/>
  <c r="O33" i="16" s="1"/>
  <c r="R33" i="16" s="1"/>
  <c r="N58" i="16"/>
  <c r="N56" i="16"/>
  <c r="N61" i="16"/>
  <c r="N60" i="16"/>
  <c r="N40" i="16"/>
  <c r="N36" i="16"/>
  <c r="N34" i="16"/>
  <c r="N35" i="16"/>
  <c r="N39" i="16"/>
  <c r="N37" i="16"/>
  <c r="N53" i="16"/>
  <c r="N45" i="16"/>
  <c r="N43" i="16"/>
  <c r="N55" i="16"/>
  <c r="N49" i="16"/>
  <c r="N42" i="16"/>
  <c r="N50" i="16"/>
  <c r="N52" i="16"/>
  <c r="D42" i="4"/>
  <c r="D47" i="4" s="1"/>
  <c r="D48" i="4" s="1"/>
  <c r="N25" i="15"/>
  <c r="I29" i="15" s="1"/>
  <c r="I30" i="15" s="1"/>
  <c r="B39" i="15" s="1"/>
  <c r="D39" i="15" s="1"/>
  <c r="D25" i="1" s="1"/>
  <c r="U33" i="5"/>
  <c r="W4" i="5"/>
  <c r="V31" i="5"/>
  <c r="W19" i="5"/>
  <c r="CL19" i="5" s="1"/>
  <c r="DQ19" i="5" s="1"/>
  <c r="V32" i="5"/>
  <c r="DO31" i="5"/>
  <c r="DO35" i="5"/>
  <c r="B38" i="5" s="1"/>
  <c r="B22" i="14" s="1"/>
  <c r="DO32" i="5"/>
  <c r="BJ15" i="5"/>
  <c r="CN15" i="5"/>
  <c r="DS15" i="5" s="1"/>
  <c r="CJ32" i="5"/>
  <c r="BH28" i="5"/>
  <c r="CL28" i="5"/>
  <c r="DQ28" i="5" s="1"/>
  <c r="BH22" i="5"/>
  <c r="CL22" i="5"/>
  <c r="DQ22" i="5" s="1"/>
  <c r="BE33" i="5"/>
  <c r="L34" i="16" s="1"/>
  <c r="BH24" i="5"/>
  <c r="CL24" i="5"/>
  <c r="DQ24" i="5" s="1"/>
  <c r="BG27" i="5"/>
  <c r="CK27" i="5"/>
  <c r="DP27" i="5" s="1"/>
  <c r="BH13" i="5"/>
  <c r="CL13" i="5"/>
  <c r="DQ13" i="5" s="1"/>
  <c r="BI6" i="5"/>
  <c r="CM6" i="5"/>
  <c r="DR6" i="5" s="1"/>
  <c r="BG20" i="5"/>
  <c r="CK20" i="5"/>
  <c r="DP20" i="5" s="1"/>
  <c r="BH16" i="5"/>
  <c r="CL16" i="5"/>
  <c r="DQ16" i="5" s="1"/>
  <c r="BH29" i="5"/>
  <c r="CL29" i="5"/>
  <c r="DQ29" i="5" s="1"/>
  <c r="BK30" i="5"/>
  <c r="CO30" i="5"/>
  <c r="DT30" i="5" s="1"/>
  <c r="BH19" i="5"/>
  <c r="BH26" i="5"/>
  <c r="CL26" i="5"/>
  <c r="DQ26" i="5" s="1"/>
  <c r="BG8" i="5"/>
  <c r="CK8" i="5"/>
  <c r="DP8" i="5" s="1"/>
  <c r="BI10" i="5"/>
  <c r="CM10" i="5"/>
  <c r="DR10" i="5" s="1"/>
  <c r="BF32" i="5"/>
  <c r="BH25" i="5"/>
  <c r="CL25" i="5"/>
  <c r="DQ25" i="5" s="1"/>
  <c r="BG12" i="5"/>
  <c r="CK12" i="5"/>
  <c r="DP12" i="5" s="1"/>
  <c r="BG17" i="5"/>
  <c r="CK17" i="5"/>
  <c r="DP17" i="5" s="1"/>
  <c r="BJ23" i="5"/>
  <c r="CN23" i="5"/>
  <c r="DS23" i="5" s="1"/>
  <c r="BG4" i="5"/>
  <c r="BF31" i="5"/>
  <c r="CK4" i="5"/>
  <c r="DP4" i="5" s="1"/>
  <c r="BG9" i="5"/>
  <c r="CK9" i="5"/>
  <c r="DP9" i="5" s="1"/>
  <c r="BH21" i="5"/>
  <c r="CL21" i="5"/>
  <c r="DQ21" i="5" s="1"/>
  <c r="CJ31" i="5"/>
  <c r="BK11" i="5"/>
  <c r="CO11" i="5"/>
  <c r="DT11" i="5" s="1"/>
  <c r="BG18" i="5"/>
  <c r="CK18" i="5"/>
  <c r="DP18" i="5" s="1"/>
  <c r="BG14" i="5"/>
  <c r="CK14" i="5"/>
  <c r="DP14" i="5" s="1"/>
  <c r="I33" i="5"/>
  <c r="A36" i="17"/>
  <c r="Q35" i="17"/>
  <c r="P35" i="17"/>
  <c r="O35" i="17"/>
  <c r="A27" i="21"/>
  <c r="B26" i="21"/>
  <c r="K9" i="1" s="1"/>
  <c r="B41" i="1"/>
  <c r="A20" i="12"/>
  <c r="C19" i="12"/>
  <c r="B51" i="1" s="1"/>
  <c r="C51" i="1" s="1"/>
  <c r="M34" i="16" l="1"/>
  <c r="O34" i="16" s="1"/>
  <c r="R34" i="16" s="1"/>
  <c r="C26" i="16" s="1"/>
  <c r="M35" i="16"/>
  <c r="O35" i="16" s="1"/>
  <c r="R35" i="16" s="1"/>
  <c r="C27" i="16" s="1"/>
  <c r="B27" i="15"/>
  <c r="D27" i="15" s="1"/>
  <c r="D13" i="1" s="1"/>
  <c r="B34" i="15"/>
  <c r="D34" i="15" s="1"/>
  <c r="D20" i="1" s="1"/>
  <c r="B37" i="15"/>
  <c r="D37" i="15" s="1"/>
  <c r="D23" i="1" s="1"/>
  <c r="B23" i="15"/>
  <c r="D23" i="15" s="1"/>
  <c r="D9" i="1" s="1"/>
  <c r="B35" i="15"/>
  <c r="D35" i="15" s="1"/>
  <c r="D21" i="1" s="1"/>
  <c r="B44" i="15"/>
  <c r="D44" i="15" s="1"/>
  <c r="D30" i="1" s="1"/>
  <c r="B26" i="15"/>
  <c r="D26" i="15" s="1"/>
  <c r="D12" i="1" s="1"/>
  <c r="B20" i="15"/>
  <c r="D20" i="15" s="1"/>
  <c r="D6" i="1" s="1"/>
  <c r="B41" i="15"/>
  <c r="D41" i="15" s="1"/>
  <c r="D27" i="1" s="1"/>
  <c r="B43" i="15"/>
  <c r="D43" i="15" s="1"/>
  <c r="D29" i="1" s="1"/>
  <c r="B24" i="15"/>
  <c r="D24" i="15" s="1"/>
  <c r="D10" i="1" s="1"/>
  <c r="B46" i="15"/>
  <c r="D46" i="15" s="1"/>
  <c r="D32" i="1" s="1"/>
  <c r="B48" i="15"/>
  <c r="D48" i="15" s="1"/>
  <c r="D34" i="1" s="1"/>
  <c r="B42" i="15"/>
  <c r="D42" i="15" s="1"/>
  <c r="D28" i="1" s="1"/>
  <c r="B45" i="15"/>
  <c r="D45" i="15" s="1"/>
  <c r="D31" i="1" s="1"/>
  <c r="B36" i="15"/>
  <c r="D36" i="15" s="1"/>
  <c r="D22" i="1" s="1"/>
  <c r="B29" i="15"/>
  <c r="D29" i="15" s="1"/>
  <c r="D15" i="1" s="1"/>
  <c r="B22" i="15"/>
  <c r="D22" i="15" s="1"/>
  <c r="D8" i="1" s="1"/>
  <c r="B40" i="15"/>
  <c r="D40" i="15" s="1"/>
  <c r="D26" i="1" s="1"/>
  <c r="B47" i="15"/>
  <c r="D47" i="15" s="1"/>
  <c r="D33" i="1" s="1"/>
  <c r="B38" i="15"/>
  <c r="D38" i="15" s="1"/>
  <c r="D24" i="1" s="1"/>
  <c r="B21" i="15"/>
  <c r="D21" i="15" s="1"/>
  <c r="D7" i="1" s="1"/>
  <c r="B25" i="15"/>
  <c r="D25" i="15" s="1"/>
  <c r="D11" i="1" s="1"/>
  <c r="B31" i="15"/>
  <c r="D31" i="15" s="1"/>
  <c r="D17" i="1" s="1"/>
  <c r="B49" i="15"/>
  <c r="D49" i="15" s="1"/>
  <c r="D35" i="1" s="1"/>
  <c r="B30" i="15"/>
  <c r="D30" i="15" s="1"/>
  <c r="D16" i="1" s="1"/>
  <c r="B28" i="15"/>
  <c r="D28" i="15" s="1"/>
  <c r="D14" i="1" s="1"/>
  <c r="B32" i="15"/>
  <c r="D32" i="15" s="1"/>
  <c r="D18" i="1" s="1"/>
  <c r="B33" i="15"/>
  <c r="D33" i="15" s="1"/>
  <c r="D19" i="1" s="1"/>
  <c r="X19" i="5"/>
  <c r="CM19" i="5" s="1"/>
  <c r="DR19" i="5" s="1"/>
  <c r="W32" i="5"/>
  <c r="V33" i="5"/>
  <c r="X4" i="5"/>
  <c r="W31" i="5"/>
  <c r="D22" i="14"/>
  <c r="C6" i="1" s="1"/>
  <c r="B33" i="17"/>
  <c r="S33" i="17" s="1"/>
  <c r="F6" i="1" s="1"/>
  <c r="B26" i="16"/>
  <c r="DP32" i="5"/>
  <c r="DP35" i="5"/>
  <c r="B39" i="5" s="1"/>
  <c r="B23" i="14" s="1"/>
  <c r="DP31" i="5"/>
  <c r="DO33" i="5"/>
  <c r="BF33" i="5"/>
  <c r="L35" i="16" s="1"/>
  <c r="BH9" i="5"/>
  <c r="CL9" i="5"/>
  <c r="DQ9" i="5" s="1"/>
  <c r="BH8" i="5"/>
  <c r="CL8" i="5"/>
  <c r="DQ8" i="5" s="1"/>
  <c r="BI22" i="5"/>
  <c r="CM22" i="5"/>
  <c r="DR22" i="5" s="1"/>
  <c r="BH14" i="5"/>
  <c r="CL14" i="5"/>
  <c r="DQ14" i="5" s="1"/>
  <c r="BH17" i="5"/>
  <c r="CL17" i="5"/>
  <c r="DQ17" i="5" s="1"/>
  <c r="BL30" i="5"/>
  <c r="CP30" i="5"/>
  <c r="DU30" i="5" s="1"/>
  <c r="BJ6" i="5"/>
  <c r="CN6" i="5"/>
  <c r="DS6" i="5" s="1"/>
  <c r="BH18" i="5"/>
  <c r="CL18" i="5"/>
  <c r="DQ18" i="5" s="1"/>
  <c r="CK31" i="5"/>
  <c r="BH12" i="5"/>
  <c r="CL12" i="5"/>
  <c r="DQ12" i="5" s="1"/>
  <c r="BI29" i="5"/>
  <c r="CM29" i="5"/>
  <c r="DR29" i="5" s="1"/>
  <c r="BI13" i="5"/>
  <c r="CM13" i="5"/>
  <c r="DR13" i="5" s="1"/>
  <c r="BL11" i="5"/>
  <c r="CP11" i="5"/>
  <c r="DU11" i="5" s="1"/>
  <c r="BH4" i="5"/>
  <c r="CL4" i="5"/>
  <c r="DQ4" i="5" s="1"/>
  <c r="BG31" i="5"/>
  <c r="BI25" i="5"/>
  <c r="CM25" i="5"/>
  <c r="DR25" i="5" s="1"/>
  <c r="BI16" i="5"/>
  <c r="CM16" i="5"/>
  <c r="DR16" i="5" s="1"/>
  <c r="BH27" i="5"/>
  <c r="CL27" i="5"/>
  <c r="DQ27" i="5" s="1"/>
  <c r="BI21" i="5"/>
  <c r="CM21" i="5"/>
  <c r="DR21" i="5" s="1"/>
  <c r="BJ10" i="5"/>
  <c r="CN10" i="5"/>
  <c r="DS10" i="5" s="1"/>
  <c r="BI26" i="5"/>
  <c r="CM26" i="5"/>
  <c r="DR26" i="5" s="1"/>
  <c r="BI28" i="5"/>
  <c r="CM28" i="5"/>
  <c r="DR28" i="5" s="1"/>
  <c r="CJ33" i="5"/>
  <c r="BG32" i="5"/>
  <c r="CK32" i="5"/>
  <c r="BK23" i="5"/>
  <c r="CO23" i="5"/>
  <c r="DT23" i="5" s="1"/>
  <c r="BI19" i="5"/>
  <c r="BH20" i="5"/>
  <c r="CL20" i="5"/>
  <c r="DQ20" i="5" s="1"/>
  <c r="BI24" i="5"/>
  <c r="CM24" i="5"/>
  <c r="DR24" i="5" s="1"/>
  <c r="BK15" i="5"/>
  <c r="CO15" i="5"/>
  <c r="DT15" i="5" s="1"/>
  <c r="A21" i="12"/>
  <c r="C20" i="12"/>
  <c r="C41" i="1"/>
  <c r="A37" i="17"/>
  <c r="Q36" i="17"/>
  <c r="P36" i="17"/>
  <c r="O36" i="17"/>
  <c r="A28" i="21"/>
  <c r="B27" i="21"/>
  <c r="K10" i="1" s="1"/>
  <c r="D26" i="16" l="1"/>
  <c r="E6" i="1" s="1"/>
  <c r="P6" i="1" s="1"/>
  <c r="Q6" i="1" s="1"/>
  <c r="D36" i="1"/>
  <c r="C7" i="3" s="1"/>
  <c r="D37" i="1"/>
  <c r="D7" i="3" s="1"/>
  <c r="W33" i="5"/>
  <c r="Y4" i="5"/>
  <c r="X31" i="5"/>
  <c r="Y19" i="5"/>
  <c r="CN19" i="5" s="1"/>
  <c r="DS19" i="5" s="1"/>
  <c r="X32" i="5"/>
  <c r="DP33" i="5"/>
  <c r="D23" i="14"/>
  <c r="C7" i="1" s="1"/>
  <c r="B34" i="17"/>
  <c r="S34" i="17" s="1"/>
  <c r="F7" i="1" s="1"/>
  <c r="B27" i="16"/>
  <c r="D27" i="16" s="1"/>
  <c r="E7" i="1" s="1"/>
  <c r="DQ32" i="5"/>
  <c r="CL32" i="5"/>
  <c r="DQ35" i="5"/>
  <c r="B40" i="5" s="1"/>
  <c r="B24" i="14" s="1"/>
  <c r="DQ31" i="5"/>
  <c r="BG33" i="5"/>
  <c r="L36" i="16" s="1"/>
  <c r="M36" i="16" s="1"/>
  <c r="O36" i="16" s="1"/>
  <c r="R36" i="16" s="1"/>
  <c r="C28" i="16" s="1"/>
  <c r="BH32" i="5"/>
  <c r="BI14" i="5"/>
  <c r="CM14" i="5"/>
  <c r="DR14" i="5" s="1"/>
  <c r="BJ24" i="5"/>
  <c r="CN24" i="5"/>
  <c r="DS24" i="5" s="1"/>
  <c r="BK10" i="5"/>
  <c r="CO10" i="5"/>
  <c r="DT10" i="5" s="1"/>
  <c r="BJ13" i="5"/>
  <c r="CN13" i="5"/>
  <c r="DS13" i="5" s="1"/>
  <c r="BJ25" i="5"/>
  <c r="CN25" i="5"/>
  <c r="DS25" i="5" s="1"/>
  <c r="BK6" i="5"/>
  <c r="CO6" i="5"/>
  <c r="DT6" i="5" s="1"/>
  <c r="BJ22" i="5"/>
  <c r="CN22" i="5"/>
  <c r="DS22" i="5" s="1"/>
  <c r="BL15" i="5"/>
  <c r="CP15" i="5"/>
  <c r="DU15" i="5" s="1"/>
  <c r="BJ26" i="5"/>
  <c r="CN26" i="5"/>
  <c r="DS26" i="5" s="1"/>
  <c r="BJ16" i="5"/>
  <c r="CN16" i="5"/>
  <c r="DS16" i="5" s="1"/>
  <c r="BM11" i="5"/>
  <c r="CQ11" i="5"/>
  <c r="DV11" i="5" s="1"/>
  <c r="BL23" i="5"/>
  <c r="CP23" i="5"/>
  <c r="DU23" i="5" s="1"/>
  <c r="BI18" i="5"/>
  <c r="CM18" i="5"/>
  <c r="DR18" i="5" s="1"/>
  <c r="CL31" i="5"/>
  <c r="BM30" i="5"/>
  <c r="CQ30" i="5"/>
  <c r="DV30" i="5" s="1"/>
  <c r="BI8" i="5"/>
  <c r="CM8" i="5"/>
  <c r="DR8" i="5" s="1"/>
  <c r="BJ28" i="5"/>
  <c r="CN28" i="5"/>
  <c r="DS28" i="5" s="1"/>
  <c r="BI27" i="5"/>
  <c r="CM27" i="5"/>
  <c r="DR27" i="5" s="1"/>
  <c r="BI4" i="5"/>
  <c r="BH31" i="5"/>
  <c r="CM4" i="5"/>
  <c r="DR4" i="5" s="1"/>
  <c r="BI12" i="5"/>
  <c r="CM12" i="5"/>
  <c r="DR12" i="5" s="1"/>
  <c r="BI20" i="5"/>
  <c r="CM20" i="5"/>
  <c r="DR20" i="5" s="1"/>
  <c r="BJ21" i="5"/>
  <c r="CN21" i="5"/>
  <c r="DS21" i="5" s="1"/>
  <c r="BJ29" i="5"/>
  <c r="CN29" i="5"/>
  <c r="DS29" i="5" s="1"/>
  <c r="BJ19" i="5"/>
  <c r="CK33" i="5"/>
  <c r="BI17" i="5"/>
  <c r="CM17" i="5"/>
  <c r="DR17" i="5" s="1"/>
  <c r="BI9" i="5"/>
  <c r="CM9" i="5"/>
  <c r="DR9" i="5" s="1"/>
  <c r="A29" i="21"/>
  <c r="B28" i="21"/>
  <c r="K11" i="1" s="1"/>
  <c r="Q37" i="17"/>
  <c r="P37" i="17"/>
  <c r="A38" i="17"/>
  <c r="O37" i="17"/>
  <c r="B52" i="1"/>
  <c r="A22" i="12"/>
  <c r="C21" i="12"/>
  <c r="B53" i="1" s="1"/>
  <c r="C53" i="1" s="1"/>
  <c r="Z19" i="5" l="1"/>
  <c r="CO19" i="5" s="1"/>
  <c r="DT19" i="5" s="1"/>
  <c r="Y32" i="5"/>
  <c r="X33" i="5"/>
  <c r="Z4" i="5"/>
  <c r="Y31" i="5"/>
  <c r="DQ33" i="5"/>
  <c r="D24" i="14"/>
  <c r="C8" i="1" s="1"/>
  <c r="B35" i="17"/>
  <c r="S35" i="17" s="1"/>
  <c r="F8" i="1" s="1"/>
  <c r="B28" i="16"/>
  <c r="D28" i="16" s="1"/>
  <c r="E8" i="1" s="1"/>
  <c r="P7" i="1"/>
  <c r="Q7" i="1" s="1"/>
  <c r="DR32" i="5"/>
  <c r="DR35" i="5"/>
  <c r="B41" i="5" s="1"/>
  <c r="B25" i="14" s="1"/>
  <c r="DR31" i="5"/>
  <c r="CL33" i="5"/>
  <c r="CM32" i="5"/>
  <c r="BH33" i="5"/>
  <c r="L37" i="16" s="1"/>
  <c r="M37" i="16" s="1"/>
  <c r="O37" i="16" s="1"/>
  <c r="R37" i="16" s="1"/>
  <c r="C29" i="16" s="1"/>
  <c r="BK19" i="5"/>
  <c r="BM15" i="5"/>
  <c r="CQ15" i="5"/>
  <c r="DV15" i="5" s="1"/>
  <c r="BJ9" i="5"/>
  <c r="CN9" i="5"/>
  <c r="DS9" i="5" s="1"/>
  <c r="BL10" i="5"/>
  <c r="CP10" i="5"/>
  <c r="DU10" i="5" s="1"/>
  <c r="BK13" i="5"/>
  <c r="CO13" i="5"/>
  <c r="DT13" i="5" s="1"/>
  <c r="BJ4" i="5"/>
  <c r="CN4" i="5"/>
  <c r="DS4" i="5" s="1"/>
  <c r="BI31" i="5"/>
  <c r="BK21" i="5"/>
  <c r="CO21" i="5"/>
  <c r="DT21" i="5" s="1"/>
  <c r="BJ27" i="5"/>
  <c r="CN27" i="5"/>
  <c r="DS27" i="5" s="1"/>
  <c r="BK24" i="5"/>
  <c r="CO24" i="5"/>
  <c r="DT24" i="5" s="1"/>
  <c r="CM31" i="5"/>
  <c r="BK29" i="5"/>
  <c r="CO29" i="5"/>
  <c r="DT29" i="5" s="1"/>
  <c r="BN11" i="5"/>
  <c r="CR11" i="5"/>
  <c r="DW11" i="5" s="1"/>
  <c r="BJ17" i="5"/>
  <c r="CN17" i="5"/>
  <c r="DS17" i="5" s="1"/>
  <c r="BN30" i="5"/>
  <c r="CR30" i="5"/>
  <c r="DW30" i="5" s="1"/>
  <c r="BK16" i="5"/>
  <c r="CO16" i="5"/>
  <c r="DT16" i="5" s="1"/>
  <c r="BL6" i="5"/>
  <c r="CP6" i="5"/>
  <c r="DU6" i="5" s="1"/>
  <c r="BI32" i="5"/>
  <c r="BJ20" i="5"/>
  <c r="CN20" i="5"/>
  <c r="DS20" i="5" s="1"/>
  <c r="BJ12" i="5"/>
  <c r="CN12" i="5"/>
  <c r="DS12" i="5" s="1"/>
  <c r="BM23" i="5"/>
  <c r="CQ23" i="5"/>
  <c r="DV23" i="5" s="1"/>
  <c r="BJ8" i="5"/>
  <c r="CN8" i="5"/>
  <c r="DS8" i="5" s="1"/>
  <c r="BK22" i="5"/>
  <c r="CO22" i="5"/>
  <c r="DT22" i="5" s="1"/>
  <c r="BK28" i="5"/>
  <c r="CO28" i="5"/>
  <c r="DT28" i="5" s="1"/>
  <c r="BJ18" i="5"/>
  <c r="CN18" i="5"/>
  <c r="DS18" i="5" s="1"/>
  <c r="BK26" i="5"/>
  <c r="CO26" i="5"/>
  <c r="DT26" i="5" s="1"/>
  <c r="BK25" i="5"/>
  <c r="CO25" i="5"/>
  <c r="DT25" i="5" s="1"/>
  <c r="BJ14" i="5"/>
  <c r="CN14" i="5"/>
  <c r="DS14" i="5" s="1"/>
  <c r="A23" i="12"/>
  <c r="C23" i="12" s="1"/>
  <c r="B55" i="1" s="1"/>
  <c r="C55" i="1" s="1"/>
  <c r="C22" i="12"/>
  <c r="B54" i="1" s="1"/>
  <c r="C54" i="1" s="1"/>
  <c r="C52" i="1"/>
  <c r="B29" i="21"/>
  <c r="K12" i="1" s="1"/>
  <c r="A30" i="21"/>
  <c r="A39" i="17"/>
  <c r="Q38" i="17"/>
  <c r="P38" i="17"/>
  <c r="O38" i="17"/>
  <c r="Y33" i="5" l="1"/>
  <c r="AA4" i="5"/>
  <c r="Z31" i="5"/>
  <c r="AA19" i="5"/>
  <c r="CP19" i="5" s="1"/>
  <c r="DU19" i="5" s="1"/>
  <c r="Z32" i="5"/>
  <c r="DR33" i="5"/>
  <c r="D25" i="14"/>
  <c r="C9" i="1" s="1"/>
  <c r="B36" i="17"/>
  <c r="S36" i="17" s="1"/>
  <c r="F9" i="1" s="1"/>
  <c r="B29" i="16"/>
  <c r="D29" i="16" s="1"/>
  <c r="E9" i="1" s="1"/>
  <c r="P8" i="1"/>
  <c r="Q8" i="1" s="1"/>
  <c r="DS32" i="5"/>
  <c r="DS35" i="5"/>
  <c r="B42" i="5" s="1"/>
  <c r="B26" i="14" s="1"/>
  <c r="DS31" i="5"/>
  <c r="CM33" i="5"/>
  <c r="CN32" i="5"/>
  <c r="BI33" i="5"/>
  <c r="L38" i="16" s="1"/>
  <c r="M38" i="16" s="1"/>
  <c r="O38" i="16" s="1"/>
  <c r="R38" i="16" s="1"/>
  <c r="C30" i="16" s="1"/>
  <c r="BM6" i="5"/>
  <c r="CQ6" i="5"/>
  <c r="DV6" i="5" s="1"/>
  <c r="BK18" i="5"/>
  <c r="CO18" i="5"/>
  <c r="DT18" i="5" s="1"/>
  <c r="BL28" i="5"/>
  <c r="CP28" i="5"/>
  <c r="DU28" i="5" s="1"/>
  <c r="BL29" i="5"/>
  <c r="CP29" i="5"/>
  <c r="DU29" i="5" s="1"/>
  <c r="BK12" i="5"/>
  <c r="CO12" i="5"/>
  <c r="DT12" i="5" s="1"/>
  <c r="CN31" i="5"/>
  <c r="BO11" i="5"/>
  <c r="CS11" i="5"/>
  <c r="DX11" i="5" s="1"/>
  <c r="BL21" i="5"/>
  <c r="CP21" i="5"/>
  <c r="DU21" i="5" s="1"/>
  <c r="BL16" i="5"/>
  <c r="CP16" i="5"/>
  <c r="DU16" i="5" s="1"/>
  <c r="BK9" i="5"/>
  <c r="CO9" i="5"/>
  <c r="DT9" i="5" s="1"/>
  <c r="BL25" i="5"/>
  <c r="CP25" i="5"/>
  <c r="DU25" i="5" s="1"/>
  <c r="BO30" i="5"/>
  <c r="CS30" i="5"/>
  <c r="DX30" i="5" s="1"/>
  <c r="BN15" i="5"/>
  <c r="CR15" i="5"/>
  <c r="DW15" i="5" s="1"/>
  <c r="BL22" i="5"/>
  <c r="CP22" i="5"/>
  <c r="DU22" i="5" s="1"/>
  <c r="BL24" i="5"/>
  <c r="CP24" i="5"/>
  <c r="DU24" i="5" s="1"/>
  <c r="BK17" i="5"/>
  <c r="CO17" i="5"/>
  <c r="DT17" i="5" s="1"/>
  <c r="BL13" i="5"/>
  <c r="CP13" i="5"/>
  <c r="DU13" i="5" s="1"/>
  <c r="BM10" i="5"/>
  <c r="CQ10" i="5"/>
  <c r="DV10" i="5" s="1"/>
  <c r="BN23" i="5"/>
  <c r="CR23" i="5"/>
  <c r="DW23" i="5" s="1"/>
  <c r="BK14" i="5"/>
  <c r="CO14" i="5"/>
  <c r="DT14" i="5" s="1"/>
  <c r="BK4" i="5"/>
  <c r="BJ31" i="5"/>
  <c r="CO4" i="5"/>
  <c r="DT4" i="5" s="1"/>
  <c r="BK20" i="5"/>
  <c r="CO20" i="5"/>
  <c r="DT20" i="5" s="1"/>
  <c r="DT32" i="5" s="1"/>
  <c r="BJ32" i="5"/>
  <c r="BL26" i="5"/>
  <c r="CP26" i="5"/>
  <c r="DU26" i="5" s="1"/>
  <c r="BK8" i="5"/>
  <c r="CO8" i="5"/>
  <c r="DT8" i="5" s="1"/>
  <c r="BK27" i="5"/>
  <c r="CO27" i="5"/>
  <c r="DT27" i="5" s="1"/>
  <c r="BL19" i="5"/>
  <c r="C56" i="1"/>
  <c r="B56" i="1"/>
  <c r="O39" i="17"/>
  <c r="P39" i="17"/>
  <c r="A40" i="17"/>
  <c r="Q39" i="17"/>
  <c r="A31" i="21"/>
  <c r="B30" i="21"/>
  <c r="K13" i="1" s="1"/>
  <c r="B11" i="21"/>
  <c r="AB19" i="5" l="1"/>
  <c r="CQ19" i="5" s="1"/>
  <c r="DV19" i="5" s="1"/>
  <c r="AA32" i="5"/>
  <c r="Z33" i="5"/>
  <c r="AB4" i="5"/>
  <c r="AA31" i="5"/>
  <c r="DS33" i="5"/>
  <c r="B37" i="17"/>
  <c r="S37" i="17" s="1"/>
  <c r="F10" i="1" s="1"/>
  <c r="D26" i="14"/>
  <c r="C10" i="1" s="1"/>
  <c r="B30" i="16"/>
  <c r="D30" i="16" s="1"/>
  <c r="E10" i="1" s="1"/>
  <c r="P9" i="1"/>
  <c r="Q9" i="1" s="1"/>
  <c r="DT35" i="5"/>
  <c r="B43" i="5" s="1"/>
  <c r="B27" i="14" s="1"/>
  <c r="DT31" i="5"/>
  <c r="DT33" i="5" s="1"/>
  <c r="BK32" i="5"/>
  <c r="CN33" i="5"/>
  <c r="CO32" i="5"/>
  <c r="BO15" i="5"/>
  <c r="CS15" i="5"/>
  <c r="DX15" i="5" s="1"/>
  <c r="BL17" i="5"/>
  <c r="CP17" i="5"/>
  <c r="DU17" i="5" s="1"/>
  <c r="BL14" i="5"/>
  <c r="CP14" i="5"/>
  <c r="DU14" i="5" s="1"/>
  <c r="BO23" i="5"/>
  <c r="CS23" i="5"/>
  <c r="DX23" i="5" s="1"/>
  <c r="BM28" i="5"/>
  <c r="CQ28" i="5"/>
  <c r="DV28" i="5" s="1"/>
  <c r="BM16" i="5"/>
  <c r="CQ16" i="5"/>
  <c r="DV16" i="5" s="1"/>
  <c r="BM13" i="5"/>
  <c r="CQ13" i="5"/>
  <c r="DV13" i="5" s="1"/>
  <c r="BM26" i="5"/>
  <c r="CQ26" i="5"/>
  <c r="DV26" i="5" s="1"/>
  <c r="BM29" i="5"/>
  <c r="CQ29" i="5"/>
  <c r="DV29" i="5" s="1"/>
  <c r="BM21" i="5"/>
  <c r="CQ21" i="5"/>
  <c r="DV21" i="5" s="1"/>
  <c r="BM19" i="5"/>
  <c r="BL20" i="5"/>
  <c r="CP20" i="5"/>
  <c r="DU20" i="5" s="1"/>
  <c r="BM25" i="5"/>
  <c r="CQ25" i="5"/>
  <c r="DV25" i="5" s="1"/>
  <c r="BL27" i="5"/>
  <c r="CP27" i="5"/>
  <c r="DU27" i="5" s="1"/>
  <c r="BN10" i="5"/>
  <c r="CR10" i="5"/>
  <c r="DW10" i="5" s="1"/>
  <c r="BJ33" i="5"/>
  <c r="L39" i="16" s="1"/>
  <c r="M39" i="16" s="1"/>
  <c r="O39" i="16" s="1"/>
  <c r="R39" i="16" s="1"/>
  <c r="C31" i="16" s="1"/>
  <c r="BM22" i="5"/>
  <c r="CQ22" i="5"/>
  <c r="DV22" i="5" s="1"/>
  <c r="BL9" i="5"/>
  <c r="CP9" i="5"/>
  <c r="DU9" i="5" s="1"/>
  <c r="BP30" i="5"/>
  <c r="CT30" i="5"/>
  <c r="DY30" i="5" s="1"/>
  <c r="BM24" i="5"/>
  <c r="CQ24" i="5"/>
  <c r="DV24" i="5" s="1"/>
  <c r="BP11" i="5"/>
  <c r="CT11" i="5"/>
  <c r="DY11" i="5" s="1"/>
  <c r="CO31" i="5"/>
  <c r="BL18" i="5"/>
  <c r="CP18" i="5"/>
  <c r="DU18" i="5" s="1"/>
  <c r="BL8" i="5"/>
  <c r="CP8" i="5"/>
  <c r="DU8" i="5" s="1"/>
  <c r="BL4" i="5"/>
  <c r="CP4" i="5"/>
  <c r="DU4" i="5" s="1"/>
  <c r="BK31" i="5"/>
  <c r="BL12" i="5"/>
  <c r="CP12" i="5"/>
  <c r="DU12" i="5" s="1"/>
  <c r="BN6" i="5"/>
  <c r="CR6" i="5"/>
  <c r="DW6" i="5" s="1"/>
  <c r="Q40" i="17"/>
  <c r="A41" i="17"/>
  <c r="P40" i="17"/>
  <c r="O40" i="17"/>
  <c r="A32" i="21"/>
  <c r="B31" i="21"/>
  <c r="K14" i="1" s="1"/>
  <c r="E4" i="3"/>
  <c r="E10" i="3" s="1"/>
  <c r="B6" i="2"/>
  <c r="AC4" i="5" l="1"/>
  <c r="AB31" i="5"/>
  <c r="AA33" i="5"/>
  <c r="AC19" i="5"/>
  <c r="AB32" i="5"/>
  <c r="P10" i="1"/>
  <c r="Q10" i="1" s="1"/>
  <c r="B38" i="17"/>
  <c r="S38" i="17" s="1"/>
  <c r="F11" i="1" s="1"/>
  <c r="D27" i="14"/>
  <c r="C11" i="1" s="1"/>
  <c r="B31" i="16"/>
  <c r="D31" i="16" s="1"/>
  <c r="E11" i="1" s="1"/>
  <c r="DU32" i="5"/>
  <c r="DU35" i="5"/>
  <c r="B44" i="5" s="1"/>
  <c r="B28" i="14" s="1"/>
  <c r="DU31" i="5"/>
  <c r="BK33" i="5"/>
  <c r="L40" i="16" s="1"/>
  <c r="M40" i="16" s="1"/>
  <c r="O40" i="16" s="1"/>
  <c r="R40" i="16" s="1"/>
  <c r="C32" i="16" s="1"/>
  <c r="CP32" i="5"/>
  <c r="CO33" i="5"/>
  <c r="BN24" i="5"/>
  <c r="CR24" i="5"/>
  <c r="DW24" i="5" s="1"/>
  <c r="BM8" i="5"/>
  <c r="CQ8" i="5"/>
  <c r="DV8" i="5" s="1"/>
  <c r="BP23" i="5"/>
  <c r="CT23" i="5"/>
  <c r="DY23" i="5" s="1"/>
  <c r="BO6" i="5"/>
  <c r="CS6" i="5"/>
  <c r="DX6" i="5" s="1"/>
  <c r="BN19" i="5"/>
  <c r="BN13" i="5"/>
  <c r="CR13" i="5"/>
  <c r="DW13" i="5" s="1"/>
  <c r="BM14" i="5"/>
  <c r="CQ14" i="5"/>
  <c r="DV14" i="5" s="1"/>
  <c r="BM20" i="5"/>
  <c r="CQ20" i="5"/>
  <c r="DV20" i="5" s="1"/>
  <c r="BN26" i="5"/>
  <c r="CR26" i="5"/>
  <c r="DW26" i="5" s="1"/>
  <c r="BO10" i="5"/>
  <c r="CS10" i="5"/>
  <c r="DX10" i="5" s="1"/>
  <c r="BM27" i="5"/>
  <c r="CQ27" i="5"/>
  <c r="DV27" i="5" s="1"/>
  <c r="BN21" i="5"/>
  <c r="CR21" i="5"/>
  <c r="DW21" i="5" s="1"/>
  <c r="BN16" i="5"/>
  <c r="CR16" i="5"/>
  <c r="DW16" i="5" s="1"/>
  <c r="BM17" i="5"/>
  <c r="CQ17" i="5"/>
  <c r="DV17" i="5" s="1"/>
  <c r="BQ11" i="5"/>
  <c r="CU11" i="5"/>
  <c r="DZ11" i="5" s="1"/>
  <c r="BL32" i="5"/>
  <c r="BQ30" i="5"/>
  <c r="CU30" i="5"/>
  <c r="DZ30" i="5" s="1"/>
  <c r="BM18" i="5"/>
  <c r="CQ18" i="5"/>
  <c r="DV18" i="5" s="1"/>
  <c r="BM12" i="5"/>
  <c r="CQ12" i="5"/>
  <c r="DV12" i="5" s="1"/>
  <c r="BM9" i="5"/>
  <c r="CQ9" i="5"/>
  <c r="DV9" i="5" s="1"/>
  <c r="CP31" i="5"/>
  <c r="BN25" i="5"/>
  <c r="CR25" i="5"/>
  <c r="DW25" i="5" s="1"/>
  <c r="BM4" i="5"/>
  <c r="BL31" i="5"/>
  <c r="CQ4" i="5"/>
  <c r="DV4" i="5" s="1"/>
  <c r="BN22" i="5"/>
  <c r="CR22" i="5"/>
  <c r="DW22" i="5" s="1"/>
  <c r="BN29" i="5"/>
  <c r="CR29" i="5"/>
  <c r="DW29" i="5" s="1"/>
  <c r="BN28" i="5"/>
  <c r="CR28" i="5"/>
  <c r="DW28" i="5" s="1"/>
  <c r="BP15" i="5"/>
  <c r="CT15" i="5"/>
  <c r="DY15" i="5" s="1"/>
  <c r="A33" i="21"/>
  <c r="B32" i="21"/>
  <c r="K15" i="1" s="1"/>
  <c r="P41" i="17"/>
  <c r="O41" i="17"/>
  <c r="A42" i="17"/>
  <c r="Q41" i="17"/>
  <c r="AD19" i="5" l="1"/>
  <c r="CS19" i="5" s="1"/>
  <c r="DX19" i="5" s="1"/>
  <c r="AC32" i="5"/>
  <c r="AB33" i="5"/>
  <c r="CR19" i="5"/>
  <c r="DW19" i="5" s="1"/>
  <c r="AD4" i="5"/>
  <c r="AC31" i="5"/>
  <c r="AC33" i="5" s="1"/>
  <c r="DU33" i="5"/>
  <c r="DV32" i="5"/>
  <c r="P11" i="1"/>
  <c r="Q11" i="1" s="1"/>
  <c r="D28" i="14"/>
  <c r="C12" i="1" s="1"/>
  <c r="B39" i="17"/>
  <c r="S39" i="17" s="1"/>
  <c r="F12" i="1" s="1"/>
  <c r="B32" i="16"/>
  <c r="D32" i="16" s="1"/>
  <c r="E12" i="1" s="1"/>
  <c r="DV31" i="5"/>
  <c r="DV35" i="5"/>
  <c r="B45" i="5" s="1"/>
  <c r="B29" i="14" s="1"/>
  <c r="CP33" i="5"/>
  <c r="CQ31" i="5"/>
  <c r="BL33" i="5"/>
  <c r="L41" i="16" s="1"/>
  <c r="M41" i="16" s="1"/>
  <c r="O41" i="16" s="1"/>
  <c r="R41" i="16" s="1"/>
  <c r="C33" i="16" s="1"/>
  <c r="CQ32" i="5"/>
  <c r="BN27" i="5"/>
  <c r="CR27" i="5"/>
  <c r="DW27" i="5" s="1"/>
  <c r="BN12" i="5"/>
  <c r="CR12" i="5"/>
  <c r="DW12" i="5" s="1"/>
  <c r="BN17" i="5"/>
  <c r="CR17" i="5"/>
  <c r="DW17" i="5" s="1"/>
  <c r="BP10" i="5"/>
  <c r="CT10" i="5"/>
  <c r="DY10" i="5" s="1"/>
  <c r="BO13" i="5"/>
  <c r="CS13" i="5"/>
  <c r="DX13" i="5" s="1"/>
  <c r="BO22" i="5"/>
  <c r="CS22" i="5"/>
  <c r="DX22" i="5" s="1"/>
  <c r="BN9" i="5"/>
  <c r="CR9" i="5"/>
  <c r="DW9" i="5" s="1"/>
  <c r="BQ23" i="5"/>
  <c r="CU23" i="5"/>
  <c r="DZ23" i="5" s="1"/>
  <c r="BO28" i="5"/>
  <c r="CS28" i="5"/>
  <c r="DX28" i="5" s="1"/>
  <c r="BN18" i="5"/>
  <c r="CR18" i="5"/>
  <c r="DW18" i="5" s="1"/>
  <c r="BN8" i="5"/>
  <c r="CR8" i="5"/>
  <c r="DW8" i="5" s="1"/>
  <c r="BO25" i="5"/>
  <c r="CS25" i="5"/>
  <c r="DX25" i="5" s="1"/>
  <c r="BR30" i="5"/>
  <c r="CV30" i="5"/>
  <c r="EA30" i="5" s="1"/>
  <c r="BO19" i="5"/>
  <c r="BP6" i="5"/>
  <c r="CT6" i="5"/>
  <c r="DY6" i="5" s="1"/>
  <c r="BR11" i="5"/>
  <c r="CV11" i="5"/>
  <c r="EA11" i="5" s="1"/>
  <c r="BN14" i="5"/>
  <c r="CR14" i="5"/>
  <c r="DW14" i="5" s="1"/>
  <c r="BQ15" i="5"/>
  <c r="CU15" i="5"/>
  <c r="DZ15" i="5" s="1"/>
  <c r="BN4" i="5"/>
  <c r="CR4" i="5"/>
  <c r="DW4" i="5" s="1"/>
  <c r="BM31" i="5"/>
  <c r="BM32" i="5"/>
  <c r="BO16" i="5"/>
  <c r="CS16" i="5"/>
  <c r="DX16" i="5" s="1"/>
  <c r="BO26" i="5"/>
  <c r="CS26" i="5"/>
  <c r="DX26" i="5" s="1"/>
  <c r="BO29" i="5"/>
  <c r="CS29" i="5"/>
  <c r="DX29" i="5" s="1"/>
  <c r="BO21" i="5"/>
  <c r="CS21" i="5"/>
  <c r="DX21" i="5" s="1"/>
  <c r="BN20" i="5"/>
  <c r="BN32" i="5" s="1"/>
  <c r="CR20" i="5"/>
  <c r="DW20" i="5" s="1"/>
  <c r="DW32" i="5" s="1"/>
  <c r="BO24" i="5"/>
  <c r="CS24" i="5"/>
  <c r="DX24" i="5" s="1"/>
  <c r="P42" i="17"/>
  <c r="O42" i="17"/>
  <c r="A43" i="17"/>
  <c r="Q42" i="17"/>
  <c r="B33" i="21"/>
  <c r="K16" i="1" s="1"/>
  <c r="A34" i="21"/>
  <c r="DV33" i="5" l="1"/>
  <c r="AE4" i="5"/>
  <c r="AD31" i="5"/>
  <c r="AE19" i="5"/>
  <c r="AD32" i="5"/>
  <c r="D29" i="14"/>
  <c r="C13" i="1" s="1"/>
  <c r="B40" i="17"/>
  <c r="S40" i="17" s="1"/>
  <c r="F13" i="1" s="1"/>
  <c r="B33" i="16"/>
  <c r="D33" i="16" s="1"/>
  <c r="E13" i="1" s="1"/>
  <c r="P12" i="1"/>
  <c r="Q12" i="1" s="1"/>
  <c r="DW31" i="5"/>
  <c r="DW33" i="5" s="1"/>
  <c r="DW35" i="5"/>
  <c r="B46" i="5" s="1"/>
  <c r="B30" i="14" s="1"/>
  <c r="CQ33" i="5"/>
  <c r="CR32" i="5"/>
  <c r="BO4" i="5"/>
  <c r="BN31" i="5"/>
  <c r="BN33" i="5" s="1"/>
  <c r="L43" i="16" s="1"/>
  <c r="M43" i="16" s="1"/>
  <c r="O43" i="16" s="1"/>
  <c r="R43" i="16" s="1"/>
  <c r="C35" i="16" s="1"/>
  <c r="CS4" i="5"/>
  <c r="DX4" i="5" s="1"/>
  <c r="BP25" i="5"/>
  <c r="CT25" i="5"/>
  <c r="DY25" i="5" s="1"/>
  <c r="BR15" i="5"/>
  <c r="CV15" i="5"/>
  <c r="EA15" i="5" s="1"/>
  <c r="BO8" i="5"/>
  <c r="CS8" i="5"/>
  <c r="DX8" i="5" s="1"/>
  <c r="BP19" i="5"/>
  <c r="CT19" i="5"/>
  <c r="DY19" i="5" s="1"/>
  <c r="BP29" i="5"/>
  <c r="CT29" i="5"/>
  <c r="DY29" i="5" s="1"/>
  <c r="BR23" i="5"/>
  <c r="CV23" i="5"/>
  <c r="EA23" i="5" s="1"/>
  <c r="BO9" i="5"/>
  <c r="CS9" i="5"/>
  <c r="DX9" i="5" s="1"/>
  <c r="BP16" i="5"/>
  <c r="CT16" i="5"/>
  <c r="DY16" i="5" s="1"/>
  <c r="BQ6" i="5"/>
  <c r="CU6" i="5"/>
  <c r="DZ6" i="5" s="1"/>
  <c r="BQ10" i="5"/>
  <c r="CU10" i="5"/>
  <c r="DZ10" i="5" s="1"/>
  <c r="BP24" i="5"/>
  <c r="CT24" i="5"/>
  <c r="DY24" i="5" s="1"/>
  <c r="BO20" i="5"/>
  <c r="CS20" i="5"/>
  <c r="DX20" i="5" s="1"/>
  <c r="BO14" i="5"/>
  <c r="CS14" i="5"/>
  <c r="DX14" i="5" s="1"/>
  <c r="BO18" i="5"/>
  <c r="CS18" i="5"/>
  <c r="DX18" i="5" s="1"/>
  <c r="BP22" i="5"/>
  <c r="CT22" i="5"/>
  <c r="DY22" i="5" s="1"/>
  <c r="BM33" i="5"/>
  <c r="L42" i="16" s="1"/>
  <c r="M42" i="16" s="1"/>
  <c r="O42" i="16" s="1"/>
  <c r="R42" i="16" s="1"/>
  <c r="C34" i="16" s="1"/>
  <c r="BS11" i="5"/>
  <c r="CW11" i="5"/>
  <c r="EB11" i="5" s="1"/>
  <c r="BP28" i="5"/>
  <c r="CT28" i="5"/>
  <c r="DY28" i="5" s="1"/>
  <c r="BP13" i="5"/>
  <c r="CT13" i="5"/>
  <c r="DY13" i="5" s="1"/>
  <c r="BO27" i="5"/>
  <c r="CS27" i="5"/>
  <c r="DX27" i="5" s="1"/>
  <c r="BP26" i="5"/>
  <c r="CT26" i="5"/>
  <c r="DY26" i="5" s="1"/>
  <c r="BO17" i="5"/>
  <c r="CS17" i="5"/>
  <c r="DX17" i="5" s="1"/>
  <c r="BO12" i="5"/>
  <c r="CS12" i="5"/>
  <c r="DX12" i="5" s="1"/>
  <c r="BS30" i="5"/>
  <c r="CW30" i="5"/>
  <c r="EB30" i="5" s="1"/>
  <c r="BP21" i="5"/>
  <c r="CT21" i="5"/>
  <c r="DY21" i="5" s="1"/>
  <c r="CR31" i="5"/>
  <c r="A35" i="21"/>
  <c r="B34" i="21"/>
  <c r="K17" i="1" s="1"/>
  <c r="A44" i="17"/>
  <c r="P43" i="17"/>
  <c r="O43" i="17"/>
  <c r="Q43" i="17"/>
  <c r="AF19" i="5" l="1"/>
  <c r="AE32" i="5"/>
  <c r="AD33" i="5"/>
  <c r="AF4" i="5"/>
  <c r="AE31" i="5"/>
  <c r="P13" i="1"/>
  <c r="Q13" i="1" s="1"/>
  <c r="DX32" i="5"/>
  <c r="D30" i="14"/>
  <c r="C14" i="1" s="1"/>
  <c r="B41" i="17"/>
  <c r="S41" i="17" s="1"/>
  <c r="F14" i="1" s="1"/>
  <c r="B34" i="16"/>
  <c r="D34" i="16" s="1"/>
  <c r="E14" i="1" s="1"/>
  <c r="DX31" i="5"/>
  <c r="DX35" i="5"/>
  <c r="B47" i="5" s="1"/>
  <c r="B31" i="14" s="1"/>
  <c r="CR33" i="5"/>
  <c r="CS32" i="5"/>
  <c r="BP8" i="5"/>
  <c r="CT8" i="5"/>
  <c r="DY8" i="5" s="1"/>
  <c r="BR10" i="5"/>
  <c r="CV10" i="5"/>
  <c r="EA10" i="5" s="1"/>
  <c r="BS23" i="5"/>
  <c r="CW23" i="5"/>
  <c r="EB23" i="5" s="1"/>
  <c r="BQ28" i="5"/>
  <c r="CU28" i="5"/>
  <c r="DZ28" i="5" s="1"/>
  <c r="BR6" i="5"/>
  <c r="CV6" i="5"/>
  <c r="EA6" i="5" s="1"/>
  <c r="BQ21" i="5"/>
  <c r="CU21" i="5"/>
  <c r="DZ21" i="5" s="1"/>
  <c r="BT30" i="5"/>
  <c r="CX30" i="5"/>
  <c r="EC30" i="5" s="1"/>
  <c r="CS31" i="5"/>
  <c r="BQ29" i="5"/>
  <c r="CU29" i="5"/>
  <c r="DZ29" i="5" s="1"/>
  <c r="BT11" i="5"/>
  <c r="CX11" i="5"/>
  <c r="EC11" i="5" s="1"/>
  <c r="BP27" i="5"/>
  <c r="CT27" i="5"/>
  <c r="DY27" i="5" s="1"/>
  <c r="BQ22" i="5"/>
  <c r="CU22" i="5"/>
  <c r="DZ22" i="5" s="1"/>
  <c r="BP9" i="5"/>
  <c r="CT9" i="5"/>
  <c r="DY9" i="5" s="1"/>
  <c r="BQ19" i="5"/>
  <c r="CU19" i="5"/>
  <c r="DZ19" i="5" s="1"/>
  <c r="BP18" i="5"/>
  <c r="CT18" i="5"/>
  <c r="DY18" i="5" s="1"/>
  <c r="BP17" i="5"/>
  <c r="CT17" i="5"/>
  <c r="DY17" i="5" s="1"/>
  <c r="BP14" i="5"/>
  <c r="CT14" i="5"/>
  <c r="DY14" i="5" s="1"/>
  <c r="BS15" i="5"/>
  <c r="CW15" i="5"/>
  <c r="EB15" i="5" s="1"/>
  <c r="BQ26" i="5"/>
  <c r="CU26" i="5"/>
  <c r="DZ26" i="5" s="1"/>
  <c r="BP20" i="5"/>
  <c r="CT20" i="5"/>
  <c r="DY20" i="5" s="1"/>
  <c r="BQ16" i="5"/>
  <c r="CU16" i="5"/>
  <c r="DZ16" i="5" s="1"/>
  <c r="BQ25" i="5"/>
  <c r="CU25" i="5"/>
  <c r="DZ25" i="5" s="1"/>
  <c r="BO32" i="5"/>
  <c r="BQ24" i="5"/>
  <c r="CU24" i="5"/>
  <c r="DZ24" i="5" s="1"/>
  <c r="BP12" i="5"/>
  <c r="CT12" i="5"/>
  <c r="DY12" i="5" s="1"/>
  <c r="BQ13" i="5"/>
  <c r="CU13" i="5"/>
  <c r="DZ13" i="5" s="1"/>
  <c r="BP4" i="5"/>
  <c r="BO31" i="5"/>
  <c r="CT4" i="5"/>
  <c r="DY4" i="5" s="1"/>
  <c r="A45" i="17"/>
  <c r="Q44" i="17"/>
  <c r="P44" i="17"/>
  <c r="O44" i="17"/>
  <c r="A36" i="21"/>
  <c r="B35" i="21"/>
  <c r="K18" i="1" s="1"/>
  <c r="DX33" i="5" l="1"/>
  <c r="DY32" i="5"/>
  <c r="AE33" i="5"/>
  <c r="AG4" i="5"/>
  <c r="AF31" i="5"/>
  <c r="AG19" i="5"/>
  <c r="CV19" i="5" s="1"/>
  <c r="EA19" i="5" s="1"/>
  <c r="AF32" i="5"/>
  <c r="D31" i="14"/>
  <c r="C15" i="1" s="1"/>
  <c r="B42" i="17"/>
  <c r="S42" i="17" s="1"/>
  <c r="F15" i="1" s="1"/>
  <c r="B35" i="16"/>
  <c r="D35" i="16" s="1"/>
  <c r="E15" i="1" s="1"/>
  <c r="P14" i="1"/>
  <c r="Q14" i="1" s="1"/>
  <c r="DY35" i="5"/>
  <c r="B48" i="5" s="1"/>
  <c r="B32" i="14" s="1"/>
  <c r="DY31" i="5"/>
  <c r="BO33" i="5"/>
  <c r="L44" i="16" s="1"/>
  <c r="M44" i="16" s="1"/>
  <c r="O44" i="16" s="1"/>
  <c r="R44" i="16" s="1"/>
  <c r="C36" i="16" s="1"/>
  <c r="CS33" i="5"/>
  <c r="CT32" i="5"/>
  <c r="CT31" i="5"/>
  <c r="BR28" i="5"/>
  <c r="CV28" i="5"/>
  <c r="EA28" i="5" s="1"/>
  <c r="BR26" i="5"/>
  <c r="CV26" i="5"/>
  <c r="EA26" i="5" s="1"/>
  <c r="BT23" i="5"/>
  <c r="CX23" i="5"/>
  <c r="EC23" i="5" s="1"/>
  <c r="BQ20" i="5"/>
  <c r="CU20" i="5"/>
  <c r="DZ20" i="5" s="1"/>
  <c r="BR24" i="5"/>
  <c r="CV24" i="5"/>
  <c r="EA24" i="5" s="1"/>
  <c r="BR22" i="5"/>
  <c r="CV22" i="5"/>
  <c r="EA22" i="5" s="1"/>
  <c r="BU30" i="5"/>
  <c r="CY30" i="5"/>
  <c r="ED30" i="5" s="1"/>
  <c r="BR25" i="5"/>
  <c r="CV25" i="5"/>
  <c r="EA25" i="5" s="1"/>
  <c r="BT15" i="5"/>
  <c r="CX15" i="5"/>
  <c r="EC15" i="5" s="1"/>
  <c r="BR13" i="5"/>
  <c r="CV13" i="5"/>
  <c r="EA13" i="5" s="1"/>
  <c r="BS10" i="5"/>
  <c r="CW10" i="5"/>
  <c r="EB10" i="5" s="1"/>
  <c r="BQ17" i="5"/>
  <c r="CU17" i="5"/>
  <c r="DZ17" i="5" s="1"/>
  <c r="BQ18" i="5"/>
  <c r="CU18" i="5"/>
  <c r="DZ18" i="5" s="1"/>
  <c r="BP32" i="5"/>
  <c r="BR16" i="5"/>
  <c r="CV16" i="5"/>
  <c r="EA16" i="5" s="1"/>
  <c r="BU11" i="5"/>
  <c r="CY11" i="5"/>
  <c r="ED11" i="5" s="1"/>
  <c r="BR29" i="5"/>
  <c r="CV29" i="5"/>
  <c r="EA29" i="5" s="1"/>
  <c r="BQ4" i="5"/>
  <c r="BP31" i="5"/>
  <c r="CU4" i="5"/>
  <c r="DZ4" i="5" s="1"/>
  <c r="BQ27" i="5"/>
  <c r="CU27" i="5"/>
  <c r="DZ27" i="5" s="1"/>
  <c r="BR19" i="5"/>
  <c r="BR21" i="5"/>
  <c r="CV21" i="5"/>
  <c r="EA21" i="5" s="1"/>
  <c r="BQ14" i="5"/>
  <c r="CU14" i="5"/>
  <c r="DZ14" i="5" s="1"/>
  <c r="BQ12" i="5"/>
  <c r="CU12" i="5"/>
  <c r="DZ12" i="5" s="1"/>
  <c r="BQ9" i="5"/>
  <c r="CU9" i="5"/>
  <c r="DZ9" i="5" s="1"/>
  <c r="BS6" i="5"/>
  <c r="CW6" i="5"/>
  <c r="EB6" i="5" s="1"/>
  <c r="BQ8" i="5"/>
  <c r="CU8" i="5"/>
  <c r="DZ8" i="5" s="1"/>
  <c r="A37" i="21"/>
  <c r="B36" i="21"/>
  <c r="K19" i="1" s="1"/>
  <c r="Q45" i="17"/>
  <c r="P45" i="17"/>
  <c r="O45" i="17"/>
  <c r="A46" i="17"/>
  <c r="DY33" i="5" l="1"/>
  <c r="AF33" i="5"/>
  <c r="BP33" i="5"/>
  <c r="L45" i="16" s="1"/>
  <c r="M45" i="16" s="1"/>
  <c r="O45" i="16" s="1"/>
  <c r="R45" i="16" s="1"/>
  <c r="C37" i="16" s="1"/>
  <c r="AH19" i="5"/>
  <c r="CW19" i="5" s="1"/>
  <c r="EB19" i="5" s="1"/>
  <c r="AG32" i="5"/>
  <c r="AH4" i="5"/>
  <c r="AG31" i="5"/>
  <c r="D32" i="14"/>
  <c r="C16" i="1" s="1"/>
  <c r="B43" i="17"/>
  <c r="S43" i="17" s="1"/>
  <c r="F16" i="1" s="1"/>
  <c r="B36" i="16"/>
  <c r="D36" i="16" s="1"/>
  <c r="E16" i="1" s="1"/>
  <c r="DZ32" i="5"/>
  <c r="P15" i="1"/>
  <c r="Q15" i="1" s="1"/>
  <c r="DZ35" i="5"/>
  <c r="B49" i="5" s="1"/>
  <c r="B33" i="14" s="1"/>
  <c r="DZ31" i="5"/>
  <c r="CT33" i="5"/>
  <c r="CU32" i="5"/>
  <c r="BR8" i="5"/>
  <c r="CV8" i="5"/>
  <c r="EA8" i="5" s="1"/>
  <c r="BS25" i="5"/>
  <c r="CW25" i="5"/>
  <c r="EB25" i="5" s="1"/>
  <c r="BR27" i="5"/>
  <c r="CV27" i="5"/>
  <c r="BU23" i="5"/>
  <c r="CY23" i="5"/>
  <c r="ED23" i="5" s="1"/>
  <c r="BR12" i="5"/>
  <c r="CV12" i="5"/>
  <c r="EA12" i="5" s="1"/>
  <c r="BR20" i="5"/>
  <c r="CV20" i="5"/>
  <c r="EA20" i="5" s="1"/>
  <c r="BT10" i="5"/>
  <c r="CX10" i="5"/>
  <c r="EC10" i="5" s="1"/>
  <c r="CU31" i="5"/>
  <c r="BT6" i="5"/>
  <c r="CX6" i="5"/>
  <c r="EC6" i="5" s="1"/>
  <c r="BS22" i="5"/>
  <c r="CW22" i="5"/>
  <c r="EB22" i="5" s="1"/>
  <c r="BQ32" i="5"/>
  <c r="BU15" i="5"/>
  <c r="CY15" i="5"/>
  <c r="ED15" i="5" s="1"/>
  <c r="BS24" i="5"/>
  <c r="CW24" i="5"/>
  <c r="EB24" i="5" s="1"/>
  <c r="BS28" i="5"/>
  <c r="CW28" i="5"/>
  <c r="EB28" i="5" s="1"/>
  <c r="BR17" i="5"/>
  <c r="CV17" i="5"/>
  <c r="EA17" i="5" s="1"/>
  <c r="BV11" i="5"/>
  <c r="CZ11" i="5"/>
  <c r="EE11" i="5" s="1"/>
  <c r="BR14" i="5"/>
  <c r="CV14" i="5"/>
  <c r="EA14" i="5" s="1"/>
  <c r="BV30" i="5"/>
  <c r="CZ30" i="5"/>
  <c r="EE30" i="5" s="1"/>
  <c r="BS16" i="5"/>
  <c r="CW16" i="5"/>
  <c r="EB16" i="5" s="1"/>
  <c r="BS21" i="5"/>
  <c r="CW21" i="5"/>
  <c r="EB21" i="5" s="1"/>
  <c r="BS13" i="5"/>
  <c r="CW13" i="5"/>
  <c r="EB13" i="5" s="1"/>
  <c r="BS26" i="5"/>
  <c r="CW26" i="5"/>
  <c r="EB26" i="5" s="1"/>
  <c r="BR4" i="5"/>
  <c r="BQ31" i="5"/>
  <c r="CV4" i="5"/>
  <c r="EA4" i="5" s="1"/>
  <c r="BR9" i="5"/>
  <c r="CV9" i="5"/>
  <c r="EA9" i="5" s="1"/>
  <c r="BR18" i="5"/>
  <c r="CV18" i="5"/>
  <c r="EA18" i="5" s="1"/>
  <c r="BS19" i="5"/>
  <c r="BS29" i="5"/>
  <c r="CW29" i="5"/>
  <c r="EB29" i="5" s="1"/>
  <c r="A47" i="17"/>
  <c r="Q46" i="17"/>
  <c r="P46" i="17"/>
  <c r="O46" i="17"/>
  <c r="B37" i="21"/>
  <c r="K20" i="1" s="1"/>
  <c r="A38" i="21"/>
  <c r="AG33" i="5" l="1"/>
  <c r="AI4" i="5"/>
  <c r="AH31" i="5"/>
  <c r="AI19" i="5"/>
  <c r="AH32" i="5"/>
  <c r="DZ33" i="5"/>
  <c r="P16" i="1"/>
  <c r="Q16" i="1" s="1"/>
  <c r="D33" i="14"/>
  <c r="C17" i="1" s="1"/>
  <c r="B44" i="17"/>
  <c r="S44" i="17" s="1"/>
  <c r="F17" i="1" s="1"/>
  <c r="B37" i="16"/>
  <c r="D37" i="16" s="1"/>
  <c r="E17" i="1" s="1"/>
  <c r="CV32" i="5"/>
  <c r="EA27" i="5"/>
  <c r="EA32" i="5" s="1"/>
  <c r="EA35" i="5"/>
  <c r="B50" i="5" s="1"/>
  <c r="B34" i="14" s="1"/>
  <c r="EA31" i="5"/>
  <c r="BQ33" i="5"/>
  <c r="L46" i="16" s="1"/>
  <c r="M46" i="16" s="1"/>
  <c r="O46" i="16" s="1"/>
  <c r="R46" i="16" s="1"/>
  <c r="C38" i="16" s="1"/>
  <c r="CU33" i="5"/>
  <c r="BR32" i="5"/>
  <c r="BV23" i="5"/>
  <c r="CZ23" i="5"/>
  <c r="EE23" i="5" s="1"/>
  <c r="BT21" i="5"/>
  <c r="CX21" i="5"/>
  <c r="EC21" i="5" s="1"/>
  <c r="BS14" i="5"/>
  <c r="CW14" i="5"/>
  <c r="EB14" i="5" s="1"/>
  <c r="BT24" i="5"/>
  <c r="CX24" i="5"/>
  <c r="EC24" i="5" s="1"/>
  <c r="BS9" i="5"/>
  <c r="CW9" i="5"/>
  <c r="EB9" i="5" s="1"/>
  <c r="BT29" i="5"/>
  <c r="CX29" i="5"/>
  <c r="EC29" i="5" s="1"/>
  <c r="BV15" i="5"/>
  <c r="CZ15" i="5"/>
  <c r="EE15" i="5" s="1"/>
  <c r="BT16" i="5"/>
  <c r="CX16" i="5"/>
  <c r="EC16" i="5" s="1"/>
  <c r="BS20" i="5"/>
  <c r="CW20" i="5"/>
  <c r="EB20" i="5" s="1"/>
  <c r="BT25" i="5"/>
  <c r="CX25" i="5"/>
  <c r="EC25" i="5" s="1"/>
  <c r="BT13" i="5"/>
  <c r="CX13" i="5"/>
  <c r="EC13" i="5" s="1"/>
  <c r="BW11" i="5"/>
  <c r="DA11" i="5"/>
  <c r="EF11" i="5" s="1"/>
  <c r="BU10" i="5"/>
  <c r="CY10" i="5"/>
  <c r="ED10" i="5" s="1"/>
  <c r="BT19" i="5"/>
  <c r="CX19" i="5"/>
  <c r="EC19" i="5" s="1"/>
  <c r="BW30" i="5"/>
  <c r="DA30" i="5"/>
  <c r="EF30" i="5" s="1"/>
  <c r="BT22" i="5"/>
  <c r="CX22" i="5"/>
  <c r="EC22" i="5" s="1"/>
  <c r="BU6" i="5"/>
  <c r="CY6" i="5"/>
  <c r="ED6" i="5" s="1"/>
  <c r="CV31" i="5"/>
  <c r="BS27" i="5"/>
  <c r="CW27" i="5"/>
  <c r="EB27" i="5" s="1"/>
  <c r="BS4" i="5"/>
  <c r="BR31" i="5"/>
  <c r="CW4" i="5"/>
  <c r="EB4" i="5" s="1"/>
  <c r="BS17" i="5"/>
  <c r="CW17" i="5"/>
  <c r="EB17" i="5" s="1"/>
  <c r="BT26" i="5"/>
  <c r="CX26" i="5"/>
  <c r="EC26" i="5" s="1"/>
  <c r="BT28" i="5"/>
  <c r="CX28" i="5"/>
  <c r="EC28" i="5" s="1"/>
  <c r="BS18" i="5"/>
  <c r="CW18" i="5"/>
  <c r="EB18" i="5" s="1"/>
  <c r="BS12" i="5"/>
  <c r="CW12" i="5"/>
  <c r="EB12" i="5" s="1"/>
  <c r="BS8" i="5"/>
  <c r="CW8" i="5"/>
  <c r="EB8" i="5" s="1"/>
  <c r="A39" i="21"/>
  <c r="B38" i="21"/>
  <c r="K21" i="1" s="1"/>
  <c r="O47" i="17"/>
  <c r="Q47" i="17"/>
  <c r="P47" i="17"/>
  <c r="A48" i="17"/>
  <c r="AJ4" i="5" l="1"/>
  <c r="AI31" i="5"/>
  <c r="AJ19" i="5"/>
  <c r="CY19" i="5" s="1"/>
  <c r="ED19" i="5" s="1"/>
  <c r="AI32" i="5"/>
  <c r="AH33" i="5"/>
  <c r="P17" i="1"/>
  <c r="Q17" i="1" s="1"/>
  <c r="B45" i="17"/>
  <c r="S45" i="17" s="1"/>
  <c r="F18" i="1" s="1"/>
  <c r="D34" i="14"/>
  <c r="C18" i="1" s="1"/>
  <c r="B38" i="16"/>
  <c r="D38" i="16" s="1"/>
  <c r="E18" i="1" s="1"/>
  <c r="CV33" i="5"/>
  <c r="EB32" i="5"/>
  <c r="EA33" i="5"/>
  <c r="EB35" i="5"/>
  <c r="B51" i="5" s="1"/>
  <c r="B35" i="14" s="1"/>
  <c r="EB31" i="5"/>
  <c r="BR33" i="5"/>
  <c r="L47" i="16" s="1"/>
  <c r="M47" i="16" s="1"/>
  <c r="O47" i="16" s="1"/>
  <c r="R47" i="16" s="1"/>
  <c r="C39" i="16" s="1"/>
  <c r="CW32" i="5"/>
  <c r="BT4" i="5"/>
  <c r="CX4" i="5"/>
  <c r="EC4" i="5" s="1"/>
  <c r="BS31" i="5"/>
  <c r="BU16" i="5"/>
  <c r="CY16" i="5"/>
  <c r="ED16" i="5" s="1"/>
  <c r="BU26" i="5"/>
  <c r="CY26" i="5"/>
  <c r="ED26" i="5" s="1"/>
  <c r="BU28" i="5"/>
  <c r="CY28" i="5"/>
  <c r="ED28" i="5" s="1"/>
  <c r="BT8" i="5"/>
  <c r="CX8" i="5"/>
  <c r="EC8" i="5" s="1"/>
  <c r="BW15" i="5"/>
  <c r="DA15" i="5"/>
  <c r="EF15" i="5" s="1"/>
  <c r="BU25" i="5"/>
  <c r="CY25" i="5"/>
  <c r="ED25" i="5" s="1"/>
  <c r="BU21" i="5"/>
  <c r="CY21" i="5"/>
  <c r="ED21" i="5" s="1"/>
  <c r="BT14" i="5"/>
  <c r="CX14" i="5"/>
  <c r="EC14" i="5" s="1"/>
  <c r="BT12" i="5"/>
  <c r="CX12" i="5"/>
  <c r="EC12" i="5" s="1"/>
  <c r="BV6" i="5"/>
  <c r="CZ6" i="5"/>
  <c r="EE6" i="5" s="1"/>
  <c r="BV10" i="5"/>
  <c r="CZ10" i="5"/>
  <c r="EE10" i="5" s="1"/>
  <c r="BX11" i="5"/>
  <c r="DB11" i="5"/>
  <c r="EG11" i="5" s="1"/>
  <c r="BX30" i="5"/>
  <c r="DB30" i="5"/>
  <c r="EG30" i="5" s="1"/>
  <c r="BU24" i="5"/>
  <c r="CY24" i="5"/>
  <c r="ED24" i="5" s="1"/>
  <c r="BT27" i="5"/>
  <c r="CX27" i="5"/>
  <c r="EC27" i="5" s="1"/>
  <c r="BU13" i="5"/>
  <c r="CY13" i="5"/>
  <c r="ED13" i="5" s="1"/>
  <c r="BS32" i="5"/>
  <c r="BU19" i="5"/>
  <c r="BT17" i="5"/>
  <c r="CX17" i="5"/>
  <c r="EC17" i="5" s="1"/>
  <c r="BU29" i="5"/>
  <c r="CY29" i="5"/>
  <c r="ED29" i="5" s="1"/>
  <c r="CW31" i="5"/>
  <c r="BT20" i="5"/>
  <c r="CX20" i="5"/>
  <c r="EC20" i="5" s="1"/>
  <c r="BT18" i="5"/>
  <c r="CX18" i="5"/>
  <c r="EC18" i="5" s="1"/>
  <c r="BU22" i="5"/>
  <c r="CY22" i="5"/>
  <c r="ED22" i="5" s="1"/>
  <c r="BT9" i="5"/>
  <c r="CX9" i="5"/>
  <c r="EC9" i="5" s="1"/>
  <c r="BW23" i="5"/>
  <c r="DA23" i="5"/>
  <c r="EF23" i="5" s="1"/>
  <c r="Q48" i="17"/>
  <c r="A49" i="17"/>
  <c r="P48" i="17"/>
  <c r="O48" i="17"/>
  <c r="A40" i="21"/>
  <c r="B39" i="21"/>
  <c r="K22" i="1" s="1"/>
  <c r="AI33" i="5" l="1"/>
  <c r="AK19" i="5"/>
  <c r="CZ19" i="5" s="1"/>
  <c r="EE19" i="5" s="1"/>
  <c r="AJ32" i="5"/>
  <c r="AK4" i="5"/>
  <c r="AJ31" i="5"/>
  <c r="P18" i="1"/>
  <c r="Q18" i="1" s="1"/>
  <c r="B46" i="17"/>
  <c r="S46" i="17" s="1"/>
  <c r="F19" i="1" s="1"/>
  <c r="D35" i="14"/>
  <c r="C19" i="1" s="1"/>
  <c r="B39" i="16"/>
  <c r="D39" i="16" s="1"/>
  <c r="E19" i="1" s="1"/>
  <c r="EB33" i="5"/>
  <c r="EC32" i="5"/>
  <c r="EC35" i="5"/>
  <c r="B52" i="5" s="1"/>
  <c r="B36" i="14" s="1"/>
  <c r="EC31" i="5"/>
  <c r="CX32" i="5"/>
  <c r="CW33" i="5"/>
  <c r="BT32" i="5"/>
  <c r="BU18" i="5"/>
  <c r="CY18" i="5"/>
  <c r="ED18" i="5" s="1"/>
  <c r="BV25" i="5"/>
  <c r="CZ25" i="5"/>
  <c r="EE25" i="5" s="1"/>
  <c r="BV24" i="5"/>
  <c r="CZ24" i="5"/>
  <c r="EE24" i="5" s="1"/>
  <c r="BU20" i="5"/>
  <c r="CY20" i="5"/>
  <c r="ED20" i="5" s="1"/>
  <c r="BX15" i="5"/>
  <c r="DB15" i="5"/>
  <c r="EG15" i="5" s="1"/>
  <c r="BU14" i="5"/>
  <c r="CY14" i="5"/>
  <c r="ED14" i="5" s="1"/>
  <c r="BV28" i="5"/>
  <c r="CZ28" i="5"/>
  <c r="EE28" i="5" s="1"/>
  <c r="BW6" i="5"/>
  <c r="DA6" i="5"/>
  <c r="EF6" i="5" s="1"/>
  <c r="BX23" i="5"/>
  <c r="DB23" i="5"/>
  <c r="EG23" i="5" s="1"/>
  <c r="BY30" i="5"/>
  <c r="DC30" i="5"/>
  <c r="EH30" i="5" s="1"/>
  <c r="BU9" i="5"/>
  <c r="CY9" i="5"/>
  <c r="ED9" i="5" s="1"/>
  <c r="BV29" i="5"/>
  <c r="CZ29" i="5"/>
  <c r="EE29" i="5" s="1"/>
  <c r="BV13" i="5"/>
  <c r="CZ13" i="5"/>
  <c r="EE13" i="5" s="1"/>
  <c r="BY11" i="5"/>
  <c r="DC11" i="5"/>
  <c r="EH11" i="5" s="1"/>
  <c r="BU8" i="5"/>
  <c r="CY8" i="5"/>
  <c r="ED8" i="5" s="1"/>
  <c r="CX31" i="5"/>
  <c r="BV19" i="5"/>
  <c r="BV26" i="5"/>
  <c r="CZ26" i="5"/>
  <c r="EE26" i="5" s="1"/>
  <c r="BU12" i="5"/>
  <c r="CY12" i="5"/>
  <c r="ED12" i="5" s="1"/>
  <c r="BV16" i="5"/>
  <c r="CZ16" i="5"/>
  <c r="EE16" i="5" s="1"/>
  <c r="BS33" i="5"/>
  <c r="L48" i="16" s="1"/>
  <c r="M48" i="16" s="1"/>
  <c r="O48" i="16" s="1"/>
  <c r="R48" i="16" s="1"/>
  <c r="C40" i="16" s="1"/>
  <c r="BV22" i="5"/>
  <c r="CZ22" i="5"/>
  <c r="EE22" i="5" s="1"/>
  <c r="BU17" i="5"/>
  <c r="CY17" i="5"/>
  <c r="ED17" i="5" s="1"/>
  <c r="BU27" i="5"/>
  <c r="CY27" i="5"/>
  <c r="ED27" i="5" s="1"/>
  <c r="BW10" i="5"/>
  <c r="DA10" i="5"/>
  <c r="EF10" i="5" s="1"/>
  <c r="BV21" i="5"/>
  <c r="CZ21" i="5"/>
  <c r="EE21" i="5" s="1"/>
  <c r="BU4" i="5"/>
  <c r="BT31" i="5"/>
  <c r="CY4" i="5"/>
  <c r="ED4" i="5" s="1"/>
  <c r="A41" i="21"/>
  <c r="B40" i="21"/>
  <c r="K23" i="1" s="1"/>
  <c r="Q49" i="17"/>
  <c r="P49" i="17"/>
  <c r="O49" i="17"/>
  <c r="A50" i="17"/>
  <c r="AJ33" i="5" l="1"/>
  <c r="AL4" i="5"/>
  <c r="AK31" i="5"/>
  <c r="AL19" i="5"/>
  <c r="AK32" i="5"/>
  <c r="EC33" i="5"/>
  <c r="D36" i="14"/>
  <c r="C20" i="1" s="1"/>
  <c r="B47" i="17"/>
  <c r="S47" i="17" s="1"/>
  <c r="F20" i="1" s="1"/>
  <c r="B40" i="16"/>
  <c r="D40" i="16" s="1"/>
  <c r="E20" i="1" s="1"/>
  <c r="P19" i="1"/>
  <c r="Q19" i="1" s="1"/>
  <c r="ED32" i="5"/>
  <c r="ED31" i="5"/>
  <c r="ED35" i="5"/>
  <c r="B53" i="5" s="1"/>
  <c r="B37" i="14" s="1"/>
  <c r="CX33" i="5"/>
  <c r="CY31" i="5"/>
  <c r="BT33" i="5"/>
  <c r="L49" i="16" s="1"/>
  <c r="M49" i="16" s="1"/>
  <c r="O49" i="16" s="1"/>
  <c r="R49" i="16" s="1"/>
  <c r="C41" i="16" s="1"/>
  <c r="CY32" i="5"/>
  <c r="BW29" i="5"/>
  <c r="DA29" i="5"/>
  <c r="EF29" i="5" s="1"/>
  <c r="BX6" i="5"/>
  <c r="DB6" i="5"/>
  <c r="EG6" i="5" s="1"/>
  <c r="BV12" i="5"/>
  <c r="CZ12" i="5"/>
  <c r="EE12" i="5" s="1"/>
  <c r="BV17" i="5"/>
  <c r="CZ17" i="5"/>
  <c r="EE17" i="5" s="1"/>
  <c r="BW24" i="5"/>
  <c r="DA24" i="5"/>
  <c r="EF24" i="5" s="1"/>
  <c r="BW21" i="5"/>
  <c r="DA21" i="5"/>
  <c r="EF21" i="5" s="1"/>
  <c r="BZ30" i="5"/>
  <c r="DD30" i="5"/>
  <c r="EI30" i="5" s="1"/>
  <c r="BV14" i="5"/>
  <c r="CZ14" i="5"/>
  <c r="EE14" i="5" s="1"/>
  <c r="BW25" i="5"/>
  <c r="DA25" i="5"/>
  <c r="EF25" i="5" s="1"/>
  <c r="BV20" i="5"/>
  <c r="CZ20" i="5"/>
  <c r="EE20" i="5" s="1"/>
  <c r="BV4" i="5"/>
  <c r="CZ4" i="5"/>
  <c r="EE4" i="5" s="1"/>
  <c r="BU31" i="5"/>
  <c r="BW28" i="5"/>
  <c r="DA28" i="5"/>
  <c r="EF28" i="5" s="1"/>
  <c r="BW26" i="5"/>
  <c r="DA26" i="5"/>
  <c r="EF26" i="5" s="1"/>
  <c r="BW22" i="5"/>
  <c r="DA22" i="5"/>
  <c r="EF22" i="5" s="1"/>
  <c r="BZ11" i="5"/>
  <c r="DD11" i="5"/>
  <c r="EI11" i="5" s="1"/>
  <c r="BU32" i="5"/>
  <c r="BW16" i="5"/>
  <c r="DA16" i="5"/>
  <c r="EF16" i="5" s="1"/>
  <c r="BV27" i="5"/>
  <c r="CZ27" i="5"/>
  <c r="EE27" i="5" s="1"/>
  <c r="BV8" i="5"/>
  <c r="CZ8" i="5"/>
  <c r="EE8" i="5" s="1"/>
  <c r="BV9" i="5"/>
  <c r="CZ9" i="5"/>
  <c r="EE9" i="5" s="1"/>
  <c r="BX10" i="5"/>
  <c r="DB10" i="5"/>
  <c r="EG10" i="5" s="1"/>
  <c r="BW19" i="5"/>
  <c r="BV32" i="5"/>
  <c r="DA19" i="5"/>
  <c r="EF19" i="5" s="1"/>
  <c r="BW13" i="5"/>
  <c r="DA13" i="5"/>
  <c r="EF13" i="5" s="1"/>
  <c r="BY23" i="5"/>
  <c r="DC23" i="5"/>
  <c r="EH23" i="5" s="1"/>
  <c r="BY15" i="5"/>
  <c r="DC15" i="5"/>
  <c r="EH15" i="5" s="1"/>
  <c r="BV18" i="5"/>
  <c r="CZ18" i="5"/>
  <c r="EE18" i="5" s="1"/>
  <c r="P50" i="17"/>
  <c r="O50" i="17"/>
  <c r="A51" i="17"/>
  <c r="Q50" i="17"/>
  <c r="B41" i="21"/>
  <c r="K24" i="1" s="1"/>
  <c r="A42" i="21"/>
  <c r="AK33" i="5" l="1"/>
  <c r="AM19" i="5"/>
  <c r="DB19" i="5" s="1"/>
  <c r="EG19" i="5" s="1"/>
  <c r="AL32" i="5"/>
  <c r="AM4" i="5"/>
  <c r="AL31" i="5"/>
  <c r="ED33" i="5"/>
  <c r="P20" i="1"/>
  <c r="Q20" i="1" s="1"/>
  <c r="D37" i="14"/>
  <c r="C21" i="1" s="1"/>
  <c r="B48" i="17"/>
  <c r="S48" i="17" s="1"/>
  <c r="F21" i="1" s="1"/>
  <c r="B41" i="16"/>
  <c r="D41" i="16" s="1"/>
  <c r="E21" i="1" s="1"/>
  <c r="EE32" i="5"/>
  <c r="EE31" i="5"/>
  <c r="EE35" i="5"/>
  <c r="B54" i="5" s="1"/>
  <c r="B38" i="14" s="1"/>
  <c r="CY33" i="5"/>
  <c r="CZ32" i="5"/>
  <c r="BU33" i="5"/>
  <c r="L50" i="16" s="1"/>
  <c r="M50" i="16" s="1"/>
  <c r="O50" i="16" s="1"/>
  <c r="R50" i="16" s="1"/>
  <c r="C42" i="16" s="1"/>
  <c r="BX13" i="5"/>
  <c r="DB13" i="5"/>
  <c r="EG13" i="5" s="1"/>
  <c r="BW14" i="5"/>
  <c r="DA14" i="5"/>
  <c r="EF14" i="5" s="1"/>
  <c r="BW9" i="5"/>
  <c r="DA9" i="5"/>
  <c r="EF9" i="5" s="1"/>
  <c r="BW17" i="5"/>
  <c r="DA17" i="5"/>
  <c r="EF17" i="5" s="1"/>
  <c r="CA11" i="5"/>
  <c r="DE11" i="5"/>
  <c r="EJ11" i="5" s="1"/>
  <c r="BW4" i="5"/>
  <c r="BV31" i="5"/>
  <c r="BV33" i="5" s="1"/>
  <c r="L51" i="16" s="1"/>
  <c r="M51" i="16" s="1"/>
  <c r="O51" i="16" s="1"/>
  <c r="R51" i="16" s="1"/>
  <c r="C43" i="16" s="1"/>
  <c r="DA4" i="5"/>
  <c r="EF4" i="5" s="1"/>
  <c r="BX19" i="5"/>
  <c r="BW18" i="5"/>
  <c r="DA18" i="5"/>
  <c r="EF18" i="5" s="1"/>
  <c r="CA30" i="5"/>
  <c r="DE30" i="5"/>
  <c r="EJ30" i="5" s="1"/>
  <c r="BX22" i="5"/>
  <c r="DB22" i="5"/>
  <c r="EG22" i="5" s="1"/>
  <c r="BX21" i="5"/>
  <c r="DB21" i="5"/>
  <c r="EG21" i="5" s="1"/>
  <c r="BX24" i="5"/>
  <c r="DB24" i="5"/>
  <c r="EG24" i="5" s="1"/>
  <c r="CZ31" i="5"/>
  <c r="BW8" i="5"/>
  <c r="DA8" i="5"/>
  <c r="EF8" i="5" s="1"/>
  <c r="BW12" i="5"/>
  <c r="DA12" i="5"/>
  <c r="EF12" i="5" s="1"/>
  <c r="BZ15" i="5"/>
  <c r="DD15" i="5"/>
  <c r="EI15" i="5" s="1"/>
  <c r="BW27" i="5"/>
  <c r="DA27" i="5"/>
  <c r="EF27" i="5" s="1"/>
  <c r="BW20" i="5"/>
  <c r="DA20" i="5"/>
  <c r="EF20" i="5" s="1"/>
  <c r="BY6" i="5"/>
  <c r="DC6" i="5"/>
  <c r="EH6" i="5" s="1"/>
  <c r="BY10" i="5"/>
  <c r="DC10" i="5"/>
  <c r="EH10" i="5" s="1"/>
  <c r="BX26" i="5"/>
  <c r="DB26" i="5"/>
  <c r="EG26" i="5" s="1"/>
  <c r="BZ23" i="5"/>
  <c r="DD23" i="5"/>
  <c r="EI23" i="5" s="1"/>
  <c r="BX16" i="5"/>
  <c r="DB16" i="5"/>
  <c r="EG16" i="5" s="1"/>
  <c r="BX25" i="5"/>
  <c r="DB25" i="5"/>
  <c r="EG25" i="5" s="1"/>
  <c r="BX28" i="5"/>
  <c r="DB28" i="5"/>
  <c r="EG28" i="5" s="1"/>
  <c r="BX29" i="5"/>
  <c r="DB29" i="5"/>
  <c r="EG29" i="5" s="1"/>
  <c r="A52" i="17"/>
  <c r="Q51" i="17"/>
  <c r="P51" i="17"/>
  <c r="O51" i="17"/>
  <c r="A43" i="21"/>
  <c r="B42" i="21"/>
  <c r="K25" i="1" s="1"/>
  <c r="AL33" i="5" l="1"/>
  <c r="AN4" i="5"/>
  <c r="AM31" i="5"/>
  <c r="CZ33" i="5"/>
  <c r="AN19" i="5"/>
  <c r="AM32" i="5"/>
  <c r="EE33" i="5"/>
  <c r="B49" i="17"/>
  <c r="S49" i="17" s="1"/>
  <c r="F22" i="1" s="1"/>
  <c r="D38" i="14"/>
  <c r="C22" i="1" s="1"/>
  <c r="B42" i="16"/>
  <c r="D42" i="16" s="1"/>
  <c r="E22" i="1" s="1"/>
  <c r="P21" i="1"/>
  <c r="Q21" i="1" s="1"/>
  <c r="EF32" i="5"/>
  <c r="EF35" i="5"/>
  <c r="B55" i="5" s="1"/>
  <c r="B39" i="14" s="1"/>
  <c r="EF31" i="5"/>
  <c r="BW32" i="5"/>
  <c r="DA32" i="5"/>
  <c r="BX17" i="5"/>
  <c r="DB17" i="5"/>
  <c r="EG17" i="5" s="1"/>
  <c r="BX8" i="5"/>
  <c r="DB8" i="5"/>
  <c r="EG8" i="5" s="1"/>
  <c r="BZ6" i="5"/>
  <c r="DD6" i="5"/>
  <c r="EI6" i="5" s="1"/>
  <c r="BX20" i="5"/>
  <c r="DB20" i="5"/>
  <c r="EG20" i="5" s="1"/>
  <c r="BX9" i="5"/>
  <c r="DB9" i="5"/>
  <c r="EG9" i="5" s="1"/>
  <c r="CB30" i="5"/>
  <c r="DF30" i="5"/>
  <c r="EK30" i="5" s="1"/>
  <c r="BY26" i="5"/>
  <c r="DC26" i="5"/>
  <c r="EH26" i="5" s="1"/>
  <c r="BX4" i="5"/>
  <c r="DB4" i="5"/>
  <c r="EG4" i="5" s="1"/>
  <c r="BW31" i="5"/>
  <c r="BX14" i="5"/>
  <c r="DB14" i="5"/>
  <c r="EG14" i="5" s="1"/>
  <c r="BY19" i="5"/>
  <c r="DC19" i="5"/>
  <c r="EH19" i="5" s="1"/>
  <c r="BY29" i="5"/>
  <c r="DC29" i="5"/>
  <c r="EH29" i="5" s="1"/>
  <c r="CA23" i="5"/>
  <c r="DE23" i="5"/>
  <c r="EJ23" i="5" s="1"/>
  <c r="BY28" i="5"/>
  <c r="DC28" i="5"/>
  <c r="EH28" i="5" s="1"/>
  <c r="BY24" i="5"/>
  <c r="DC24" i="5"/>
  <c r="EH24" i="5" s="1"/>
  <c r="BX18" i="5"/>
  <c r="DB18" i="5"/>
  <c r="EG18" i="5" s="1"/>
  <c r="BY21" i="5"/>
  <c r="DC21" i="5"/>
  <c r="EH21" i="5" s="1"/>
  <c r="BY16" i="5"/>
  <c r="DC16" i="5"/>
  <c r="EH16" i="5" s="1"/>
  <c r="BX12" i="5"/>
  <c r="DB12" i="5"/>
  <c r="EG12" i="5" s="1"/>
  <c r="BY22" i="5"/>
  <c r="DC22" i="5"/>
  <c r="EH22" i="5" s="1"/>
  <c r="DA31" i="5"/>
  <c r="DA33" i="5" s="1"/>
  <c r="BX27" i="5"/>
  <c r="DB27" i="5"/>
  <c r="EG27" i="5" s="1"/>
  <c r="BY25" i="5"/>
  <c r="DC25" i="5"/>
  <c r="EH25" i="5" s="1"/>
  <c r="BZ10" i="5"/>
  <c r="DD10" i="5"/>
  <c r="EI10" i="5" s="1"/>
  <c r="CA15" i="5"/>
  <c r="DE15" i="5"/>
  <c r="EJ15" i="5" s="1"/>
  <c r="CB11" i="5"/>
  <c r="DF11" i="5"/>
  <c r="EK11" i="5" s="1"/>
  <c r="BY13" i="5"/>
  <c r="DC13" i="5"/>
  <c r="EH13" i="5" s="1"/>
  <c r="A44" i="21"/>
  <c r="B43" i="21"/>
  <c r="K26" i="1" s="1"/>
  <c r="O52" i="17"/>
  <c r="A53" i="17"/>
  <c r="Q52" i="17"/>
  <c r="P52" i="17"/>
  <c r="AO19" i="5" l="1"/>
  <c r="DD19" i="5" s="1"/>
  <c r="EI19" i="5" s="1"/>
  <c r="AN32" i="5"/>
  <c r="AM33" i="5"/>
  <c r="AO4" i="5"/>
  <c r="AN31" i="5"/>
  <c r="AN33" i="5" s="1"/>
  <c r="D39" i="14"/>
  <c r="C23" i="1" s="1"/>
  <c r="B50" i="17"/>
  <c r="S50" i="17" s="1"/>
  <c r="F23" i="1" s="1"/>
  <c r="B43" i="16"/>
  <c r="D43" i="16" s="1"/>
  <c r="E23" i="1" s="1"/>
  <c r="P22" i="1"/>
  <c r="Q22" i="1" s="1"/>
  <c r="EF33" i="5"/>
  <c r="EG32" i="5"/>
  <c r="EG35" i="5"/>
  <c r="B56" i="5" s="1"/>
  <c r="B40" i="14" s="1"/>
  <c r="EG31" i="5"/>
  <c r="BW33" i="5"/>
  <c r="L52" i="16" s="1"/>
  <c r="M52" i="16" s="1"/>
  <c r="O52" i="16" s="1"/>
  <c r="R52" i="16" s="1"/>
  <c r="C44" i="16" s="1"/>
  <c r="DB32" i="5"/>
  <c r="BX32" i="5"/>
  <c r="DB31" i="5"/>
  <c r="BZ24" i="5"/>
  <c r="DD24" i="5"/>
  <c r="EI24" i="5" s="1"/>
  <c r="CA6" i="5"/>
  <c r="DE6" i="5"/>
  <c r="EJ6" i="5" s="1"/>
  <c r="BZ22" i="5"/>
  <c r="DD22" i="5"/>
  <c r="EI22" i="5" s="1"/>
  <c r="BZ13" i="5"/>
  <c r="DD13" i="5"/>
  <c r="EI13" i="5" s="1"/>
  <c r="CC11" i="5"/>
  <c r="DG11" i="5"/>
  <c r="EL11" i="5" s="1"/>
  <c r="CC30" i="5"/>
  <c r="DG30" i="5"/>
  <c r="EL30" i="5" s="1"/>
  <c r="BY8" i="5"/>
  <c r="DC8" i="5"/>
  <c r="EH8" i="5" s="1"/>
  <c r="BY18" i="5"/>
  <c r="DC18" i="5"/>
  <c r="EH18" i="5" s="1"/>
  <c r="CA10" i="5"/>
  <c r="DE10" i="5"/>
  <c r="EJ10" i="5" s="1"/>
  <c r="BY20" i="5"/>
  <c r="DC20" i="5"/>
  <c r="EH20" i="5" s="1"/>
  <c r="BY12" i="5"/>
  <c r="DC12" i="5"/>
  <c r="EH12" i="5" s="1"/>
  <c r="BZ26" i="5"/>
  <c r="DD26" i="5"/>
  <c r="EI26" i="5" s="1"/>
  <c r="BZ16" i="5"/>
  <c r="DD16" i="5"/>
  <c r="EI16" i="5" s="1"/>
  <c r="BZ29" i="5"/>
  <c r="DD29" i="5"/>
  <c r="EI29" i="5" s="1"/>
  <c r="BY4" i="5"/>
  <c r="BX31" i="5"/>
  <c r="DC4" i="5"/>
  <c r="EH4" i="5" s="1"/>
  <c r="BZ25" i="5"/>
  <c r="DD25" i="5"/>
  <c r="EI25" i="5" s="1"/>
  <c r="BZ19" i="5"/>
  <c r="BZ28" i="5"/>
  <c r="DD28" i="5"/>
  <c r="EI28" i="5" s="1"/>
  <c r="BY27" i="5"/>
  <c r="DC27" i="5"/>
  <c r="EH27" i="5" s="1"/>
  <c r="BZ21" i="5"/>
  <c r="DD21" i="5"/>
  <c r="EI21" i="5" s="1"/>
  <c r="CB23" i="5"/>
  <c r="DF23" i="5"/>
  <c r="EK23" i="5" s="1"/>
  <c r="BY14" i="5"/>
  <c r="DC14" i="5"/>
  <c r="EH14" i="5" s="1"/>
  <c r="CB15" i="5"/>
  <c r="DF15" i="5"/>
  <c r="EK15" i="5" s="1"/>
  <c r="BY9" i="5"/>
  <c r="DC9" i="5"/>
  <c r="EH9" i="5" s="1"/>
  <c r="BY17" i="5"/>
  <c r="DC17" i="5"/>
  <c r="EH17" i="5" s="1"/>
  <c r="Q53" i="17"/>
  <c r="P53" i="17"/>
  <c r="A54" i="17"/>
  <c r="O53" i="17"/>
  <c r="A45" i="21"/>
  <c r="B44" i="21"/>
  <c r="K27" i="1" s="1"/>
  <c r="EG33" i="5" l="1"/>
  <c r="AP4" i="5"/>
  <c r="AO31" i="5"/>
  <c r="AP19" i="5"/>
  <c r="DE19" i="5" s="1"/>
  <c r="EJ19" i="5" s="1"/>
  <c r="AO32" i="5"/>
  <c r="B51" i="17"/>
  <c r="S51" i="17" s="1"/>
  <c r="F24" i="1" s="1"/>
  <c r="D40" i="14"/>
  <c r="C24" i="1" s="1"/>
  <c r="B44" i="16"/>
  <c r="D44" i="16" s="1"/>
  <c r="E24" i="1" s="1"/>
  <c r="P23" i="1"/>
  <c r="Q23" i="1" s="1"/>
  <c r="EH32" i="5"/>
  <c r="EH35" i="5"/>
  <c r="B57" i="5" s="1"/>
  <c r="B41" i="14" s="1"/>
  <c r="EH31" i="5"/>
  <c r="DC32" i="5"/>
  <c r="BY32" i="5"/>
  <c r="BX33" i="5"/>
  <c r="L53" i="16" s="1"/>
  <c r="M53" i="16" s="1"/>
  <c r="O53" i="16" s="1"/>
  <c r="R53" i="16" s="1"/>
  <c r="C45" i="16" s="1"/>
  <c r="DB33" i="5"/>
  <c r="BZ14" i="5"/>
  <c r="DD14" i="5"/>
  <c r="EI14" i="5" s="1"/>
  <c r="CD30" i="5"/>
  <c r="DH30" i="5"/>
  <c r="EM30" i="5" s="1"/>
  <c r="CB10" i="5"/>
  <c r="DF10" i="5"/>
  <c r="EK10" i="5" s="1"/>
  <c r="CA28" i="5"/>
  <c r="DE28" i="5"/>
  <c r="EJ28" i="5" s="1"/>
  <c r="BZ8" i="5"/>
  <c r="DD8" i="5"/>
  <c r="EI8" i="5" s="1"/>
  <c r="BZ17" i="5"/>
  <c r="DD17" i="5"/>
  <c r="EI17" i="5" s="1"/>
  <c r="CA29" i="5"/>
  <c r="DE29" i="5"/>
  <c r="EJ29" i="5" s="1"/>
  <c r="CA21" i="5"/>
  <c r="DE21" i="5"/>
  <c r="EJ21" i="5" s="1"/>
  <c r="CD11" i="5"/>
  <c r="DH11" i="5"/>
  <c r="EM11" i="5" s="1"/>
  <c r="CA25" i="5"/>
  <c r="DE25" i="5"/>
  <c r="EJ25" i="5" s="1"/>
  <c r="CA24" i="5"/>
  <c r="DE24" i="5"/>
  <c r="EJ24" i="5" s="1"/>
  <c r="BZ4" i="5"/>
  <c r="BY31" i="5"/>
  <c r="DD4" i="5"/>
  <c r="EI4" i="5" s="1"/>
  <c r="BZ12" i="5"/>
  <c r="DD12" i="5"/>
  <c r="EI12" i="5" s="1"/>
  <c r="CA22" i="5"/>
  <c r="DE22" i="5"/>
  <c r="EJ22" i="5" s="1"/>
  <c r="CC23" i="5"/>
  <c r="DG23" i="5"/>
  <c r="EL23" i="5" s="1"/>
  <c r="BZ20" i="5"/>
  <c r="DD20" i="5"/>
  <c r="EI20" i="5" s="1"/>
  <c r="CA19" i="5"/>
  <c r="CB6" i="5"/>
  <c r="DF6" i="5"/>
  <c r="EK6" i="5" s="1"/>
  <c r="BZ9" i="5"/>
  <c r="DD9" i="5"/>
  <c r="EI9" i="5" s="1"/>
  <c r="CA16" i="5"/>
  <c r="DE16" i="5"/>
  <c r="EJ16" i="5" s="1"/>
  <c r="CC15" i="5"/>
  <c r="DG15" i="5"/>
  <c r="EL15" i="5" s="1"/>
  <c r="BZ27" i="5"/>
  <c r="DD27" i="5"/>
  <c r="EI27" i="5" s="1"/>
  <c r="DC31" i="5"/>
  <c r="CA26" i="5"/>
  <c r="DE26" i="5"/>
  <c r="EJ26" i="5" s="1"/>
  <c r="BZ18" i="5"/>
  <c r="DD18" i="5"/>
  <c r="EI18" i="5" s="1"/>
  <c r="CA13" i="5"/>
  <c r="DE13" i="5"/>
  <c r="EJ13" i="5" s="1"/>
  <c r="B45" i="21"/>
  <c r="K28" i="1" s="1"/>
  <c r="A46" i="21"/>
  <c r="A55" i="17"/>
  <c r="O54" i="17"/>
  <c r="Q54" i="17"/>
  <c r="P54" i="17"/>
  <c r="AQ19" i="5" l="1"/>
  <c r="AP32" i="5"/>
  <c r="AO33" i="5"/>
  <c r="AQ4" i="5"/>
  <c r="AP31" i="5"/>
  <c r="EH33" i="5"/>
  <c r="D41" i="14"/>
  <c r="C25" i="1" s="1"/>
  <c r="B52" i="17"/>
  <c r="S52" i="17" s="1"/>
  <c r="F25" i="1" s="1"/>
  <c r="B45" i="16"/>
  <c r="D45" i="16" s="1"/>
  <c r="E25" i="1" s="1"/>
  <c r="P24" i="1"/>
  <c r="Q24" i="1" s="1"/>
  <c r="EI32" i="5"/>
  <c r="EI35" i="5"/>
  <c r="B58" i="5" s="1"/>
  <c r="B42" i="14" s="1"/>
  <c r="EI31" i="5"/>
  <c r="BY33" i="5"/>
  <c r="L54" i="16" s="1"/>
  <c r="M54" i="16" s="1"/>
  <c r="O54" i="16" s="1"/>
  <c r="R54" i="16" s="1"/>
  <c r="C46" i="16" s="1"/>
  <c r="DC33" i="5"/>
  <c r="BZ32" i="5"/>
  <c r="DD32" i="5"/>
  <c r="CB28" i="5"/>
  <c r="DF28" i="5"/>
  <c r="EK28" i="5" s="1"/>
  <c r="CA9" i="5"/>
  <c r="DE9" i="5"/>
  <c r="EJ9" i="5" s="1"/>
  <c r="CB21" i="5"/>
  <c r="DF21" i="5"/>
  <c r="EK21" i="5" s="1"/>
  <c r="CD23" i="5"/>
  <c r="DH23" i="5"/>
  <c r="EM23" i="5" s="1"/>
  <c r="CA27" i="5"/>
  <c r="DE27" i="5"/>
  <c r="EJ27" i="5" s="1"/>
  <c r="CC10" i="5"/>
  <c r="DG10" i="5"/>
  <c r="EL10" i="5" s="1"/>
  <c r="CB22" i="5"/>
  <c r="DF22" i="5"/>
  <c r="EK22" i="5" s="1"/>
  <c r="CB19" i="5"/>
  <c r="DF19" i="5"/>
  <c r="EK19" i="5" s="1"/>
  <c r="CB24" i="5"/>
  <c r="DF24" i="5"/>
  <c r="EK24" i="5" s="1"/>
  <c r="CA17" i="5"/>
  <c r="DE17" i="5"/>
  <c r="EJ17" i="5" s="1"/>
  <c r="CA18" i="5"/>
  <c r="DE18" i="5"/>
  <c r="EJ18" i="5" s="1"/>
  <c r="CA12" i="5"/>
  <c r="DE12" i="5"/>
  <c r="EJ12" i="5" s="1"/>
  <c r="DD31" i="5"/>
  <c r="CE11" i="5"/>
  <c r="DI11" i="5"/>
  <c r="EN11" i="5" s="1"/>
  <c r="CA8" i="5"/>
  <c r="DE8" i="5"/>
  <c r="EJ8" i="5" s="1"/>
  <c r="CA4" i="5"/>
  <c r="BZ31" i="5"/>
  <c r="BZ33" i="5" s="1"/>
  <c r="L55" i="16" s="1"/>
  <c r="M55" i="16" s="1"/>
  <c r="O55" i="16" s="1"/>
  <c r="R55" i="16" s="1"/>
  <c r="C47" i="16" s="1"/>
  <c r="DE4" i="5"/>
  <c r="EJ4" i="5" s="1"/>
  <c r="CC6" i="5"/>
  <c r="DG6" i="5"/>
  <c r="EL6" i="5" s="1"/>
  <c r="CB29" i="5"/>
  <c r="DF29" i="5"/>
  <c r="EK29" i="5" s="1"/>
  <c r="CB13" i="5"/>
  <c r="DF13" i="5"/>
  <c r="EK13" i="5" s="1"/>
  <c r="CD15" i="5"/>
  <c r="DH15" i="5"/>
  <c r="EM15" i="5" s="1"/>
  <c r="CB25" i="5"/>
  <c r="DF25" i="5"/>
  <c r="EK25" i="5" s="1"/>
  <c r="CE30" i="5"/>
  <c r="DI30" i="5"/>
  <c r="EN30" i="5" s="1"/>
  <c r="CB16" i="5"/>
  <c r="DF16" i="5"/>
  <c r="EK16" i="5" s="1"/>
  <c r="CB26" i="5"/>
  <c r="DF26" i="5"/>
  <c r="EK26" i="5" s="1"/>
  <c r="CA20" i="5"/>
  <c r="DE20" i="5"/>
  <c r="CA14" i="5"/>
  <c r="DE14" i="5"/>
  <c r="EJ14" i="5" s="1"/>
  <c r="O55" i="17"/>
  <c r="A56" i="17"/>
  <c r="Q55" i="17"/>
  <c r="P55" i="17"/>
  <c r="A47" i="21"/>
  <c r="B46" i="21"/>
  <c r="K29" i="1" s="1"/>
  <c r="CA32" i="5" l="1"/>
  <c r="AP33" i="5"/>
  <c r="AR4" i="5"/>
  <c r="AQ31" i="5"/>
  <c r="AR19" i="5"/>
  <c r="DG19" i="5" s="1"/>
  <c r="EL19" i="5" s="1"/>
  <c r="AQ32" i="5"/>
  <c r="EI33" i="5"/>
  <c r="B53" i="17"/>
  <c r="S53" i="17" s="1"/>
  <c r="F26" i="1" s="1"/>
  <c r="D42" i="14"/>
  <c r="C26" i="1" s="1"/>
  <c r="B46" i="16"/>
  <c r="D46" i="16" s="1"/>
  <c r="E26" i="1" s="1"/>
  <c r="P25" i="1"/>
  <c r="Q25" i="1" s="1"/>
  <c r="EJ31" i="5"/>
  <c r="DE32" i="5"/>
  <c r="EJ20" i="5"/>
  <c r="EJ32" i="5" s="1"/>
  <c r="DD33" i="5"/>
  <c r="CC19" i="5"/>
  <c r="CB8" i="5"/>
  <c r="DF8" i="5"/>
  <c r="EK8" i="5" s="1"/>
  <c r="CB17" i="5"/>
  <c r="DF17" i="5"/>
  <c r="EK17" i="5" s="1"/>
  <c r="CB18" i="5"/>
  <c r="DF18" i="5"/>
  <c r="EK18" i="5" s="1"/>
  <c r="CB14" i="5"/>
  <c r="DF14" i="5"/>
  <c r="EK14" i="5" s="1"/>
  <c r="CF11" i="5"/>
  <c r="DJ11" i="5"/>
  <c r="EO11" i="5" s="1"/>
  <c r="CC24" i="5"/>
  <c r="DG24" i="5"/>
  <c r="EL24" i="5" s="1"/>
  <c r="CD10" i="5"/>
  <c r="DH10" i="5"/>
  <c r="EM10" i="5" s="1"/>
  <c r="CB9" i="5"/>
  <c r="DF9" i="5"/>
  <c r="EK9" i="5" s="1"/>
  <c r="CB4" i="5"/>
  <c r="DF4" i="5"/>
  <c r="EK4" i="5" s="1"/>
  <c r="CA31" i="5"/>
  <c r="CA33" i="5" s="1"/>
  <c r="L56" i="16" s="1"/>
  <c r="M56" i="16" s="1"/>
  <c r="O56" i="16" s="1"/>
  <c r="R56" i="16" s="1"/>
  <c r="C48" i="16" s="1"/>
  <c r="CC13" i="5"/>
  <c r="DG13" i="5"/>
  <c r="EL13" i="5" s="1"/>
  <c r="CE23" i="5"/>
  <c r="DI23" i="5"/>
  <c r="EN23" i="5" s="1"/>
  <c r="CC29" i="5"/>
  <c r="DG29" i="5"/>
  <c r="EL29" i="5" s="1"/>
  <c r="CC21" i="5"/>
  <c r="DG21" i="5"/>
  <c r="EL21" i="5" s="1"/>
  <c r="CC25" i="5"/>
  <c r="DG25" i="5"/>
  <c r="EL25" i="5" s="1"/>
  <c r="CC16" i="5"/>
  <c r="DG16" i="5"/>
  <c r="EL16" i="5" s="1"/>
  <c r="CF30" i="5"/>
  <c r="DJ30" i="5"/>
  <c r="EO30" i="5" s="1"/>
  <c r="CC22" i="5"/>
  <c r="DG22" i="5"/>
  <c r="EL22" i="5" s="1"/>
  <c r="CB20" i="5"/>
  <c r="DF20" i="5"/>
  <c r="EK20" i="5" s="1"/>
  <c r="CD6" i="5"/>
  <c r="DH6" i="5"/>
  <c r="EM6" i="5" s="1"/>
  <c r="DE31" i="5"/>
  <c r="CC26" i="5"/>
  <c r="DG26" i="5"/>
  <c r="EL26" i="5" s="1"/>
  <c r="CE15" i="5"/>
  <c r="DI15" i="5"/>
  <c r="EN15" i="5" s="1"/>
  <c r="CB12" i="5"/>
  <c r="DF12" i="5"/>
  <c r="EK12" i="5" s="1"/>
  <c r="CB27" i="5"/>
  <c r="DF27" i="5"/>
  <c r="EK27" i="5" s="1"/>
  <c r="CC28" i="5"/>
  <c r="DG28" i="5"/>
  <c r="EL28" i="5" s="1"/>
  <c r="A48" i="21"/>
  <c r="B47" i="21"/>
  <c r="K30" i="1" s="1"/>
  <c r="Q56" i="17"/>
  <c r="O56" i="17"/>
  <c r="A57" i="17"/>
  <c r="P56" i="17"/>
  <c r="AS19" i="5" l="1"/>
  <c r="AR32" i="5"/>
  <c r="AQ33" i="5"/>
  <c r="AS4" i="5"/>
  <c r="AR31" i="5"/>
  <c r="EJ33" i="5"/>
  <c r="DE33" i="5"/>
  <c r="P26" i="1"/>
  <c r="Q26" i="1" s="1"/>
  <c r="EK32" i="5"/>
  <c r="EJ35" i="5"/>
  <c r="B59" i="5" s="1"/>
  <c r="B43" i="14" s="1"/>
  <c r="EK35" i="5"/>
  <c r="B60" i="5" s="1"/>
  <c r="B44" i="14" s="1"/>
  <c r="EK31" i="5"/>
  <c r="EK33" i="5" s="1"/>
  <c r="DF32" i="5"/>
  <c r="CC20" i="5"/>
  <c r="DG20" i="5"/>
  <c r="EL20" i="5" s="1"/>
  <c r="CC17" i="5"/>
  <c r="DG17" i="5"/>
  <c r="EL17" i="5" s="1"/>
  <c r="CC18" i="5"/>
  <c r="DG18" i="5"/>
  <c r="EL18" i="5" s="1"/>
  <c r="CE10" i="5"/>
  <c r="DI10" i="5"/>
  <c r="EN10" i="5" s="1"/>
  <c r="CD25" i="5"/>
  <c r="DH25" i="5"/>
  <c r="EM25" i="5" s="1"/>
  <c r="CF15" i="5"/>
  <c r="DJ15" i="5"/>
  <c r="EO15" i="5" s="1"/>
  <c r="DF31" i="5"/>
  <c r="CD26" i="5"/>
  <c r="DH26" i="5"/>
  <c r="EM26" i="5" s="1"/>
  <c r="CG11" i="5"/>
  <c r="DK11" i="5"/>
  <c r="EP11" i="5" s="1"/>
  <c r="CD29" i="5"/>
  <c r="DH29" i="5"/>
  <c r="EM29" i="5" s="1"/>
  <c r="CB32" i="5"/>
  <c r="CC9" i="5"/>
  <c r="DG9" i="5"/>
  <c r="EL9" i="5" s="1"/>
  <c r="CC12" i="5"/>
  <c r="DG12" i="5"/>
  <c r="EL12" i="5" s="1"/>
  <c r="CD13" i="5"/>
  <c r="DH13" i="5"/>
  <c r="EM13" i="5" s="1"/>
  <c r="CD24" i="5"/>
  <c r="DH24" i="5"/>
  <c r="EM24" i="5" s="1"/>
  <c r="CD28" i="5"/>
  <c r="DH28" i="5"/>
  <c r="EM28" i="5" s="1"/>
  <c r="CD22" i="5"/>
  <c r="DH22" i="5"/>
  <c r="EM22" i="5" s="1"/>
  <c r="CD21" i="5"/>
  <c r="DH21" i="5"/>
  <c r="EM21" i="5" s="1"/>
  <c r="CC4" i="5"/>
  <c r="CB31" i="5"/>
  <c r="DG4" i="5"/>
  <c r="EL4" i="5" s="1"/>
  <c r="CC8" i="5"/>
  <c r="DG8" i="5"/>
  <c r="EL8" i="5" s="1"/>
  <c r="CC27" i="5"/>
  <c r="DG27" i="5"/>
  <c r="EL27" i="5" s="1"/>
  <c r="CG30" i="5"/>
  <c r="DK30" i="5"/>
  <c r="EP30" i="5" s="1"/>
  <c r="CC14" i="5"/>
  <c r="DG14" i="5"/>
  <c r="EL14" i="5" s="1"/>
  <c r="CE6" i="5"/>
  <c r="DI6" i="5"/>
  <c r="EN6" i="5" s="1"/>
  <c r="CD16" i="5"/>
  <c r="DH16" i="5"/>
  <c r="EM16" i="5" s="1"/>
  <c r="CF23" i="5"/>
  <c r="DJ23" i="5"/>
  <c r="EO23" i="5" s="1"/>
  <c r="CD19" i="5"/>
  <c r="DH19" i="5"/>
  <c r="EM19" i="5" s="1"/>
  <c r="A58" i="17"/>
  <c r="Q57" i="17"/>
  <c r="P57" i="17"/>
  <c r="O57" i="17"/>
  <c r="A49" i="21"/>
  <c r="B48" i="21"/>
  <c r="K31" i="1" s="1"/>
  <c r="AR33" i="5" l="1"/>
  <c r="AT4" i="5"/>
  <c r="AS31" i="5"/>
  <c r="AT19" i="5"/>
  <c r="AS32" i="5"/>
  <c r="D44" i="14"/>
  <c r="C28" i="1" s="1"/>
  <c r="B55" i="17"/>
  <c r="S55" i="17" s="1"/>
  <c r="F28" i="1" s="1"/>
  <c r="B48" i="16"/>
  <c r="D48" i="16" s="1"/>
  <c r="E28" i="1" s="1"/>
  <c r="B54" i="17"/>
  <c r="S54" i="17" s="1"/>
  <c r="F27" i="1" s="1"/>
  <c r="D43" i="14"/>
  <c r="C27" i="1" s="1"/>
  <c r="B47" i="16"/>
  <c r="D47" i="16" s="1"/>
  <c r="E27" i="1" s="1"/>
  <c r="EL32" i="5"/>
  <c r="EL31" i="5"/>
  <c r="EL35" i="5"/>
  <c r="B61" i="5" s="1"/>
  <c r="B45" i="14" s="1"/>
  <c r="DF33" i="5"/>
  <c r="DG32" i="5"/>
  <c r="CC32" i="5"/>
  <c r="CB33" i="5"/>
  <c r="L57" i="16" s="1"/>
  <c r="M57" i="16" s="1"/>
  <c r="O57" i="16" s="1"/>
  <c r="R57" i="16" s="1"/>
  <c r="C49" i="16" s="1"/>
  <c r="CD12" i="5"/>
  <c r="DH12" i="5"/>
  <c r="EM12" i="5" s="1"/>
  <c r="CD8" i="5"/>
  <c r="DH8" i="5"/>
  <c r="EM8" i="5" s="1"/>
  <c r="CE28" i="5"/>
  <c r="DI28" i="5"/>
  <c r="EN28" i="5" s="1"/>
  <c r="CD17" i="5"/>
  <c r="DH17" i="5"/>
  <c r="EM17" i="5" s="1"/>
  <c r="CE22" i="5"/>
  <c r="DI22" i="5"/>
  <c r="EN22" i="5" s="1"/>
  <c r="CH11" i="5"/>
  <c r="DM11" i="5" s="1"/>
  <c r="ER11" i="5" s="1"/>
  <c r="DL11" i="5"/>
  <c r="EQ11" i="5" s="1"/>
  <c r="CF6" i="5"/>
  <c r="DJ6" i="5"/>
  <c r="EO6" i="5" s="1"/>
  <c r="DG31" i="5"/>
  <c r="CE26" i="5"/>
  <c r="DI26" i="5"/>
  <c r="EN26" i="5" s="1"/>
  <c r="CD9" i="5"/>
  <c r="DH9" i="5"/>
  <c r="EM9" i="5" s="1"/>
  <c r="CG23" i="5"/>
  <c r="DK23" i="5"/>
  <c r="EP23" i="5" s="1"/>
  <c r="CG15" i="5"/>
  <c r="DK15" i="5"/>
  <c r="EP15" i="5" s="1"/>
  <c r="CE21" i="5"/>
  <c r="DI21" i="5"/>
  <c r="EN21" i="5" s="1"/>
  <c r="CE13" i="5"/>
  <c r="DI13" i="5"/>
  <c r="EN13" i="5" s="1"/>
  <c r="CE29" i="5"/>
  <c r="DI29" i="5"/>
  <c r="EN29" i="5" s="1"/>
  <c r="CF10" i="5"/>
  <c r="DJ10" i="5"/>
  <c r="EO10" i="5" s="1"/>
  <c r="CE19" i="5"/>
  <c r="DI19" i="5"/>
  <c r="EN19" i="5" s="1"/>
  <c r="CD14" i="5"/>
  <c r="DH14" i="5"/>
  <c r="EM14" i="5" s="1"/>
  <c r="CD18" i="5"/>
  <c r="DH18" i="5"/>
  <c r="EM18" i="5" s="1"/>
  <c r="CD4" i="5"/>
  <c r="CC31" i="5"/>
  <c r="DH4" i="5"/>
  <c r="EM4" i="5" s="1"/>
  <c r="CE24" i="5"/>
  <c r="DI24" i="5"/>
  <c r="EN24" i="5" s="1"/>
  <c r="CH30" i="5"/>
  <c r="DM30" i="5" s="1"/>
  <c r="ER30" i="5" s="1"/>
  <c r="DL30" i="5"/>
  <c r="EQ30" i="5" s="1"/>
  <c r="CE16" i="5"/>
  <c r="DI16" i="5"/>
  <c r="EN16" i="5" s="1"/>
  <c r="CD27" i="5"/>
  <c r="DH27" i="5"/>
  <c r="EM27" i="5" s="1"/>
  <c r="CE25" i="5"/>
  <c r="DI25" i="5"/>
  <c r="EN25" i="5" s="1"/>
  <c r="CD20" i="5"/>
  <c r="DH20" i="5"/>
  <c r="EM20" i="5" s="1"/>
  <c r="B49" i="21"/>
  <c r="K32" i="1" s="1"/>
  <c r="A50" i="21"/>
  <c r="P58" i="17"/>
  <c r="O58" i="17"/>
  <c r="Q58" i="17"/>
  <c r="A59" i="17"/>
  <c r="CC33" i="5" l="1"/>
  <c r="L58" i="16" s="1"/>
  <c r="M58" i="16" s="1"/>
  <c r="O58" i="16" s="1"/>
  <c r="R58" i="16" s="1"/>
  <c r="C50" i="16" s="1"/>
  <c r="AU19" i="5"/>
  <c r="DJ19" i="5" s="1"/>
  <c r="EO19" i="5" s="1"/>
  <c r="AT32" i="5"/>
  <c r="AS33" i="5"/>
  <c r="AU4" i="5"/>
  <c r="AT31" i="5"/>
  <c r="AT33" i="5" s="1"/>
  <c r="P27" i="1"/>
  <c r="Q27" i="1" s="1"/>
  <c r="P28" i="1"/>
  <c r="Q28" i="1" s="1"/>
  <c r="D45" i="14"/>
  <c r="C29" i="1" s="1"/>
  <c r="B56" i="17"/>
  <c r="S56" i="17" s="1"/>
  <c r="F29" i="1" s="1"/>
  <c r="B49" i="16"/>
  <c r="D49" i="16" s="1"/>
  <c r="E29" i="1" s="1"/>
  <c r="EL33" i="5"/>
  <c r="EM32" i="5"/>
  <c r="EM31" i="5"/>
  <c r="EM35" i="5"/>
  <c r="B62" i="5" s="1"/>
  <c r="B46" i="14" s="1"/>
  <c r="DG33" i="5"/>
  <c r="DH32" i="5"/>
  <c r="CD32" i="5"/>
  <c r="CF21" i="5"/>
  <c r="DJ21" i="5"/>
  <c r="EO21" i="5" s="1"/>
  <c r="CF26" i="5"/>
  <c r="DJ26" i="5"/>
  <c r="EO26" i="5" s="1"/>
  <c r="CE4" i="5"/>
  <c r="CD31" i="5"/>
  <c r="DI4" i="5"/>
  <c r="EN4" i="5" s="1"/>
  <c r="CE17" i="5"/>
  <c r="DI17" i="5"/>
  <c r="EN17" i="5" s="1"/>
  <c r="CE18" i="5"/>
  <c r="DI18" i="5"/>
  <c r="EN18" i="5" s="1"/>
  <c r="CF28" i="5"/>
  <c r="DJ28" i="5"/>
  <c r="EO28" i="5" s="1"/>
  <c r="CE8" i="5"/>
  <c r="DI8" i="5"/>
  <c r="EN8" i="5" s="1"/>
  <c r="CF16" i="5"/>
  <c r="DJ16" i="5"/>
  <c r="EO16" i="5" s="1"/>
  <c r="CG10" i="5"/>
  <c r="DK10" i="5"/>
  <c r="EP10" i="5" s="1"/>
  <c r="CH15" i="5"/>
  <c r="DM15" i="5" s="1"/>
  <c r="ER15" i="5" s="1"/>
  <c r="DL15" i="5"/>
  <c r="EQ15" i="5" s="1"/>
  <c r="CG6" i="5"/>
  <c r="DK6" i="5"/>
  <c r="EP6" i="5" s="1"/>
  <c r="CF29" i="5"/>
  <c r="DJ29" i="5"/>
  <c r="EO29" i="5" s="1"/>
  <c r="CF25" i="5"/>
  <c r="DJ25" i="5"/>
  <c r="EO25" i="5" s="1"/>
  <c r="CF24" i="5"/>
  <c r="DJ24" i="5"/>
  <c r="EO24" i="5" s="1"/>
  <c r="CF13" i="5"/>
  <c r="DJ13" i="5"/>
  <c r="EO13" i="5" s="1"/>
  <c r="CE9" i="5"/>
  <c r="DI9" i="5"/>
  <c r="EN9" i="5" s="1"/>
  <c r="CE20" i="5"/>
  <c r="DI20" i="5"/>
  <c r="EN20" i="5" s="1"/>
  <c r="CE14" i="5"/>
  <c r="DI14" i="5"/>
  <c r="EN14" i="5" s="1"/>
  <c r="CH23" i="5"/>
  <c r="DM23" i="5" s="1"/>
  <c r="ER23" i="5" s="1"/>
  <c r="DL23" i="5"/>
  <c r="EQ23" i="5" s="1"/>
  <c r="DH31" i="5"/>
  <c r="CE27" i="5"/>
  <c r="DI27" i="5"/>
  <c r="EN27" i="5" s="1"/>
  <c r="CF19" i="5"/>
  <c r="CF22" i="5"/>
  <c r="DJ22" i="5"/>
  <c r="EO22" i="5" s="1"/>
  <c r="CE12" i="5"/>
  <c r="DI12" i="5"/>
  <c r="EN12" i="5" s="1"/>
  <c r="A60" i="17"/>
  <c r="Q59" i="17"/>
  <c r="P59" i="17"/>
  <c r="O59" i="17"/>
  <c r="A51" i="21"/>
  <c r="B50" i="21"/>
  <c r="K33" i="1" s="1"/>
  <c r="AV4" i="5" l="1"/>
  <c r="AU31" i="5"/>
  <c r="AV19" i="5"/>
  <c r="AU32" i="5"/>
  <c r="P29" i="1"/>
  <c r="Q29" i="1" s="1"/>
  <c r="D46" i="14"/>
  <c r="C30" i="1" s="1"/>
  <c r="B57" i="17"/>
  <c r="S57" i="17" s="1"/>
  <c r="F30" i="1" s="1"/>
  <c r="B50" i="16"/>
  <c r="D50" i="16" s="1"/>
  <c r="E30" i="1" s="1"/>
  <c r="EM33" i="5"/>
  <c r="EN32" i="5"/>
  <c r="EN35" i="5"/>
  <c r="B63" i="5" s="1"/>
  <c r="B47" i="14" s="1"/>
  <c r="EN31" i="5"/>
  <c r="DH33" i="5"/>
  <c r="DI32" i="5"/>
  <c r="CE32" i="5"/>
  <c r="DI31" i="5"/>
  <c r="CD33" i="5"/>
  <c r="L59" i="16" s="1"/>
  <c r="M59" i="16" s="1"/>
  <c r="O59" i="16" s="1"/>
  <c r="R59" i="16" s="1"/>
  <c r="C51" i="16" s="1"/>
  <c r="CG13" i="5"/>
  <c r="DK13" i="5"/>
  <c r="EP13" i="5" s="1"/>
  <c r="CH6" i="5"/>
  <c r="DM6" i="5" s="1"/>
  <c r="ER6" i="5" s="1"/>
  <c r="DL6" i="5"/>
  <c r="EQ6" i="5" s="1"/>
  <c r="CF8" i="5"/>
  <c r="DJ8" i="5"/>
  <c r="EO8" i="5" s="1"/>
  <c r="CG16" i="5"/>
  <c r="DK16" i="5"/>
  <c r="EP16" i="5" s="1"/>
  <c r="CF4" i="5"/>
  <c r="DJ4" i="5"/>
  <c r="EO4" i="5" s="1"/>
  <c r="CE31" i="5"/>
  <c r="CF9" i="5"/>
  <c r="DJ9" i="5"/>
  <c r="EO9" i="5" s="1"/>
  <c r="CF17" i="5"/>
  <c r="DJ17" i="5"/>
  <c r="EO17" i="5" s="1"/>
  <c r="CF14" i="5"/>
  <c r="DJ14" i="5"/>
  <c r="EO14" i="5" s="1"/>
  <c r="CG29" i="5"/>
  <c r="DK29" i="5"/>
  <c r="EP29" i="5" s="1"/>
  <c r="CG22" i="5"/>
  <c r="DK22" i="5"/>
  <c r="EP22" i="5" s="1"/>
  <c r="CG19" i="5"/>
  <c r="DK19" i="5"/>
  <c r="EP19" i="5" s="1"/>
  <c r="CG24" i="5"/>
  <c r="DK24" i="5"/>
  <c r="EP24" i="5" s="1"/>
  <c r="CG28" i="5"/>
  <c r="DK28" i="5"/>
  <c r="EP28" i="5" s="1"/>
  <c r="CG26" i="5"/>
  <c r="DK26" i="5"/>
  <c r="EP26" i="5" s="1"/>
  <c r="CF27" i="5"/>
  <c r="DJ27" i="5"/>
  <c r="EO27" i="5" s="1"/>
  <c r="CF20" i="5"/>
  <c r="DJ20" i="5"/>
  <c r="EO20" i="5" s="1"/>
  <c r="CG25" i="5"/>
  <c r="DK25" i="5"/>
  <c r="EP25" i="5" s="1"/>
  <c r="CH10" i="5"/>
  <c r="DM10" i="5" s="1"/>
  <c r="ER10" i="5" s="1"/>
  <c r="DL10" i="5"/>
  <c r="EQ10" i="5" s="1"/>
  <c r="CF18" i="5"/>
  <c r="DJ18" i="5"/>
  <c r="EO18" i="5" s="1"/>
  <c r="CF12" i="5"/>
  <c r="DJ12" i="5"/>
  <c r="EO12" i="5" s="1"/>
  <c r="CG21" i="5"/>
  <c r="DK21" i="5"/>
  <c r="EP21" i="5" s="1"/>
  <c r="A52" i="21"/>
  <c r="B52" i="21" s="1"/>
  <c r="K35" i="1" s="1"/>
  <c r="B51" i="21"/>
  <c r="K34" i="1" s="1"/>
  <c r="Q60" i="17"/>
  <c r="P60" i="17"/>
  <c r="O60" i="17"/>
  <c r="A61" i="17"/>
  <c r="AW19" i="5" l="1"/>
  <c r="DL19" i="5" s="1"/>
  <c r="EQ19" i="5" s="1"/>
  <c r="AV32" i="5"/>
  <c r="AU33" i="5"/>
  <c r="AW4" i="5"/>
  <c r="AV31" i="5"/>
  <c r="D47" i="14"/>
  <c r="C31" i="1" s="1"/>
  <c r="B58" i="17"/>
  <c r="S58" i="17" s="1"/>
  <c r="F31" i="1" s="1"/>
  <c r="B51" i="16"/>
  <c r="D51" i="16" s="1"/>
  <c r="E31" i="1" s="1"/>
  <c r="P30" i="1"/>
  <c r="Q30" i="1" s="1"/>
  <c r="EN33" i="5"/>
  <c r="EO32" i="5"/>
  <c r="EO35" i="5"/>
  <c r="B64" i="5" s="1"/>
  <c r="B48" i="14" s="1"/>
  <c r="EO31" i="5"/>
  <c r="DI33" i="5"/>
  <c r="CE33" i="5"/>
  <c r="L60" i="16" s="1"/>
  <c r="M60" i="16" s="1"/>
  <c r="O60" i="16" s="1"/>
  <c r="R60" i="16" s="1"/>
  <c r="C52" i="16" s="1"/>
  <c r="DJ32" i="5"/>
  <c r="CG17" i="5"/>
  <c r="DK17" i="5"/>
  <c r="EP17" i="5" s="1"/>
  <c r="CH26" i="5"/>
  <c r="DM26" i="5" s="1"/>
  <c r="ER26" i="5" s="1"/>
  <c r="DL26" i="5"/>
  <c r="EQ26" i="5" s="1"/>
  <c r="CG9" i="5"/>
  <c r="DK9" i="5"/>
  <c r="EP9" i="5" s="1"/>
  <c r="CG8" i="5"/>
  <c r="DK8" i="5"/>
  <c r="EP8" i="5" s="1"/>
  <c r="CH21" i="5"/>
  <c r="DM21" i="5" s="1"/>
  <c r="ER21" i="5" s="1"/>
  <c r="DL21" i="5"/>
  <c r="EQ21" i="5" s="1"/>
  <c r="CH25" i="5"/>
  <c r="DM25" i="5" s="1"/>
  <c r="ER25" i="5" s="1"/>
  <c r="DL25" i="5"/>
  <c r="EQ25" i="5" s="1"/>
  <c r="CH28" i="5"/>
  <c r="DM28" i="5" s="1"/>
  <c r="ER28" i="5" s="1"/>
  <c r="DL28" i="5"/>
  <c r="EQ28" i="5" s="1"/>
  <c r="CH16" i="5"/>
  <c r="DM16" i="5" s="1"/>
  <c r="ER16" i="5" s="1"/>
  <c r="DL16" i="5"/>
  <c r="EQ16" i="5" s="1"/>
  <c r="CH29" i="5"/>
  <c r="DM29" i="5" s="1"/>
  <c r="ER29" i="5" s="1"/>
  <c r="DL29" i="5"/>
  <c r="EQ29" i="5" s="1"/>
  <c r="CG12" i="5"/>
  <c r="DK12" i="5"/>
  <c r="EP12" i="5" s="1"/>
  <c r="CG4" i="5"/>
  <c r="CF31" i="5"/>
  <c r="DK4" i="5"/>
  <c r="EP4" i="5" s="1"/>
  <c r="CH24" i="5"/>
  <c r="DM24" i="5" s="1"/>
  <c r="ER24" i="5" s="1"/>
  <c r="DL24" i="5"/>
  <c r="EQ24" i="5" s="1"/>
  <c r="CG14" i="5"/>
  <c r="DK14" i="5"/>
  <c r="EP14" i="5" s="1"/>
  <c r="CH13" i="5"/>
  <c r="DM13" i="5" s="1"/>
  <c r="ER13" i="5" s="1"/>
  <c r="DL13" i="5"/>
  <c r="EQ13" i="5" s="1"/>
  <c r="CH19" i="5"/>
  <c r="CH22" i="5"/>
  <c r="DM22" i="5" s="1"/>
  <c r="ER22" i="5" s="1"/>
  <c r="DL22" i="5"/>
  <c r="EQ22" i="5" s="1"/>
  <c r="DJ31" i="5"/>
  <c r="CG20" i="5"/>
  <c r="DK20" i="5"/>
  <c r="EP20" i="5" s="1"/>
  <c r="CF32" i="5"/>
  <c r="CG18" i="5"/>
  <c r="DK18" i="5"/>
  <c r="EP18" i="5" s="1"/>
  <c r="CG27" i="5"/>
  <c r="DK27" i="5"/>
  <c r="EP27" i="5" s="1"/>
  <c r="Q61" i="17"/>
  <c r="P61" i="17"/>
  <c r="A62" i="17"/>
  <c r="O61" i="17"/>
  <c r="K37" i="1"/>
  <c r="K36" i="1"/>
  <c r="AV33" i="5" l="1"/>
  <c r="AX4" i="5"/>
  <c r="AX31" i="5" s="1"/>
  <c r="AW31" i="5"/>
  <c r="AX19" i="5"/>
  <c r="AX32" i="5" s="1"/>
  <c r="AW32" i="5"/>
  <c r="D48" i="14"/>
  <c r="C32" i="1" s="1"/>
  <c r="B59" i="17"/>
  <c r="S59" i="17" s="1"/>
  <c r="F32" i="1" s="1"/>
  <c r="B52" i="16"/>
  <c r="D52" i="16" s="1"/>
  <c r="E32" i="1" s="1"/>
  <c r="P31" i="1"/>
  <c r="Q31" i="1" s="1"/>
  <c r="EO33" i="5"/>
  <c r="EP32" i="5"/>
  <c r="EP35" i="5"/>
  <c r="B65" i="5" s="1"/>
  <c r="B49" i="14" s="1"/>
  <c r="EP31" i="5"/>
  <c r="DJ33" i="5"/>
  <c r="CF33" i="5"/>
  <c r="L61" i="16" s="1"/>
  <c r="M61" i="16" s="1"/>
  <c r="O61" i="16" s="1"/>
  <c r="R61" i="16" s="1"/>
  <c r="C53" i="16" s="1"/>
  <c r="CG32" i="5"/>
  <c r="DK32" i="5"/>
  <c r="CH18" i="5"/>
  <c r="DM18" i="5" s="1"/>
  <c r="ER18" i="5" s="1"/>
  <c r="DL18" i="5"/>
  <c r="EQ18" i="5" s="1"/>
  <c r="DM19" i="5"/>
  <c r="ER19" i="5" s="1"/>
  <c r="CH8" i="5"/>
  <c r="DM8" i="5" s="1"/>
  <c r="ER8" i="5" s="1"/>
  <c r="DL8" i="5"/>
  <c r="EQ8" i="5" s="1"/>
  <c r="CH9" i="5"/>
  <c r="DM9" i="5" s="1"/>
  <c r="ER9" i="5" s="1"/>
  <c r="DL9" i="5"/>
  <c r="EQ9" i="5" s="1"/>
  <c r="CH20" i="5"/>
  <c r="DM20" i="5" s="1"/>
  <c r="ER20" i="5" s="1"/>
  <c r="DL20" i="5"/>
  <c r="EQ20" i="5" s="1"/>
  <c r="DK31" i="5"/>
  <c r="CH14" i="5"/>
  <c r="DM14" i="5" s="1"/>
  <c r="ER14" i="5" s="1"/>
  <c r="DL14" i="5"/>
  <c r="EQ14" i="5" s="1"/>
  <c r="CH4" i="5"/>
  <c r="DL4" i="5"/>
  <c r="EQ4" i="5" s="1"/>
  <c r="CG31" i="5"/>
  <c r="CG33" i="5" s="1"/>
  <c r="L62" i="16" s="1"/>
  <c r="M62" i="16" s="1"/>
  <c r="O62" i="16" s="1"/>
  <c r="R62" i="16" s="1"/>
  <c r="C54" i="16" s="1"/>
  <c r="CH12" i="5"/>
  <c r="DM12" i="5" s="1"/>
  <c r="ER12" i="5" s="1"/>
  <c r="DL12" i="5"/>
  <c r="EQ12" i="5" s="1"/>
  <c r="CH27" i="5"/>
  <c r="DM27" i="5" s="1"/>
  <c r="ER27" i="5" s="1"/>
  <c r="DL27" i="5"/>
  <c r="EQ27" i="5" s="1"/>
  <c r="CH17" i="5"/>
  <c r="DM17" i="5" s="1"/>
  <c r="ER17" i="5" s="1"/>
  <c r="DL17" i="5"/>
  <c r="EQ17" i="5" s="1"/>
  <c r="Q62" i="17"/>
  <c r="P62" i="17"/>
  <c r="O62" i="17"/>
  <c r="AX33" i="5" l="1"/>
  <c r="AW33" i="5"/>
  <c r="EP33" i="5"/>
  <c r="D49" i="14"/>
  <c r="C33" i="1" s="1"/>
  <c r="B60" i="17"/>
  <c r="S60" i="17" s="1"/>
  <c r="F33" i="1" s="1"/>
  <c r="B53" i="16"/>
  <c r="D53" i="16" s="1"/>
  <c r="E33" i="1" s="1"/>
  <c r="P32" i="1"/>
  <c r="Q32" i="1" s="1"/>
  <c r="EQ32" i="5"/>
  <c r="ER32" i="5"/>
  <c r="EQ35" i="5"/>
  <c r="B66" i="5" s="1"/>
  <c r="B50" i="14" s="1"/>
  <c r="EQ31" i="5"/>
  <c r="DL32" i="5"/>
  <c r="DK33" i="5"/>
  <c r="DL31" i="5"/>
  <c r="CH31" i="5"/>
  <c r="DM4" i="5"/>
  <c r="DM32" i="5"/>
  <c r="CH32" i="5"/>
  <c r="EQ33" i="5" l="1"/>
  <c r="B61" i="17"/>
  <c r="S61" i="17" s="1"/>
  <c r="F34" i="1" s="1"/>
  <c r="D50" i="14"/>
  <c r="C34" i="1" s="1"/>
  <c r="B54" i="16"/>
  <c r="D54" i="16" s="1"/>
  <c r="E34" i="1" s="1"/>
  <c r="P33" i="1"/>
  <c r="Q33" i="1" s="1"/>
  <c r="DM31" i="5"/>
  <c r="DM33" i="5" s="1"/>
  <c r="ER4" i="5"/>
  <c r="DL33" i="5"/>
  <c r="CH33" i="5"/>
  <c r="L63" i="16" s="1"/>
  <c r="M63" i="16" s="1"/>
  <c r="O63" i="16" s="1"/>
  <c r="R63" i="16" s="1"/>
  <c r="C55" i="16" s="1"/>
  <c r="P34" i="1" l="1"/>
  <c r="Q34" i="1" s="1"/>
  <c r="ER35" i="5"/>
  <c r="B67" i="5" s="1"/>
  <c r="B51" i="14" s="1"/>
  <c r="ER31" i="5"/>
  <c r="ER33" i="5" s="1"/>
  <c r="B62" i="17" l="1"/>
  <c r="S62" i="17" s="1"/>
  <c r="F35" i="1" s="1"/>
  <c r="D51" i="14"/>
  <c r="C35" i="1" s="1"/>
  <c r="B55" i="16"/>
  <c r="D55" i="16" s="1"/>
  <c r="E35" i="1" s="1"/>
  <c r="B68" i="5"/>
  <c r="B69" i="5" s="1"/>
  <c r="C37" i="1" l="1"/>
  <c r="D6" i="3" s="1"/>
  <c r="C36" i="1"/>
  <c r="C6" i="3" s="1"/>
  <c r="P35" i="1"/>
  <c r="E37" i="1"/>
  <c r="D8" i="3" s="1"/>
  <c r="E36" i="1"/>
  <c r="C8" i="3" s="1"/>
  <c r="F37" i="1"/>
  <c r="D9" i="3" s="1"/>
  <c r="F36" i="1"/>
  <c r="C9" i="3" s="1"/>
  <c r="C10" i="3" l="1"/>
  <c r="P37" i="1"/>
  <c r="Q35" i="1"/>
  <c r="Q37" i="1" s="1"/>
  <c r="B5" i="2" s="1"/>
  <c r="P36" i="1"/>
  <c r="D10" i="3"/>
  <c r="G6" i="3" s="1"/>
  <c r="G10" i="3" l="1"/>
  <c r="G7" i="3"/>
  <c r="G5" i="3"/>
  <c r="G8" i="3"/>
  <c r="G9" i="3"/>
  <c r="B7" i="2"/>
  <c r="C12" i="3" s="1"/>
  <c r="B8" i="2"/>
  <c r="C13" i="3" s="1"/>
</calcChain>
</file>

<file path=xl/sharedStrings.xml><?xml version="1.0" encoding="utf-8"?>
<sst xmlns="http://schemas.openxmlformats.org/spreadsheetml/2006/main" count="1187" uniqueCount="615">
  <si>
    <t>Summary by Benefit Area</t>
  </si>
  <si>
    <t>Note that not all projects will have all benefit categories. Conversely, if more categories are needed, applicants may need to add additional columns, but be sure to edit the formula under "Total Benefits" to ensure all benefits are being correctly summed.</t>
  </si>
  <si>
    <t>-</t>
  </si>
  <si>
    <t>Table 1. Summary of Benefits</t>
  </si>
  <si>
    <t>Year</t>
  </si>
  <si>
    <t>Operations and Maintenance</t>
  </si>
  <si>
    <t>Safety</t>
  </si>
  <si>
    <t>Travel Time Savings</t>
  </si>
  <si>
    <t>Vehicle Operating Cost Savings</t>
  </si>
  <si>
    <t>Emission Reduction</t>
  </si>
  <si>
    <t>Avoided Highway Externality</t>
  </si>
  <si>
    <t>Amenity Benefits</t>
  </si>
  <si>
    <t>Health Benefits</t>
  </si>
  <si>
    <t>Residual Value</t>
  </si>
  <si>
    <t>Total Benefits</t>
  </si>
  <si>
    <t>Total Discounted Benefits</t>
  </si>
  <si>
    <t>Undiscounted Total</t>
  </si>
  <si>
    <t>Discounted Total</t>
  </si>
  <si>
    <t>Table 2. Summary of Costs</t>
  </si>
  <si>
    <t>Capital Cost</t>
  </si>
  <si>
    <t>Discounted Capital Cost</t>
  </si>
  <si>
    <t>Total</t>
  </si>
  <si>
    <t>Benefit Cost Analysis Results</t>
  </si>
  <si>
    <t>Table 1. BCA Results</t>
  </si>
  <si>
    <t>Category</t>
  </si>
  <si>
    <t>Value</t>
  </si>
  <si>
    <t>Total Discounted Costs</t>
  </si>
  <si>
    <t>Net Present Value</t>
  </si>
  <si>
    <t>Benefit Cost Ratio</t>
  </si>
  <si>
    <t>&lt;-The BCR will be estimated once capital costs are entered in the 'Capital Cost' sheet</t>
  </si>
  <si>
    <t>7% NPV Summary</t>
  </si>
  <si>
    <t>Total Benefits (Undiscounted)</t>
  </si>
  <si>
    <t>Benefits</t>
  </si>
  <si>
    <t>Costs</t>
  </si>
  <si>
    <t>Benefit Categories (% of Total)</t>
  </si>
  <si>
    <t>Maintenance Cost Savings</t>
  </si>
  <si>
    <t>Emission Reductions</t>
  </si>
  <si>
    <t>Benefit-Cost Ratio</t>
  </si>
  <si>
    <t>Parameter / Assumption</t>
  </si>
  <si>
    <t>No-Build</t>
  </si>
  <si>
    <t>Build</t>
  </si>
  <si>
    <t>Notes / Source</t>
  </si>
  <si>
    <t>A.  Physical Details</t>
  </si>
  <si>
    <t>Construction start (year)</t>
  </si>
  <si>
    <t>N/A</t>
  </si>
  <si>
    <t>Construction completion (year)</t>
  </si>
  <si>
    <t>Construction length (years)</t>
  </si>
  <si>
    <t>First year of BCA operations</t>
  </si>
  <si>
    <t>First year of Build operations. BCA benefit period starts here.</t>
  </si>
  <si>
    <t>Operational period length (years)</t>
  </si>
  <si>
    <t>Standard FRA 30-year analysis period.</t>
  </si>
  <si>
    <t>Last year of BCA period (calc.)</t>
  </si>
  <si>
    <t>Model base year (price base)</t>
  </si>
  <si>
    <t>All dollar values in 2024$. Per USDOT BCA guidance.</t>
  </si>
  <si>
    <t>Estimated avg. annual inflation rate</t>
  </si>
  <si>
    <t>Applied in Capital Costs tab to convert constant$ to year-of-expenditure$.</t>
  </si>
  <si>
    <t>Primary discount rate</t>
  </si>
  <si>
    <t>7.0% per OMB Circular A-94. Applied in FRA template automatically.</t>
  </si>
  <si>
    <t>B.  Project Corridor &amp; Speed</t>
  </si>
  <si>
    <t>MNR Madawaska Sub — miles</t>
  </si>
  <si>
    <t>EMR Van Buren Sub — miles</t>
  </si>
  <si>
    <t>Total corridor miles (calc.)</t>
  </si>
  <si>
    <t>Authorized speed — No-Build</t>
  </si>
  <si>
    <t>Authorized speed — Build</t>
  </si>
  <si>
    <t>C.  Train Schedule  (all confirmed per Patterson email 6/22)</t>
  </si>
  <si>
    <t>Train / Parameter</t>
  </si>
  <si>
    <t>Round-trip multiplier</t>
  </si>
  <si>
    <t>Weeks per year</t>
  </si>
  <si>
    <t>Standard 52-week calendar assumed.</t>
  </si>
  <si>
    <t>Train 520 — Days per week</t>
  </si>
  <si>
    <t>Train 520 — One-way miles on corridor</t>
  </si>
  <si>
    <t>Train 520 — Annual directional trips (calc.)</t>
  </si>
  <si>
    <t>Days/wk × 52 wks × 2 (RT mult.) = 520 trips/yr.</t>
  </si>
  <si>
    <t>Train 520 — NB hrs per one-way trip (calc.)</t>
  </si>
  <si>
    <t>One-way miles ÷ NB speed (10 mph).</t>
  </si>
  <si>
    <t>Train 520 — Build hrs per one-way trip (calc.)</t>
  </si>
  <si>
    <t>One-way miles ÷ Build speed (25 mph).</t>
  </si>
  <si>
    <t>Train 520 — Annual hours saved (calc.)</t>
  </si>
  <si>
    <t>(NB hrs − Build hrs) × annual trips.</t>
  </si>
  <si>
    <t>Train 530 — Days per week</t>
  </si>
  <si>
    <t>Train 530 — One-way miles on corridor</t>
  </si>
  <si>
    <t>Train 530 — Annual directional trips (calc.)</t>
  </si>
  <si>
    <t>Days/wk × 52 wks × 2 = 624 trips/yr.</t>
  </si>
  <si>
    <t>Train 530 — NB hrs per one-way trip (calc.)</t>
  </si>
  <si>
    <t>Train 530 — Build hrs per one-way trip (calc.)</t>
  </si>
  <si>
    <t>Train 530 — Annual hours saved (calc.)</t>
  </si>
  <si>
    <t>Train 900 — Days per week</t>
  </si>
  <si>
    <t>Train 900 — One-way miles on corridor</t>
  </si>
  <si>
    <t>Train 900 — Annual directional trips (calc.)</t>
  </si>
  <si>
    <t>Train 900 — NB hrs per one-way trip (calc.)</t>
  </si>
  <si>
    <t>Train 900 — Build hrs per one-way trip (calc.)</t>
  </si>
  <si>
    <t>Train 900 — Annual hours saved (calc.)</t>
  </si>
  <si>
    <t>TOTAL — Annual corridor trips (calc.)</t>
  </si>
  <si>
    <t>Sum of all three corridor trains = 1,768 annual directional trips.</t>
  </si>
  <si>
    <t>TOTAL — Annual hours saved, all trains (calc.)</t>
  </si>
  <si>
    <t>D.  USDOT Standard BCA Rates  (2024$, Appendix A)</t>
  </si>
  <si>
    <t>Crew wage rate — Locomotive Engineer ($/person-hr)</t>
  </si>
  <si>
    <t>Rail operating cost — hauling, freight train ($/train-hr)</t>
  </si>
  <si>
    <t>Table A-5 hauling rate. Applied to annual hours saved.</t>
  </si>
  <si>
    <t>Crew members per train</t>
  </si>
  <si>
    <t>Annual Travel Time Benefit — operating cost (calc.)</t>
  </si>
  <si>
    <t>Rail op cost ($/hr) × annual hrs saved. Constant 2024$ per year of BCA period.</t>
  </si>
  <si>
    <t>TOTAL Annual Travel Time Benefit (calc.)</t>
  </si>
  <si>
    <t>VOC rate — commercial truck ($/truck-mile)</t>
  </si>
  <si>
    <t>Emissions rate — commercial truck ($/truck-mile)</t>
  </si>
  <si>
    <t>Criteria pollutants only. GHG/SCC excluded per OMB M-25-27.</t>
  </si>
  <si>
    <t>E.  Truck Conversion Factors  (trucks per railcar)</t>
  </si>
  <si>
    <t>Heavy cars — logs, chips, gondola, LPG/fuel oil tanks</t>
  </si>
  <si>
    <t>Box &amp; lumber flat cars — paper, pulp, OSB, lumber</t>
  </si>
  <si>
    <t>Small tank cars — corn starch, slurry, kaolin, talc, TiO2</t>
  </si>
  <si>
    <t>Other / Misc — proxy pending commodity confirmation</t>
  </si>
  <si>
    <t>F.  Capital Costs  (entered in Capital Costs tab; summarised here)</t>
  </si>
  <si>
    <t>2028 construction expenditure ($)</t>
  </si>
  <si>
    <t>Madawaska: rail upgrade, cross tie, turnout, ballast. + pro-rata contingency.</t>
  </si>
  <si>
    <t>2029 construction expenditure ($)</t>
  </si>
  <si>
    <t>Van Buren: rail upgrade, cross tie, turnout, ballast. + Madawaska balance. + pro-rata contingency.</t>
  </si>
  <si>
    <t>2030 construction expenditure ($)</t>
  </si>
  <si>
    <t>Remaining cross tie and turnout completion. + pro-rata contingency.</t>
  </si>
  <si>
    <t>Total project cost (calc.)</t>
  </si>
  <si>
    <t>Base cost $43,985,000 + contingency $2,315,000 = $46,300,000.</t>
  </si>
  <si>
    <t>CUSTOMER &amp; FLOW</t>
  </si>
  <si>
    <t>HISTORICAL ACTUALS</t>
  </si>
  <si>
    <t>METHODOLOGY NOTES</t>
  </si>
  <si>
    <t>Dir</t>
  </si>
  <si>
    <t>Customer</t>
  </si>
  <si>
    <t>Commodity</t>
  </si>
  <si>
    <t>Haz</t>
  </si>
  <si>
    <t>BCA</t>
  </si>
  <si>
    <t>Car Type</t>
  </si>
  <si>
    <t>T/Car</t>
  </si>
  <si>
    <t>Trucks/Car</t>
  </si>
  <si>
    <t>Wtd Miles/Car</t>
  </si>
  <si>
    <t>Distance Methodology</t>
  </si>
  <si>
    <t>2022</t>
  </si>
  <si>
    <t>2023</t>
  </si>
  <si>
    <t>2024</t>
  </si>
  <si>
    <t>2025</t>
  </si>
  <si>
    <t>NB 2026</t>
  </si>
  <si>
    <t>NB 2027</t>
  </si>
  <si>
    <t>NB 2028</t>
  </si>
  <si>
    <t>NB 2029</t>
  </si>
  <si>
    <t>NB 2030</t>
  </si>
  <si>
    <t>Grw% Build</t>
  </si>
  <si>
    <t>Grw% NB</t>
  </si>
  <si>
    <t>INBOUND</t>
  </si>
  <si>
    <t>Dead River</t>
  </si>
  <si>
    <t>LPG</t>
  </si>
  <si>
    <t>Y</t>
  </si>
  <si>
    <t>Tank</t>
  </si>
  <si>
    <t>Fuel Oil</t>
  </si>
  <si>
    <t>LP</t>
  </si>
  <si>
    <t>Logs (Inbound)</t>
  </si>
  <si>
    <t>N</t>
  </si>
  <si>
    <t>Flat</t>
  </si>
  <si>
    <t>MDI (Hazmat)</t>
  </si>
  <si>
    <t>Other Hazmat</t>
  </si>
  <si>
    <t>Other Non-Hazmat</t>
  </si>
  <si>
    <t>Box</t>
  </si>
  <si>
    <t>Excluded from BCA.</t>
  </si>
  <si>
    <t>McCains</t>
  </si>
  <si>
    <t>Fertilizer</t>
  </si>
  <si>
    <t>Excluded from BCA — no material project impact.</t>
  </si>
  <si>
    <t>Canola Oil</t>
  </si>
  <si>
    <t>Other Misc. Receivers</t>
  </si>
  <si>
    <t>Misc (incl. Hazmat)</t>
  </si>
  <si>
    <t>?</t>
  </si>
  <si>
    <t>Misc</t>
  </si>
  <si>
    <t>Twin Rivers</t>
  </si>
  <si>
    <t>Woodpulp</t>
  </si>
  <si>
    <t>Corn Starch</t>
  </si>
  <si>
    <t>Limestone Slurry</t>
  </si>
  <si>
    <t>Kaolin</t>
  </si>
  <si>
    <t>Talc</t>
  </si>
  <si>
    <t>Titanium Dioxide</t>
  </si>
  <si>
    <t>OUTBOUND</t>
  </si>
  <si>
    <t>Huber</t>
  </si>
  <si>
    <t>OSB (Panel Products)</t>
  </si>
  <si>
    <t>Irving Woodlands</t>
  </si>
  <si>
    <t>Hard &amp; Softwood Logs (ME/St.Leonard)</t>
  </si>
  <si>
    <t>Hardwood Logs (Ft.Kent→Woodland)</t>
  </si>
  <si>
    <t>Softwood Logs (Ft.Kent→St.John NB)</t>
  </si>
  <si>
    <t>Chips (Skerry→St.John NB)</t>
  </si>
  <si>
    <t>Gondola</t>
  </si>
  <si>
    <t>JD Irving Lumber</t>
  </si>
  <si>
    <t>Lumber (Van Buren/Ashland)</t>
  </si>
  <si>
    <t>Wooden Siding</t>
  </si>
  <si>
    <t>Maibec/Daquaam/JDI</t>
  </si>
  <si>
    <t>Lumber (Masardis)</t>
  </si>
  <si>
    <t>Other Lumber Shippers</t>
  </si>
  <si>
    <t>Lumber (Various)</t>
  </si>
  <si>
    <t>Other Misc. Shippers</t>
  </si>
  <si>
    <t>Hazmat → goes to 0 in NB per Excepted Track restriction.</t>
  </si>
  <si>
    <t>Paper (Rolls)</t>
  </si>
  <si>
    <t>Lumber (legacy/zero)</t>
  </si>
  <si>
    <t>INBOUND TOTAL</t>
  </si>
  <si>
    <t>OUTBOUND TOTAL</t>
  </si>
  <si>
    <t>GRAND TOTAL</t>
  </si>
  <si>
    <t>Parameter / Route</t>
  </si>
  <si>
    <t>Distance (miles)</t>
  </si>
  <si>
    <t>Source / Notes</t>
  </si>
  <si>
    <t>DEAD RIVER — Reroute Distances (50/50 CP Bangor / CSX Portland)</t>
  </si>
  <si>
    <t>Bangor, ME (CP) → Presque Isle, ME</t>
  </si>
  <si>
    <t>Portland, ME (CSX) → Presque Isle, ME</t>
  </si>
  <si>
    <t>Dead River weighted average (50/50 calc.)</t>
  </si>
  <si>
    <t>TWIN RIVERS INBOUND — All commodities</t>
  </si>
  <si>
    <t>Boston, MA → Madawaska, ME</t>
  </si>
  <si>
    <t>Applied distance (woodpulp, corn starch, limestone, kaolin, talc, TiO2)</t>
  </si>
  <si>
    <t>TWIN RIVERS PAPER — Outbound Weighted Average Distance</t>
  </si>
  <si>
    <t>% to Boston</t>
  </si>
  <si>
    <t>Boston, MA (distance from Madawaska)</t>
  </si>
  <si>
    <t>% to NYC</t>
  </si>
  <si>
    <t>New York, NY (distance from Madawaska)</t>
  </si>
  <si>
    <t>% to Pittsburgh</t>
  </si>
  <si>
    <t>Pittsburgh, PA (distance from Madawaska)</t>
  </si>
  <si>
    <t>% to Cleveland</t>
  </si>
  <si>
    <t>Cleveland, OH (distance from Madawaska)</t>
  </si>
  <si>
    <t>% to Chicago</t>
  </si>
  <si>
    <t>Chicago, IL (distance from Madawaska)</t>
  </si>
  <si>
    <t>OTHER OUTBOUND DISTANCES</t>
  </si>
  <si>
    <t>Huber OSB — Easton, ME → Boston, MA</t>
  </si>
  <si>
    <t>Irving Logs — Ft.Kent → Woodland, ME</t>
  </si>
  <si>
    <t>Irving Softwood Logs — Ft.Kent → Saint John, NB</t>
  </si>
  <si>
    <t>Irving Chips — Skerry/Ashland → Saint John, NB</t>
  </si>
  <si>
    <t>JDI Lumber — Van Buren/Ashland → Boston, MA</t>
  </si>
  <si>
    <t>LP Wooden Siding — Houlton, ME → Boston, MA</t>
  </si>
  <si>
    <t>Maibec Lumber — Masardis, ME → Boston, MA</t>
  </si>
  <si>
    <t>INBOUND HAZMATS — LP</t>
  </si>
  <si>
    <t>LP MDI / Other Hazmat — Portland, ME → LP Holton, ME</t>
  </si>
  <si>
    <t>Twin Rivers Paper — Weighted Average Distance (calc.)</t>
  </si>
  <si>
    <t>USDOT Benefit-Cost Analysis Spreadsheet Template</t>
  </si>
  <si>
    <t>---------------------------------------------------------------------------------------------------------------------------------------------------------------------------------------------------------------</t>
  </si>
  <si>
    <t>What is the USDOT Benefit-Cost Analysis Spreadsheet Template?</t>
  </si>
  <si>
    <t xml:space="preserve">The USDOT Benefit-Cost Analysis Spreadsheet Template is being offered as a resource to applicants to help them get started on their BCA. Applicants are NOT required to use this template, it is simply offered as a convenience. </t>
  </si>
  <si>
    <t>-------------------------------------------------------------------------------------------------------------------------------------------------------------------------------------------------------------</t>
  </si>
  <si>
    <t>What You Need</t>
  </si>
  <si>
    <t>•	  Understanding of the project and the problem it is intended to solve.</t>
  </si>
  <si>
    <t>•	  The estimated costs of the project.</t>
  </si>
  <si>
    <t>•	  Information needed to estimate the benefits of the project (e.g., number users, baseline conditions, measures of effectiveness, expected service life).</t>
  </si>
  <si>
    <t>Notes</t>
  </si>
  <si>
    <t>• Input, Optional, and No-Input cells.</t>
  </si>
  <si>
    <t xml:space="preserve">      o Green, bold, and underlined cells represent user input cells. These cells are available for input from the user.</t>
  </si>
  <si>
    <t xml:space="preserve">      o Blue and italic cells represent cells where the user may want to edit the formula depending on their project details</t>
  </si>
  <si>
    <t xml:space="preserve">      o Gray and plain text cells represent a cell that does not require user input, and should not be edited.</t>
  </si>
  <si>
    <t>•  	Build vs No Build. If you only have data for the difference between the Build and No Build scenarios, enter this data into the "Build" column and leave the "No Build" values at $0. This will still appropriately estimate the benefit</t>
  </si>
  <si>
    <t>•  	Deleting a Tab. Do not delete tabs. If a tab is not needed, simply skip it.</t>
  </si>
  <si>
    <t xml:space="preserve">•  Parameter Values. This template provides a copy of the Appendix A tables from the USDOT BCA guidance document in a spreadsheet format, located on the "Parameter Values" sheet. </t>
  </si>
  <si>
    <t>Model Base Year</t>
  </si>
  <si>
    <t>Model Date</t>
  </si>
  <si>
    <t>Project Information</t>
  </si>
  <si>
    <t>Applicants should fill out this sheet first, before moving on to the remainder of the template sheets.</t>
  </si>
  <si>
    <t>Table 1. Project Information</t>
  </si>
  <si>
    <t>Variable</t>
  </si>
  <si>
    <t>First Year of Project Development/Construction</t>
  </si>
  <si>
    <t>&lt;-For project development costs prior to the model base year, enter into the "Capital Cost" tab in the cell for previously incurred costs</t>
  </si>
  <si>
    <t>Length of Construction/Project Development Period (in Years)</t>
  </si>
  <si>
    <t>&lt;-Enter a whole number value between 1 and 15, only include project development years after the model base year</t>
  </si>
  <si>
    <t>Opening Year</t>
  </si>
  <si>
    <t>Operational Period Length</t>
  </si>
  <si>
    <t>&lt;-See USDOT BCA Guidance for discussion of how to determine the appropriate operational period length</t>
  </si>
  <si>
    <t>Final Analysis Year</t>
  </si>
  <si>
    <t>Parameter Values</t>
  </si>
  <si>
    <t>This sheet provides a copy of parameter and monetization values from Appendix A of the USDOT BCA Guidance, and is provided for convenience.</t>
  </si>
  <si>
    <t>Source: USDOT BCA Guidance (Appendix A)</t>
  </si>
  <si>
    <t>Table A-1a: Value of Reduced Fatalities, Injuries, and Crashes</t>
  </si>
  <si>
    <t>KABCO Level</t>
  </si>
  <si>
    <t>Monetized Value (2024 $)</t>
  </si>
  <si>
    <t>O - No Injury</t>
  </si>
  <si>
    <t>C - Possible Injury</t>
  </si>
  <si>
    <t>B - Non-incapacitating</t>
  </si>
  <si>
    <t>A - Incapacitating</t>
  </si>
  <si>
    <t>K - Killed</t>
  </si>
  <si>
    <t>U - Injured (Severity Unknown)</t>
  </si>
  <si>
    <t>Table A-1b: Value of Reduced Fatal, Injury, and PDO Crashes</t>
  </si>
  <si>
    <t>Crash Type</t>
  </si>
  <si>
    <t>PDO Crash</t>
  </si>
  <si>
    <t>Injury Crash</t>
  </si>
  <si>
    <t>Fatal Crash</t>
  </si>
  <si>
    <t>Table A-2: Value of Travel Time Savings</t>
  </si>
  <si>
    <t>Recommended Hourly Values of Travel Time Savings</t>
  </si>
  <si>
    <t>(2024 $ per person-hour)</t>
  </si>
  <si>
    <t>Hourly Value</t>
  </si>
  <si>
    <t>General Travel Time</t>
  </si>
  <si>
    <t>Personal1</t>
  </si>
  <si>
    <t>Business2</t>
  </si>
  <si>
    <t>All Purpose3</t>
  </si>
  <si>
    <t>Walking, Cycling, Waiting, Standing, and Transfer Time4</t>
  </si>
  <si>
    <t>Commercial Vehicle Operators5</t>
  </si>
  <si>
    <t>Truck Drivers</t>
  </si>
  <si>
    <t>Bus Drivers</t>
  </si>
  <si>
    <t>Transit Rail Operators</t>
  </si>
  <si>
    <t>Locomotive Engineers</t>
  </si>
  <si>
    <t>1)  Values for personal travel based on local travel values as described in USDOT’s Value of Travel Time guidance. Where applicants also have specific information on the mix of local versus long-distance travel (i.e., trips over 50 miles in length) on a facility, then the local travel values of time may be blended with the long-distance personal travel value of $28.20 per hour.</t>
  </si>
  <si>
    <t>2)  Weighted average based on a typical distribution of local travel by surface modes (88.2% personal, 11.8% business). Applicants should apply their own distribution of business versus personal travel where such information is available.</t>
  </si>
  <si>
    <t>3)  Note that business travel does not include commuting travel, which should be valued at the personal travel rate. Travel on high-speed rail service that would be competitive with air travel should be valued at $53.50 per hour for personal travel and $86.00 for business travel.</t>
  </si>
  <si>
    <t>4)  Should be applied only when actions affect those elements of travel time.</t>
  </si>
  <si>
    <t>5)  Includes only the value of time for the operator, not passengers or freight.</t>
  </si>
  <si>
    <t>Table A-3: Average Vehicle Occupancy Rates for Highway Passenger Vehicles</t>
  </si>
  <si>
    <t>Vehicle Type</t>
  </si>
  <si>
    <t>Average Occupancy</t>
  </si>
  <si>
    <t>Passenger Vehicles (Weekday Peak)1</t>
  </si>
  <si>
    <t>Passenger Vehicles (Weekday Off-Peak)</t>
  </si>
  <si>
    <t>Passenger Vehicles (Weekend)</t>
  </si>
  <si>
    <t>Passenger Vehicles (All Travel)</t>
  </si>
  <si>
    <t>1) Weekday peak period values calculated for trips starting between 6:00 AM-8:59 AM and 4:00 PM-6:59 PM.</t>
  </si>
  <si>
    <t>Table A-4: Vehicle Operating Costs</t>
  </si>
  <si>
    <t>Recommended Value per Mile (2024 $)</t>
  </si>
  <si>
    <t>Light Duty Vehicles1</t>
  </si>
  <si>
    <t>Commercial Trucks2</t>
  </si>
  <si>
    <t>1)  Based on an average light duty vehicle and includes operating costs such as gasoline, maintenance, tires, and depreciation (assuming an average of 15,000 miles driven per year). The value omits other ownership costs that are mostly fixed or transfers (insurance, license, registration, taxes, and financing charges).</t>
  </si>
  <si>
    <t>2)  Value includes fuel costs, truck/trailer lease or purchase payments, repair and maintenance, truck insurance premiums, permits and licenses, and tires. The value omits tolls (which are transfers), and driver wages and benefits (which are already included in the value of travel time savings).</t>
  </si>
  <si>
    <t>Table A-5: Train Operating and Social Costs</t>
  </si>
  <si>
    <t>Recommended Value per Hour (2024 $)</t>
  </si>
  <si>
    <t>Train and Movement Type</t>
  </si>
  <si>
    <t>Operating Costs1</t>
  </si>
  <si>
    <t>Emission Costs2</t>
  </si>
  <si>
    <t>Idling</t>
  </si>
  <si>
    <t>Freight Train</t>
  </si>
  <si>
    <t>Commuter Train</t>
  </si>
  <si>
    <t>Amtrak Long-Distance</t>
  </si>
  <si>
    <t>Amtrak State-Supported</t>
  </si>
  <si>
    <t>Hauling</t>
  </si>
  <si>
    <t>All Movements</t>
  </si>
  <si>
    <t>Freight Railcar</t>
  </si>
  <si>
    <t>*</t>
  </si>
  <si>
    <t>1)  Includes fuel cost, depreciation, and labor cost.</t>
  </si>
  <si>
    <t>2)  Emissions are based on the current diesel-electric locomotive fleet average, and thus the emission values above should not be applied in cases where new locomotives are being acquired or in cases of electrified rail. The monetization applies the 2035-year emission value to approximate increasing emission damage costs over time.</t>
  </si>
  <si>
    <t>Table A-6: Damage Costs for Emissions per Metric Ton*</t>
  </si>
  <si>
    <t>Emission Type</t>
  </si>
  <si>
    <t>NOX</t>
  </si>
  <si>
    <t>SOX</t>
  </si>
  <si>
    <t>PM2.5**</t>
  </si>
  <si>
    <t>*Applicants should carefully note whether their emissions data is reported in short tons or metric tons. A metric ton is equal to 1.1023 short tons.</t>
  </si>
  <si>
    <t>**Applicants should be careful to not apply the PM2.5 value to estimates of total emissions of PM10.</t>
  </si>
  <si>
    <t>Table A-7: Inflation Adjustment Values</t>
  </si>
  <si>
    <t>Base Year of Nominal Dollar</t>
  </si>
  <si>
    <t>Multiplier to Adjust to Real 2024 $</t>
  </si>
  <si>
    <t>Table A-8: Pedestrian Facility Improvements Revealed Preference Values</t>
  </si>
  <si>
    <t>Improvement Type</t>
  </si>
  <si>
    <t>Recommended Value per Person-Mile Walked (2024 $)1</t>
  </si>
  <si>
    <t>Expand Sidewalk (per foot of added width)2</t>
  </si>
  <si>
    <t>Reducing Upslope by 1%</t>
  </si>
  <si>
    <t>Reducing Traffic Speed by 1 mph (for speeds ≤45 mph)</t>
  </si>
  <si>
    <t>Reducing Traffic Volume by 1 Vehicle per Hour (for ADT &lt;55,000)</t>
  </si>
  <si>
    <t>Recommended Value per Use (2024 $)1</t>
  </si>
  <si>
    <t>Install Marked-Crosswalk on Roadway with Volumes ≥10,000 Vehicle per Day</t>
  </si>
  <si>
    <t>Install Signal for Pedestrian Crossing on Roadway with Volumes ≥13,000 Vehicles per Day</t>
  </si>
  <si>
    <t>1)   These values assume an average walking trip speed of 3.2 miles per hour. For the mile-based benefits, the estimated value per user should be capped at 0.86 miles, the average length of a walking trip in the 2017 National Household Travel Survey, unless the applicant has specific documentation suggesting longer trips or that a trip shorter than 0.86 miles is not feasible on the facility in question. In other words, applicants should not assume all pedestrians travel the full distance of a proposed facility if the facility is longer than 0.86 miles without a clear justification for doing so.</t>
  </si>
  <si>
    <t>2)   Value for sidewalk width expansion applicable for sidewalks up to approximately 31 feet, benefits for expansions beyond this width should be described qualitatively.</t>
  </si>
  <si>
    <t>Table A-9: Cycling Facility Improvement Revealed Preference Values</t>
  </si>
  <si>
    <t>Facility Type</t>
  </si>
  <si>
    <t>Recommended Value per Cycling Mile (2024 $)1</t>
  </si>
  <si>
    <t>Cycling Path with At-Grade Crossings</t>
  </si>
  <si>
    <t>Cycling Path with no At-Grade Crossings2</t>
  </si>
  <si>
    <t>Dedicated Cycling Lane</t>
  </si>
  <si>
    <t>Cycling Boulevard/“Sharrow”</t>
  </si>
  <si>
    <t>Separated Cycle Track</t>
  </si>
  <si>
    <t>1) Values should only be applied over sections for which a comparable parallel facility is not available, and only applies to miles cycled on the project facility. These values assume an average cycling trip speed of 9.8 miles per hour or, in the case of off-street paths with no at-grade crossings, a free-flow cycling speed of 12.1 miles per hour. The estimated value per cyclist should be capped at 2.38 miles, the average length of a cycling trip in the 2017 National Household Travel Survey, unless the applicant has specific documentation suggesting longer trips or that a trip shorter than 2.38 miles is not feasible on the facility in question. In other words, applicants should not assume all cyclists travel the full distance of a proposed facility if the facility is longer than 2.38 miles without a clear justification for doing so.</t>
  </si>
  <si>
    <t>2) The value for a cycling path with no at-grade intersections is higher due to an assumption of higher average speed of 12.1 miles per hour, resulting in less time on the facility, which lowers journey quality benefits but increases travel time savings.</t>
  </si>
  <si>
    <t>Table A-10: Transit Facility Amenity Revealed and Stated Preference Values</t>
  </si>
  <si>
    <t>Attribute Type</t>
  </si>
  <si>
    <t>Recommended Value per User Trip (2024 $)</t>
  </si>
  <si>
    <t>Bus Stop</t>
  </si>
  <si>
    <t>Light Rail /Streetcar Stop</t>
  </si>
  <si>
    <t>Rail Station</t>
  </si>
  <si>
    <t>Clocks</t>
  </si>
  <si>
    <t>Electronic Real-Time Information Displays</t>
  </si>
  <si>
    <t>Information /Emergency Button</t>
  </si>
  <si>
    <t>PA System</t>
  </si>
  <si>
    <t>Platform/Stop Seating Availability1</t>
  </si>
  <si>
    <t>Platform/Stop Weather Protection1</t>
  </si>
  <si>
    <t>Restroom Availability</t>
  </si>
  <si>
    <t>Retail/Food Outlet Availability</t>
  </si>
  <si>
    <t>Staff Availability</t>
  </si>
  <si>
    <t>Step-Free Access to Station/Stop</t>
  </si>
  <si>
    <t>Step-Free Access to Vehicle</t>
  </si>
  <si>
    <t>Surveillance Cameras</t>
  </si>
  <si>
    <t>Temperature Controlled Environment1</t>
  </si>
  <si>
    <t>Ticket Machines</t>
  </si>
  <si>
    <t>Timetables</t>
  </si>
  <si>
    <t>Bike Facilities</t>
  </si>
  <si>
    <t>Car Access Facilities</t>
  </si>
  <si>
    <t>Elevator</t>
  </si>
  <si>
    <t>Escalators</t>
  </si>
  <si>
    <t>On-Site Ticket Office</t>
  </si>
  <si>
    <t>Taxi Pickup/Dropoff</t>
  </si>
  <si>
    <t>Waiting Room1</t>
  </si>
  <si>
    <t>1)  Note that seating availability and weather protection refer to seats, canopies, or wind shelters on the platforms themselves, whereas temperature-controlled environment refers to an indoor facility with heating and air conditioning availability. A waiting room refers to a designated indoor environment with seating availability, separate from platform seating, which may or may not be temperature controlled.</t>
  </si>
  <si>
    <t>Table A-11: Transit Vehicle Amenity Values</t>
  </si>
  <si>
    <t>Bus</t>
  </si>
  <si>
    <t>Light Rail /Streetcar</t>
  </si>
  <si>
    <t>Rail</t>
  </si>
  <si>
    <t>Handrails</t>
  </si>
  <si>
    <t>Luggage Storage</t>
  </si>
  <si>
    <t>Temperature Control</t>
  </si>
  <si>
    <t>Wheelchair Space</t>
  </si>
  <si>
    <t>Food Service Availability</t>
  </si>
  <si>
    <t>Table A-12: Transit Mode Ride and Boarding Quality Revealed Preference Values</t>
  </si>
  <si>
    <t>Transit Mode</t>
  </si>
  <si>
    <t>Boarding Quality Benefit (Per Boarding) (2024 $)1</t>
  </si>
  <si>
    <t>Vehicle Ride Quality Benefit (Per Passenger Hour) (2024 $)1</t>
  </si>
  <si>
    <t>Low-Intensive BRT2</t>
  </si>
  <si>
    <t>Medium-Intensive BRT2</t>
  </si>
  <si>
    <t>High-Intensive BRT2,3</t>
  </si>
  <si>
    <t>Streetcar or On-Street Light Rail Transit</t>
  </si>
  <si>
    <t>Off-Street Light Rail Transit</t>
  </si>
  <si>
    <t>Heavy Rail</t>
  </si>
  <si>
    <t>Commuter Rail</t>
  </si>
  <si>
    <t>Ferry3</t>
  </si>
  <si>
    <t>1) Values applicable when base case is transit use of standard on-street bus, the reference case used to create these values. When comparing other types of modal shift, the differences between the relevant modal values above should be used.</t>
  </si>
  <si>
    <t>2) Low-intensive BRT would include special service branding, low floor vehicles, at least 50 percent of route in dedicated lanes and potentially shared turns and the remainder in mixed-traffic, some signal priority, level boarding, off-board fare collection, and visually distinct stations. Medium-intensive BRT would include features of Low-intensive BRT but have 100 percent of the route in dedicated lanes, traffic signal priority throughout the corridor, and median-running service or right-turn prohibitions. High-intensive BRT would have a completely sealed right-of-way with no traffic interference and traffic signal preemption, akin to a “rubber-tired railroad.”</t>
  </si>
  <si>
    <t>3) The Capital Investment Grant program has to date not completed a before-and-after study of ridership on a ferry project or a high-intensive BRT as described above, and thus does not have a calibrated estimate for the fixedguideway setting for those modes. Thus, these values represent the current best estimates, considering average station and ride quality relative to other transit modes.</t>
  </si>
  <si>
    <t>Table A-13: Mortality Reduction Benefits of Induced Active Transportation Values</t>
  </si>
  <si>
    <t>Mode</t>
  </si>
  <si>
    <t>Applicable Age Range3</t>
  </si>
  <si>
    <t>Recommended Value per Induced Trip (2024 $)4</t>
  </si>
  <si>
    <t>Walking1</t>
  </si>
  <si>
    <t>Ages 20-74</t>
  </si>
  <si>
    <t>Cycling2</t>
  </si>
  <si>
    <t>Ages 20-64</t>
  </si>
  <si>
    <t xml:space="preserve">1)   Based on an assumed average walking speed of 3.2 miles per hour, an assumed average age of the relevant age range (20-74 years) of 45, a corresponding baseline mortality risk of 267.1 per 100,000, an annual risk reduction of 8.6 percent per daily mile walked, and an average walking trip distance of 0.86 miles. </t>
  </si>
  <si>
    <t>2)   Based on an assumed average cycling speed of 9.8 miles per hour, an assumed average age of the relevant age range (20-64 years) of 42, a corresponding baseline mortality risk of 217.9 per 100,000, an annual risk reduction of 4.3 percent per daily mile cycled, and an average cycling trip distance of 2.38 miles.</t>
  </si>
  <si>
    <t>3)   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t>
  </si>
  <si>
    <t xml:space="preserve">4)   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t>
  </si>
  <si>
    <t>Table A-14: External Highway Use Costs</t>
  </si>
  <si>
    <t>Vehicle Type and Location</t>
  </si>
  <si>
    <t>Recommended Value of Cost per Vehicle Mile Traveled (2024 $)1</t>
  </si>
  <si>
    <t>Congestion</t>
  </si>
  <si>
    <t>Noise</t>
  </si>
  <si>
    <t>Safety Cost</t>
  </si>
  <si>
    <t>Emission Cost2</t>
  </si>
  <si>
    <t>Light-Duty Vehicles - Urban</t>
  </si>
  <si>
    <t>Light-Duty Vehicles - Rural</t>
  </si>
  <si>
    <t>Light-Duty Vehicles – All Locations</t>
  </si>
  <si>
    <t>Buses and Trucks - Urban</t>
  </si>
  <si>
    <t>Buses and Trucks - Rural</t>
  </si>
  <si>
    <t>Buses and Trucks – All Locations</t>
  </si>
  <si>
    <t>All Vehicles - Urban</t>
  </si>
  <si>
    <t>All Vehicles - Rural</t>
  </si>
  <si>
    <t>All Vehicles – All Locations</t>
  </si>
  <si>
    <t>1)   Congestion costs updated from the 1997 Highway Cost Allocation Study to reflect increased traffic volumes, changes in vehicle occupancy, and increases in the value of time per person-hour since that time. Both congestion and noise costs are also adjusted from 1994 dollars to 2024 dollars using the GDP deflator.</t>
  </si>
  <si>
    <t>2)   Emission rates are based on estimates from EPA’s MOVES Model. The monetization applies the 2035-year emission value to approximate increasing emission damage costs over time.</t>
  </si>
  <si>
    <t>User Volumes</t>
  </si>
  <si>
    <t>This is an optional sheet to aid in displaying user volumes, note that it does not automatically link to any other sheet and is provided for convenience and organizational purposes.</t>
  </si>
  <si>
    <t>Users can use whichever units are of interest to their application (for example: number of users, average annual daily traffic, person miles traveled, vehicle miles traveled).</t>
  </si>
  <si>
    <t xml:space="preserve">Users are free to use only the necessary columns for their application and/or to add additional columns as necessary. </t>
  </si>
  <si>
    <t>If you do not wish to use this sheet, simply leave the values blank and move on to the next sheet.</t>
  </si>
  <si>
    <t>Table 1. Volumes by Mode</t>
  </si>
  <si>
    <t>Vehicles</t>
  </si>
  <si>
    <t>Trucks</t>
  </si>
  <si>
    <t>Pedestrians</t>
  </si>
  <si>
    <t>Cyclists</t>
  </si>
  <si>
    <t>Trains</t>
  </si>
  <si>
    <t>[Other Modes]</t>
  </si>
  <si>
    <t>Workspace - Applicants may create new sheets for more space</t>
  </si>
  <si>
    <t>No Build</t>
  </si>
  <si>
    <t>Capital Costs</t>
  </si>
  <si>
    <t xml:space="preserve">In this "Capital Costs" sheet,  values should be entered as year-of-expenditure dollars. The template will automatically apply discounting to all costs and benefits for you. </t>
  </si>
  <si>
    <t>Annual Inflation Rate Used to Convert Constant Dollars to Year-of-Expenditure Dollars</t>
  </si>
  <si>
    <t>Previously Incurred Costs (in 2024$)</t>
  </si>
  <si>
    <t>Table 1. Capital Costs</t>
  </si>
  <si>
    <t>Capital Cost in Year-of-Expenditure Dollars</t>
  </si>
  <si>
    <t>Cost in Constant Dollars (2024 $)</t>
  </si>
  <si>
    <t>Operations and Maintenance Costs</t>
  </si>
  <si>
    <t xml:space="preserve">All values entered into input cells in this sheet should be entered as undiscounted 2024 dollar values. The template will automatically apply discounting to all costs and benefits for you. </t>
  </si>
  <si>
    <t>Applicants should use this sheet for general operations and maintenance, as well as any recapitalization costs that will be needed for project components over the course of the analysis period.</t>
  </si>
  <si>
    <t>Table 1. Operations and Maintenance</t>
  </si>
  <si>
    <t>No Build Operations and Maintenance Costs</t>
  </si>
  <si>
    <t>Build Operations and Maintenance Costs</t>
  </si>
  <si>
    <t>Net Change in Operations and Maintenance Costs</t>
  </si>
  <si>
    <t>Note that not all projects will have benefits in all categories. In such cases, simply leave the input values in that sheet as zeros and move to the next sheet.</t>
  </si>
  <si>
    <t>Table 1. Recommended Monetization Values</t>
  </si>
  <si>
    <t>Table 2. Safety</t>
  </si>
  <si>
    <t>No Build Safety Costs</t>
  </si>
  <si>
    <t>Build Safety Costs</t>
  </si>
  <si>
    <t>Safety Benefits</t>
  </si>
  <si>
    <t>Hourly Value (2024 $)</t>
  </si>
  <si>
    <t>Personal</t>
  </si>
  <si>
    <t>Business</t>
  </si>
  <si>
    <t>All Purpose</t>
  </si>
  <si>
    <t>Walking, Cycling, Waiting, Standing, and Transfer Time</t>
  </si>
  <si>
    <t>Commercial Vehicle Operators</t>
  </si>
  <si>
    <t>Table 2. Travel Time Savings</t>
  </si>
  <si>
    <t>No Build Travel Time Costs</t>
  </si>
  <si>
    <t>Build Travel Time Costs</t>
  </si>
  <si>
    <t>Travel Time Benefits</t>
  </si>
  <si>
    <t>Train</t>
  </si>
  <si>
    <t>Miles</t>
  </si>
  <si>
    <t>NB hrs/trip</t>
  </si>
  <si>
    <t>Build hrs/trip</t>
  </si>
  <si>
    <t>Hrs Saved/trip</t>
  </si>
  <si>
    <t>Annual trips</t>
  </si>
  <si>
    <t>Hrs saved/yr</t>
  </si>
  <si>
    <t>Annual Travel Time Benefit</t>
  </si>
  <si>
    <t>Rail operating cost, freight train hauling</t>
  </si>
  <si>
    <t>Total annual hours saved</t>
  </si>
  <si>
    <t>Total Crew Time Benefit</t>
  </si>
  <si>
    <t>Vehicle Operating Costs</t>
  </si>
  <si>
    <t>Light Duty Vehicles</t>
  </si>
  <si>
    <t>Commercial Trucks</t>
  </si>
  <si>
    <t>Operating Costs</t>
  </si>
  <si>
    <t>Table 2. Vehicle Operating Costs</t>
  </si>
  <si>
    <t>No Build Vehicle Operating Costs</t>
  </si>
  <si>
    <t>Build Vehicle Operating Costs</t>
  </si>
  <si>
    <t>Emissions Reduction</t>
  </si>
  <si>
    <t xml:space="preserve">Unique to this sheet, applicants may either input monetized emissions in 2024 dollars OR enter the direct emission amounts in the table below, in which case they must be entered in the form of METRIC TONS. A metric ton is equal to 1.1023 short tons. </t>
  </si>
  <si>
    <t>To avoid double-counting of benefits, applicants should not enter the same emission data as BOTH a dollar value and as units of emissions.</t>
  </si>
  <si>
    <t>Unique to this sheet, the template will automatically apply the correct monetization values for units of emissions.</t>
  </si>
  <si>
    <t>Whether amounts are entered in dollar form OR direct units of emissions, the template will automatically apply discounting to all costs and benefits for you.</t>
  </si>
  <si>
    <t>Table 1. Emission Costs per VMT and Train-Hour</t>
  </si>
  <si>
    <t>Emissions</t>
  </si>
  <si>
    <t>Table 2. Emissions</t>
  </si>
  <si>
    <t>No Build Emission Costs ($)</t>
  </si>
  <si>
    <t>Build Emission Costs ($)</t>
  </si>
  <si>
    <t>No Build NOx (mt)</t>
  </si>
  <si>
    <t>Build NOx (mt)</t>
  </si>
  <si>
    <t>No Build SOx (mt)</t>
  </si>
  <si>
    <t>Build SOx (mt)</t>
  </si>
  <si>
    <t>No Build PM2.5 (mt)</t>
  </si>
  <si>
    <t>Build PM2.5 (mt)</t>
  </si>
  <si>
    <t>NOx</t>
  </si>
  <si>
    <t>SOx</t>
  </si>
  <si>
    <t>PM2.5</t>
  </si>
  <si>
    <t>Other Highway Use Externalities</t>
  </si>
  <si>
    <t>Congestion Cost per VMT</t>
  </si>
  <si>
    <t>Noise Cost per VMT</t>
  </si>
  <si>
    <t>Safety Cost per VMT</t>
  </si>
  <si>
    <t>Table 2. Avoided Externality Benefits</t>
  </si>
  <si>
    <t>Avoided Externalities</t>
  </si>
  <si>
    <t xml:space="preserve">For recommended monetization values, please refer to the Parameter Values tab directly. </t>
  </si>
  <si>
    <t>There are numerous potential values for pedestrian facilities, bicycle facilities, transit vehicles, and transit stations.</t>
  </si>
  <si>
    <t>Table 2. Amenity Benefits</t>
  </si>
  <si>
    <t>Applicable Age Range</t>
  </si>
  <si>
    <t>Recommended Value per Induced Trip (2024 $)</t>
  </si>
  <si>
    <t>Walking</t>
  </si>
  <si>
    <t>Cycling</t>
  </si>
  <si>
    <t>Table 2. Health Benefits</t>
  </si>
  <si>
    <t xml:space="preserve">To calculate overall residual value for the entire project automatically, simply enter a useful life in the first row of Table 1 below. </t>
  </si>
  <si>
    <t>If there are multiple distinct components with unique useful lives, use multiple rows as needed and override the formula and names in the input cells of Table 1 below.</t>
  </si>
  <si>
    <t>For projects that involve capacity expansion or represent purely operational improvements, no residual value should be assumed.</t>
  </si>
  <si>
    <t>Table 1. Useful Life</t>
  </si>
  <si>
    <t>Project Component</t>
  </si>
  <si>
    <t>Capital Cost (2024 $)</t>
  </si>
  <si>
    <t>Useful Life (Years)</t>
  </si>
  <si>
    <t>Overall Project if One Component</t>
  </si>
  <si>
    <t>[Text Describing Project Component]</t>
  </si>
  <si>
    <t>Total Residual Value</t>
  </si>
  <si>
    <t>To manually calculate the residual value, please enter your estimated value in the blue italicized cell below in lieu of the automatic calculation</t>
  </si>
  <si>
    <t>To remove the residual value, please enter "0" in the blue cell below in lieu of the automatic calculation</t>
  </si>
  <si>
    <t>Table 2. Residual Value</t>
  </si>
  <si>
    <t>Other Benefit 1</t>
  </si>
  <si>
    <t>This is an extra benefit sheet for an additional benefit category not captured elsewhere</t>
  </si>
  <si>
    <t>Table 1. Other Benefit</t>
  </si>
  <si>
    <t>&lt;- Benefit Name</t>
  </si>
  <si>
    <t>Other Benefit 2</t>
  </si>
  <si>
    <t>Other Benefit 3</t>
  </si>
  <si>
    <t>Other Benefit 4</t>
  </si>
  <si>
    <t xml:space="preserve">Note that if more than four "other benefit" categories are needed, applicants may create a copy of this sheet (and rename accordingly). </t>
  </si>
  <si>
    <t>Additionally, the "Summary" sheet will need to be edited to include additional columns for benefits.</t>
  </si>
  <si>
    <t>Additionally, the formulas in the "Total Benefits" column may need to be adjusted to ensure all benefits are being summed correctly.</t>
  </si>
  <si>
    <t>Using avg distance as proxy.</t>
  </si>
  <si>
    <t>Build vs. No-Build Deltas</t>
  </si>
  <si>
    <t>Incremental Truck Miles</t>
  </si>
  <si>
    <t>Total Incremental BCA Truck Miles (Excludes Certain Customers)</t>
  </si>
  <si>
    <t>Check</t>
  </si>
  <si>
    <t>Recommended Value of Cost per Vehicle Mile Traveled (2024 $)</t>
  </si>
  <si>
    <t>Buses &amp; Trucks - All Locations</t>
  </si>
  <si>
    <t>2028-2030</t>
  </si>
  <si>
    <t>Ashland MP192 → Madawaska MP262</t>
  </si>
  <si>
    <t>Madawaska V00 → Van Buren V24</t>
  </si>
  <si>
    <t>Current deteriorated condition.</t>
  </si>
  <si>
    <t>Post-project target.</t>
  </si>
  <si>
    <t>All corridor trains are turn jobs (depart &amp; return same day).</t>
  </si>
  <si>
    <t>VAN-MAD (Van Buren V24 → Madawaska MP262). 5 days/wk.</t>
  </si>
  <si>
    <t>24 mi one-way (V24→MP262).</t>
  </si>
  <si>
    <t>FTK-Nixon Siding (MP244→MP212). 6 days/wk</t>
  </si>
  <si>
    <t>32 mi one-way (MP244→MP212)</t>
  </si>
  <si>
    <t>FTK-MAD (MP244→MP262, switches Twin Rivers Mill). 6 days/wk.</t>
  </si>
  <si>
    <t>18 mi one-way (MP244→MP262)</t>
  </si>
  <si>
    <t>Table A-2.</t>
  </si>
  <si>
    <t>Standard 2-person consist on all corridor trains</t>
  </si>
  <si>
    <t>Table A-4. Applied to incremental avoided truck-miles</t>
  </si>
  <si>
    <t>NO-BUILD</t>
  </si>
  <si>
    <t>BUILD</t>
  </si>
  <si>
    <t>Weighted avg formula (Bangor + Portland) / 2.</t>
  </si>
  <si>
    <t>Formula: sum of (weight × distance) for each city. Note, weighted avg. distance would yield ~733 miles. We conservatively used the closest distance (Boston - 438 miles). It is reflected in cell I30 in the "Consolidated_Volumes" tab</t>
  </si>
  <si>
    <t>No Build Volumes &gt;&gt;</t>
  </si>
  <si>
    <t>50/50 split: Bangor(CP) 130 mi + Portland(CSX) 198 mi → Presque Isle. Wtd avg = 164 mi.</t>
  </si>
  <si>
    <t xml:space="preserve">Short haul: Ft.Kent → New Limerick. ≈ 110 mi. </t>
  </si>
  <si>
    <t>Truck from Portland, ME → LP Holton facility. ≈ 170 mi.</t>
  </si>
  <si>
    <t xml:space="preserve">Truck from Portland, ME → LP Holton facility. ≈ 170 mi. </t>
  </si>
  <si>
    <t>Truck from Boston, MA → Madawaska.</t>
  </si>
  <si>
    <t>Truck Easton, ME → Boston, MA.</t>
  </si>
  <si>
    <t xml:space="preserve">Truck Ft.Kent → Woodland, ME. </t>
  </si>
  <si>
    <t xml:space="preserve">Truck Ft.Kent → Saint John, NB. </t>
  </si>
  <si>
    <t xml:space="preserve">Truck Skerry(Ashland), ME → Saint John, NB. </t>
  </si>
  <si>
    <t xml:space="preserve">Truck Van Buren/Ashland → Boston, MA. </t>
  </si>
  <si>
    <t xml:space="preserve">Truck LP Houlton, ME → Boston, MA. </t>
  </si>
  <si>
    <t xml:space="preserve">Truck Masardis, ME → Boston, MA. </t>
  </si>
  <si>
    <t>Build Volumes &gt;&gt;</t>
  </si>
  <si>
    <t>Build vs. No-Build Deltas&gt;&gt;</t>
  </si>
  <si>
    <t>Incremental Truck Miles&gt;&gt;</t>
  </si>
  <si>
    <t>Growth Rates</t>
  </si>
  <si>
    <t>Total Incremental Truck Miles (by Year)</t>
  </si>
  <si>
    <t>The project yields VOC savings by eliminating the incremental truck miles in the No-build</t>
  </si>
  <si>
    <t>Commercial Trucks - Recommended Value per mile</t>
  </si>
  <si>
    <t># of Trains Operating Daily</t>
  </si>
  <si>
    <t>Train - Implied Individual Annual Carload Capacity</t>
  </si>
  <si>
    <t>Incremental # of Trains Included to Move Future Volumes</t>
  </si>
  <si>
    <t>Est. Total Train Annual Hours (Build)</t>
  </si>
  <si>
    <t>&lt;&lt; Assumes each train moves 5,552 carloads on average. Conservative asumption for modeling purposes.</t>
  </si>
  <si>
    <t>Annual Operating Hours</t>
  </si>
  <si>
    <t>Total / Average</t>
  </si>
  <si>
    <t>Freight Train - Hourly Operating Cost</t>
  </si>
  <si>
    <t>Incremental Costs (Build Scenario)</t>
  </si>
  <si>
    <t>Annual Carloads
(BUILD)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</si>
</sst>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_);[Red]&quot;($&quot;#,##0\)"/>
    <numFmt numFmtId="165" formatCode="\$#,##0"/>
    <numFmt numFmtId="166" formatCode="\$#,##0_);&quot;($&quot;#,##0\)"/>
    <numFmt numFmtId="167" formatCode="0.0%"/>
    <numFmt numFmtId="168" formatCode="#,##0.0"/>
    <numFmt numFmtId="169" formatCode="\$#,##0.00"/>
    <numFmt numFmtId="170" formatCode="\$#,##0.000"/>
    <numFmt numFmtId="171" formatCode="\$#,##0.00_);[Red]&quot;($&quot;#,##0.00\)"/>
    <numFmt numFmtId="172" formatCode="\$#,##0.0000"/>
    <numFmt numFmtId="173" formatCode="\$#,##0.000_);[Red]&quot;($&quot;#,##0.000\)"/>
    <numFmt numFmtId="174" formatCode="\$#,##0.0000_);[Red]&quot;($&quot;#,##0.0000\)"/>
    <numFmt numFmtId="175" formatCode="0.0"/>
    <numFmt numFmtId="176" formatCode="_(\$* #,##0_);_(\$* \(#,##0\);_(\$* \-??_);_(@_)"/>
    <numFmt numFmtId="177" formatCode="_(* #,##0.00_);_(* \(#,##0.00\);_(* \-??_);_(@_)"/>
    <numFmt numFmtId="178" formatCode="&quot;$&quot;#,##0.000"/>
    <numFmt numFmtId="179" formatCode="&quot;$&quot;#,##0"/>
  </numFmts>
  <fonts count="46" x14ac:knownFonts="1">
    <font>
      <sz val="11"/>
      <color theme="1"/>
      <name val="Calibri"/>
      <family val="2"/>
      <charset val="1"/>
    </font>
    <font>
      <u/>
      <sz val="11"/>
      <color theme="10"/>
      <name val="Calibri"/>
      <family val="2"/>
      <charset val="1"/>
    </font>
    <font>
      <sz val="12"/>
      <color theme="1"/>
      <name val="Calibri"/>
      <family val="2"/>
      <charset val="1"/>
    </font>
    <font>
      <b/>
      <sz val="15"/>
      <color theme="3"/>
      <name val="Calibri"/>
      <family val="2"/>
      <charset val="1"/>
    </font>
    <font>
      <b/>
      <sz val="11"/>
      <color theme="3"/>
      <name val="Calibri"/>
      <family val="2"/>
      <charset val="1"/>
    </font>
    <font>
      <sz val="11"/>
      <color theme="0"/>
      <name val="Calibri"/>
      <family val="2"/>
      <charset val="1"/>
    </font>
    <font>
      <i/>
      <sz val="11"/>
      <color theme="1"/>
      <name val="Calibri"/>
      <family val="2"/>
      <charset val="1"/>
    </font>
    <font>
      <sz val="14"/>
      <name val="Calibri"/>
      <family val="2"/>
      <charset val="1"/>
    </font>
    <font>
      <b/>
      <sz val="11"/>
      <color theme="0"/>
      <name val="Calibri"/>
      <family val="2"/>
      <charset val="1"/>
    </font>
    <font>
      <sz val="11"/>
      <color rgb="FFFF0000"/>
      <name val="Calibri"/>
      <family val="2"/>
      <charset val="1"/>
    </font>
    <font>
      <sz val="11"/>
      <color rgb="FF00B050"/>
      <name val="Calibri"/>
      <family val="2"/>
      <charset val="1"/>
    </font>
    <font>
      <b/>
      <sz val="11"/>
      <color theme="1"/>
      <name val="Calibri"/>
      <family val="2"/>
      <charset val="1"/>
    </font>
    <font>
      <b/>
      <i/>
      <sz val="11"/>
      <color theme="1"/>
      <name val="Calibri"/>
      <family val="2"/>
      <charset val="1"/>
    </font>
    <font>
      <b/>
      <sz val="10"/>
      <color rgb="FFFFFFFF"/>
      <name val="Arial"/>
      <family val="2"/>
    </font>
    <font>
      <b/>
      <sz val="9"/>
      <color rgb="FFFFFFFF"/>
      <name val="Arial"/>
      <family val="2"/>
    </font>
    <font>
      <sz val="9"/>
      <color rgb="FF000000"/>
      <name val="Arial"/>
      <family val="2"/>
    </font>
    <font>
      <i/>
      <sz val="9"/>
      <color rgb="FF808080"/>
      <name val="Arial"/>
      <family val="2"/>
    </font>
    <font>
      <sz val="9"/>
      <color rgb="FF0070C0"/>
      <name val="Arial"/>
      <family val="2"/>
    </font>
    <font>
      <i/>
      <sz val="8"/>
      <color rgb="FF595959"/>
      <name val="Arial"/>
      <family val="2"/>
    </font>
    <font>
      <b/>
      <i/>
      <sz val="9"/>
      <color rgb="FF000000"/>
      <name val="Arial"/>
      <family val="2"/>
    </font>
    <font>
      <sz val="9"/>
      <color rgb="FF00B050"/>
      <name val="Arial"/>
      <family val="2"/>
    </font>
    <font>
      <b/>
      <sz val="9"/>
      <color rgb="FF000000"/>
      <name val="Arial"/>
      <family val="2"/>
    </font>
    <font>
      <sz val="9"/>
      <color rgb="FF00B050"/>
      <name val="Arial"/>
      <family val="2"/>
      <charset val="1"/>
    </font>
    <font>
      <i/>
      <sz val="8"/>
      <color rgb="FF595959"/>
      <name val="Arial"/>
      <family val="2"/>
      <charset val="1"/>
    </font>
    <font>
      <sz val="9"/>
      <name val="Arial"/>
      <family val="2"/>
    </font>
    <font>
      <sz val="9"/>
      <color rgb="FF375623"/>
      <name val="Arial"/>
      <family val="2"/>
    </font>
    <font>
      <b/>
      <sz val="9"/>
      <color rgb="FF375623"/>
      <name val="Arial"/>
      <family val="2"/>
    </font>
    <font>
      <b/>
      <sz val="9"/>
      <name val="Arial"/>
      <family val="2"/>
    </font>
    <font>
      <b/>
      <sz val="15"/>
      <name val="Calibri"/>
      <family val="2"/>
      <charset val="1"/>
    </font>
    <font>
      <b/>
      <sz val="13"/>
      <color theme="3"/>
      <name val="Calibri"/>
      <family val="2"/>
      <charset val="1"/>
    </font>
    <font>
      <sz val="11"/>
      <name val="Calibri"/>
      <family val="2"/>
      <charset val="1"/>
    </font>
    <font>
      <b/>
      <u/>
      <sz val="11"/>
      <color theme="1"/>
      <name val="Calibri"/>
      <family val="2"/>
      <charset val="1"/>
    </font>
    <font>
      <b/>
      <sz val="16"/>
      <color theme="0"/>
      <name val="Calibri"/>
      <family val="2"/>
      <charset val="1"/>
    </font>
    <font>
      <b/>
      <i/>
      <sz val="11"/>
      <color theme="8" tint="-0.249977111117893"/>
      <name val="Times New Roman"/>
      <family val="1"/>
      <charset val="1"/>
    </font>
    <font>
      <sz val="11"/>
      <color theme="1"/>
      <name val="Times New Roman"/>
      <family val="1"/>
      <charset val="1"/>
    </font>
    <font>
      <sz val="11"/>
      <color rgb="FF1F497D"/>
      <name val="Times New Roman"/>
      <family val="1"/>
      <charset val="1"/>
    </font>
    <font>
      <b/>
      <sz val="11"/>
      <color theme="0"/>
      <name val="Times New Roman"/>
      <family val="1"/>
      <charset val="1"/>
    </font>
    <font>
      <sz val="11"/>
      <color theme="0"/>
      <name val="Times New Roman"/>
      <family val="1"/>
      <charset val="1"/>
    </font>
    <font>
      <sz val="11"/>
      <color theme="1"/>
      <name val="Calibri"/>
      <family val="2"/>
      <charset val="1"/>
    </font>
    <font>
      <b/>
      <sz val="9"/>
      <name val="Arial"/>
      <family val="2"/>
    </font>
    <font>
      <b/>
      <sz val="11"/>
      <color theme="0"/>
      <name val="Calibri"/>
      <family val="2"/>
    </font>
    <font>
      <b/>
      <sz val="11"/>
      <color theme="1"/>
      <name val="Calibri"/>
      <family val="2"/>
    </font>
    <font>
      <i/>
      <sz val="11"/>
      <color rgb="FFFF0000"/>
      <name val="Calibri"/>
      <family val="2"/>
    </font>
    <font>
      <sz val="9"/>
      <color rgb="FFCC0000"/>
      <name val="Arial"/>
      <family val="2"/>
    </font>
    <font>
      <b/>
      <sz val="11"/>
      <color rgb="FF0070C0"/>
      <name val="Calibri"/>
      <family val="2"/>
    </font>
    <font>
      <sz val="11"/>
      <color rgb="FF0070C0"/>
      <name val="Calibri"/>
      <family val="2"/>
      <charset val="1"/>
    </font>
  </fonts>
  <fills count="35">
    <fill>
      <patternFill patternType="none"/>
    </fill>
    <fill>
      <patternFill patternType="gray125"/>
    </fill>
    <fill>
      <patternFill patternType="solid">
        <fgColor rgb="FFFFFFFF"/>
        <bgColor rgb="FFF5F5F5"/>
      </patternFill>
    </fill>
    <fill>
      <patternFill patternType="solid">
        <fgColor rgb="FFFFFFCC"/>
        <bgColor rgb="FFF5F5F5"/>
      </patternFill>
    </fill>
    <fill>
      <patternFill patternType="solid">
        <fgColor theme="1"/>
        <bgColor rgb="FF003300"/>
      </patternFill>
    </fill>
    <fill>
      <patternFill patternType="solid">
        <fgColor theme="0" tint="-0.249977111117893"/>
        <bgColor rgb="FFB2B2B2"/>
      </patternFill>
    </fill>
    <fill>
      <patternFill patternType="solid">
        <fgColor theme="8" tint="0.39979247413556324"/>
        <bgColor rgb="FFA1B8E1"/>
      </patternFill>
    </fill>
    <fill>
      <patternFill patternType="solid">
        <fgColor theme="3" tint="0.39988402966399123"/>
        <bgColor rgb="FF808080"/>
      </patternFill>
    </fill>
    <fill>
      <patternFill patternType="solid">
        <fgColor rgb="FF002060"/>
        <bgColor rgb="FF000080"/>
      </patternFill>
    </fill>
    <fill>
      <patternFill patternType="solid">
        <fgColor theme="0" tint="-4.9989318521683403E-2"/>
        <bgColor rgb="FFEEF2F5"/>
      </patternFill>
    </fill>
    <fill>
      <patternFill patternType="solid">
        <fgColor rgb="FF92D050"/>
        <bgColor rgb="FFA9D08E"/>
      </patternFill>
    </fill>
    <fill>
      <patternFill patternType="solid">
        <fgColor rgb="FF2F4050"/>
        <bgColor rgb="FF1F497D"/>
      </patternFill>
    </fill>
    <fill>
      <patternFill patternType="solid">
        <fgColor rgb="FF4A6272"/>
        <bgColor rgb="FF546E7A"/>
      </patternFill>
    </fill>
    <fill>
      <patternFill patternType="solid">
        <fgColor rgb="FF546E7A"/>
        <bgColor rgb="FF4A6272"/>
      </patternFill>
    </fill>
    <fill>
      <patternFill patternType="solid">
        <fgColor rgb="FFD9EAD3"/>
        <bgColor rgb="FFE8E8E8"/>
      </patternFill>
    </fill>
    <fill>
      <patternFill patternType="solid">
        <fgColor rgb="FFD9D9D9"/>
        <bgColor rgb="FFD9EAD3"/>
      </patternFill>
    </fill>
    <fill>
      <patternFill patternType="solid">
        <fgColor rgb="FFA9D08E"/>
        <bgColor rgb="FFA9D18E"/>
      </patternFill>
    </fill>
    <fill>
      <patternFill patternType="solid">
        <fgColor theme="9" tint="0.39979247413556324"/>
        <bgColor rgb="FFA9D08E"/>
      </patternFill>
    </fill>
    <fill>
      <patternFill patternType="solid">
        <fgColor theme="4"/>
        <bgColor rgb="FF2E75B6"/>
      </patternFill>
    </fill>
    <fill>
      <patternFill patternType="solid">
        <fgColor theme="1" tint="0.34977263710440382"/>
        <bgColor rgb="FF44546A"/>
      </patternFill>
    </fill>
    <fill>
      <patternFill patternType="solid">
        <fgColor rgb="FF0070C0"/>
        <bgColor rgb="FF0563C1"/>
      </patternFill>
    </fill>
    <fill>
      <patternFill patternType="solid">
        <fgColor rgb="FFFFFF00"/>
        <bgColor rgb="FF1F497D"/>
      </patternFill>
    </fill>
    <fill>
      <patternFill patternType="solid">
        <fgColor rgb="FFFFFF00"/>
        <bgColor indexed="64"/>
      </patternFill>
    </fill>
    <fill>
      <patternFill patternType="solid">
        <fgColor theme="0" tint="-0.34998626667073579"/>
        <bgColor rgb="FF1F497D"/>
      </patternFill>
    </fill>
    <fill>
      <patternFill patternType="solid">
        <fgColor rgb="FF0070C0"/>
        <bgColor indexed="64"/>
      </patternFill>
    </fill>
    <fill>
      <patternFill patternType="solid">
        <fgColor rgb="FF0070C0"/>
        <bgColor rgb="FF1F497D"/>
      </patternFill>
    </fill>
    <fill>
      <patternFill patternType="solid">
        <fgColor theme="4" tint="-0.249977111117893"/>
        <bgColor rgb="FF1F497D"/>
      </patternFill>
    </fill>
    <fill>
      <patternFill patternType="solid">
        <fgColor theme="5" tint="-0.249977111117893"/>
        <bgColor indexed="64"/>
      </patternFill>
    </fill>
    <fill>
      <patternFill patternType="solid">
        <fgColor theme="5" tint="-0.249977111117893"/>
        <bgColor rgb="FF1F497D"/>
      </patternFill>
    </fill>
    <fill>
      <patternFill patternType="solid">
        <fgColor theme="0" tint="-4.9989318521683403E-2"/>
        <bgColor indexed="64"/>
      </patternFill>
    </fill>
    <fill>
      <patternFill patternType="solid">
        <fgColor rgb="FF002060"/>
        <bgColor rgb="FFF5F5F5"/>
      </patternFill>
    </fill>
    <fill>
      <patternFill patternType="solid">
        <fgColor theme="8" tint="-0.249977111117893"/>
        <bgColor rgb="FF546E7A"/>
      </patternFill>
    </fill>
    <fill>
      <patternFill patternType="solid">
        <fgColor theme="0" tint="-4.9989318521683403E-2"/>
        <bgColor rgb="FFF2F2F2"/>
      </patternFill>
    </fill>
    <fill>
      <patternFill patternType="solid">
        <fgColor theme="0" tint="-4.9989318521683403E-2"/>
        <bgColor rgb="FFF5F5F5"/>
      </patternFill>
    </fill>
    <fill>
      <patternFill patternType="solid">
        <fgColor theme="5" tint="-0.249977111117893"/>
        <bgColor rgb="FFF5F5F5"/>
      </patternFill>
    </fill>
  </fills>
  <borders count="36">
    <border>
      <left/>
      <right/>
      <top/>
      <bottom/>
      <diagonal/>
    </border>
    <border>
      <left style="medium">
        <color auto="1"/>
      </left>
      <right/>
      <top style="medium">
        <color auto="1"/>
      </top>
      <bottom style="thick">
        <color theme="4"/>
      </bottom>
      <diagonal/>
    </border>
    <border>
      <left style="thin">
        <color rgb="FFB2B2B2"/>
      </left>
      <right style="thin">
        <color rgb="FFB2B2B2"/>
      </right>
      <top style="thin">
        <color rgb="FFB2B2B2"/>
      </top>
      <bottom style="thin">
        <color rgb="FFB2B2B2"/>
      </bottom>
      <diagonal/>
    </border>
    <border>
      <left style="medium">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top/>
      <bottom style="thick">
        <color theme="4"/>
      </bottom>
      <diagonal/>
    </border>
    <border>
      <left/>
      <right/>
      <top/>
      <bottom style="thick">
        <color theme="4" tint="0.49977111117893003"/>
      </bottom>
      <diagonal/>
    </border>
    <border>
      <left style="thin">
        <color auto="1"/>
      </left>
      <right style="thin">
        <color auto="1"/>
      </right>
      <top style="thick">
        <color theme="4" tint="0.49977111117893003"/>
      </top>
      <bottom style="thin">
        <color auto="1"/>
      </bottom>
      <diagonal/>
    </border>
    <border>
      <left/>
      <right style="thin">
        <color auto="1"/>
      </right>
      <top/>
      <bottom style="thin">
        <color auto="1"/>
      </bottom>
      <diagonal/>
    </border>
    <border>
      <left style="thin">
        <color auto="1"/>
      </left>
      <right style="thin">
        <color auto="1"/>
      </right>
      <top style="thick">
        <color theme="4" tint="0.49977111117893003"/>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thin">
        <color auto="1"/>
      </bottom>
      <diagonal/>
    </border>
  </borders>
  <cellStyleXfs count="5">
    <xf numFmtId="0" fontId="0" fillId="0" borderId="0"/>
    <xf numFmtId="0" fontId="1" fillId="0" borderId="0"/>
    <xf numFmtId="0" fontId="38" fillId="0" borderId="0"/>
    <xf numFmtId="0" fontId="38" fillId="0" borderId="0"/>
    <xf numFmtId="0" fontId="2" fillId="0" borderId="0"/>
  </cellStyleXfs>
  <cellXfs count="400">
    <xf numFmtId="0" fontId="0" fillId="0" borderId="0" xfId="0"/>
    <xf numFmtId="0" fontId="35" fillId="0" borderId="8" xfId="0" applyFont="1" applyBorder="1" applyAlignment="1">
      <alignment vertical="top" wrapText="1"/>
    </xf>
    <xf numFmtId="0" fontId="14" fillId="12" borderId="0" xfId="0" applyFont="1" applyFill="1" applyAlignment="1">
      <alignment horizontal="left" vertical="center" indent="1"/>
    </xf>
    <xf numFmtId="0" fontId="0" fillId="2" borderId="0" xfId="0" applyFill="1"/>
    <xf numFmtId="0" fontId="3" fillId="0" borderId="1" xfId="0" applyFont="1" applyBorder="1"/>
    <xf numFmtId="0" fontId="0" fillId="3" borderId="2" xfId="0" applyFill="1" applyBorder="1"/>
    <xf numFmtId="0" fontId="4" fillId="0" borderId="3" xfId="0" applyFont="1" applyBorder="1"/>
    <xf numFmtId="0" fontId="5" fillId="4" borderId="4" xfId="0" applyFont="1" applyFill="1" applyBorder="1" applyAlignment="1">
      <alignment horizontal="right"/>
    </xf>
    <xf numFmtId="0" fontId="5" fillId="4" borderId="5" xfId="0" applyFont="1" applyFill="1" applyBorder="1" applyAlignment="1">
      <alignment horizontal="right"/>
    </xf>
    <xf numFmtId="0" fontId="5" fillId="4" borderId="6" xfId="0" applyFont="1" applyFill="1" applyBorder="1" applyAlignment="1">
      <alignment horizontal="right"/>
    </xf>
    <xf numFmtId="0" fontId="0" fillId="5" borderId="7" xfId="0" applyFill="1" applyBorder="1"/>
    <xf numFmtId="164" fontId="0" fillId="5" borderId="0" xfId="0" applyNumberFormat="1" applyFill="1"/>
    <xf numFmtId="165" fontId="0" fillId="5" borderId="0" xfId="0" applyNumberFormat="1" applyFill="1"/>
    <xf numFmtId="164" fontId="6" fillId="6" borderId="0" xfId="0" applyNumberFormat="1" applyFont="1" applyFill="1"/>
    <xf numFmtId="164" fontId="0" fillId="5" borderId="8" xfId="0" applyNumberFormat="1" applyFill="1" applyBorder="1"/>
    <xf numFmtId="0" fontId="0" fillId="5" borderId="0" xfId="0" applyFill="1"/>
    <xf numFmtId="0" fontId="0" fillId="5" borderId="5" xfId="0" applyFill="1" applyBorder="1"/>
    <xf numFmtId="164" fontId="0" fillId="5" borderId="5" xfId="0" applyNumberFormat="1" applyFill="1" applyBorder="1"/>
    <xf numFmtId="165" fontId="0" fillId="5" borderId="7" xfId="0" applyNumberFormat="1" applyFill="1" applyBorder="1"/>
    <xf numFmtId="164" fontId="6" fillId="6" borderId="5" xfId="0" applyNumberFormat="1" applyFont="1" applyFill="1" applyBorder="1"/>
    <xf numFmtId="164" fontId="0" fillId="5" borderId="6" xfId="0" applyNumberFormat="1" applyFill="1" applyBorder="1"/>
    <xf numFmtId="0" fontId="0" fillId="5" borderId="4" xfId="0" applyFill="1" applyBorder="1"/>
    <xf numFmtId="165" fontId="0" fillId="5" borderId="5" xfId="0" applyNumberFormat="1" applyFill="1" applyBorder="1"/>
    <xf numFmtId="0" fontId="5" fillId="4" borderId="9" xfId="0" applyFont="1" applyFill="1" applyBorder="1" applyAlignment="1">
      <alignment horizontal="right"/>
    </xf>
    <xf numFmtId="1" fontId="0" fillId="5" borderId="10" xfId="0" applyNumberFormat="1" applyFill="1" applyBorder="1" applyAlignment="1">
      <alignment horizontal="right"/>
    </xf>
    <xf numFmtId="164" fontId="0" fillId="5" borderId="11" xfId="0" applyNumberFormat="1" applyFill="1" applyBorder="1"/>
    <xf numFmtId="0" fontId="0" fillId="5" borderId="10" xfId="0" applyFill="1" applyBorder="1" applyAlignment="1">
      <alignment horizontal="right"/>
    </xf>
    <xf numFmtId="165" fontId="0" fillId="2" borderId="0" xfId="0" applyNumberFormat="1" applyFill="1"/>
    <xf numFmtId="164" fontId="0" fillId="5" borderId="9" xfId="0" applyNumberFormat="1" applyFill="1" applyBorder="1"/>
    <xf numFmtId="164" fontId="0" fillId="2" borderId="0" xfId="0" applyNumberFormat="1" applyFill="1"/>
    <xf numFmtId="0" fontId="7" fillId="0" borderId="3" xfId="0" applyFont="1" applyBorder="1" applyAlignment="1">
      <alignment vertical="top"/>
    </xf>
    <xf numFmtId="0" fontId="8" fillId="4" borderId="6" xfId="0" applyFont="1" applyFill="1" applyBorder="1" applyAlignment="1">
      <alignment horizontal="center" vertical="center" wrapText="1"/>
    </xf>
    <xf numFmtId="0" fontId="0" fillId="5" borderId="6" xfId="0" applyFill="1" applyBorder="1"/>
    <xf numFmtId="165" fontId="0" fillId="5" borderId="6" xfId="0" applyNumberFormat="1" applyFill="1" applyBorder="1"/>
    <xf numFmtId="2" fontId="0" fillId="5" borderId="6" xfId="0" applyNumberFormat="1" applyFill="1" applyBorder="1"/>
    <xf numFmtId="0" fontId="8" fillId="0" borderId="0" xfId="0" applyFont="1" applyAlignment="1">
      <alignment horizontal="center"/>
    </xf>
    <xf numFmtId="0" fontId="5" fillId="0" borderId="0" xfId="0" applyFont="1" applyAlignment="1">
      <alignment horizontal="center"/>
    </xf>
    <xf numFmtId="0" fontId="8" fillId="8" borderId="12" xfId="0" applyFont="1" applyFill="1" applyBorder="1" applyAlignment="1">
      <alignment horizontal="center" vertical="center"/>
    </xf>
    <xf numFmtId="0" fontId="8" fillId="8" borderId="12"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8" fillId="8" borderId="13" xfId="0" applyFont="1" applyFill="1" applyBorder="1" applyAlignment="1">
      <alignment vertical="center"/>
    </xf>
    <xf numFmtId="0" fontId="0" fillId="0" borderId="4" xfId="0" applyBorder="1" applyAlignment="1">
      <alignment horizontal="left" vertical="center"/>
    </xf>
    <xf numFmtId="0" fontId="9" fillId="0" borderId="6" xfId="0" applyFont="1" applyBorder="1" applyAlignment="1">
      <alignment horizontal="center" vertical="center"/>
    </xf>
    <xf numFmtId="164" fontId="9" fillId="0" borderId="6" xfId="0" applyNumberFormat="1" applyFont="1" applyBorder="1" applyAlignment="1">
      <alignment horizontal="center" vertical="center"/>
    </xf>
    <xf numFmtId="0" fontId="0" fillId="9" borderId="13" xfId="0" applyFill="1" applyBorder="1"/>
    <xf numFmtId="9" fontId="6" fillId="0" borderId="8" xfId="0" applyNumberFormat="1" applyFont="1" applyBorder="1" applyAlignment="1">
      <alignment horizontal="center"/>
    </xf>
    <xf numFmtId="164" fontId="10" fillId="0" borderId="6" xfId="0" applyNumberFormat="1" applyFont="1" applyBorder="1" applyAlignment="1">
      <alignment horizontal="center" vertical="center"/>
    </xf>
    <xf numFmtId="0" fontId="0" fillId="0" borderId="6" xfId="0" applyBorder="1" applyAlignment="1">
      <alignment horizontal="center" vertical="center"/>
    </xf>
    <xf numFmtId="0" fontId="11" fillId="5" borderId="14" xfId="0" applyFont="1" applyFill="1" applyBorder="1" applyAlignment="1">
      <alignment vertical="center"/>
    </xf>
    <xf numFmtId="166" fontId="11" fillId="5" borderId="15" xfId="0" applyNumberFormat="1" applyFont="1" applyFill="1" applyBorder="1" applyAlignment="1">
      <alignment horizontal="center" vertical="center"/>
    </xf>
    <xf numFmtId="9" fontId="12" fillId="9" borderId="6" xfId="0" applyNumberFormat="1" applyFont="1" applyFill="1" applyBorder="1" applyAlignment="1">
      <alignment horizontal="center"/>
    </xf>
    <xf numFmtId="0" fontId="11" fillId="0" borderId="0" xfId="0" applyFont="1"/>
    <xf numFmtId="165" fontId="11" fillId="0" borderId="0" xfId="0" applyNumberFormat="1" applyFont="1" applyAlignment="1">
      <alignment horizontal="center"/>
    </xf>
    <xf numFmtId="0" fontId="11" fillId="10" borderId="16" xfId="0" applyFont="1" applyFill="1" applyBorder="1"/>
    <xf numFmtId="0" fontId="11" fillId="10" borderId="18" xfId="0" applyFont="1" applyFill="1" applyBorder="1"/>
    <xf numFmtId="0" fontId="17" fillId="0" borderId="0" xfId="0" applyFont="1" applyAlignment="1">
      <alignment horizontal="center" vertical="center"/>
    </xf>
    <xf numFmtId="167" fontId="17" fillId="0" borderId="0" xfId="0" applyNumberFormat="1" applyFont="1" applyAlignment="1">
      <alignment horizontal="center" vertical="center"/>
    </xf>
    <xf numFmtId="0" fontId="16" fillId="14" borderId="7" xfId="0" applyFont="1" applyFill="1" applyBorder="1" applyAlignment="1">
      <alignment horizontal="center" vertical="center"/>
    </xf>
    <xf numFmtId="0" fontId="0" fillId="0" borderId="7" xfId="0" applyBorder="1"/>
    <xf numFmtId="0" fontId="14" fillId="11" borderId="0" xfId="0" applyFont="1" applyFill="1" applyAlignment="1">
      <alignment horizontal="center" vertical="center"/>
    </xf>
    <xf numFmtId="0" fontId="18"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center" vertical="center"/>
    </xf>
    <xf numFmtId="3" fontId="17" fillId="0" borderId="0" xfId="0" applyNumberFormat="1" applyFont="1" applyAlignment="1">
      <alignment horizontal="center" vertical="center"/>
    </xf>
    <xf numFmtId="0" fontId="24" fillId="15" borderId="0" xfId="0" applyFont="1" applyFill="1" applyAlignment="1">
      <alignment horizontal="left" vertical="center"/>
    </xf>
    <xf numFmtId="0" fontId="24" fillId="0" borderId="0" xfId="0" applyFont="1" applyAlignment="1">
      <alignment horizontal="left" vertical="center"/>
    </xf>
    <xf numFmtId="0" fontId="24" fillId="0" borderId="0" xfId="0" applyFont="1" applyAlignment="1">
      <alignment horizontal="center" vertical="center"/>
    </xf>
    <xf numFmtId="3" fontId="17" fillId="15" borderId="0" xfId="0" applyNumberFormat="1" applyFont="1" applyFill="1" applyAlignment="1">
      <alignment horizontal="center" vertical="center"/>
    </xf>
    <xf numFmtId="3" fontId="25" fillId="0" borderId="0" xfId="0" applyNumberFormat="1" applyFont="1" applyAlignment="1">
      <alignment horizontal="center" vertical="center"/>
    </xf>
    <xf numFmtId="0" fontId="21" fillId="15" borderId="0" xfId="0" applyFont="1" applyFill="1" applyAlignment="1">
      <alignment horizontal="left" vertical="center" indent="1"/>
    </xf>
    <xf numFmtId="3" fontId="26" fillId="15" borderId="0" xfId="0" applyNumberFormat="1" applyFont="1" applyFill="1" applyAlignment="1">
      <alignment horizontal="center" vertical="center"/>
    </xf>
    <xf numFmtId="0" fontId="14" fillId="11" borderId="0" xfId="0" applyFont="1" applyFill="1" applyAlignment="1">
      <alignment horizontal="left" vertical="center" indent="1"/>
    </xf>
    <xf numFmtId="3" fontId="14" fillId="11" borderId="0" xfId="0" applyNumberFormat="1" applyFont="1" applyFill="1" applyAlignment="1">
      <alignment horizontal="center" vertical="center"/>
    </xf>
    <xf numFmtId="3" fontId="26" fillId="0" borderId="0" xfId="0" applyNumberFormat="1" applyFont="1" applyAlignment="1">
      <alignment horizontal="center" vertical="center"/>
    </xf>
    <xf numFmtId="0" fontId="28" fillId="2" borderId="20" xfId="0" applyFont="1" applyFill="1" applyBorder="1" applyAlignment="1">
      <alignment wrapText="1"/>
    </xf>
    <xf numFmtId="0" fontId="29" fillId="0" borderId="21" xfId="0" applyFont="1" applyBorder="1"/>
    <xf numFmtId="0" fontId="30" fillId="9" borderId="22" xfId="0" applyFont="1" applyFill="1" applyBorder="1" applyAlignment="1">
      <alignment vertical="center" wrapText="1"/>
    </xf>
    <xf numFmtId="0" fontId="29" fillId="0" borderId="21" xfId="0" applyFont="1" applyBorder="1" applyAlignment="1">
      <alignment wrapText="1"/>
    </xf>
    <xf numFmtId="0" fontId="30" fillId="9" borderId="8" xfId="0" applyFont="1" applyFill="1" applyBorder="1" applyAlignment="1">
      <alignment horizontal="left"/>
    </xf>
    <xf numFmtId="0" fontId="30" fillId="9" borderId="8" xfId="0" applyFont="1" applyFill="1" applyBorder="1" applyAlignment="1">
      <alignment horizontal="left" wrapText="1"/>
    </xf>
    <xf numFmtId="0" fontId="1" fillId="9" borderId="23" xfId="0" applyFont="1" applyFill="1" applyBorder="1" applyAlignment="1">
      <alignment vertical="center" wrapText="1"/>
    </xf>
    <xf numFmtId="0" fontId="30" fillId="9" borderId="24" xfId="0" applyFont="1" applyFill="1" applyBorder="1" applyAlignment="1">
      <alignment vertical="center" wrapText="1"/>
    </xf>
    <xf numFmtId="0" fontId="30" fillId="16" borderId="11" xfId="0" applyFont="1" applyFill="1" applyBorder="1" applyAlignment="1">
      <alignment wrapText="1"/>
    </xf>
    <xf numFmtId="0" fontId="30" fillId="6" borderId="11" xfId="0" applyFont="1" applyFill="1" applyBorder="1" applyAlignment="1">
      <alignment wrapText="1"/>
    </xf>
    <xf numFmtId="0" fontId="30" fillId="5" borderId="11" xfId="0" applyFont="1" applyFill="1" applyBorder="1" applyAlignment="1">
      <alignment wrapText="1"/>
    </xf>
    <xf numFmtId="0" fontId="30" fillId="9" borderId="8" xfId="0" applyFont="1" applyFill="1" applyBorder="1" applyAlignment="1">
      <alignment vertical="center" wrapText="1"/>
    </xf>
    <xf numFmtId="0" fontId="30" fillId="9" borderId="25" xfId="0" applyFont="1" applyFill="1" applyBorder="1" applyAlignment="1">
      <alignment wrapText="1"/>
    </xf>
    <xf numFmtId="0" fontId="0" fillId="5" borderId="26" xfId="0" applyFill="1" applyBorder="1"/>
    <xf numFmtId="0" fontId="0" fillId="5" borderId="27" xfId="0" applyFill="1" applyBorder="1"/>
    <xf numFmtId="14" fontId="0" fillId="5" borderId="23" xfId="0" applyNumberFormat="1" applyFill="1" applyBorder="1"/>
    <xf numFmtId="0" fontId="8" fillId="4" borderId="6" xfId="0" applyFont="1" applyFill="1" applyBorder="1"/>
    <xf numFmtId="0" fontId="8" fillId="4" borderId="6" xfId="0" applyFont="1" applyFill="1" applyBorder="1" applyAlignment="1">
      <alignment horizontal="left"/>
    </xf>
    <xf numFmtId="0" fontId="0" fillId="2" borderId="6" xfId="0" applyFill="1" applyBorder="1"/>
    <xf numFmtId="1" fontId="31" fillId="17" borderId="6" xfId="0" applyNumberFormat="1" applyFont="1" applyFill="1" applyBorder="1"/>
    <xf numFmtId="1" fontId="0" fillId="5" borderId="6" xfId="0" applyNumberFormat="1" applyFill="1" applyBorder="1"/>
    <xf numFmtId="0" fontId="32" fillId="4" borderId="12" xfId="0" applyFont="1" applyFill="1" applyBorder="1"/>
    <xf numFmtId="0" fontId="0" fillId="4" borderId="7" xfId="0" applyFill="1" applyBorder="1"/>
    <xf numFmtId="0" fontId="0" fillId="4" borderId="26" xfId="0" applyFill="1" applyBorder="1"/>
    <xf numFmtId="0" fontId="0" fillId="0" borderId="11" xfId="0" applyBorder="1"/>
    <xf numFmtId="0" fontId="1" fillId="0" borderId="10" xfId="0" applyFont="1" applyBorder="1"/>
    <xf numFmtId="0" fontId="0" fillId="0" borderId="10" xfId="0" applyBorder="1"/>
    <xf numFmtId="0" fontId="33" fillId="0" borderId="10" xfId="0" applyFont="1" applyBorder="1"/>
    <xf numFmtId="0" fontId="34" fillId="0" borderId="0" xfId="0" applyFont="1"/>
    <xf numFmtId="0" fontId="8" fillId="18" borderId="6" xfId="0" applyFont="1" applyFill="1" applyBorder="1" applyAlignment="1">
      <alignment wrapText="1"/>
    </xf>
    <xf numFmtId="0" fontId="35" fillId="0" borderId="6" xfId="0" applyFont="1" applyBorder="1" applyAlignment="1">
      <alignment vertical="center" wrapText="1"/>
    </xf>
    <xf numFmtId="164" fontId="35" fillId="0" borderId="6" xfId="0" applyNumberFormat="1" applyFont="1" applyBorder="1" applyAlignment="1">
      <alignment horizontal="right" vertical="center" wrapText="1"/>
    </xf>
    <xf numFmtId="0" fontId="34" fillId="0" borderId="10" xfId="0" applyFont="1" applyBorder="1"/>
    <xf numFmtId="0" fontId="34" fillId="0" borderId="6" xfId="0" applyFont="1" applyBorder="1"/>
    <xf numFmtId="169" fontId="35" fillId="0" borderId="6" xfId="0" applyNumberFormat="1" applyFont="1" applyBorder="1"/>
    <xf numFmtId="0" fontId="34" fillId="0" borderId="12" xfId="0" applyFont="1" applyBorder="1"/>
    <xf numFmtId="0" fontId="34" fillId="0" borderId="26" xfId="0" applyFont="1" applyBorder="1"/>
    <xf numFmtId="0" fontId="37" fillId="18" borderId="6" xfId="0" applyFont="1" applyFill="1" applyBorder="1" applyAlignment="1">
      <alignment vertical="center" wrapText="1"/>
    </xf>
    <xf numFmtId="0" fontId="37" fillId="18" borderId="6" xfId="0" applyFont="1" applyFill="1" applyBorder="1" applyAlignment="1">
      <alignment horizontal="right" vertical="center" wrapText="1"/>
    </xf>
    <xf numFmtId="2" fontId="35" fillId="0" borderId="6" xfId="0" applyNumberFormat="1" applyFont="1" applyBorder="1" applyAlignment="1">
      <alignment horizontal="right" vertical="center" wrapText="1"/>
    </xf>
    <xf numFmtId="0" fontId="34" fillId="0" borderId="11" xfId="0" applyFont="1" applyBorder="1"/>
    <xf numFmtId="171" fontId="35" fillId="0" borderId="6" xfId="0" applyNumberFormat="1" applyFont="1" applyBorder="1" applyAlignment="1">
      <alignment horizontal="right" vertical="center" wrapText="1"/>
    </xf>
    <xf numFmtId="0" fontId="37" fillId="18" borderId="6" xfId="0" applyFont="1" applyFill="1" applyBorder="1" applyAlignment="1">
      <alignment vertical="center"/>
    </xf>
    <xf numFmtId="0" fontId="37" fillId="0" borderId="10" xfId="0" applyFont="1" applyBorder="1" applyAlignment="1">
      <alignment vertical="center"/>
    </xf>
    <xf numFmtId="0" fontId="34" fillId="15" borderId="0" xfId="0" applyFont="1" applyFill="1"/>
    <xf numFmtId="0" fontId="34" fillId="15" borderId="9" xfId="0" applyFont="1" applyFill="1" applyBorder="1"/>
    <xf numFmtId="165" fontId="35" fillId="0" borderId="6" xfId="0" applyNumberFormat="1" applyFont="1" applyBorder="1"/>
    <xf numFmtId="165" fontId="35" fillId="0" borderId="10" xfId="0" applyNumberFormat="1" applyFont="1" applyBorder="1"/>
    <xf numFmtId="169" fontId="35" fillId="0" borderId="6" xfId="0" applyNumberFormat="1" applyFont="1" applyBorder="1" applyAlignment="1">
      <alignment horizontal="right"/>
    </xf>
    <xf numFmtId="169" fontId="35" fillId="0" borderId="10" xfId="0" applyNumberFormat="1" applyFont="1" applyBorder="1" applyAlignment="1">
      <alignment horizontal="right"/>
    </xf>
    <xf numFmtId="0" fontId="35" fillId="0" borderId="10" xfId="0" applyFont="1" applyBorder="1" applyAlignment="1">
      <alignment vertical="center" wrapText="1"/>
    </xf>
    <xf numFmtId="0" fontId="37" fillId="0" borderId="10" xfId="0" applyFont="1" applyBorder="1" applyAlignment="1">
      <alignment horizontal="right" vertical="center" wrapText="1"/>
    </xf>
    <xf numFmtId="164" fontId="35" fillId="0" borderId="10" xfId="0" applyNumberFormat="1" applyFont="1" applyBorder="1" applyAlignment="1">
      <alignment horizontal="right" vertical="center" wrapText="1"/>
    </xf>
    <xf numFmtId="0" fontId="35" fillId="0" borderId="12" xfId="0" applyFont="1" applyBorder="1" applyAlignment="1">
      <alignment vertical="center" wrapText="1"/>
    </xf>
    <xf numFmtId="164" fontId="35" fillId="0" borderId="7" xfId="0" applyNumberFormat="1" applyFont="1" applyBorder="1" applyAlignment="1">
      <alignment horizontal="right" vertical="center" wrapText="1"/>
    </xf>
    <xf numFmtId="164" fontId="35" fillId="0" borderId="26" xfId="0" applyNumberFormat="1" applyFont="1" applyBorder="1" applyAlignment="1">
      <alignment horizontal="right" vertical="center" wrapText="1"/>
    </xf>
    <xf numFmtId="0" fontId="35" fillId="0" borderId="10" xfId="0" applyFont="1" applyBorder="1" applyAlignment="1">
      <alignment vertical="top"/>
    </xf>
    <xf numFmtId="0" fontId="35" fillId="0" borderId="6" xfId="0" applyFont="1" applyBorder="1" applyAlignment="1">
      <alignment horizontal="left" vertical="center" wrapText="1"/>
    </xf>
    <xf numFmtId="0" fontId="35" fillId="0" borderId="6" xfId="0" applyFont="1" applyBorder="1" applyAlignment="1">
      <alignment vertical="top"/>
    </xf>
    <xf numFmtId="0" fontId="35" fillId="0" borderId="6" xfId="0" applyFont="1" applyBorder="1" applyAlignment="1">
      <alignment vertical="top" wrapText="1"/>
    </xf>
    <xf numFmtId="172" fontId="35" fillId="0" borderId="6" xfId="0" applyNumberFormat="1" applyFont="1" applyBorder="1"/>
    <xf numFmtId="0" fontId="34" fillId="0" borderId="28" xfId="0" applyFont="1" applyBorder="1"/>
    <xf numFmtId="0" fontId="35" fillId="0" borderId="12" xfId="0" applyFont="1" applyBorder="1"/>
    <xf numFmtId="0" fontId="35" fillId="0" borderId="26" xfId="0" applyFont="1" applyBorder="1"/>
    <xf numFmtId="0" fontId="35" fillId="0" borderId="6" xfId="0" applyFont="1" applyBorder="1" applyAlignment="1">
      <alignment vertical="center"/>
    </xf>
    <xf numFmtId="171" fontId="35" fillId="0" borderId="6" xfId="0" applyNumberFormat="1" applyFont="1" applyBorder="1" applyAlignment="1">
      <alignment horizontal="right" vertical="center"/>
    </xf>
    <xf numFmtId="0" fontId="35" fillId="0" borderId="6" xfId="0" applyFont="1" applyBorder="1" applyAlignment="1">
      <alignment horizontal="right" vertical="center"/>
    </xf>
    <xf numFmtId="0" fontId="0" fillId="0" borderId="12" xfId="0" applyBorder="1"/>
    <xf numFmtId="0" fontId="0" fillId="0" borderId="26" xfId="0" applyBorder="1"/>
    <xf numFmtId="0" fontId="37" fillId="18" borderId="6" xfId="0" applyFont="1" applyFill="1" applyBorder="1" applyAlignment="1">
      <alignment horizontal="right" vertical="top" wrapText="1"/>
    </xf>
    <xf numFmtId="0" fontId="37" fillId="0" borderId="8" xfId="0" applyFont="1" applyBorder="1" applyAlignment="1">
      <alignment vertical="center" wrapText="1"/>
    </xf>
    <xf numFmtId="0" fontId="37" fillId="0" borderId="8" xfId="0" applyFont="1" applyBorder="1" applyAlignment="1">
      <alignment horizontal="right" vertical="center" wrapText="1"/>
    </xf>
    <xf numFmtId="173" fontId="35" fillId="0" borderId="6" xfId="0" applyNumberFormat="1" applyFont="1" applyBorder="1" applyAlignment="1">
      <alignment horizontal="right" vertical="center" wrapText="1"/>
    </xf>
    <xf numFmtId="174" fontId="35" fillId="0" borderId="6" xfId="0" applyNumberFormat="1" applyFont="1" applyBorder="1" applyAlignment="1">
      <alignment horizontal="right" vertical="center" wrapText="1"/>
    </xf>
    <xf numFmtId="173" fontId="35" fillId="0" borderId="8" xfId="0" applyNumberFormat="1" applyFont="1" applyBorder="1" applyAlignment="1">
      <alignment horizontal="right" vertical="center" wrapText="1"/>
    </xf>
    <xf numFmtId="0" fontId="0" fillId="0" borderId="13" xfId="0" applyBorder="1"/>
    <xf numFmtId="0" fontId="0" fillId="0" borderId="8" xfId="0" applyBorder="1"/>
    <xf numFmtId="0" fontId="35" fillId="0" borderId="8" xfId="0" applyFont="1" applyBorder="1" applyAlignment="1">
      <alignment vertical="center" wrapText="1"/>
    </xf>
    <xf numFmtId="0" fontId="4" fillId="2" borderId="3" xfId="0" applyFont="1" applyFill="1" applyBorder="1"/>
    <xf numFmtId="0" fontId="0" fillId="0" borderId="29" xfId="0" applyBorder="1"/>
    <xf numFmtId="0" fontId="0" fillId="0" borderId="30" xfId="0" applyBorder="1"/>
    <xf numFmtId="0" fontId="0" fillId="0" borderId="31" xfId="0" applyBorder="1"/>
    <xf numFmtId="0" fontId="8" fillId="4" borderId="6" xfId="0" applyFont="1" applyFill="1" applyBorder="1" applyAlignment="1">
      <alignment horizontal="right"/>
    </xf>
    <xf numFmtId="0" fontId="8" fillId="19" borderId="6" xfId="0" applyFont="1" applyFill="1" applyBorder="1" applyAlignment="1">
      <alignment horizontal="center"/>
    </xf>
    <xf numFmtId="0" fontId="0" fillId="0" borderId="3" xfId="0" applyBorder="1"/>
    <xf numFmtId="0" fontId="0" fillId="0" borderId="28" xfId="0" applyBorder="1"/>
    <xf numFmtId="0" fontId="31" fillId="16" borderId="6" xfId="0" applyFont="1" applyFill="1" applyBorder="1"/>
    <xf numFmtId="0" fontId="0" fillId="2" borderId="3" xfId="0" applyFill="1" applyBorder="1"/>
    <xf numFmtId="0" fontId="0" fillId="2" borderId="28" xfId="0" applyFill="1" applyBorder="1"/>
    <xf numFmtId="0" fontId="0" fillId="2" borderId="32" xfId="0" applyFill="1" applyBorder="1"/>
    <xf numFmtId="0" fontId="0" fillId="2" borderId="33" xfId="0" applyFill="1" applyBorder="1"/>
    <xf numFmtId="0" fontId="0" fillId="2" borderId="34" xfId="0" applyFill="1" applyBorder="1"/>
    <xf numFmtId="0" fontId="0" fillId="3" borderId="2" xfId="0" applyFill="1" applyBorder="1" applyAlignment="1">
      <alignment vertical="top"/>
    </xf>
    <xf numFmtId="0" fontId="0" fillId="2" borderId="0" xfId="0" applyFill="1" applyAlignment="1">
      <alignment vertical="top" wrapText="1"/>
    </xf>
    <xf numFmtId="9" fontId="31" fillId="17" borderId="6" xfId="0" applyNumberFormat="1" applyFont="1" applyFill="1" applyBorder="1"/>
    <xf numFmtId="164" fontId="31" fillId="17" borderId="6" xfId="0" applyNumberFormat="1" applyFont="1" applyFill="1" applyBorder="1"/>
    <xf numFmtId="0" fontId="5" fillId="4" borderId="4" xfId="0" applyFont="1" applyFill="1" applyBorder="1" applyAlignment="1">
      <alignment horizontal="left"/>
    </xf>
    <xf numFmtId="1" fontId="0" fillId="5" borderId="7" xfId="0" applyNumberFormat="1" applyFill="1" applyBorder="1"/>
    <xf numFmtId="164" fontId="31" fillId="17" borderId="12" xfId="0" applyNumberFormat="1" applyFont="1" applyFill="1" applyBorder="1"/>
    <xf numFmtId="0" fontId="0" fillId="2" borderId="7" xfId="0" applyFill="1" applyBorder="1"/>
    <xf numFmtId="164" fontId="31" fillId="2" borderId="7" xfId="0" applyNumberFormat="1" applyFont="1" applyFill="1" applyBorder="1"/>
    <xf numFmtId="164" fontId="0" fillId="2" borderId="7" xfId="0" applyNumberFormat="1" applyFill="1" applyBorder="1"/>
    <xf numFmtId="164" fontId="31" fillId="2" borderId="0" xfId="0" applyNumberFormat="1" applyFont="1" applyFill="1"/>
    <xf numFmtId="0" fontId="0" fillId="0" borderId="32" xfId="0" applyBorder="1"/>
    <xf numFmtId="0" fontId="0" fillId="0" borderId="33" xfId="0" applyBorder="1"/>
    <xf numFmtId="0" fontId="0" fillId="0" borderId="34" xfId="0" applyBorder="1"/>
    <xf numFmtId="164" fontId="0" fillId="5" borderId="13" xfId="0" applyNumberFormat="1" applyFill="1" applyBorder="1"/>
    <xf numFmtId="0" fontId="5" fillId="4" borderId="6" xfId="0" applyFont="1" applyFill="1" applyBorder="1" applyAlignment="1">
      <alignment vertical="top" wrapText="1"/>
    </xf>
    <xf numFmtId="0" fontId="0" fillId="2" borderId="6" xfId="0" applyFill="1" applyBorder="1" applyAlignment="1">
      <alignment vertical="top" wrapText="1"/>
    </xf>
    <xf numFmtId="165" fontId="0" fillId="2" borderId="6" xfId="0" applyNumberFormat="1" applyFill="1" applyBorder="1" applyAlignment="1">
      <alignment vertical="top" wrapText="1"/>
    </xf>
    <xf numFmtId="0" fontId="0" fillId="2" borderId="7" xfId="0" applyFill="1" applyBorder="1" applyAlignment="1">
      <alignment vertical="top" wrapText="1"/>
    </xf>
    <xf numFmtId="165" fontId="0" fillId="2" borderId="7" xfId="0" applyNumberFormat="1" applyFill="1" applyBorder="1" applyAlignment="1">
      <alignment vertical="top" wrapText="1"/>
    </xf>
    <xf numFmtId="0" fontId="5" fillId="4" borderId="26" xfId="0" applyFont="1" applyFill="1" applyBorder="1" applyAlignment="1">
      <alignment horizontal="right"/>
    </xf>
    <xf numFmtId="164" fontId="0" fillId="5" borderId="25" xfId="0" applyNumberFormat="1" applyFill="1" applyBorder="1"/>
    <xf numFmtId="169" fontId="0" fillId="2" borderId="6" xfId="0" applyNumberFormat="1" applyFill="1" applyBorder="1" applyAlignment="1">
      <alignment vertical="top" wrapText="1"/>
    </xf>
    <xf numFmtId="0" fontId="8" fillId="8" borderId="7"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0" fillId="0" borderId="10" xfId="0" applyBorder="1" applyAlignment="1">
      <alignment horizontal="center" vertical="center" wrapText="1"/>
    </xf>
    <xf numFmtId="0" fontId="11" fillId="9" borderId="4" xfId="0" applyFont="1" applyFill="1" applyBorder="1" applyAlignment="1">
      <alignment horizontal="center" vertical="center" wrapText="1"/>
    </xf>
    <xf numFmtId="0" fontId="0" fillId="9" borderId="5" xfId="0" applyFill="1" applyBorder="1" applyAlignment="1">
      <alignment vertical="center" wrapText="1"/>
    </xf>
    <xf numFmtId="3" fontId="11" fillId="9" borderId="5" xfId="0" applyNumberFormat="1" applyFont="1" applyFill="1" applyBorder="1" applyAlignment="1">
      <alignment vertical="center" wrapText="1"/>
    </xf>
    <xf numFmtId="0" fontId="8" fillId="20" borderId="12" xfId="0" applyFont="1" applyFill="1" applyBorder="1"/>
    <xf numFmtId="0" fontId="5" fillId="20" borderId="26" xfId="0" applyFont="1" applyFill="1" applyBorder="1"/>
    <xf numFmtId="0" fontId="0" fillId="2" borderId="10" xfId="0" applyFill="1" applyBorder="1"/>
    <xf numFmtId="165" fontId="10" fillId="2" borderId="11" xfId="0" applyNumberFormat="1" applyFont="1" applyFill="1" applyBorder="1"/>
    <xf numFmtId="3" fontId="10" fillId="2" borderId="11" xfId="0" applyNumberFormat="1" applyFont="1" applyFill="1" applyBorder="1"/>
    <xf numFmtId="0" fontId="11" fillId="9" borderId="4" xfId="0" applyFont="1" applyFill="1" applyBorder="1"/>
    <xf numFmtId="165" fontId="11" fillId="9" borderId="9" xfId="0" applyNumberFormat="1" applyFont="1" applyFill="1" applyBorder="1"/>
    <xf numFmtId="171" fontId="0" fillId="2" borderId="6" xfId="0" applyNumberFormat="1" applyFill="1" applyBorder="1" applyAlignment="1">
      <alignment vertical="top" wrapText="1"/>
    </xf>
    <xf numFmtId="0" fontId="0" fillId="15" borderId="6" xfId="0" applyFill="1" applyBorder="1" applyAlignment="1">
      <alignment vertical="top" wrapText="1"/>
    </xf>
    <xf numFmtId="171" fontId="0" fillId="15" borderId="6" xfId="0" applyNumberFormat="1" applyFill="1" applyBorder="1" applyAlignment="1">
      <alignment vertical="top" wrapText="1"/>
    </xf>
    <xf numFmtId="164" fontId="0" fillId="2" borderId="6" xfId="0" applyNumberFormat="1" applyFill="1" applyBorder="1" applyAlignment="1">
      <alignment vertical="top" wrapText="1"/>
    </xf>
    <xf numFmtId="0" fontId="3" fillId="0" borderId="0" xfId="0" applyFont="1"/>
    <xf numFmtId="0" fontId="0" fillId="3" borderId="2" xfId="0" applyFill="1" applyBorder="1" applyAlignment="1">
      <alignment wrapText="1"/>
    </xf>
    <xf numFmtId="0" fontId="5" fillId="2" borderId="10" xfId="0" applyFont="1" applyFill="1" applyBorder="1" applyAlignment="1">
      <alignment vertical="top" wrapText="1"/>
    </xf>
    <xf numFmtId="0" fontId="4" fillId="15" borderId="0" xfId="0" applyFont="1" applyFill="1"/>
    <xf numFmtId="171" fontId="0" fillId="2" borderId="10" xfId="0" applyNumberFormat="1" applyFill="1" applyBorder="1" applyAlignment="1">
      <alignment vertical="top" wrapText="1"/>
    </xf>
    <xf numFmtId="173" fontId="0" fillId="2" borderId="6" xfId="0" applyNumberFormat="1" applyFill="1" applyBorder="1" applyAlignment="1">
      <alignment horizontal="right" vertical="top" wrapText="1"/>
    </xf>
    <xf numFmtId="173" fontId="0" fillId="2" borderId="10" xfId="0" applyNumberFormat="1" applyFill="1" applyBorder="1" applyAlignment="1">
      <alignment vertical="top" wrapText="1"/>
    </xf>
    <xf numFmtId="173" fontId="0" fillId="2" borderId="6" xfId="0" applyNumberFormat="1" applyFill="1" applyBorder="1" applyAlignment="1">
      <alignment vertical="top" wrapText="1"/>
    </xf>
    <xf numFmtId="164" fontId="0" fillId="2" borderId="10" xfId="0" applyNumberFormat="1" applyFill="1" applyBorder="1" applyAlignment="1">
      <alignment vertical="top" wrapText="1"/>
    </xf>
    <xf numFmtId="0" fontId="4" fillId="0" borderId="0" xfId="0" applyFont="1"/>
    <xf numFmtId="0" fontId="5" fillId="4" borderId="4" xfId="0" applyFont="1" applyFill="1" applyBorder="1"/>
    <xf numFmtId="0" fontId="5" fillId="4" borderId="5" xfId="0" applyFont="1" applyFill="1" applyBorder="1"/>
    <xf numFmtId="0" fontId="5" fillId="2" borderId="10" xfId="0" applyFont="1" applyFill="1" applyBorder="1" applyAlignment="1">
      <alignment horizontal="right"/>
    </xf>
    <xf numFmtId="165" fontId="31" fillId="17" borderId="12" xfId="0" applyNumberFormat="1" applyFont="1" applyFill="1" applyBorder="1"/>
    <xf numFmtId="165" fontId="31" fillId="5" borderId="12" xfId="0" applyNumberFormat="1" applyFont="1" applyFill="1" applyBorder="1"/>
    <xf numFmtId="165" fontId="31" fillId="5" borderId="7" xfId="0" applyNumberFormat="1" applyFont="1" applyFill="1" applyBorder="1"/>
    <xf numFmtId="1" fontId="31" fillId="17" borderId="12" xfId="0" applyNumberFormat="1" applyFont="1" applyFill="1" applyBorder="1"/>
    <xf numFmtId="1" fontId="31" fillId="5" borderId="12" xfId="0" applyNumberFormat="1" applyFont="1" applyFill="1" applyBorder="1"/>
    <xf numFmtId="1" fontId="31" fillId="5" borderId="26" xfId="0" applyNumberFormat="1" applyFont="1" applyFill="1" applyBorder="1"/>
    <xf numFmtId="165" fontId="0" fillId="5" borderId="10" xfId="0" applyNumberFormat="1" applyFill="1" applyBorder="1"/>
    <xf numFmtId="165" fontId="0" fillId="5" borderId="12" xfId="0" applyNumberFormat="1" applyFill="1" applyBorder="1"/>
    <xf numFmtId="165" fontId="0" fillId="5" borderId="13" xfId="0" applyNumberFormat="1" applyFill="1" applyBorder="1"/>
    <xf numFmtId="164" fontId="0" fillId="2" borderId="10" xfId="0" applyNumberFormat="1" applyFill="1" applyBorder="1"/>
    <xf numFmtId="165" fontId="31" fillId="5" borderId="10" xfId="0" applyNumberFormat="1" applyFont="1" applyFill="1" applyBorder="1"/>
    <xf numFmtId="165" fontId="31" fillId="5" borderId="0" xfId="0" applyNumberFormat="1" applyFont="1" applyFill="1"/>
    <xf numFmtId="1" fontId="31" fillId="5" borderId="10" xfId="0" applyNumberFormat="1" applyFont="1" applyFill="1" applyBorder="1"/>
    <xf numFmtId="1" fontId="31" fillId="5" borderId="11" xfId="0" applyNumberFormat="1" applyFont="1" applyFill="1" applyBorder="1"/>
    <xf numFmtId="165" fontId="0" fillId="5" borderId="8" xfId="0" applyNumberFormat="1" applyFill="1" applyBorder="1"/>
    <xf numFmtId="165" fontId="31" fillId="17" borderId="10" xfId="0" applyNumberFormat="1" applyFont="1" applyFill="1" applyBorder="1"/>
    <xf numFmtId="165" fontId="31" fillId="17" borderId="0" xfId="0" applyNumberFormat="1" applyFont="1" applyFill="1"/>
    <xf numFmtId="165" fontId="31" fillId="17" borderId="4" xfId="0" applyNumberFormat="1" applyFont="1" applyFill="1" applyBorder="1"/>
    <xf numFmtId="165" fontId="31" fillId="17" borderId="35" xfId="0" applyNumberFormat="1" applyFont="1" applyFill="1" applyBorder="1"/>
    <xf numFmtId="165" fontId="31" fillId="17" borderId="27" xfId="0" applyNumberFormat="1" applyFont="1" applyFill="1" applyBorder="1"/>
    <xf numFmtId="1" fontId="31" fillId="17" borderId="4" xfId="0" applyNumberFormat="1" applyFont="1" applyFill="1" applyBorder="1"/>
    <xf numFmtId="1" fontId="31" fillId="5" borderId="35" xfId="0" applyNumberFormat="1" applyFont="1" applyFill="1" applyBorder="1"/>
    <xf numFmtId="1" fontId="31" fillId="5" borderId="23" xfId="0" applyNumberFormat="1" applyFont="1" applyFill="1" applyBorder="1"/>
    <xf numFmtId="165" fontId="0" fillId="5" borderId="35" xfId="0" applyNumberFormat="1" applyFill="1" applyBorder="1"/>
    <xf numFmtId="165" fontId="0" fillId="5" borderId="25" xfId="0" applyNumberFormat="1" applyFill="1" applyBorder="1"/>
    <xf numFmtId="0" fontId="5" fillId="4" borderId="6" xfId="0" applyFont="1" applyFill="1" applyBorder="1"/>
    <xf numFmtId="0" fontId="5" fillId="4" borderId="13" xfId="0" applyFont="1" applyFill="1" applyBorder="1" applyAlignment="1">
      <alignment horizontal="right"/>
    </xf>
    <xf numFmtId="0" fontId="5" fillId="4" borderId="13" xfId="0" applyFont="1" applyFill="1" applyBorder="1" applyAlignment="1">
      <alignment horizontal="right" wrapText="1"/>
    </xf>
    <xf numFmtId="0" fontId="5" fillId="4" borderId="0" xfId="0" applyFont="1" applyFill="1" applyAlignment="1">
      <alignment horizontal="right" wrapText="1"/>
    </xf>
    <xf numFmtId="170" fontId="0" fillId="2" borderId="6" xfId="0" applyNumberFormat="1" applyFill="1" applyBorder="1"/>
    <xf numFmtId="172" fontId="0" fillId="2" borderId="6" xfId="0" applyNumberFormat="1" applyFill="1" applyBorder="1"/>
    <xf numFmtId="169" fontId="0" fillId="2" borderId="6" xfId="0" applyNumberFormat="1" applyFill="1" applyBorder="1"/>
    <xf numFmtId="164" fontId="31" fillId="17" borderId="13" xfId="0" applyNumberFormat="1" applyFont="1" applyFill="1" applyBorder="1"/>
    <xf numFmtId="0" fontId="5" fillId="4" borderId="6" xfId="0" applyFont="1" applyFill="1" applyBorder="1" applyAlignment="1">
      <alignment wrapText="1"/>
    </xf>
    <xf numFmtId="0" fontId="31" fillId="17" borderId="6" xfId="0" applyFont="1" applyFill="1" applyBorder="1"/>
    <xf numFmtId="165" fontId="6" fillId="6" borderId="6" xfId="0" applyNumberFormat="1" applyFont="1" applyFill="1" applyBorder="1"/>
    <xf numFmtId="165" fontId="31" fillId="17" borderId="6" xfId="0" applyNumberFormat="1" applyFont="1" applyFill="1" applyBorder="1"/>
    <xf numFmtId="176" fontId="31" fillId="5" borderId="5" xfId="0" applyNumberFormat="1" applyFont="1" applyFill="1" applyBorder="1"/>
    <xf numFmtId="177" fontId="31" fillId="5" borderId="9" xfId="0" applyNumberFormat="1" applyFont="1" applyFill="1" applyBorder="1"/>
    <xf numFmtId="0" fontId="31" fillId="17" borderId="9" xfId="0" applyFont="1" applyFill="1" applyBorder="1" applyAlignment="1">
      <alignment horizontal="right"/>
    </xf>
    <xf numFmtId="0" fontId="5" fillId="4" borderId="25" xfId="0" applyFont="1" applyFill="1" applyBorder="1" applyAlignment="1">
      <alignment horizontal="right"/>
    </xf>
    <xf numFmtId="3" fontId="0" fillId="0" borderId="0" xfId="0" applyNumberFormat="1"/>
    <xf numFmtId="0" fontId="14" fillId="23" borderId="0" xfId="0" applyFont="1" applyFill="1" applyAlignment="1">
      <alignment horizontal="center" vertical="center"/>
    </xf>
    <xf numFmtId="0" fontId="14" fillId="23" borderId="0" xfId="0" applyFont="1" applyFill="1" applyAlignment="1">
      <alignment horizontal="left" vertical="center" indent="1"/>
    </xf>
    <xf numFmtId="0" fontId="14" fillId="25" borderId="0" xfId="0" applyFont="1" applyFill="1" applyAlignment="1">
      <alignment horizontal="center" vertical="center"/>
    </xf>
    <xf numFmtId="0" fontId="40" fillId="24" borderId="0" xfId="0" applyFont="1" applyFill="1"/>
    <xf numFmtId="0" fontId="14" fillId="26" borderId="0" xfId="0" applyFont="1" applyFill="1" applyAlignment="1">
      <alignment horizontal="center" vertical="center"/>
    </xf>
    <xf numFmtId="0" fontId="14" fillId="26" borderId="0" xfId="0" applyFont="1" applyFill="1" applyAlignment="1">
      <alignment horizontal="left" vertical="center"/>
    </xf>
    <xf numFmtId="0" fontId="5" fillId="27" borderId="0" xfId="0" applyFont="1" applyFill="1"/>
    <xf numFmtId="0" fontId="14" fillId="28" borderId="0" xfId="0" applyFont="1" applyFill="1" applyAlignment="1">
      <alignment horizontal="center" vertical="center"/>
    </xf>
    <xf numFmtId="0" fontId="41" fillId="22" borderId="5" xfId="0" applyFont="1" applyFill="1" applyBorder="1"/>
    <xf numFmtId="0" fontId="0" fillId="22" borderId="5" xfId="0" applyFill="1" applyBorder="1"/>
    <xf numFmtId="3" fontId="39" fillId="21" borderId="5" xfId="0" applyNumberFormat="1" applyFont="1" applyFill="1" applyBorder="1" applyAlignment="1">
      <alignment horizontal="center" vertical="center"/>
    </xf>
    <xf numFmtId="3" fontId="0" fillId="0" borderId="11" xfId="0" applyNumberFormat="1" applyBorder="1"/>
    <xf numFmtId="0" fontId="0" fillId="0" borderId="35" xfId="0" applyBorder="1"/>
    <xf numFmtId="3" fontId="0" fillId="0" borderId="23" xfId="0" applyNumberFormat="1" applyBorder="1"/>
    <xf numFmtId="0" fontId="41" fillId="29" borderId="4" xfId="0" applyFont="1" applyFill="1" applyBorder="1" applyAlignment="1">
      <alignment horizontal="right"/>
    </xf>
    <xf numFmtId="3" fontId="41" fillId="29" borderId="9" xfId="0" applyNumberFormat="1" applyFont="1" applyFill="1" applyBorder="1"/>
    <xf numFmtId="0" fontId="42" fillId="0" borderId="0" xfId="0" applyFont="1"/>
    <xf numFmtId="3" fontId="42" fillId="0" borderId="0" xfId="0" applyNumberFormat="1" applyFont="1"/>
    <xf numFmtId="0" fontId="0" fillId="22" borderId="26" xfId="0" applyFill="1" applyBorder="1"/>
    <xf numFmtId="0" fontId="41" fillId="22" borderId="12" xfId="0" applyFont="1" applyFill="1" applyBorder="1"/>
    <xf numFmtId="3" fontId="0" fillId="0" borderId="26" xfId="0" applyNumberFormat="1" applyBorder="1"/>
    <xf numFmtId="0" fontId="14" fillId="0" borderId="0" xfId="0" applyFont="1" applyAlignment="1">
      <alignment horizontal="left" vertical="center" indent="1"/>
    </xf>
    <xf numFmtId="0" fontId="14" fillId="0" borderId="0" xfId="0" applyFont="1" applyAlignment="1">
      <alignment horizontal="center" vertical="center"/>
    </xf>
    <xf numFmtId="3" fontId="14" fillId="0" borderId="0" xfId="0" applyNumberFormat="1" applyFont="1" applyAlignment="1">
      <alignment horizontal="center" vertical="center"/>
    </xf>
    <xf numFmtId="0" fontId="0" fillId="0" borderId="5" xfId="0" applyBorder="1"/>
    <xf numFmtId="0" fontId="5" fillId="30" borderId="12" xfId="0" applyFont="1" applyFill="1" applyBorder="1"/>
    <xf numFmtId="0" fontId="5" fillId="30" borderId="26" xfId="0" applyFont="1" applyFill="1" applyBorder="1"/>
    <xf numFmtId="0" fontId="0" fillId="2" borderId="35" xfId="0" applyFill="1" applyBorder="1"/>
    <xf numFmtId="178" fontId="10" fillId="2" borderId="23" xfId="0" applyNumberFormat="1" applyFont="1" applyFill="1" applyBorder="1" applyAlignment="1">
      <alignment horizontal="center"/>
    </xf>
    <xf numFmtId="3" fontId="24" fillId="0" borderId="0" xfId="0" applyNumberFormat="1" applyFont="1" applyAlignment="1">
      <alignment horizontal="center" vertical="center"/>
    </xf>
    <xf numFmtId="3" fontId="24" fillId="14" borderId="7" xfId="0" applyNumberFormat="1" applyFont="1" applyFill="1" applyBorder="1" applyAlignment="1">
      <alignment horizontal="center" vertical="center"/>
    </xf>
    <xf numFmtId="165" fontId="24" fillId="14" borderId="7" xfId="0" applyNumberFormat="1" applyFont="1" applyFill="1" applyBorder="1" applyAlignment="1">
      <alignment horizontal="center" vertical="center"/>
    </xf>
    <xf numFmtId="0" fontId="43" fillId="0" borderId="0" xfId="0" applyFont="1" applyAlignment="1">
      <alignment horizontal="left" vertical="center"/>
    </xf>
    <xf numFmtId="0" fontId="14" fillId="31" borderId="12" xfId="0" applyFont="1" applyFill="1" applyBorder="1" applyAlignment="1">
      <alignment horizontal="left" vertical="center" indent="1"/>
    </xf>
    <xf numFmtId="0" fontId="14" fillId="31" borderId="7" xfId="0" applyFont="1" applyFill="1" applyBorder="1" applyAlignment="1">
      <alignment horizontal="center" vertical="center"/>
    </xf>
    <xf numFmtId="0" fontId="14" fillId="31" borderId="26" xfId="0" applyFont="1" applyFill="1" applyBorder="1" applyAlignment="1">
      <alignment horizontal="left" vertical="center" indent="1"/>
    </xf>
    <xf numFmtId="0" fontId="24" fillId="0" borderId="10" xfId="0" applyFont="1" applyBorder="1" applyAlignment="1">
      <alignment horizontal="left" vertical="center" indent="1"/>
    </xf>
    <xf numFmtId="0" fontId="18" fillId="0" borderId="11" xfId="0" applyFont="1" applyBorder="1" applyAlignment="1">
      <alignment horizontal="left" vertical="center" indent="1"/>
    </xf>
    <xf numFmtId="0" fontId="27" fillId="0" borderId="10" xfId="0" applyFont="1" applyBorder="1"/>
    <xf numFmtId="9" fontId="17" fillId="0" borderId="0" xfId="0" applyNumberFormat="1" applyFont="1" applyAlignment="1">
      <alignment horizontal="center" vertical="center"/>
    </xf>
    <xf numFmtId="3" fontId="26" fillId="14" borderId="0" xfId="0" applyNumberFormat="1" applyFont="1" applyFill="1" applyAlignment="1">
      <alignment horizontal="center" vertical="center"/>
    </xf>
    <xf numFmtId="0" fontId="18" fillId="0" borderId="11" xfId="0" applyFont="1" applyBorder="1"/>
    <xf numFmtId="0" fontId="24" fillId="0" borderId="35" xfId="0" applyFont="1" applyBorder="1" applyAlignment="1">
      <alignment horizontal="left" vertical="center" indent="1"/>
    </xf>
    <xf numFmtId="3" fontId="17" fillId="0" borderId="27" xfId="0" applyNumberFormat="1" applyFont="1" applyBorder="1" applyAlignment="1">
      <alignment horizontal="center" vertical="center"/>
    </xf>
    <xf numFmtId="0" fontId="18" fillId="0" borderId="23" xfId="0" applyFont="1" applyBorder="1" applyAlignment="1">
      <alignment horizontal="left" vertical="center" indent="1"/>
    </xf>
    <xf numFmtId="0" fontId="44" fillId="0" borderId="0" xfId="0" applyFont="1" applyAlignment="1">
      <alignment wrapText="1"/>
    </xf>
    <xf numFmtId="0" fontId="39" fillId="0" borderId="0" xfId="0" applyFont="1" applyAlignment="1">
      <alignment horizontal="center" vertical="center" wrapText="1"/>
    </xf>
    <xf numFmtId="0" fontId="14" fillId="12" borderId="12" xfId="0" applyFont="1" applyFill="1" applyBorder="1" applyAlignment="1">
      <alignment horizontal="left" vertical="center" indent="1"/>
    </xf>
    <xf numFmtId="0" fontId="14" fillId="12" borderId="7" xfId="0" applyFont="1" applyFill="1" applyBorder="1" applyAlignment="1">
      <alignment horizontal="center" vertical="center"/>
    </xf>
    <xf numFmtId="0" fontId="14" fillId="12" borderId="26" xfId="0" applyFont="1" applyFill="1" applyBorder="1" applyAlignment="1">
      <alignment horizontal="left" vertical="center"/>
    </xf>
    <xf numFmtId="0" fontId="15" fillId="0" borderId="10" xfId="0" applyFont="1" applyBorder="1" applyAlignment="1">
      <alignment horizontal="left" vertical="center" indent="1"/>
    </xf>
    <xf numFmtId="0" fontId="16" fillId="0" borderId="0" xfId="0" applyFont="1" applyAlignment="1">
      <alignment horizontal="center" vertical="center"/>
    </xf>
    <xf numFmtId="0" fontId="18" fillId="0" borderId="11" xfId="0" applyFont="1" applyBorder="1" applyAlignment="1">
      <alignment horizontal="left" vertical="center" wrapText="1" indent="1"/>
    </xf>
    <xf numFmtId="0" fontId="19" fillId="0" borderId="10" xfId="0" applyFont="1" applyBorder="1" applyAlignment="1">
      <alignment horizontal="left" vertical="center" indent="3"/>
    </xf>
    <xf numFmtId="1" fontId="24" fillId="0" borderId="0" xfId="0" applyNumberFormat="1" applyFont="1" applyAlignment="1">
      <alignment horizontal="center" vertical="center"/>
    </xf>
    <xf numFmtId="0" fontId="14" fillId="13" borderId="10" xfId="0" applyFont="1" applyFill="1" applyBorder="1" applyAlignment="1">
      <alignment horizontal="left" vertical="center" indent="1"/>
    </xf>
    <xf numFmtId="0" fontId="14" fillId="13" borderId="0" xfId="0" applyFont="1" applyFill="1" applyAlignment="1">
      <alignment horizontal="center" vertical="center"/>
    </xf>
    <xf numFmtId="0" fontId="14" fillId="13" borderId="11" xfId="0" applyFont="1" applyFill="1" applyBorder="1" applyAlignment="1">
      <alignment horizontal="center" vertical="center"/>
    </xf>
    <xf numFmtId="0" fontId="15" fillId="32" borderId="10" xfId="0" applyFont="1" applyFill="1" applyBorder="1" applyAlignment="1">
      <alignment horizontal="left" vertical="center" indent="1"/>
    </xf>
    <xf numFmtId="0" fontId="16" fillId="29" borderId="0" xfId="0" applyFont="1" applyFill="1" applyAlignment="1">
      <alignment horizontal="center" vertical="center"/>
    </xf>
    <xf numFmtId="0" fontId="17" fillId="29" borderId="0" xfId="0" applyFont="1" applyFill="1" applyAlignment="1">
      <alignment horizontal="center" vertical="center"/>
    </xf>
    <xf numFmtId="0" fontId="0" fillId="29" borderId="0" xfId="0" applyFill="1"/>
    <xf numFmtId="0" fontId="18" fillId="29" borderId="11" xfId="0" applyFont="1" applyFill="1" applyBorder="1" applyAlignment="1">
      <alignment horizontal="left" vertical="center" wrapText="1" indent="1"/>
    </xf>
    <xf numFmtId="0" fontId="16" fillId="32" borderId="0" xfId="0" applyFont="1" applyFill="1" applyAlignment="1">
      <alignment horizontal="center" vertical="center"/>
    </xf>
    <xf numFmtId="0" fontId="17" fillId="32" borderId="0" xfId="0" applyFont="1" applyFill="1" applyAlignment="1">
      <alignment horizontal="center" vertical="center"/>
    </xf>
    <xf numFmtId="0" fontId="0" fillId="32" borderId="0" xfId="0" applyFill="1"/>
    <xf numFmtId="0" fontId="18" fillId="32" borderId="11" xfId="0" applyFont="1" applyFill="1" applyBorder="1" applyAlignment="1">
      <alignment horizontal="left" vertical="center" wrapText="1" indent="1"/>
    </xf>
    <xf numFmtId="4" fontId="24" fillId="0" borderId="0" xfId="0" applyNumberFormat="1" applyFont="1" applyAlignment="1">
      <alignment horizontal="center" vertical="center"/>
    </xf>
    <xf numFmtId="168" fontId="24" fillId="0" borderId="0" xfId="0" applyNumberFormat="1" applyFont="1" applyAlignment="1">
      <alignment horizontal="center" vertical="center"/>
    </xf>
    <xf numFmtId="0" fontId="21" fillId="0" borderId="10" xfId="0" applyFont="1" applyBorder="1" applyAlignment="1">
      <alignment horizontal="left" vertical="center" indent="3"/>
    </xf>
    <xf numFmtId="0" fontId="21" fillId="14" borderId="12" xfId="0" applyFont="1" applyFill="1" applyBorder="1" applyAlignment="1">
      <alignment horizontal="left" vertical="center" indent="3"/>
    </xf>
    <xf numFmtId="0" fontId="18" fillId="14" borderId="26" xfId="0" applyFont="1" applyFill="1" applyBorder="1" applyAlignment="1">
      <alignment horizontal="left" vertical="center" wrapText="1" indent="1"/>
    </xf>
    <xf numFmtId="169" fontId="22" fillId="0" borderId="0" xfId="0" applyNumberFormat="1" applyFont="1" applyAlignment="1">
      <alignment horizontal="center" vertical="center"/>
    </xf>
    <xf numFmtId="165" fontId="22" fillId="0" borderId="0" xfId="0" applyNumberFormat="1" applyFont="1" applyAlignment="1">
      <alignment horizontal="center" vertical="center"/>
    </xf>
    <xf numFmtId="165" fontId="20" fillId="0" borderId="0" xfId="0" applyNumberFormat="1" applyFont="1" applyAlignment="1">
      <alignment horizontal="center" vertical="center"/>
    </xf>
    <xf numFmtId="0" fontId="23" fillId="14" borderId="26" xfId="0" applyFont="1" applyFill="1" applyBorder="1" applyAlignment="1">
      <alignment horizontal="left" vertical="center" wrapText="1" indent="1"/>
    </xf>
    <xf numFmtId="169" fontId="17" fillId="0" borderId="0" xfId="0" applyNumberFormat="1" applyFont="1" applyAlignment="1">
      <alignment horizontal="center" vertical="center"/>
    </xf>
    <xf numFmtId="170" fontId="17" fillId="0" borderId="0" xfId="0" applyNumberFormat="1" applyFont="1" applyAlignment="1">
      <alignment horizontal="center" vertical="center"/>
    </xf>
    <xf numFmtId="165" fontId="17" fillId="0" borderId="0" xfId="0" applyNumberFormat="1" applyFont="1" applyAlignment="1">
      <alignment horizontal="center" vertical="center"/>
    </xf>
    <xf numFmtId="0" fontId="21" fillId="14" borderId="4" xfId="0" applyFont="1" applyFill="1" applyBorder="1" applyAlignment="1">
      <alignment horizontal="left" vertical="center" indent="3"/>
    </xf>
    <xf numFmtId="0" fontId="16" fillId="14" borderId="5" xfId="0" applyFont="1" applyFill="1" applyBorder="1" applyAlignment="1">
      <alignment horizontal="center" vertical="center"/>
    </xf>
    <xf numFmtId="165" fontId="20" fillId="14" borderId="5" xfId="0" applyNumberFormat="1" applyFont="1" applyFill="1" applyBorder="1" applyAlignment="1">
      <alignment horizontal="center" vertical="center"/>
    </xf>
    <xf numFmtId="0" fontId="18" fillId="14" borderId="9" xfId="0" applyFont="1" applyFill="1" applyBorder="1" applyAlignment="1">
      <alignment horizontal="left" vertical="center" wrapText="1" indent="1"/>
    </xf>
    <xf numFmtId="0" fontId="0" fillId="2" borderId="4" xfId="0" applyFill="1" applyBorder="1"/>
    <xf numFmtId="171" fontId="10" fillId="2" borderId="9" xfId="0" applyNumberFormat="1" applyFont="1" applyFill="1" applyBorder="1"/>
    <xf numFmtId="0" fontId="42" fillId="2" borderId="0" xfId="0" applyFont="1" applyFill="1"/>
    <xf numFmtId="0" fontId="10" fillId="0" borderId="0" xfId="0" applyFont="1" applyAlignment="1">
      <alignment vertical="center" wrapText="1"/>
    </xf>
    <xf numFmtId="0" fontId="0" fillId="0" borderId="0" xfId="0" applyAlignment="1">
      <alignment vertical="center" wrapText="1"/>
    </xf>
    <xf numFmtId="175" fontId="0" fillId="0" borderId="0" xfId="0" applyNumberFormat="1" applyAlignment="1">
      <alignment vertical="center" wrapText="1"/>
    </xf>
    <xf numFmtId="3" fontId="0" fillId="0" borderId="0" xfId="0" applyNumberFormat="1" applyAlignment="1">
      <alignment vertical="center" wrapText="1"/>
    </xf>
    <xf numFmtId="0" fontId="40" fillId="30" borderId="7" xfId="0" applyFont="1" applyFill="1" applyBorder="1" applyAlignment="1">
      <alignment horizontal="center" vertical="center" wrapText="1"/>
    </xf>
    <xf numFmtId="0" fontId="0" fillId="2" borderId="10" xfId="0" applyFill="1" applyBorder="1" applyAlignment="1">
      <alignment horizontal="center"/>
    </xf>
    <xf numFmtId="3" fontId="10" fillId="2" borderId="0" xfId="0" applyNumberFormat="1" applyFont="1" applyFill="1"/>
    <xf numFmtId="0" fontId="45" fillId="2" borderId="0" xfId="0" applyFont="1" applyFill="1"/>
    <xf numFmtId="3" fontId="30" fillId="2" borderId="0" xfId="0" applyNumberFormat="1" applyFont="1" applyFill="1"/>
    <xf numFmtId="0" fontId="0" fillId="33" borderId="0" xfId="0" applyFill="1"/>
    <xf numFmtId="0" fontId="0" fillId="33" borderId="11" xfId="0" applyFill="1" applyBorder="1"/>
    <xf numFmtId="3" fontId="0" fillId="33" borderId="0" xfId="0" applyNumberFormat="1" applyFill="1"/>
    <xf numFmtId="0" fontId="30" fillId="2" borderId="0" xfId="0" applyFont="1" applyFill="1"/>
    <xf numFmtId="3" fontId="10" fillId="0" borderId="0" xfId="0" applyNumberFormat="1" applyFont="1"/>
    <xf numFmtId="179" fontId="10" fillId="0" borderId="0" xfId="0" applyNumberFormat="1" applyFont="1"/>
    <xf numFmtId="0" fontId="0" fillId="2" borderId="35" xfId="0" applyFill="1" applyBorder="1" applyAlignment="1">
      <alignment horizontal="center"/>
    </xf>
    <xf numFmtId="3" fontId="10" fillId="2" borderId="27" xfId="0" applyNumberFormat="1" applyFont="1" applyFill="1" applyBorder="1"/>
    <xf numFmtId="0" fontId="30" fillId="2" borderId="27" xfId="0" applyFont="1" applyFill="1" applyBorder="1"/>
    <xf numFmtId="0" fontId="0" fillId="2" borderId="27" xfId="0" applyFill="1" applyBorder="1"/>
    <xf numFmtId="3" fontId="10" fillId="0" borderId="27" xfId="0" applyNumberFormat="1" applyFont="1" applyBorder="1"/>
    <xf numFmtId="179" fontId="10" fillId="0" borderId="27" xfId="0" applyNumberFormat="1" applyFont="1" applyBorder="1"/>
    <xf numFmtId="179" fontId="30" fillId="0" borderId="11" xfId="0" applyNumberFormat="1" applyFont="1" applyBorder="1"/>
    <xf numFmtId="179" fontId="30" fillId="0" borderId="23" xfId="0" applyNumberFormat="1" applyFont="1" applyBorder="1"/>
    <xf numFmtId="0" fontId="40" fillId="34" borderId="26" xfId="0" applyFont="1" applyFill="1" applyBorder="1" applyAlignment="1">
      <alignment horizontal="center" vertical="center" wrapText="1"/>
    </xf>
    <xf numFmtId="0" fontId="40" fillId="30" borderId="7" xfId="0" applyFont="1" applyFill="1" applyBorder="1" applyAlignment="1">
      <alignment horizontal="center" vertical="center"/>
    </xf>
    <xf numFmtId="175" fontId="10" fillId="0" borderId="11" xfId="0" applyNumberFormat="1" applyFont="1" applyBorder="1" applyAlignment="1">
      <alignment vertical="center" wrapText="1"/>
    </xf>
    <xf numFmtId="175" fontId="11" fillId="9" borderId="9" xfId="0" applyNumberFormat="1" applyFont="1" applyFill="1" applyBorder="1" applyAlignment="1">
      <alignment vertical="center" wrapText="1"/>
    </xf>
    <xf numFmtId="0" fontId="8" fillId="7" borderId="6" xfId="0" applyFont="1" applyFill="1" applyBorder="1" applyAlignment="1">
      <alignment horizontal="center"/>
    </xf>
    <xf numFmtId="165" fontId="11" fillId="10" borderId="17" xfId="0" applyNumberFormat="1" applyFont="1" applyFill="1" applyBorder="1" applyAlignment="1">
      <alignment horizontal="center"/>
    </xf>
    <xf numFmtId="2" fontId="11" fillId="10" borderId="19" xfId="0" applyNumberFormat="1" applyFont="1" applyFill="1" applyBorder="1" applyAlignment="1">
      <alignment horizontal="center"/>
    </xf>
    <xf numFmtId="0" fontId="13" fillId="11" borderId="10" xfId="0" applyFont="1" applyFill="1" applyBorder="1" applyAlignment="1">
      <alignment horizontal="left" vertical="center" indent="1"/>
    </xf>
    <xf numFmtId="0" fontId="13" fillId="11" borderId="0" xfId="0" applyFont="1" applyFill="1" applyAlignment="1">
      <alignment horizontal="left" vertical="center" indent="1"/>
    </xf>
    <xf numFmtId="0" fontId="13" fillId="11" borderId="11" xfId="0" applyFont="1" applyFill="1" applyBorder="1" applyAlignment="1">
      <alignment horizontal="left" vertical="center" indent="1"/>
    </xf>
    <xf numFmtId="0" fontId="14" fillId="12" borderId="10" xfId="0" applyFont="1" applyFill="1" applyBorder="1" applyAlignment="1">
      <alignment horizontal="left" vertical="center" indent="1"/>
    </xf>
    <xf numFmtId="0" fontId="14" fillId="12" borderId="0" xfId="0" applyFont="1" applyFill="1" applyAlignment="1">
      <alignment horizontal="left" vertical="center" indent="1"/>
    </xf>
    <xf numFmtId="0" fontId="14" fillId="12" borderId="11" xfId="0" applyFont="1" applyFill="1" applyBorder="1" applyAlignment="1">
      <alignment horizontal="left" vertical="center" indent="1"/>
    </xf>
    <xf numFmtId="0" fontId="37" fillId="18" borderId="6" xfId="0" applyFont="1" applyFill="1" applyBorder="1" applyAlignment="1">
      <alignment vertical="center" wrapText="1"/>
    </xf>
    <xf numFmtId="0" fontId="37" fillId="18" borderId="25" xfId="0" applyFont="1" applyFill="1" applyBorder="1" applyAlignment="1">
      <alignment horizontal="center" vertical="center" wrapText="1"/>
    </xf>
    <xf numFmtId="0" fontId="35" fillId="0" borderId="8" xfId="0" applyFont="1" applyBorder="1" applyAlignment="1">
      <alignment horizontal="left" vertical="top" wrapText="1"/>
    </xf>
    <xf numFmtId="0" fontId="35" fillId="0" borderId="23" xfId="0" applyFont="1" applyBorder="1" applyAlignment="1">
      <alignment horizontal="left" vertical="center" wrapText="1"/>
    </xf>
    <xf numFmtId="0" fontId="35" fillId="0" borderId="25" xfId="0" applyFont="1" applyBorder="1" applyAlignment="1">
      <alignment horizontal="left" vertical="top" wrapText="1"/>
    </xf>
    <xf numFmtId="0" fontId="37" fillId="18" borderId="6" xfId="0" applyFont="1" applyFill="1" applyBorder="1" applyAlignment="1">
      <alignment horizontal="center" vertical="center" wrapText="1"/>
    </xf>
    <xf numFmtId="0" fontId="37" fillId="18" borderId="6" xfId="0" applyFont="1" applyFill="1" applyBorder="1" applyAlignment="1">
      <alignment horizontal="center" vertical="center"/>
    </xf>
    <xf numFmtId="0" fontId="35" fillId="0" borderId="26" xfId="0" applyFont="1" applyBorder="1" applyAlignment="1">
      <alignment horizontal="left" vertical="top" wrapText="1"/>
    </xf>
    <xf numFmtId="0" fontId="35" fillId="0" borderId="23" xfId="0" applyFont="1" applyBorder="1" applyAlignment="1">
      <alignment horizontal="left" vertical="top" wrapText="1"/>
    </xf>
    <xf numFmtId="0" fontId="35" fillId="0" borderId="25" xfId="0" applyFont="1" applyBorder="1" applyAlignment="1">
      <alignment horizontal="left" vertical="top"/>
    </xf>
    <xf numFmtId="0" fontId="35" fillId="0" borderId="8" xfId="0" applyFont="1" applyBorder="1" applyAlignment="1">
      <alignment vertical="top" wrapText="1"/>
    </xf>
    <xf numFmtId="0" fontId="35" fillId="0" borderId="25" xfId="0" applyFont="1" applyBorder="1" applyAlignment="1">
      <alignment vertical="top" wrapText="1"/>
    </xf>
    <xf numFmtId="0" fontId="36" fillId="18" borderId="6" xfId="0" applyFont="1" applyFill="1" applyBorder="1" applyAlignment="1">
      <alignment vertical="center" wrapText="1"/>
    </xf>
    <xf numFmtId="0" fontId="8" fillId="4" borderId="9" xfId="0" applyFont="1" applyFill="1" applyBorder="1" applyAlignment="1">
      <alignment horizontal="center"/>
    </xf>
    <xf numFmtId="0" fontId="8" fillId="4" borderId="6" xfId="0" applyFont="1" applyFill="1" applyBorder="1" applyAlignment="1">
      <alignment horizontal="center"/>
    </xf>
    <xf numFmtId="0" fontId="40" fillId="30" borderId="27" xfId="0" applyFont="1" applyFill="1" applyBorder="1" applyAlignment="1">
      <alignment horizontal="center" vertical="center" wrapText="1"/>
    </xf>
  </cellXfs>
  <cellStyles count="5">
    <cellStyle name="Hyperlink 2" xfId="1" xr:uid="{00000000-0005-0000-0000-000006000000}"/>
    <cellStyle name="Normal" xfId="0" builtinId="0"/>
    <cellStyle name="Normal 2" xfId="2" xr:uid="{00000000-0005-0000-0000-000007000000}"/>
    <cellStyle name="Normal 3" xfId="3" xr:uid="{00000000-0005-0000-0000-000008000000}"/>
    <cellStyle name="Normal 7" xfId="4" xr:uid="{00000000-0005-0000-0000-000009000000}"/>
  </cellStyles>
  <dxfs count="20">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ont>
        <strike val="0"/>
      </font>
      <fill>
        <patternFill>
          <bgColor rgb="FFBFBFBF"/>
        </patternFill>
      </fill>
    </dxf>
    <dxf>
      <font>
        <i/>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8000"/>
      <rgbColor rgb="FF000080"/>
      <rgbColor rgb="FF4A6272"/>
      <rgbColor rgb="FF800080"/>
      <rgbColor rgb="FF0070C0"/>
      <rgbColor rgb="FFBFBFBF"/>
      <rgbColor rgb="FF808080"/>
      <rgbColor rgb="FFA1B8E1"/>
      <rgbColor rgb="FF595959"/>
      <rgbColor rgb="FFFFFFCC"/>
      <rgbColor rgb="FFDEEBF7"/>
      <rgbColor rgb="FF660066"/>
      <rgbColor rgb="FFFF8080"/>
      <rgbColor rgb="FF0563C1"/>
      <rgbColor rgb="FFD9D9D9"/>
      <rgbColor rgb="FF000080"/>
      <rgbColor rgb="FFFF00FF"/>
      <rgbColor rgb="FFF2F2F2"/>
      <rgbColor rgb="FF00FFFF"/>
      <rgbColor rgb="FF800080"/>
      <rgbColor rgb="FF800000"/>
      <rgbColor rgb="FF2E75B6"/>
      <rgbColor rgb="FF0000FF"/>
      <rgbColor rgb="FF00CCFF"/>
      <rgbColor rgb="FFEEF2F5"/>
      <rgbColor rgb="FFD9EAD3"/>
      <rgbColor rgb="FFF5F5F5"/>
      <rgbColor rgb="FF9DC3E6"/>
      <rgbColor rgb="FFA9D08E"/>
      <rgbColor rgb="FFB2B2B2"/>
      <rgbColor rgb="FFE8E8E8"/>
      <rgbColor rgb="FF4472C4"/>
      <rgbColor rgb="FF33CCCC"/>
      <rgbColor rgb="FF92D050"/>
      <rgbColor rgb="FFA9D18E"/>
      <rgbColor rgb="FFFF9900"/>
      <rgbColor rgb="FFFF6600"/>
      <rgbColor rgb="FF546E7A"/>
      <rgbColor rgb="FF8497B0"/>
      <rgbColor rgb="FF002060"/>
      <rgbColor rgb="FF00B050"/>
      <rgbColor rgb="FF003300"/>
      <rgbColor rgb="FF375623"/>
      <rgbColor rgb="FF993300"/>
      <rgbColor rgb="FF44546A"/>
      <rgbColor rgb="FF1F497D"/>
      <rgbColor rgb="FF2F40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hyperlink" Target="https://www.transportation.gov/mission/office-secretary/office-policy/transportation-policy/benefit-cost-analysis-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DC3E6"/>
  </sheetPr>
  <dimension ref="A1:Q65"/>
  <sheetViews>
    <sheetView tabSelected="1" workbookViewId="0"/>
  </sheetViews>
  <sheetFormatPr defaultColWidth="9.1796875" defaultRowHeight="14.5" x14ac:dyDescent="0.35"/>
  <cols>
    <col min="1" max="1" width="32.54296875" style="3" customWidth="1"/>
    <col min="2" max="2" width="30.26953125" style="3" customWidth="1"/>
    <col min="3" max="3" width="23.81640625" style="3" customWidth="1"/>
    <col min="4" max="4" width="25.453125" style="3" customWidth="1"/>
    <col min="5" max="5" width="31" style="3" customWidth="1"/>
    <col min="6" max="6" width="27.81640625" style="3" customWidth="1"/>
    <col min="7" max="7" width="27.453125" style="3" customWidth="1"/>
    <col min="8" max="8" width="28.7265625" style="3" customWidth="1"/>
    <col min="9" max="9" width="30.81640625" style="3" customWidth="1"/>
    <col min="10" max="10" width="30.26953125" style="3" customWidth="1"/>
    <col min="11" max="11" width="26.453125" style="3" customWidth="1"/>
    <col min="12" max="12" width="21.1796875" style="3" customWidth="1"/>
    <col min="13" max="13" width="19.453125" style="3" customWidth="1"/>
    <col min="14" max="14" width="21" style="3" customWidth="1"/>
    <col min="15" max="15" width="19" style="3" customWidth="1"/>
    <col min="16" max="16" width="19.453125" style="3" customWidth="1"/>
    <col min="17" max="17" width="25.7265625" style="3" customWidth="1"/>
    <col min="18" max="18" width="18.1796875" style="3" customWidth="1"/>
    <col min="19" max="19" width="11" style="3" customWidth="1"/>
    <col min="20" max="20" width="19.81640625" style="3" customWidth="1"/>
    <col min="21" max="21" width="25.1796875" style="3" customWidth="1"/>
    <col min="22" max="16384" width="9.1796875" style="3"/>
  </cols>
  <sheetData>
    <row r="1" spans="1:17" ht="19.5" customHeight="1" x14ac:dyDescent="0.45">
      <c r="A1" s="4" t="s">
        <v>0</v>
      </c>
    </row>
    <row r="2" spans="1:17" ht="15" customHeight="1" x14ac:dyDescent="0.35">
      <c r="A2" s="5" t="s">
        <v>1</v>
      </c>
      <c r="B2" s="5"/>
      <c r="C2" s="5"/>
      <c r="D2" s="5"/>
      <c r="E2" s="5"/>
      <c r="F2" s="5"/>
      <c r="G2" s="5"/>
      <c r="H2" s="5"/>
      <c r="I2" s="5"/>
      <c r="J2" s="5"/>
    </row>
    <row r="3" spans="1:17" ht="14.25" customHeight="1" x14ac:dyDescent="0.35">
      <c r="A3" s="3" t="s">
        <v>2</v>
      </c>
    </row>
    <row r="4" spans="1:17" ht="14.25" customHeight="1" x14ac:dyDescent="0.35">
      <c r="A4" s="6" t="s">
        <v>3</v>
      </c>
    </row>
    <row r="5" spans="1:17" ht="14.25" customHeight="1" x14ac:dyDescent="0.35">
      <c r="A5" s="7" t="s">
        <v>4</v>
      </c>
      <c r="B5" s="8" t="s">
        <v>5</v>
      </c>
      <c r="C5" s="8" t="s">
        <v>6</v>
      </c>
      <c r="D5" s="8" t="s">
        <v>7</v>
      </c>
      <c r="E5" s="8" t="s">
        <v>8</v>
      </c>
      <c r="F5" s="8" t="s">
        <v>9</v>
      </c>
      <c r="G5" s="8"/>
      <c r="H5" s="8" t="s">
        <v>10</v>
      </c>
      <c r="I5" s="8" t="s">
        <v>11</v>
      </c>
      <c r="J5" s="8" t="s">
        <v>12</v>
      </c>
      <c r="K5" s="8" t="s">
        <v>13</v>
      </c>
      <c r="L5" s="8" t="str">
        <f>'Other Benefit 1'!B7</f>
        <v>Other Benefit 1</v>
      </c>
      <c r="M5" s="8" t="str">
        <f>'Other Benefit 2'!B7</f>
        <v>Other Benefit 2</v>
      </c>
      <c r="N5" s="8" t="str">
        <f>'Other Benefit 3'!B7</f>
        <v>Other Benefit 3</v>
      </c>
      <c r="O5" s="8" t="str">
        <f>'Other Benefit 4'!B11</f>
        <v>Other Benefit 4</v>
      </c>
      <c r="P5" s="8" t="s">
        <v>14</v>
      </c>
      <c r="Q5" s="9" t="s">
        <v>15</v>
      </c>
    </row>
    <row r="6" spans="1:17" ht="14.25" customHeight="1" x14ac:dyDescent="0.35">
      <c r="A6" s="10">
        <f>'Project Information'!$B$9</f>
        <v>2031</v>
      </c>
      <c r="B6" s="11">
        <f>'Operations and Maintenance'!D8</f>
        <v>0</v>
      </c>
      <c r="C6" s="11">
        <f>Safety!D22</f>
        <v>73775.439399999988</v>
      </c>
      <c r="D6" s="11">
        <f>'Travel Time Savings'!D20</f>
        <v>1716624.0000000002</v>
      </c>
      <c r="E6" s="11">
        <f>'Vehicle Operating Cost Savings'!D26</f>
        <v>2800966.1940000001</v>
      </c>
      <c r="F6" s="12">
        <f>'Emissions Reduction'!S33</f>
        <v>121889.85639999999</v>
      </c>
      <c r="G6" s="12"/>
      <c r="H6" s="12">
        <f>'Other Highway Use Externalities'!B20</f>
        <v>0</v>
      </c>
      <c r="I6" s="11">
        <f>'Amenity Benefits'!B11</f>
        <v>0</v>
      </c>
      <c r="J6" s="11">
        <f>'Health Benefits'!B15</f>
        <v>0</v>
      </c>
      <c r="K6" s="11">
        <f>'Residual Value'!B23</f>
        <v>0</v>
      </c>
      <c r="L6" s="11">
        <f>'Other Benefit 1'!B8</f>
        <v>0</v>
      </c>
      <c r="M6" s="11">
        <f>'Other Benefit 2'!B8</f>
        <v>0</v>
      </c>
      <c r="N6" s="11">
        <f>'Other Benefit 3'!B8</f>
        <v>0</v>
      </c>
      <c r="O6" s="11">
        <f>'Other Benefit 4'!B12</f>
        <v>0</v>
      </c>
      <c r="P6" s="13">
        <f t="shared" ref="P6:P35" si="0">SUM(C6:O6)-B6</f>
        <v>4713255.4898000006</v>
      </c>
      <c r="Q6" s="14">
        <f>IFERROR(((P6)/(1.07)^(A6-Overview!$B$22)),0)</f>
        <v>2935178.6397090824</v>
      </c>
    </row>
    <row r="7" spans="1:17" ht="14.25" customHeight="1" x14ac:dyDescent="0.35">
      <c r="A7" s="15">
        <f>IF(A6&lt;'Project Information'!B$11,A6+1,"")</f>
        <v>2032</v>
      </c>
      <c r="B7" s="11">
        <f>'Operations and Maintenance'!D9</f>
        <v>0</v>
      </c>
      <c r="C7" s="11">
        <f>Safety!D23</f>
        <v>96749.85985800004</v>
      </c>
      <c r="D7" s="11">
        <f>'Travel Time Savings'!D21</f>
        <v>1716624.0000000002</v>
      </c>
      <c r="E7" s="11">
        <f>'Vehicle Operating Cost Savings'!D27</f>
        <v>4029598.2445800016</v>
      </c>
      <c r="F7" s="12">
        <f>'Emissions Reduction'!S34</f>
        <v>159847.59454800005</v>
      </c>
      <c r="G7" s="12"/>
      <c r="H7" s="12">
        <f>'Other Highway Use Externalities'!B21</f>
        <v>0</v>
      </c>
      <c r="I7" s="11">
        <f>'Amenity Benefits'!B12</f>
        <v>0</v>
      </c>
      <c r="J7" s="11">
        <f>'Health Benefits'!B16</f>
        <v>0</v>
      </c>
      <c r="K7" s="11">
        <f>'Residual Value'!B24</f>
        <v>0</v>
      </c>
      <c r="L7" s="11">
        <f>'Other Benefit 1'!B9</f>
        <v>0</v>
      </c>
      <c r="M7" s="11">
        <f>'Other Benefit 2'!B9</f>
        <v>0</v>
      </c>
      <c r="N7" s="11">
        <f>'Other Benefit 3'!B9</f>
        <v>0</v>
      </c>
      <c r="O7" s="11">
        <f>'Other Benefit 4'!B13</f>
        <v>0</v>
      </c>
      <c r="P7" s="13">
        <f t="shared" si="0"/>
        <v>6002819.6989860013</v>
      </c>
      <c r="Q7" s="14">
        <f>IFERROR(((P7)/(1.07)^(A7-Overview!$B$22)),0)</f>
        <v>3493695.7178722164</v>
      </c>
    </row>
    <row r="8" spans="1:17" ht="14.25" customHeight="1" x14ac:dyDescent="0.35">
      <c r="A8" s="15">
        <f>IF(A7&lt;'Project Information'!B$11,A7+1,"")</f>
        <v>2033</v>
      </c>
      <c r="B8" s="11">
        <f>'Operations and Maintenance'!D10</f>
        <v>0</v>
      </c>
      <c r="C8" s="11">
        <f>Safety!D24</f>
        <v>120654.97542226003</v>
      </c>
      <c r="D8" s="11">
        <f>'Travel Time Savings'!D22</f>
        <v>1716624.0000000002</v>
      </c>
      <c r="E8" s="11">
        <f>'Vehicle Operating Cost Savings'!D28</f>
        <v>5308002.2508426011</v>
      </c>
      <c r="F8" s="12">
        <f>'Emissions Reduction'!S35</f>
        <v>199343.00287156005</v>
      </c>
      <c r="G8" s="12"/>
      <c r="H8" s="12">
        <f>'Other Highway Use Externalities'!B22</f>
        <v>0</v>
      </c>
      <c r="I8" s="11">
        <f>'Amenity Benefits'!B13</f>
        <v>0</v>
      </c>
      <c r="J8" s="11">
        <f>'Health Benefits'!B17</f>
        <v>0</v>
      </c>
      <c r="K8" s="11">
        <f>'Residual Value'!B25</f>
        <v>0</v>
      </c>
      <c r="L8" s="11">
        <f>'Other Benefit 1'!B10</f>
        <v>0</v>
      </c>
      <c r="M8" s="11">
        <f>'Other Benefit 2'!B10</f>
        <v>0</v>
      </c>
      <c r="N8" s="11">
        <f>'Other Benefit 3'!B10</f>
        <v>0</v>
      </c>
      <c r="O8" s="11">
        <f>'Other Benefit 4'!B14</f>
        <v>0</v>
      </c>
      <c r="P8" s="13">
        <f t="shared" si="0"/>
        <v>7344624.2291364213</v>
      </c>
      <c r="Q8" s="14">
        <f>IFERROR(((P8)/(1.07)^(A8-Overview!$B$22)),0)</f>
        <v>3994988.9448283869</v>
      </c>
    </row>
    <row r="9" spans="1:17" ht="14.25" customHeight="1" x14ac:dyDescent="0.35">
      <c r="A9" s="15">
        <f>IF(A8&lt;'Project Information'!B$11,A8+1,"")</f>
        <v>2034</v>
      </c>
      <c r="B9" s="11">
        <f>'Operations and Maintenance'!D11</f>
        <v>0</v>
      </c>
      <c r="C9" s="11">
        <f>Safety!D25</f>
        <v>145529.26080818826</v>
      </c>
      <c r="D9" s="11">
        <f>'Travel Time Savings'!D23</f>
        <v>1716624.0000000002</v>
      </c>
      <c r="E9" s="11">
        <f>'Vehicle Operating Cost Savings'!D29</f>
        <v>6638235.7736552851</v>
      </c>
      <c r="F9" s="12">
        <f>'Emissions Reduction'!S36</f>
        <v>240439.64829178929</v>
      </c>
      <c r="G9" s="12"/>
      <c r="H9" s="12">
        <f>'Other Highway Use Externalities'!B23</f>
        <v>0</v>
      </c>
      <c r="I9" s="11">
        <f>'Amenity Benefits'!B14</f>
        <v>0</v>
      </c>
      <c r="J9" s="11">
        <f>'Health Benefits'!B18</f>
        <v>0</v>
      </c>
      <c r="K9" s="11">
        <f>'Residual Value'!B26</f>
        <v>0</v>
      </c>
      <c r="L9" s="11">
        <f>'Other Benefit 1'!B11</f>
        <v>0</v>
      </c>
      <c r="M9" s="11">
        <f>'Other Benefit 2'!B11</f>
        <v>0</v>
      </c>
      <c r="N9" s="11">
        <f>'Other Benefit 3'!B11</f>
        <v>0</v>
      </c>
      <c r="O9" s="11">
        <f>'Other Benefit 4'!B15</f>
        <v>0</v>
      </c>
      <c r="P9" s="13">
        <f t="shared" si="0"/>
        <v>8740828.6827552617</v>
      </c>
      <c r="Q9" s="14">
        <f>IFERROR(((P9)/(1.07)^(A9-Overview!$B$22)),0)</f>
        <v>4443394.0735494755</v>
      </c>
    </row>
    <row r="10" spans="1:17" ht="14.25" customHeight="1" x14ac:dyDescent="0.35">
      <c r="A10" s="15">
        <f>IF(A9&lt;'Project Information'!B$11,A9+1,"")</f>
        <v>2035</v>
      </c>
      <c r="B10" s="11">
        <f>'Operations and Maintenance'!D12</f>
        <v>0</v>
      </c>
      <c r="C10" s="11">
        <f>Safety!D26</f>
        <v>171412.81914416485</v>
      </c>
      <c r="D10" s="11">
        <f>'Travel Time Savings'!D24</f>
        <v>1716624.0000000002</v>
      </c>
      <c r="E10" s="11">
        <f>'Vehicle Operating Cost Savings'!D30</f>
        <v>7640971.4585792497</v>
      </c>
      <c r="F10" s="12">
        <f>'Emissions Reduction'!S37</f>
        <v>283203.78815122886</v>
      </c>
      <c r="G10" s="12"/>
      <c r="H10" s="12">
        <f>'Other Highway Use Externalities'!B24</f>
        <v>0</v>
      </c>
      <c r="I10" s="11">
        <f>'Amenity Benefits'!B15</f>
        <v>0</v>
      </c>
      <c r="J10" s="11">
        <f>'Health Benefits'!B19</f>
        <v>0</v>
      </c>
      <c r="K10" s="11">
        <f>'Residual Value'!B27</f>
        <v>0</v>
      </c>
      <c r="L10" s="11">
        <f>'Other Benefit 1'!B12</f>
        <v>0</v>
      </c>
      <c r="M10" s="11">
        <f>'Other Benefit 2'!B12</f>
        <v>0</v>
      </c>
      <c r="N10" s="11">
        <f>'Other Benefit 3'!B12</f>
        <v>0</v>
      </c>
      <c r="O10" s="11">
        <f>'Other Benefit 4'!B16</f>
        <v>0</v>
      </c>
      <c r="P10" s="13">
        <f t="shared" si="0"/>
        <v>9812212.0658746436</v>
      </c>
      <c r="Q10" s="14">
        <f>IFERROR(((P10)/(1.07)^(A10-Overview!$B$22)),0)</f>
        <v>4661711.2691244036</v>
      </c>
    </row>
    <row r="11" spans="1:17" ht="14.25" customHeight="1" x14ac:dyDescent="0.35">
      <c r="A11" s="15">
        <f>IF(A10&lt;'Project Information'!B$11,A10+1,"")</f>
        <v>2036</v>
      </c>
      <c r="B11" s="11">
        <f>'Operations and Maintenance'!D13</f>
        <v>0</v>
      </c>
      <c r="C11" s="11">
        <f>Safety!D27</f>
        <v>198347.45274506934</v>
      </c>
      <c r="D11" s="11">
        <f>'Travel Time Savings'!D25</f>
        <v>1716624.0000000002</v>
      </c>
      <c r="E11" s="11">
        <f>'Vehicle Operating Cost Savings'!D31</f>
        <v>9081388.820714578</v>
      </c>
      <c r="F11" s="12">
        <f>'Emissions Reduction'!S38</f>
        <v>327704.4871440276</v>
      </c>
      <c r="G11" s="12"/>
      <c r="H11" s="12">
        <f>'Other Highway Use Externalities'!B25</f>
        <v>0</v>
      </c>
      <c r="I11" s="11">
        <f>'Amenity Benefits'!B16</f>
        <v>0</v>
      </c>
      <c r="J11" s="11">
        <f>'Health Benefits'!B20</f>
        <v>0</v>
      </c>
      <c r="K11" s="11">
        <f>'Residual Value'!B28</f>
        <v>0</v>
      </c>
      <c r="L11" s="11">
        <f>'Other Benefit 1'!B13</f>
        <v>0</v>
      </c>
      <c r="M11" s="11">
        <f>'Other Benefit 2'!B13</f>
        <v>0</v>
      </c>
      <c r="N11" s="11">
        <f>'Other Benefit 3'!B13</f>
        <v>0</v>
      </c>
      <c r="O11" s="11">
        <f>'Other Benefit 4'!B17</f>
        <v>0</v>
      </c>
      <c r="P11" s="13">
        <f t="shared" si="0"/>
        <v>11324064.760603674</v>
      </c>
      <c r="Q11" s="14">
        <f>IFERROR(((P11)/(1.07)^(A11-Overview!$B$22)),0)</f>
        <v>5028020.1809246056</v>
      </c>
    </row>
    <row r="12" spans="1:17" ht="14.25" customHeight="1" x14ac:dyDescent="0.35">
      <c r="A12" s="15">
        <f>IF(A11&lt;'Project Information'!B$11,A11+1,"")</f>
        <v>2037</v>
      </c>
      <c r="B12" s="11">
        <f>'Operations and Maintenance'!D14</f>
        <v>0</v>
      </c>
      <c r="C12" s="11">
        <f>Safety!D28</f>
        <v>226376.73705314909</v>
      </c>
      <c r="D12" s="11">
        <f>'Travel Time Savings'!D26</f>
        <v>1716624.0000000002</v>
      </c>
      <c r="E12" s="11">
        <f>'Vehicle Operating Cost Savings'!D32</f>
        <v>10580346.198929276</v>
      </c>
      <c r="F12" s="12">
        <f>'Emissions Reduction'!S39</f>
        <v>374013.73947911587</v>
      </c>
      <c r="G12" s="12"/>
      <c r="H12" s="12">
        <f>'Other Highway Use Externalities'!B26</f>
        <v>0</v>
      </c>
      <c r="I12" s="11">
        <f>'Amenity Benefits'!B17</f>
        <v>0</v>
      </c>
      <c r="J12" s="11">
        <f>'Health Benefits'!B21</f>
        <v>0</v>
      </c>
      <c r="K12" s="11">
        <f>'Residual Value'!B29</f>
        <v>0</v>
      </c>
      <c r="L12" s="11">
        <f>'Other Benefit 1'!B14</f>
        <v>0</v>
      </c>
      <c r="M12" s="11">
        <f>'Other Benefit 2'!B14</f>
        <v>0</v>
      </c>
      <c r="N12" s="11">
        <f>'Other Benefit 3'!B14</f>
        <v>0</v>
      </c>
      <c r="O12" s="11">
        <f>'Other Benefit 4'!B18</f>
        <v>0</v>
      </c>
      <c r="P12" s="13">
        <f t="shared" si="0"/>
        <v>12897360.67546154</v>
      </c>
      <c r="Q12" s="14">
        <f>IFERROR(((P12)/(1.07)^(A12-Overview!$B$22)),0)</f>
        <v>5351946.1519122347</v>
      </c>
    </row>
    <row r="13" spans="1:17" ht="14.25" customHeight="1" x14ac:dyDescent="0.35">
      <c r="A13" s="15">
        <f>IF(A12&lt;'Project Information'!B$11,A12+1,"")</f>
        <v>2038</v>
      </c>
      <c r="B13" s="11">
        <f>'Operations and Maintenance'!D15</f>
        <v>0</v>
      </c>
      <c r="C13" s="11">
        <f>Safety!D29</f>
        <v>255546.09789251996</v>
      </c>
      <c r="D13" s="11">
        <f>'Travel Time Savings'!D27</f>
        <v>1716624.0000000002</v>
      </c>
      <c r="E13" s="11">
        <f>'Vehicle Operating Cost Savings'!D33</f>
        <v>11758800.887295634</v>
      </c>
      <c r="F13" s="12">
        <f>'Emissions Reduction'!S40</f>
        <v>422206.59651807643</v>
      </c>
      <c r="G13" s="12"/>
      <c r="H13" s="12">
        <f>'Other Highway Use Externalities'!B27</f>
        <v>0</v>
      </c>
      <c r="I13" s="11">
        <f>'Amenity Benefits'!B18</f>
        <v>0</v>
      </c>
      <c r="J13" s="11">
        <f>'Health Benefits'!B22</f>
        <v>0</v>
      </c>
      <c r="K13" s="11">
        <f>'Residual Value'!B30</f>
        <v>0</v>
      </c>
      <c r="L13" s="11">
        <f>'Other Benefit 1'!B15</f>
        <v>0</v>
      </c>
      <c r="M13" s="11">
        <f>'Other Benefit 2'!B15</f>
        <v>0</v>
      </c>
      <c r="N13" s="11">
        <f>'Other Benefit 3'!B15</f>
        <v>0</v>
      </c>
      <c r="O13" s="11">
        <f>'Other Benefit 4'!B19</f>
        <v>0</v>
      </c>
      <c r="P13" s="13">
        <f t="shared" si="0"/>
        <v>14153177.581706231</v>
      </c>
      <c r="Q13" s="14">
        <f>IFERROR(((P13)/(1.07)^(A13-Overview!$B$22)),0)</f>
        <v>5488846.281365565</v>
      </c>
    </row>
    <row r="14" spans="1:17" ht="14.25" customHeight="1" x14ac:dyDescent="0.35">
      <c r="A14" s="15">
        <f>IF(A13&lt;'Project Information'!B$11,A13+1,"")</f>
        <v>2039</v>
      </c>
      <c r="B14" s="11">
        <f>'Operations and Maintenance'!D16</f>
        <v>0</v>
      </c>
      <c r="C14" s="11">
        <f>Safety!D30</f>
        <v>285902.89219057502</v>
      </c>
      <c r="D14" s="11">
        <f>'Travel Time Savings'!D28</f>
        <v>1716624.0000000002</v>
      </c>
      <c r="E14" s="11">
        <f>'Vehicle Operating Cost Savings'!D34</f>
        <v>13382229.45193075</v>
      </c>
      <c r="F14" s="12">
        <f>'Emissions Reduction'!S41</f>
        <v>472361.30014094996</v>
      </c>
      <c r="G14" s="12"/>
      <c r="H14" s="12">
        <f>'Other Highway Use Externalities'!B28</f>
        <v>0</v>
      </c>
      <c r="I14" s="11">
        <f>'Amenity Benefits'!B19</f>
        <v>0</v>
      </c>
      <c r="J14" s="11">
        <f>'Health Benefits'!B23</f>
        <v>0</v>
      </c>
      <c r="K14" s="11">
        <f>'Residual Value'!B31</f>
        <v>0</v>
      </c>
      <c r="L14" s="11">
        <f>'Other Benefit 1'!B16</f>
        <v>0</v>
      </c>
      <c r="M14" s="11">
        <f>'Other Benefit 2'!B16</f>
        <v>0</v>
      </c>
      <c r="N14" s="11">
        <f>'Other Benefit 3'!B16</f>
        <v>0</v>
      </c>
      <c r="O14" s="11">
        <f>'Other Benefit 4'!B20</f>
        <v>0</v>
      </c>
      <c r="P14" s="13">
        <f t="shared" si="0"/>
        <v>15857117.644262277</v>
      </c>
      <c r="Q14" s="14">
        <f>IFERROR(((P14)/(1.07)^(A14-Overview!$B$22)),0)</f>
        <v>5747349.1731634932</v>
      </c>
    </row>
    <row r="15" spans="1:17" ht="14.25" customHeight="1" x14ac:dyDescent="0.35">
      <c r="A15" s="15">
        <f>IF(A14&lt;'Project Information'!B$11,A14+1,"")</f>
        <v>2040</v>
      </c>
      <c r="B15" s="11">
        <f>'Operations and Maintenance'!D17</f>
        <v>0</v>
      </c>
      <c r="C15" s="11">
        <f>Safety!D31</f>
        <v>317496.49232690281</v>
      </c>
      <c r="D15" s="11">
        <f>'Travel Time Savings'!D29</f>
        <v>1716624.0000000002</v>
      </c>
      <c r="E15" s="11">
        <f>'Vehicle Operating Cost Savings'!D35</f>
        <v>15071800.241830017</v>
      </c>
      <c r="F15" s="12">
        <f>'Emissions Reduction'!S42</f>
        <v>524559.4221053177</v>
      </c>
      <c r="G15" s="12"/>
      <c r="H15" s="12">
        <f>'Other Highway Use Externalities'!B29</f>
        <v>0</v>
      </c>
      <c r="I15" s="11">
        <f>'Amenity Benefits'!B20</f>
        <v>0</v>
      </c>
      <c r="J15" s="11">
        <f>'Health Benefits'!B24</f>
        <v>0</v>
      </c>
      <c r="K15" s="11">
        <f>'Residual Value'!B32</f>
        <v>0</v>
      </c>
      <c r="L15" s="11">
        <f>'Other Benefit 1'!B17</f>
        <v>0</v>
      </c>
      <c r="M15" s="11">
        <f>'Other Benefit 2'!B17</f>
        <v>0</v>
      </c>
      <c r="N15" s="11">
        <f>'Other Benefit 3'!B17</f>
        <v>0</v>
      </c>
      <c r="O15" s="11">
        <f>'Other Benefit 4'!B21</f>
        <v>0</v>
      </c>
      <c r="P15" s="13">
        <f t="shared" si="0"/>
        <v>17630480.156262238</v>
      </c>
      <c r="Q15" s="14">
        <f>IFERROR(((P15)/(1.07)^(A15-Overview!$B$22)),0)</f>
        <v>5972053.6046923893</v>
      </c>
    </row>
    <row r="16" spans="1:17" ht="14.25" customHeight="1" x14ac:dyDescent="0.35">
      <c r="A16" s="15">
        <f>IF(A15&lt;'Project Information'!B$11,A15+1,"")</f>
        <v>2041</v>
      </c>
      <c r="B16" s="11">
        <f>'Operations and Maintenance'!D18</f>
        <v>0</v>
      </c>
      <c r="C16" s="11">
        <f>Safety!D32</f>
        <v>350378.37427800643</v>
      </c>
      <c r="D16" s="11">
        <f>'Travel Time Savings'!D30</f>
        <v>1716624.0000000002</v>
      </c>
      <c r="E16" s="11">
        <f>'Vehicle Operating Cost Savings'!D36</f>
        <v>16448794.102693386</v>
      </c>
      <c r="F16" s="12">
        <f>'Emissions Reduction'!S43</f>
        <v>578886.00967670628</v>
      </c>
      <c r="G16" s="12"/>
      <c r="H16" s="12">
        <f>'Other Highway Use Externalities'!B30</f>
        <v>0</v>
      </c>
      <c r="I16" s="11">
        <f>'Amenity Benefits'!B21</f>
        <v>0</v>
      </c>
      <c r="J16" s="11">
        <f>'Health Benefits'!B25</f>
        <v>0</v>
      </c>
      <c r="K16" s="11">
        <f>'Residual Value'!B33</f>
        <v>0</v>
      </c>
      <c r="L16" s="11">
        <f>'Other Benefit 1'!B18</f>
        <v>0</v>
      </c>
      <c r="M16" s="11">
        <f>'Other Benefit 2'!B18</f>
        <v>0</v>
      </c>
      <c r="N16" s="11">
        <f>'Other Benefit 3'!B18</f>
        <v>0</v>
      </c>
      <c r="O16" s="11">
        <f>'Other Benefit 4'!B22</f>
        <v>0</v>
      </c>
      <c r="P16" s="13">
        <f t="shared" si="0"/>
        <v>19094682.486648098</v>
      </c>
      <c r="Q16" s="14">
        <f>IFERROR(((P16)/(1.07)^(A16-Overview!$B$22)),0)</f>
        <v>6044887.469316341</v>
      </c>
    </row>
    <row r="17" spans="1:17" ht="14.25" customHeight="1" x14ac:dyDescent="0.35">
      <c r="A17" s="15">
        <f>IF(A16&lt;'Project Information'!B$11,A16+1,"")</f>
        <v>2042</v>
      </c>
      <c r="B17" s="11">
        <f>'Operations and Maintenance'!D19</f>
        <v>0</v>
      </c>
      <c r="C17" s="11">
        <f>Safety!D33</f>
        <v>384602.20973418531</v>
      </c>
      <c r="D17" s="11">
        <f>'Travel Time Savings'!D31</f>
        <v>1716624.0000000002</v>
      </c>
      <c r="E17" s="11">
        <f>'Vehicle Operating Cost Savings'!D37</f>
        <v>18279025.303175997</v>
      </c>
      <c r="F17" s="12">
        <f>'Emissions Reduction'!S44</f>
        <v>635429.73782169737</v>
      </c>
      <c r="G17" s="12"/>
      <c r="H17" s="12">
        <f>'Other Highway Use Externalities'!B31</f>
        <v>0</v>
      </c>
      <c r="I17" s="11">
        <f>'Amenity Benefits'!B22</f>
        <v>0</v>
      </c>
      <c r="J17" s="11">
        <f>'Health Benefits'!B26</f>
        <v>0</v>
      </c>
      <c r="K17" s="11">
        <f>'Residual Value'!B34</f>
        <v>0</v>
      </c>
      <c r="L17" s="11">
        <f>'Other Benefit 1'!B19</f>
        <v>0</v>
      </c>
      <c r="M17" s="11">
        <f>'Other Benefit 2'!B19</f>
        <v>0</v>
      </c>
      <c r="N17" s="11">
        <f>'Other Benefit 3'!B19</f>
        <v>0</v>
      </c>
      <c r="O17" s="11">
        <f>'Other Benefit 4'!B23</f>
        <v>0</v>
      </c>
      <c r="P17" s="13">
        <f t="shared" si="0"/>
        <v>21015681.250731882</v>
      </c>
      <c r="Q17" s="14">
        <f>IFERROR(((P17)/(1.07)^(A17-Overview!$B$22)),0)</f>
        <v>6217781.7590079196</v>
      </c>
    </row>
    <row r="18" spans="1:17" ht="14.25" customHeight="1" x14ac:dyDescent="0.35">
      <c r="A18" s="15">
        <f>IF(A17&lt;'Project Information'!B$11,A17+1,"")</f>
        <v>2043</v>
      </c>
      <c r="B18" s="11">
        <f>'Operations and Maintenance'!D20</f>
        <v>0</v>
      </c>
      <c r="C18" s="11">
        <f>Safety!D34</f>
        <v>420223.9623734093</v>
      </c>
      <c r="D18" s="11">
        <f>'Travel Time Savings'!D32</f>
        <v>1716624.0000000002</v>
      </c>
      <c r="E18" s="11">
        <f>'Vehicle Operating Cost Savings'!D38</f>
        <v>20184014.683447544</v>
      </c>
      <c r="F18" s="12">
        <f>'Emissions Reduction'!S45</f>
        <v>694283.0682691111</v>
      </c>
      <c r="G18" s="12"/>
      <c r="H18" s="12">
        <f>'Other Highway Use Externalities'!B32</f>
        <v>0</v>
      </c>
      <c r="I18" s="11">
        <f>'Amenity Benefits'!B23</f>
        <v>0</v>
      </c>
      <c r="J18" s="11">
        <f>'Health Benefits'!B27</f>
        <v>0</v>
      </c>
      <c r="K18" s="11">
        <f>'Residual Value'!B35</f>
        <v>0</v>
      </c>
      <c r="L18" s="11">
        <f>'Other Benefit 1'!B20</f>
        <v>0</v>
      </c>
      <c r="M18" s="11">
        <f>'Other Benefit 2'!B20</f>
        <v>0</v>
      </c>
      <c r="N18" s="11">
        <f>'Other Benefit 3'!B20</f>
        <v>0</v>
      </c>
      <c r="O18" s="11">
        <f>'Other Benefit 4'!B24</f>
        <v>0</v>
      </c>
      <c r="P18" s="13">
        <f t="shared" si="0"/>
        <v>23015145.714090064</v>
      </c>
      <c r="Q18" s="14">
        <f>IFERROR(((P18)/(1.07)^(A18-Overview!$B$22)),0)</f>
        <v>6363879.5754046105</v>
      </c>
    </row>
    <row r="19" spans="1:17" ht="14.25" customHeight="1" x14ac:dyDescent="0.35">
      <c r="A19" s="15">
        <f>IF(A18&lt;'Project Information'!B$11,A18+1,"")</f>
        <v>2044</v>
      </c>
      <c r="B19" s="11">
        <f>'Operations and Maintenance'!D21</f>
        <v>0</v>
      </c>
      <c r="C19" s="11">
        <f>Safety!D35</f>
        <v>457301.98848590761</v>
      </c>
      <c r="D19" s="11">
        <f>'Travel Time Savings'!D33</f>
        <v>1716624.0000000002</v>
      </c>
      <c r="E19" s="11">
        <f>'Vehicle Operating Cost Savings'!D39</f>
        <v>21785411.036420278</v>
      </c>
      <c r="F19" s="12">
        <f>'Emissions Reduction'!S46</f>
        <v>755542.41575932561</v>
      </c>
      <c r="G19" s="12"/>
      <c r="H19" s="12">
        <f>'Other Highway Use Externalities'!B33</f>
        <v>0</v>
      </c>
      <c r="I19" s="11">
        <f>'Amenity Benefits'!B24</f>
        <v>0</v>
      </c>
      <c r="J19" s="11">
        <f>'Health Benefits'!B28</f>
        <v>0</v>
      </c>
      <c r="K19" s="11">
        <f>'Residual Value'!B36</f>
        <v>0</v>
      </c>
      <c r="L19" s="11">
        <f>'Other Benefit 1'!B21</f>
        <v>0</v>
      </c>
      <c r="M19" s="11">
        <f>'Other Benefit 2'!B21</f>
        <v>0</v>
      </c>
      <c r="N19" s="11">
        <f>'Other Benefit 3'!B21</f>
        <v>0</v>
      </c>
      <c r="O19" s="11">
        <f>'Other Benefit 4'!B25</f>
        <v>0</v>
      </c>
      <c r="P19" s="13">
        <f t="shared" si="0"/>
        <v>24714879.44066551</v>
      </c>
      <c r="Q19" s="14">
        <f>IFERROR(((P19)/(1.07)^(A19-Overview!$B$22)),0)</f>
        <v>6386794.4997217655</v>
      </c>
    </row>
    <row r="20" spans="1:17" ht="14.25" customHeight="1" x14ac:dyDescent="0.35">
      <c r="A20" s="15">
        <f>IF(A19&lt;'Project Information'!B$11,A19+1,"")</f>
        <v>2045</v>
      </c>
      <c r="B20" s="11">
        <f>'Operations and Maintenance'!D22</f>
        <v>0</v>
      </c>
      <c r="C20" s="11">
        <f>Safety!D36</f>
        <v>495897.14215252205</v>
      </c>
      <c r="D20" s="11">
        <f>'Travel Time Savings'!D34</f>
        <v>1716624.0000000002</v>
      </c>
      <c r="E20" s="11">
        <f>'Vehicle Operating Cost Savings'!D40</f>
        <v>23849412.732504442</v>
      </c>
      <c r="F20" s="12">
        <f>'Emissions Reduction'!S47</f>
        <v>819308.32181721041</v>
      </c>
      <c r="G20" s="12"/>
      <c r="H20" s="12">
        <f>'Other Highway Use Externalities'!B34</f>
        <v>0</v>
      </c>
      <c r="I20" s="11">
        <f>'Amenity Benefits'!B25</f>
        <v>0</v>
      </c>
      <c r="J20" s="11">
        <f>'Health Benefits'!B29</f>
        <v>0</v>
      </c>
      <c r="K20" s="11">
        <f>'Residual Value'!B37</f>
        <v>0</v>
      </c>
      <c r="L20" s="11">
        <f>'Other Benefit 1'!B22</f>
        <v>0</v>
      </c>
      <c r="M20" s="11">
        <f>'Other Benefit 2'!B22</f>
        <v>0</v>
      </c>
      <c r="N20" s="11">
        <f>'Other Benefit 3'!B22</f>
        <v>0</v>
      </c>
      <c r="O20" s="11">
        <f>'Other Benefit 4'!B26</f>
        <v>0</v>
      </c>
      <c r="P20" s="13">
        <f t="shared" si="0"/>
        <v>26881242.196474176</v>
      </c>
      <c r="Q20" s="14">
        <f>IFERROR(((P20)/(1.07)^(A20-Overview!$B$22)),0)</f>
        <v>6492171.7783279866</v>
      </c>
    </row>
    <row r="21" spans="1:17" ht="14.25" customHeight="1" x14ac:dyDescent="0.35">
      <c r="A21" s="15">
        <f>IF(A20&lt;'Project Information'!B$11,A20+1,"")</f>
        <v>2046</v>
      </c>
      <c r="B21" s="11">
        <f>'Operations and Maintenance'!D23</f>
        <v>0</v>
      </c>
      <c r="C21" s="11">
        <f>Safety!D37</f>
        <v>536072.88518967654</v>
      </c>
      <c r="D21" s="11">
        <f>'Travel Time Savings'!D35</f>
        <v>1716624.0000000002</v>
      </c>
      <c r="E21" s="11">
        <f>'Vehicle Operating Cost Savings'!D41</f>
        <v>25997941.599274009</v>
      </c>
      <c r="F21" s="12">
        <f>'Emissions Reduction'!S48</f>
        <v>885685.63640033524</v>
      </c>
      <c r="G21" s="12"/>
      <c r="H21" s="12">
        <f>'Other Highway Use Externalities'!B35</f>
        <v>0</v>
      </c>
      <c r="I21" s="11">
        <f>'Amenity Benefits'!B26</f>
        <v>0</v>
      </c>
      <c r="J21" s="11">
        <f>'Health Benefits'!B30</f>
        <v>0</v>
      </c>
      <c r="K21" s="11">
        <f>'Residual Value'!B38</f>
        <v>0</v>
      </c>
      <c r="L21" s="11">
        <f>'Other Benefit 1'!B23</f>
        <v>0</v>
      </c>
      <c r="M21" s="11">
        <f>'Other Benefit 2'!B23</f>
        <v>0</v>
      </c>
      <c r="N21" s="11">
        <f>'Other Benefit 3'!B23</f>
        <v>0</v>
      </c>
      <c r="O21" s="11">
        <f>'Other Benefit 4'!B27</f>
        <v>0</v>
      </c>
      <c r="P21" s="13">
        <f t="shared" si="0"/>
        <v>29136324.120864019</v>
      </c>
      <c r="Q21" s="14">
        <f>IFERROR(((P21)/(1.07)^(A21-Overview!$B$22)),0)</f>
        <v>6576451.9390124455</v>
      </c>
    </row>
    <row r="22" spans="1:17" ht="14.25" customHeight="1" x14ac:dyDescent="0.35">
      <c r="A22" s="15">
        <f>IF(A21&lt;'Project Information'!B$11,A21+1,"")</f>
        <v>2047</v>
      </c>
      <c r="B22" s="11">
        <f>'Operations and Maintenance'!D24</f>
        <v>0</v>
      </c>
      <c r="C22" s="11">
        <f>Safety!D38</f>
        <v>577895.4020840954</v>
      </c>
      <c r="D22" s="11">
        <f>'Travel Time Savings'!D36</f>
        <v>1716624.0000000002</v>
      </c>
      <c r="E22" s="11">
        <f>'Vehicle Operating Cost Savings'!D42</f>
        <v>27853065.067975536</v>
      </c>
      <c r="F22" s="12">
        <f>'Emissions Reduction'!S49</f>
        <v>954783.70779111411</v>
      </c>
      <c r="G22" s="12"/>
      <c r="H22" s="12">
        <f>'Other Highway Use Externalities'!B36</f>
        <v>0</v>
      </c>
      <c r="I22" s="11">
        <f>'Amenity Benefits'!B27</f>
        <v>0</v>
      </c>
      <c r="J22" s="11">
        <f>'Health Benefits'!B31</f>
        <v>0</v>
      </c>
      <c r="K22" s="11">
        <f>'Residual Value'!B39</f>
        <v>0</v>
      </c>
      <c r="L22" s="11">
        <f>'Other Benefit 1'!B24</f>
        <v>0</v>
      </c>
      <c r="M22" s="11">
        <f>'Other Benefit 2'!B24</f>
        <v>0</v>
      </c>
      <c r="N22" s="11">
        <f>'Other Benefit 3'!B24</f>
        <v>0</v>
      </c>
      <c r="O22" s="11">
        <f>'Other Benefit 4'!B28</f>
        <v>0</v>
      </c>
      <c r="P22" s="13">
        <f t="shared" si="0"/>
        <v>31102368.177850746</v>
      </c>
      <c r="Q22" s="14">
        <f>IFERROR(((P22)/(1.07)^(A22-Overview!$B$22)),0)</f>
        <v>6560947.6317729186</v>
      </c>
    </row>
    <row r="23" spans="1:17" ht="14.25" customHeight="1" x14ac:dyDescent="0.35">
      <c r="A23" s="15">
        <f>IF(A22&lt;'Project Information'!B$11,A22+1,"")</f>
        <v>2048</v>
      </c>
      <c r="B23" s="11">
        <f>'Operations and Maintenance'!D25</f>
        <v>0</v>
      </c>
      <c r="C23" s="11">
        <f>Safety!D39</f>
        <v>621433.72015120077</v>
      </c>
      <c r="D23" s="11">
        <f>'Travel Time Savings'!D37</f>
        <v>1716624.0000000002</v>
      </c>
      <c r="E23" s="11">
        <f>'Vehicle Operating Cost Savings'!D43</f>
        <v>30181418.599390298</v>
      </c>
      <c r="F23" s="12">
        <f>'Emissions Reduction'!S50</f>
        <v>1026716.5811193751</v>
      </c>
      <c r="G23" s="12"/>
      <c r="H23" s="12">
        <f>'Other Highway Use Externalities'!B37</f>
        <v>0</v>
      </c>
      <c r="I23" s="11">
        <f>'Amenity Benefits'!B28</f>
        <v>0</v>
      </c>
      <c r="J23" s="11">
        <f>'Health Benefits'!B32</f>
        <v>0</v>
      </c>
      <c r="K23" s="11">
        <f>'Residual Value'!B40</f>
        <v>0</v>
      </c>
      <c r="L23" s="11">
        <f>'Other Benefit 1'!B25</f>
        <v>0</v>
      </c>
      <c r="M23" s="11">
        <f>'Other Benefit 2'!B25</f>
        <v>0</v>
      </c>
      <c r="N23" s="11">
        <f>'Other Benefit 3'!B25</f>
        <v>0</v>
      </c>
      <c r="O23" s="11">
        <f>'Other Benefit 4'!B29</f>
        <v>0</v>
      </c>
      <c r="P23" s="13">
        <f t="shared" si="0"/>
        <v>33546192.900660872</v>
      </c>
      <c r="Q23" s="14">
        <f>IFERROR(((P23)/(1.07)^(A23-Overview!$B$22)),0)</f>
        <v>6613518.5425155992</v>
      </c>
    </row>
    <row r="24" spans="1:17" ht="14.25" customHeight="1" x14ac:dyDescent="0.35">
      <c r="A24" s="15">
        <f>IF(A23&lt;'Project Information'!B$11,A23+1,"")</f>
        <v>2049</v>
      </c>
      <c r="B24" s="11">
        <f>'Operations and Maintenance'!D26</f>
        <v>0</v>
      </c>
      <c r="C24" s="11">
        <f>Safety!D40</f>
        <v>666759.83516245952</v>
      </c>
      <c r="D24" s="11">
        <f>'Travel Time Savings'!D38</f>
        <v>1716624.0000000002</v>
      </c>
      <c r="E24" s="11">
        <f>'Vehicle Operating Cost Savings'!D44</f>
        <v>32223908.402166314</v>
      </c>
      <c r="F24" s="12">
        <f>'Emissions Reduction'!S51</f>
        <v>1101603.2059205854</v>
      </c>
      <c r="G24" s="12"/>
      <c r="H24" s="12">
        <f>'Other Highway Use Externalities'!B38</f>
        <v>0</v>
      </c>
      <c r="I24" s="11">
        <f>'Amenity Benefits'!B29</f>
        <v>0</v>
      </c>
      <c r="J24" s="11">
        <f>'Health Benefits'!B33</f>
        <v>0</v>
      </c>
      <c r="K24" s="11">
        <f>'Residual Value'!B41</f>
        <v>0</v>
      </c>
      <c r="L24" s="11">
        <f>'Other Benefit 1'!B26</f>
        <v>0</v>
      </c>
      <c r="M24" s="11">
        <f>'Other Benefit 2'!B26</f>
        <v>0</v>
      </c>
      <c r="N24" s="11">
        <f>'Other Benefit 3'!B26</f>
        <v>0</v>
      </c>
      <c r="O24" s="11">
        <f>'Other Benefit 4'!B30</f>
        <v>0</v>
      </c>
      <c r="P24" s="13">
        <f t="shared" si="0"/>
        <v>35708895.44324936</v>
      </c>
      <c r="Q24" s="14">
        <f>IFERROR(((P24)/(1.07)^(A24-Overview!$B$22)),0)</f>
        <v>6579334.6156463427</v>
      </c>
    </row>
    <row r="25" spans="1:17" ht="14.25" customHeight="1" x14ac:dyDescent="0.35">
      <c r="A25" s="15">
        <f>IF(A24&lt;'Project Information'!B$11,A24+1,"")</f>
        <v>2050</v>
      </c>
      <c r="B25" s="11">
        <f>'Operations and Maintenance'!D27</f>
        <v>0</v>
      </c>
      <c r="C25" s="11">
        <f>Safety!D41</f>
        <v>713948.84269885637</v>
      </c>
      <c r="D25" s="11">
        <f>'Travel Time Savings'!D39</f>
        <v>1716624.0000000002</v>
      </c>
      <c r="E25" s="11">
        <f>'Vehicle Operating Cost Savings'!D45</f>
        <v>34747494.457373619</v>
      </c>
      <c r="F25" s="12">
        <f>'Emissions Reduction'!S52</f>
        <v>1179567.6531546321</v>
      </c>
      <c r="G25" s="12"/>
      <c r="H25" s="12">
        <f>'Other Highway Use Externalities'!B39</f>
        <v>0</v>
      </c>
      <c r="I25" s="11">
        <f>'Amenity Benefits'!B30</f>
        <v>0</v>
      </c>
      <c r="J25" s="11">
        <f>'Health Benefits'!B34</f>
        <v>0</v>
      </c>
      <c r="K25" s="11">
        <f>'Residual Value'!B42</f>
        <v>0</v>
      </c>
      <c r="L25" s="11">
        <f>'Other Benefit 1'!B27</f>
        <v>0</v>
      </c>
      <c r="M25" s="11">
        <f>'Other Benefit 2'!B27</f>
        <v>0</v>
      </c>
      <c r="N25" s="11">
        <f>'Other Benefit 3'!B27</f>
        <v>0</v>
      </c>
      <c r="O25" s="11">
        <f>'Other Benefit 4'!B31</f>
        <v>0</v>
      </c>
      <c r="P25" s="13">
        <f t="shared" si="0"/>
        <v>38357634.95322711</v>
      </c>
      <c r="Q25" s="14">
        <f>IFERROR(((P25)/(1.07)^(A25-Overview!$B$22)),0)</f>
        <v>6605011.8615237419</v>
      </c>
    </row>
    <row r="26" spans="1:17" ht="14.25" customHeight="1" x14ac:dyDescent="0.35">
      <c r="A26" s="15">
        <f>IF(A25&lt;'Project Information'!B$11,A25+1,"")</f>
        <v>2051</v>
      </c>
      <c r="B26" s="11">
        <f>'Operations and Maintenance'!D28</f>
        <v>0</v>
      </c>
      <c r="C26" s="11">
        <f>Safety!D42</f>
        <v>763079.07550016872</v>
      </c>
      <c r="D26" s="11">
        <f>'Travel Time Savings'!D40</f>
        <v>1716624.0000000002</v>
      </c>
      <c r="E26" s="11">
        <f>'Vehicle Operating Cost Savings'!D46</f>
        <v>36993421.863704674</v>
      </c>
      <c r="F26" s="12">
        <f>'Emissions Reduction'!S53</f>
        <v>1260739.3421307134</v>
      </c>
      <c r="G26" s="12"/>
      <c r="H26" s="12">
        <f>'Other Highway Use Externalities'!B40</f>
        <v>0</v>
      </c>
      <c r="I26" s="11">
        <f>'Amenity Benefits'!B31</f>
        <v>0</v>
      </c>
      <c r="J26" s="11">
        <f>'Health Benefits'!B35</f>
        <v>0</v>
      </c>
      <c r="K26" s="11">
        <f>'Residual Value'!B43</f>
        <v>0</v>
      </c>
      <c r="L26" s="11">
        <f>'Other Benefit 1'!B28</f>
        <v>0</v>
      </c>
      <c r="M26" s="11">
        <f>'Other Benefit 2'!B28</f>
        <v>0</v>
      </c>
      <c r="N26" s="11">
        <f>'Other Benefit 3'!B28</f>
        <v>0</v>
      </c>
      <c r="O26" s="11">
        <f>'Other Benefit 4'!B32</f>
        <v>0</v>
      </c>
      <c r="P26" s="13">
        <f t="shared" si="0"/>
        <v>40733864.281335555</v>
      </c>
      <c r="Q26" s="14">
        <f>IFERROR(((P26)/(1.07)^(A26-Overview!$B$22)),0)</f>
        <v>6555315.7403603876</v>
      </c>
    </row>
    <row r="27" spans="1:17" ht="14.25" customHeight="1" x14ac:dyDescent="0.35">
      <c r="A27" s="15">
        <f>IF(A26&lt;'Project Information'!B$11,A26+1,"")</f>
        <v>2052</v>
      </c>
      <c r="B27" s="11">
        <f>'Operations and Maintenance'!D29</f>
        <v>0</v>
      </c>
      <c r="C27" s="11">
        <f>Safety!D43</f>
        <v>814232.24709285435</v>
      </c>
      <c r="D27" s="11">
        <f>'Travel Time Savings'!D41</f>
        <v>1716624.0000000002</v>
      </c>
      <c r="E27" s="11">
        <f>'Vehicle Operating Cost Savings'!D47</f>
        <v>39729004.51844395</v>
      </c>
      <c r="F27" s="12">
        <f>'Emissions Reduction'!S54</f>
        <v>1345253.2778055854</v>
      </c>
      <c r="G27" s="12"/>
      <c r="H27" s="12">
        <f>'Other Highway Use Externalities'!B41</f>
        <v>0</v>
      </c>
      <c r="I27" s="11">
        <f>'Amenity Benefits'!B32</f>
        <v>0</v>
      </c>
      <c r="J27" s="11">
        <f>'Health Benefits'!B36</f>
        <v>0</v>
      </c>
      <c r="K27" s="11">
        <f>'Residual Value'!B44</f>
        <v>0</v>
      </c>
      <c r="L27" s="11">
        <f>'Other Benefit 1'!B29</f>
        <v>0</v>
      </c>
      <c r="M27" s="11">
        <f>'Other Benefit 2'!B29</f>
        <v>0</v>
      </c>
      <c r="N27" s="11">
        <f>'Other Benefit 3'!B29</f>
        <v>0</v>
      </c>
      <c r="O27" s="11">
        <f>'Other Benefit 4'!B33</f>
        <v>0</v>
      </c>
      <c r="P27" s="13">
        <f t="shared" si="0"/>
        <v>43605114.043342397</v>
      </c>
      <c r="Q27" s="14">
        <f>IFERROR(((P27)/(1.07)^(A27-Overview!$B$22)),0)</f>
        <v>6558305.6253937995</v>
      </c>
    </row>
    <row r="28" spans="1:17" ht="14.25" customHeight="1" x14ac:dyDescent="0.35">
      <c r="A28" s="15">
        <f>IF(A27&lt;'Project Information'!B$11,A27+1,"")</f>
        <v>2053</v>
      </c>
      <c r="B28" s="11">
        <f>'Operations and Maintenance'!D30</f>
        <v>0</v>
      </c>
      <c r="C28" s="11">
        <f>Safety!D44</f>
        <v>867493.60199315171</v>
      </c>
      <c r="D28" s="11">
        <f>'Travel Time Savings'!D42</f>
        <v>1716624.0000000002</v>
      </c>
      <c r="E28" s="11">
        <f>'Vehicle Operating Cost Savings'!D48</f>
        <v>42195857.150068551</v>
      </c>
      <c r="F28" s="12">
        <f>'Emissions Reduction'!S55</f>
        <v>1433250.2989452071</v>
      </c>
      <c r="G28" s="12"/>
      <c r="H28" s="12">
        <f>'Other Highway Use Externalities'!B42</f>
        <v>0</v>
      </c>
      <c r="I28" s="11">
        <f>'Amenity Benefits'!B33</f>
        <v>0</v>
      </c>
      <c r="J28" s="11">
        <f>'Health Benefits'!B37</f>
        <v>0</v>
      </c>
      <c r="K28" s="11">
        <f>'Residual Value'!B45</f>
        <v>0</v>
      </c>
      <c r="L28" s="11">
        <f>'Other Benefit 1'!B30</f>
        <v>0</v>
      </c>
      <c r="M28" s="11">
        <f>'Other Benefit 2'!B30</f>
        <v>0</v>
      </c>
      <c r="N28" s="11">
        <f>'Other Benefit 3'!B30</f>
        <v>0</v>
      </c>
      <c r="O28" s="11">
        <f>'Other Benefit 4'!B34</f>
        <v>0</v>
      </c>
      <c r="P28" s="13">
        <f t="shared" si="0"/>
        <v>46213225.051006913</v>
      </c>
      <c r="Q28" s="14">
        <f>IFERROR(((P28)/(1.07)^(A28-Overview!$B$22)),0)</f>
        <v>6495861.0198227428</v>
      </c>
    </row>
    <row r="29" spans="1:17" ht="14.25" customHeight="1" x14ac:dyDescent="0.35">
      <c r="A29" s="15">
        <f>IF(A28&lt;'Project Information'!B$11,A28+1,"")</f>
        <v>2054</v>
      </c>
      <c r="B29" s="11">
        <f>'Operations and Maintenance'!D31</f>
        <v>0</v>
      </c>
      <c r="C29" s="11">
        <f>Safety!D45</f>
        <v>922952.07279647596</v>
      </c>
      <c r="D29" s="11">
        <f>'Travel Time Savings'!D43</f>
        <v>1716624.0000000002</v>
      </c>
      <c r="E29" s="11">
        <f>'Vehicle Operating Cost Savings'!D49</f>
        <v>45161679.719115891</v>
      </c>
      <c r="F29" s="12">
        <f>'Emissions Reduction'!S56</f>
        <v>1524877.3376637429</v>
      </c>
      <c r="G29" s="12"/>
      <c r="H29" s="12">
        <f>'Other Highway Use Externalities'!B43</f>
        <v>0</v>
      </c>
      <c r="I29" s="11">
        <f>'Amenity Benefits'!B34</f>
        <v>0</v>
      </c>
      <c r="J29" s="11">
        <f>'Health Benefits'!B38</f>
        <v>0</v>
      </c>
      <c r="K29" s="11">
        <f>'Residual Value'!B46</f>
        <v>0</v>
      </c>
      <c r="L29" s="11">
        <f>'Other Benefit 1'!B31</f>
        <v>0</v>
      </c>
      <c r="M29" s="11">
        <f>'Other Benefit 2'!B31</f>
        <v>0</v>
      </c>
      <c r="N29" s="11">
        <f>'Other Benefit 3'!B31</f>
        <v>0</v>
      </c>
      <c r="O29" s="11">
        <f>'Other Benefit 4'!B35</f>
        <v>0</v>
      </c>
      <c r="P29" s="13">
        <f t="shared" si="0"/>
        <v>49326133.129576109</v>
      </c>
      <c r="Q29" s="14">
        <f>IFERROR(((P29)/(1.07)^(A29-Overview!$B$22)),0)</f>
        <v>6479831.9096159181</v>
      </c>
    </row>
    <row r="30" spans="1:17" ht="14.25" customHeight="1" x14ac:dyDescent="0.35">
      <c r="A30" s="15">
        <f>IF(A29&lt;'Project Information'!B$11,A29+1,"")</f>
        <v>2055</v>
      </c>
      <c r="B30" s="11">
        <f>'Operations and Maintenance'!D32</f>
        <v>0</v>
      </c>
      <c r="C30" s="11">
        <f>Safety!D46</f>
        <v>980700.44447941694</v>
      </c>
      <c r="D30" s="11">
        <f>'Travel Time Savings'!D44</f>
        <v>1716624.0000000002</v>
      </c>
      <c r="E30" s="11">
        <f>'Vehicle Operating Cost Savings'!D50</f>
        <v>47868490.204768822</v>
      </c>
      <c r="F30" s="12">
        <f>'Emissions Reduction'!S57</f>
        <v>1620287.6908790367</v>
      </c>
      <c r="G30" s="12"/>
      <c r="H30" s="12">
        <f>'Other Highway Use Externalities'!B44</f>
        <v>0</v>
      </c>
      <c r="I30" s="11">
        <f>'Amenity Benefits'!B35</f>
        <v>0</v>
      </c>
      <c r="J30" s="11">
        <f>'Health Benefits'!B39</f>
        <v>0</v>
      </c>
      <c r="K30" s="11">
        <f>'Residual Value'!B47</f>
        <v>0</v>
      </c>
      <c r="L30" s="11">
        <f>'Other Benefit 1'!B32</f>
        <v>0</v>
      </c>
      <c r="M30" s="11">
        <f>'Other Benefit 2'!B32</f>
        <v>0</v>
      </c>
      <c r="N30" s="11">
        <f>'Other Benefit 3'!B32</f>
        <v>0</v>
      </c>
      <c r="O30" s="11">
        <f>'Other Benefit 4'!B36</f>
        <v>0</v>
      </c>
      <c r="P30" s="13">
        <f t="shared" si="0"/>
        <v>52186102.340127282</v>
      </c>
      <c r="Q30" s="14">
        <f>IFERROR(((P30)/(1.07)^(A30-Overview!$B$22)),0)</f>
        <v>6407044.691548516</v>
      </c>
    </row>
    <row r="31" spans="1:17" ht="14.25" customHeight="1" x14ac:dyDescent="0.35">
      <c r="A31" s="15">
        <f>IF(A30&lt;'Project Information'!B$11,A30+1,"")</f>
        <v>2056</v>
      </c>
      <c r="B31" s="11">
        <f>'Operations and Maintenance'!D33</f>
        <v>0</v>
      </c>
      <c r="C31" s="11">
        <f>Safety!D47</f>
        <v>1040835.526256623</v>
      </c>
      <c r="D31" s="11">
        <f>'Travel Time Savings'!D45</f>
        <v>1716624.0000000002</v>
      </c>
      <c r="E31" s="11">
        <f>'Vehicle Operating Cost Savings'!D51</f>
        <v>50702937.795462884</v>
      </c>
      <c r="F31" s="12">
        <f>'Emissions Reduction'!S58</f>
        <v>1719641.3042500727</v>
      </c>
      <c r="G31" s="12"/>
      <c r="H31" s="12">
        <f>'Other Highway Use Externalities'!B45</f>
        <v>0</v>
      </c>
      <c r="I31" s="11">
        <f>'Amenity Benefits'!B36</f>
        <v>0</v>
      </c>
      <c r="J31" s="11">
        <f>'Health Benefits'!B40</f>
        <v>0</v>
      </c>
      <c r="K31" s="11">
        <f>'Residual Value'!B48</f>
        <v>0</v>
      </c>
      <c r="L31" s="11">
        <f>'Other Benefit 1'!B33</f>
        <v>0</v>
      </c>
      <c r="M31" s="11">
        <f>'Other Benefit 2'!B33</f>
        <v>0</v>
      </c>
      <c r="N31" s="11">
        <f>'Other Benefit 3'!B33</f>
        <v>0</v>
      </c>
      <c r="O31" s="11">
        <f>'Other Benefit 4'!B37</f>
        <v>0</v>
      </c>
      <c r="P31" s="13">
        <f t="shared" si="0"/>
        <v>55180038.625969574</v>
      </c>
      <c r="Q31" s="14">
        <f>IFERROR(((P31)/(1.07)^(A31-Overview!$B$22)),0)</f>
        <v>6331419.8609245662</v>
      </c>
    </row>
    <row r="32" spans="1:17" ht="14.25" customHeight="1" x14ac:dyDescent="0.35">
      <c r="A32" s="15">
        <f>IF(A31&lt;'Project Information'!B$11,A31+1,"")</f>
        <v>2057</v>
      </c>
      <c r="B32" s="11">
        <f>'Operations and Maintenance'!D34</f>
        <v>0</v>
      </c>
      <c r="C32" s="11">
        <f>Safety!D48</f>
        <v>1103458.3313516558</v>
      </c>
      <c r="D32" s="11">
        <f>'Travel Time Savings'!D46</f>
        <v>1716624.0000000002</v>
      </c>
      <c r="E32" s="11">
        <f>'Vehicle Operating Cost Savings'!D52</f>
        <v>54051896.502718985</v>
      </c>
      <c r="F32" s="12">
        <f>'Emissions Reduction'!S59</f>
        <v>1823105.0691896921</v>
      </c>
      <c r="G32" s="12"/>
      <c r="H32" s="12">
        <f>'Other Highway Use Externalities'!B46</f>
        <v>0</v>
      </c>
      <c r="I32" s="11">
        <f>'Amenity Benefits'!B37</f>
        <v>0</v>
      </c>
      <c r="J32" s="11">
        <f>'Health Benefits'!B41</f>
        <v>0</v>
      </c>
      <c r="K32" s="11">
        <f>'Residual Value'!B49</f>
        <v>0</v>
      </c>
      <c r="L32" s="11">
        <f>'Other Benefit 1'!B34</f>
        <v>0</v>
      </c>
      <c r="M32" s="11">
        <f>'Other Benefit 2'!B34</f>
        <v>0</v>
      </c>
      <c r="N32" s="11">
        <f>'Other Benefit 3'!B34</f>
        <v>0</v>
      </c>
      <c r="O32" s="11">
        <f>'Other Benefit 4'!B38</f>
        <v>0</v>
      </c>
      <c r="P32" s="13">
        <f t="shared" si="0"/>
        <v>58695083.903260328</v>
      </c>
      <c r="Q32" s="14">
        <f>IFERROR(((P32)/(1.07)^(A32-Overview!$B$22)),0)</f>
        <v>6294149.6449659951</v>
      </c>
    </row>
    <row r="33" spans="1:17" ht="14.25" customHeight="1" x14ac:dyDescent="0.35">
      <c r="A33" s="15">
        <f>IF(A32&lt;'Project Information'!B$11,A32+1,"")</f>
        <v>2058</v>
      </c>
      <c r="B33" s="11">
        <f>'Operations and Maintenance'!D35</f>
        <v>0</v>
      </c>
      <c r="C33" s="11">
        <f>Safety!D49</f>
        <v>1168674.2650585372</v>
      </c>
      <c r="D33" s="11">
        <f>'Travel Time Savings'!D47</f>
        <v>1716624.0000000002</v>
      </c>
      <c r="E33" s="11">
        <f>'Vehicle Operating Cost Savings'!D53</f>
        <v>57158059.218347855</v>
      </c>
      <c r="F33" s="12">
        <f>'Emissions Reduction'!S60</f>
        <v>1930853.1335749745</v>
      </c>
      <c r="G33" s="12"/>
      <c r="H33" s="12">
        <f>'Other Highway Use Externalities'!B47</f>
        <v>0</v>
      </c>
      <c r="I33" s="11">
        <f>'Amenity Benefits'!B38</f>
        <v>0</v>
      </c>
      <c r="J33" s="11">
        <f>'Health Benefits'!B42</f>
        <v>0</v>
      </c>
      <c r="K33" s="11">
        <f>'Residual Value'!B50</f>
        <v>0</v>
      </c>
      <c r="L33" s="11">
        <f>'Other Benefit 1'!B35</f>
        <v>0</v>
      </c>
      <c r="M33" s="11">
        <f>'Other Benefit 2'!B35</f>
        <v>0</v>
      </c>
      <c r="N33" s="11">
        <f>'Other Benefit 3'!B35</f>
        <v>0</v>
      </c>
      <c r="O33" s="11">
        <f>'Other Benefit 4'!B39</f>
        <v>0</v>
      </c>
      <c r="P33" s="13">
        <f t="shared" si="0"/>
        <v>61974210.616981372</v>
      </c>
      <c r="Q33" s="14">
        <f>IFERROR(((P33)/(1.07)^(A33-Overview!$B$22)),0)</f>
        <v>6211014.7761925329</v>
      </c>
    </row>
    <row r="34" spans="1:17" ht="14.25" customHeight="1" x14ac:dyDescent="0.35">
      <c r="A34" s="15">
        <f>IF(A33&lt;'Project Information'!B$11,A33+1,"")</f>
        <v>2059</v>
      </c>
      <c r="B34" s="11">
        <f>'Operations and Maintenance'!D36</f>
        <v>0</v>
      </c>
      <c r="C34" s="11">
        <f>Safety!D50</f>
        <v>1236593.3214892575</v>
      </c>
      <c r="D34" s="11">
        <f>'Travel Time Savings'!D48</f>
        <v>1716624.0000000002</v>
      </c>
      <c r="E34" s="11">
        <f>'Vehicle Operating Cost Savings'!D54</f>
        <v>60408780.236164637</v>
      </c>
      <c r="F34" s="12">
        <f>'Emissions Reduction'!S61</f>
        <v>2043067.2268083384</v>
      </c>
      <c r="G34" s="12"/>
      <c r="H34" s="12">
        <f>'Other Highway Use Externalities'!B48</f>
        <v>0</v>
      </c>
      <c r="I34" s="11">
        <f>'Amenity Benefits'!B39</f>
        <v>0</v>
      </c>
      <c r="J34" s="11">
        <f>'Health Benefits'!B43</f>
        <v>0</v>
      </c>
      <c r="K34" s="11">
        <f>'Residual Value'!B51</f>
        <v>0</v>
      </c>
      <c r="L34" s="11">
        <f>'Other Benefit 1'!B36</f>
        <v>0</v>
      </c>
      <c r="M34" s="11">
        <f>'Other Benefit 2'!B36</f>
        <v>0</v>
      </c>
      <c r="N34" s="11">
        <f>'Other Benefit 3'!B36</f>
        <v>0</v>
      </c>
      <c r="O34" s="11">
        <f>'Other Benefit 4'!B40</f>
        <v>0</v>
      </c>
      <c r="P34" s="13">
        <f t="shared" si="0"/>
        <v>65405064.784462236</v>
      </c>
      <c r="Q34" s="14">
        <f>IFERROR(((P34)/(1.07)^(A34-Overview!$B$22)),0)</f>
        <v>6126030.5912251556</v>
      </c>
    </row>
    <row r="35" spans="1:17" ht="14.25" customHeight="1" x14ac:dyDescent="0.35">
      <c r="A35" s="15">
        <f>IF(A34&lt;'Project Information'!B$11,A34+1,"")</f>
        <v>2060</v>
      </c>
      <c r="B35" s="11">
        <f>'Operations and Maintenance'!D37</f>
        <v>0</v>
      </c>
      <c r="C35" s="11">
        <f>Safety!D51</f>
        <v>1307330.2894219935</v>
      </c>
      <c r="D35" s="11">
        <f>'Travel Time Savings'!D49</f>
        <v>1716624.0000000002</v>
      </c>
      <c r="E35" s="11">
        <f>'Vehicle Operating Cost Savings'!D55</f>
        <v>64191670.26039356</v>
      </c>
      <c r="F35" s="12">
        <f>'Emissions Reduction'!S62</f>
        <v>2159936.9999145982</v>
      </c>
      <c r="G35" s="12"/>
      <c r="H35" s="12">
        <f>'Other Highway Use Externalities'!B49</f>
        <v>0</v>
      </c>
      <c r="I35" s="11">
        <f>'Amenity Benefits'!B40</f>
        <v>0</v>
      </c>
      <c r="J35" s="11">
        <f>'Health Benefits'!B44</f>
        <v>0</v>
      </c>
      <c r="K35" s="11">
        <f>'Residual Value'!B52</f>
        <v>0</v>
      </c>
      <c r="L35" s="11">
        <f>'Other Benefit 1'!B37</f>
        <v>0</v>
      </c>
      <c r="M35" s="11">
        <f>'Other Benefit 2'!B37</f>
        <v>0</v>
      </c>
      <c r="N35" s="11">
        <f>'Other Benefit 3'!B37</f>
        <v>0</v>
      </c>
      <c r="O35" s="11">
        <f>'Other Benefit 4'!B41</f>
        <v>0</v>
      </c>
      <c r="P35" s="13">
        <f t="shared" si="0"/>
        <v>69375561.549730152</v>
      </c>
      <c r="Q35" s="14">
        <f>IFERROR(((P35)/(1.07)^(A35-Overview!$B$22)),0)</f>
        <v>6072821.4835797846</v>
      </c>
    </row>
    <row r="36" spans="1:17" ht="14.25" customHeight="1" x14ac:dyDescent="0.35">
      <c r="A36" s="16" t="s">
        <v>16</v>
      </c>
      <c r="B36" s="17">
        <f>SUM(B6:B35)</f>
        <v>0</v>
      </c>
      <c r="C36" s="17">
        <f>SUM(C6:C35)</f>
        <v>17321655.564591285</v>
      </c>
      <c r="D36" s="17">
        <f>SUM(D6:D35)</f>
        <v>51498720.000000007</v>
      </c>
      <c r="E36" s="17">
        <f>SUM(E6:E35)</f>
        <v>836304622.97596884</v>
      </c>
      <c r="F36" s="18">
        <f>SUM(F6:F35)</f>
        <v>28618387.454542119</v>
      </c>
      <c r="G36" s="18"/>
      <c r="H36" s="18">
        <f t="shared" ref="H36:P36" si="1">SUM(H6:H35)</f>
        <v>0</v>
      </c>
      <c r="I36" s="17">
        <f t="shared" si="1"/>
        <v>0</v>
      </c>
      <c r="J36" s="17">
        <f t="shared" si="1"/>
        <v>0</v>
      </c>
      <c r="K36" s="17">
        <f t="shared" si="1"/>
        <v>0</v>
      </c>
      <c r="L36" s="17">
        <f t="shared" si="1"/>
        <v>0</v>
      </c>
      <c r="M36" s="17">
        <f t="shared" si="1"/>
        <v>0</v>
      </c>
      <c r="N36" s="17">
        <f t="shared" si="1"/>
        <v>0</v>
      </c>
      <c r="O36" s="17">
        <f t="shared" si="1"/>
        <v>0</v>
      </c>
      <c r="P36" s="19">
        <f t="shared" si="1"/>
        <v>933743385.99510193</v>
      </c>
      <c r="Q36" s="20"/>
    </row>
    <row r="37" spans="1:17" ht="14.25" customHeight="1" x14ac:dyDescent="0.35">
      <c r="A37" s="21" t="s">
        <v>17</v>
      </c>
      <c r="B37" s="17">
        <f>NPV(0.07,B6:B35)/(1.07)^($A$6-Overview!$B$22-1)</f>
        <v>0</v>
      </c>
      <c r="C37" s="17">
        <f>NPV(0.07,C6:C35)/(1.07)^($A$6-Overview!$B$22-1)</f>
        <v>3199626.5510117998</v>
      </c>
      <c r="D37" s="17">
        <f>NPV(0.07,D6:D35)/(1.07)^($A$6-Overview!$B$22-1)</f>
        <v>14194194.104456864</v>
      </c>
      <c r="E37" s="17">
        <f>NPV(0.07,E6:E35)/(1.07)^($A$6-Overview!$B$22-1)</f>
        <v>152409598.87848911</v>
      </c>
      <c r="F37" s="22">
        <f>NPV(0.07,F6:F35)/(1.07)^($A$6-Overview!$B$22-1)</f>
        <v>5286339.5190629745</v>
      </c>
      <c r="G37" s="22"/>
      <c r="H37" s="22">
        <f>NPV(0.07,H6:H35)/(1.07)^($A$6-Overview!$B$22-1)</f>
        <v>0</v>
      </c>
      <c r="I37" s="17">
        <f>NPV(0.07,I6:I35)/(1.07)^($A$6-Overview!$B$22-1)</f>
        <v>0</v>
      </c>
      <c r="J37" s="17">
        <f>NPV(0.07,J6:J35)/(1.07)^($A$6-Overview!$B$22-1)</f>
        <v>0</v>
      </c>
      <c r="K37" s="17">
        <f>NPV(0.07,K6:K35)/(1.07)^($A$6-Overview!$B$22-1)</f>
        <v>0</v>
      </c>
      <c r="L37" s="17">
        <f>NPV(0.07,L6:L35)/(1.07)^($A$6-Overview!$B$22-1)</f>
        <v>0</v>
      </c>
      <c r="M37" s="17">
        <f>NPV(0.07,M6:M35)/(1.07)^($A$6-Overview!$B$22-1)</f>
        <v>0</v>
      </c>
      <c r="N37" s="17">
        <f>NPV(0.07,N6:N35)/(1.07)^($A$6-Overview!$B$22-1)</f>
        <v>0</v>
      </c>
      <c r="O37" s="17">
        <f>NPV(0.07,O6:O35)/(1.07)^($A$6-Overview!$B$22-1)</f>
        <v>0</v>
      </c>
      <c r="P37" s="17">
        <f>NPV(0.07,P6:P35)/(1.07)^($A$6-Overview!$B$22-1)</f>
        <v>175089759.05302078</v>
      </c>
      <c r="Q37" s="20">
        <f>SUM(Q6:Q35)</f>
        <v>175089759.05302098</v>
      </c>
    </row>
    <row r="38" spans="1:17" ht="14.25" customHeight="1" x14ac:dyDescent="0.35">
      <c r="A38" s="3" t="s">
        <v>2</v>
      </c>
    </row>
    <row r="39" spans="1:17" ht="14.25" customHeight="1" x14ac:dyDescent="0.35">
      <c r="A39" s="6" t="s">
        <v>18</v>
      </c>
    </row>
    <row r="40" spans="1:17" ht="14.25" customHeight="1" x14ac:dyDescent="0.35">
      <c r="A40" s="7" t="s">
        <v>4</v>
      </c>
      <c r="B40" s="8" t="s">
        <v>19</v>
      </c>
      <c r="C40" s="23" t="s">
        <v>20</v>
      </c>
    </row>
    <row r="41" spans="1:17" ht="14.25" customHeight="1" x14ac:dyDescent="0.35">
      <c r="A41" s="24">
        <f>'Capital Costs'!A9</f>
        <v>2028</v>
      </c>
      <c r="B41" s="11">
        <f>'Capital Costs'!C9</f>
        <v>12193422.990620572</v>
      </c>
      <c r="C41" s="25">
        <f>B41/(1.07)^(A41-Overview!$B$22)</f>
        <v>9302304.0180146508</v>
      </c>
    </row>
    <row r="42" spans="1:17" ht="14.25" customHeight="1" x14ac:dyDescent="0.35">
      <c r="A42" s="26">
        <f t="shared" ref="A42:A55" si="2">A41+1</f>
        <v>2029</v>
      </c>
      <c r="B42" s="11">
        <f>'Capital Costs'!C10</f>
        <v>26907199.679105256</v>
      </c>
      <c r="C42" s="25">
        <f>B42/(1.07)^(A42-Overview!$B$22)</f>
        <v>19184461.499809444</v>
      </c>
    </row>
    <row r="43" spans="1:17" ht="14.25" customHeight="1" x14ac:dyDescent="0.35">
      <c r="A43" s="26">
        <f t="shared" si="2"/>
        <v>2030</v>
      </c>
      <c r="B43" s="11">
        <f>'Capital Costs'!C11</f>
        <v>1158555.6210740071</v>
      </c>
      <c r="C43" s="25">
        <f>B43/(1.07)^(A43-Overview!$B$22)</f>
        <v>771994.52896157478</v>
      </c>
    </row>
    <row r="44" spans="1:17" ht="14.25" customHeight="1" x14ac:dyDescent="0.35">
      <c r="A44" s="26">
        <f t="shared" si="2"/>
        <v>2031</v>
      </c>
      <c r="B44" s="11">
        <f>'Capital Costs'!C12</f>
        <v>0</v>
      </c>
      <c r="C44" s="25">
        <f>B44/(1.07)^(A44-Overview!$B$22)</f>
        <v>0</v>
      </c>
    </row>
    <row r="45" spans="1:17" ht="14.25" customHeight="1" x14ac:dyDescent="0.35">
      <c r="A45" s="26">
        <f t="shared" si="2"/>
        <v>2032</v>
      </c>
      <c r="B45" s="11">
        <f>'Capital Costs'!C13</f>
        <v>0</v>
      </c>
      <c r="C45" s="25">
        <f>B45/(1.07)^(A45-Overview!$B$22)</f>
        <v>0</v>
      </c>
      <c r="D45" s="27"/>
    </row>
    <row r="46" spans="1:17" ht="14.25" customHeight="1" x14ac:dyDescent="0.35">
      <c r="A46" s="26">
        <f t="shared" si="2"/>
        <v>2033</v>
      </c>
      <c r="B46" s="11">
        <f>'Capital Costs'!C14</f>
        <v>0</v>
      </c>
      <c r="C46" s="25">
        <f>B46/(1.07)^(A46-Overview!$B$22)</f>
        <v>0</v>
      </c>
      <c r="D46" s="27"/>
    </row>
    <row r="47" spans="1:17" ht="14.25" customHeight="1" x14ac:dyDescent="0.35">
      <c r="A47" s="26">
        <f t="shared" si="2"/>
        <v>2034</v>
      </c>
      <c r="B47" s="11">
        <f>'Capital Costs'!C15</f>
        <v>0</v>
      </c>
      <c r="C47" s="25">
        <f>B47/(1.07)^(A47-Overview!$B$22)</f>
        <v>0</v>
      </c>
      <c r="D47" s="27"/>
    </row>
    <row r="48" spans="1:17" ht="14.25" customHeight="1" x14ac:dyDescent="0.35">
      <c r="A48" s="26">
        <f t="shared" si="2"/>
        <v>2035</v>
      </c>
      <c r="B48" s="11">
        <f>'Capital Costs'!C16</f>
        <v>0</v>
      </c>
      <c r="C48" s="25">
        <f>B48/(1.07)^(A48-Overview!$B$22)</f>
        <v>0</v>
      </c>
      <c r="D48" s="27"/>
    </row>
    <row r="49" spans="1:4" ht="14.25" customHeight="1" x14ac:dyDescent="0.35">
      <c r="A49" s="26">
        <f t="shared" si="2"/>
        <v>2036</v>
      </c>
      <c r="B49" s="11">
        <f>'Capital Costs'!C17</f>
        <v>0</v>
      </c>
      <c r="C49" s="25">
        <f>B49/(1.07)^(A49-Overview!$B$22)</f>
        <v>0</v>
      </c>
      <c r="D49" s="27"/>
    </row>
    <row r="50" spans="1:4" ht="14.25" customHeight="1" x14ac:dyDescent="0.35">
      <c r="A50" s="26">
        <f t="shared" si="2"/>
        <v>2037</v>
      </c>
      <c r="B50" s="11">
        <f>'Capital Costs'!C18</f>
        <v>0</v>
      </c>
      <c r="C50" s="25">
        <f>B50/(1.07)^(A50-Overview!$B$22)</f>
        <v>0</v>
      </c>
    </row>
    <row r="51" spans="1:4" ht="14.25" customHeight="1" x14ac:dyDescent="0.35">
      <c r="A51" s="26">
        <f t="shared" si="2"/>
        <v>2038</v>
      </c>
      <c r="B51" s="11">
        <f>'Capital Costs'!C19</f>
        <v>0</v>
      </c>
      <c r="C51" s="25">
        <f>B51/(1.07)^(A51-Overview!$B$22)</f>
        <v>0</v>
      </c>
    </row>
    <row r="52" spans="1:4" ht="14.25" customHeight="1" x14ac:dyDescent="0.35">
      <c r="A52" s="26">
        <f t="shared" si="2"/>
        <v>2039</v>
      </c>
      <c r="B52" s="11">
        <f>'Capital Costs'!C20</f>
        <v>0</v>
      </c>
      <c r="C52" s="25">
        <f>B52/(1.07)^(A52-Overview!$B$22)</f>
        <v>0</v>
      </c>
    </row>
    <row r="53" spans="1:4" ht="14.25" customHeight="1" x14ac:dyDescent="0.35">
      <c r="A53" s="26">
        <f t="shared" si="2"/>
        <v>2040</v>
      </c>
      <c r="B53" s="11">
        <f>'Capital Costs'!C21</f>
        <v>0</v>
      </c>
      <c r="C53" s="25">
        <f>B53/(1.07)^(A53-Overview!$B$22)</f>
        <v>0</v>
      </c>
    </row>
    <row r="54" spans="1:4" ht="14.25" customHeight="1" x14ac:dyDescent="0.35">
      <c r="A54" s="26">
        <f t="shared" si="2"/>
        <v>2041</v>
      </c>
      <c r="B54" s="11">
        <f>'Capital Costs'!C22</f>
        <v>0</v>
      </c>
      <c r="C54" s="25">
        <f>B54/(1.07)^(A54-Overview!$B$22)</f>
        <v>0</v>
      </c>
    </row>
    <row r="55" spans="1:4" ht="14.25" customHeight="1" x14ac:dyDescent="0.35">
      <c r="A55" s="26">
        <f t="shared" si="2"/>
        <v>2042</v>
      </c>
      <c r="B55" s="11">
        <f>'Capital Costs'!C23</f>
        <v>0</v>
      </c>
      <c r="C55" s="25">
        <f>B55/(1.07)^(A55-Overview!$B$22)</f>
        <v>0</v>
      </c>
    </row>
    <row r="56" spans="1:4" ht="14.25" customHeight="1" x14ac:dyDescent="0.35">
      <c r="A56" s="21" t="s">
        <v>21</v>
      </c>
      <c r="B56" s="17">
        <f>SUM(B41:B55)</f>
        <v>40259178.290799834</v>
      </c>
      <c r="C56" s="28">
        <f>SUM(C41:C55)+'Capital Costs'!A5</f>
        <v>29258760.046785671</v>
      </c>
      <c r="D56" s="27"/>
    </row>
    <row r="57" spans="1:4" ht="14.25" customHeight="1" x14ac:dyDescent="0.35">
      <c r="C57" s="27"/>
      <c r="D57" s="27"/>
    </row>
    <row r="58" spans="1:4" ht="14.25" customHeight="1" x14ac:dyDescent="0.35">
      <c r="C58" s="27"/>
      <c r="D58" s="27"/>
    </row>
    <row r="59" spans="1:4" ht="14.25" customHeight="1" x14ac:dyDescent="0.35">
      <c r="C59" s="27"/>
      <c r="D59" s="27"/>
    </row>
    <row r="60" spans="1:4" ht="14.25" customHeight="1" x14ac:dyDescent="0.35">
      <c r="C60" s="27"/>
      <c r="D60" s="27"/>
    </row>
    <row r="61" spans="1:4" ht="14.25" customHeight="1" x14ac:dyDescent="0.35">
      <c r="C61" s="27"/>
      <c r="D61" s="27"/>
    </row>
    <row r="62" spans="1:4" ht="14.25" customHeight="1" x14ac:dyDescent="0.35">
      <c r="C62" s="27"/>
      <c r="D62" s="27"/>
    </row>
    <row r="63" spans="1:4" ht="14.25" customHeight="1" x14ac:dyDescent="0.35">
      <c r="D63" s="27"/>
    </row>
    <row r="65" spans="3:3" ht="14.25" customHeight="1" x14ac:dyDescent="0.35">
      <c r="C65" s="29"/>
    </row>
  </sheetData>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A9D18E"/>
  </sheetPr>
  <dimension ref="A1:BX246"/>
  <sheetViews>
    <sheetView workbookViewId="0"/>
  </sheetViews>
  <sheetFormatPr defaultColWidth="8.6328125" defaultRowHeight="14.5" x14ac:dyDescent="0.35"/>
  <cols>
    <col min="1" max="1" width="30.1796875" customWidth="1"/>
    <col min="2" max="5" width="20.7265625" customWidth="1"/>
    <col min="6" max="6" width="16.54296875" customWidth="1"/>
    <col min="7" max="7" width="17.453125" customWidth="1"/>
    <col min="8" max="8" width="21.1796875" customWidth="1"/>
    <col min="9" max="9" width="16.1796875" customWidth="1"/>
    <col min="10" max="10" width="16.81640625" customWidth="1"/>
    <col min="11" max="11" width="17.26953125" customWidth="1"/>
    <col min="12" max="12" width="16.81640625" customWidth="1"/>
    <col min="13" max="13" width="17.26953125" customWidth="1"/>
    <col min="14" max="76" width="9.1796875" style="3" customWidth="1"/>
  </cols>
  <sheetData>
    <row r="1" spans="1:62" ht="19.5" customHeight="1" x14ac:dyDescent="0.45">
      <c r="A1" s="4" t="s">
        <v>441</v>
      </c>
      <c r="B1" s="3"/>
      <c r="C1" s="3"/>
      <c r="D1" s="3"/>
      <c r="E1" s="3"/>
      <c r="F1" s="3"/>
      <c r="G1" s="3"/>
      <c r="H1" s="3"/>
      <c r="I1" s="3"/>
      <c r="J1" s="3"/>
      <c r="K1" s="3"/>
      <c r="L1" s="3"/>
      <c r="M1" s="3"/>
    </row>
    <row r="2" spans="1:62" ht="15" customHeight="1" x14ac:dyDescent="0.35">
      <c r="A2" s="5" t="s">
        <v>442</v>
      </c>
      <c r="B2" s="5"/>
      <c r="C2" s="5"/>
      <c r="D2" s="5"/>
      <c r="E2" s="5"/>
      <c r="F2" s="5"/>
      <c r="G2" s="5"/>
      <c r="H2" s="5"/>
      <c r="I2" s="3"/>
      <c r="J2" s="3"/>
      <c r="K2" s="3"/>
      <c r="L2" s="3"/>
      <c r="M2" s="3"/>
    </row>
    <row r="3" spans="1:62" ht="14.25" customHeight="1" x14ac:dyDescent="0.35">
      <c r="A3" s="5" t="s">
        <v>443</v>
      </c>
      <c r="B3" s="5"/>
      <c r="C3" s="5"/>
      <c r="D3" s="5"/>
      <c r="E3" s="5"/>
      <c r="F3" s="5"/>
      <c r="G3" s="5"/>
      <c r="H3" s="5"/>
      <c r="I3" s="3"/>
      <c r="J3" s="3"/>
      <c r="K3" s="3"/>
      <c r="L3" s="3"/>
      <c r="M3" s="3"/>
    </row>
    <row r="4" spans="1:62" ht="14.25" customHeight="1" x14ac:dyDescent="0.35">
      <c r="A4" s="5" t="s">
        <v>444</v>
      </c>
      <c r="B4" s="5"/>
      <c r="C4" s="5"/>
      <c r="D4" s="5"/>
      <c r="E4" s="5"/>
      <c r="F4" s="3"/>
      <c r="G4" s="3"/>
      <c r="H4" s="3"/>
      <c r="I4" s="3"/>
      <c r="J4" s="3"/>
      <c r="K4" s="3"/>
      <c r="L4" s="3"/>
      <c r="M4" s="3"/>
    </row>
    <row r="5" spans="1:62" ht="14.25" customHeight="1" x14ac:dyDescent="0.35">
      <c r="A5" s="5" t="s">
        <v>445</v>
      </c>
      <c r="B5" s="5"/>
      <c r="C5" s="5"/>
      <c r="D5" s="5"/>
      <c r="E5" s="3"/>
      <c r="F5" s="3"/>
      <c r="G5" s="3"/>
      <c r="H5" s="3"/>
      <c r="I5" s="3"/>
      <c r="J5" s="3"/>
      <c r="K5" s="3"/>
      <c r="L5" s="3"/>
      <c r="M5" s="3"/>
    </row>
    <row r="6" spans="1:62" ht="14.25" customHeight="1" x14ac:dyDescent="0.35">
      <c r="A6" s="3" t="s">
        <v>2</v>
      </c>
      <c r="B6" s="3"/>
      <c r="C6" s="3"/>
      <c r="D6" s="3"/>
      <c r="E6" s="3"/>
      <c r="F6" s="3"/>
      <c r="G6" s="3"/>
      <c r="H6" s="3"/>
      <c r="I6" s="3"/>
      <c r="J6" s="3"/>
      <c r="K6" s="3"/>
      <c r="L6" s="3"/>
      <c r="M6" s="3"/>
    </row>
    <row r="7" spans="1:62" ht="15" customHeight="1" x14ac:dyDescent="0.35">
      <c r="A7" s="153" t="s">
        <v>446</v>
      </c>
      <c r="B7" s="3"/>
      <c r="C7" s="3"/>
      <c r="D7" s="3"/>
      <c r="E7" s="3"/>
      <c r="F7" s="3"/>
      <c r="G7" s="3"/>
      <c r="H7" s="3"/>
      <c r="I7" s="3"/>
      <c r="J7" s="3"/>
      <c r="K7" s="3"/>
      <c r="L7" s="3"/>
      <c r="M7" s="3"/>
    </row>
    <row r="8" spans="1:62" ht="14.25" customHeight="1" x14ac:dyDescent="0.35">
      <c r="A8" s="3"/>
      <c r="B8" s="398" t="s">
        <v>447</v>
      </c>
      <c r="C8" s="398"/>
      <c r="D8" s="397" t="s">
        <v>448</v>
      </c>
      <c r="E8" s="397"/>
      <c r="F8" s="397" t="s">
        <v>449</v>
      </c>
      <c r="G8" s="397"/>
      <c r="H8" s="397" t="s">
        <v>450</v>
      </c>
      <c r="I8" s="397"/>
      <c r="J8" s="397" t="s">
        <v>451</v>
      </c>
      <c r="K8" s="397"/>
      <c r="L8" s="397" t="s">
        <v>452</v>
      </c>
      <c r="M8" s="397"/>
      <c r="O8" s="154" t="s">
        <v>453</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6"/>
    </row>
    <row r="9" spans="1:62" ht="14.25" customHeight="1" x14ac:dyDescent="0.35">
      <c r="A9" s="157" t="s">
        <v>4</v>
      </c>
      <c r="B9" s="158" t="s">
        <v>454</v>
      </c>
      <c r="C9" s="158" t="s">
        <v>40</v>
      </c>
      <c r="D9" s="158" t="s">
        <v>454</v>
      </c>
      <c r="E9" s="158" t="s">
        <v>40</v>
      </c>
      <c r="F9" s="158" t="s">
        <v>454</v>
      </c>
      <c r="G9" s="158" t="s">
        <v>40</v>
      </c>
      <c r="H9" s="158" t="s">
        <v>454</v>
      </c>
      <c r="I9" s="158" t="s">
        <v>40</v>
      </c>
      <c r="J9" s="158" t="s">
        <v>454</v>
      </c>
      <c r="K9" s="158" t="s">
        <v>40</v>
      </c>
      <c r="L9" s="158" t="s">
        <v>454</v>
      </c>
      <c r="M9" s="158" t="s">
        <v>40</v>
      </c>
      <c r="O9" s="159"/>
      <c r="BJ9" s="160"/>
    </row>
    <row r="10" spans="1:62" ht="14.25" customHeight="1" x14ac:dyDescent="0.35">
      <c r="A10" s="10">
        <f>'Project Information'!$B$9</f>
        <v>2031</v>
      </c>
      <c r="B10" s="161">
        <v>0</v>
      </c>
      <c r="C10" s="161">
        <v>0</v>
      </c>
      <c r="D10" s="161">
        <v>0</v>
      </c>
      <c r="E10" s="161">
        <v>0</v>
      </c>
      <c r="F10" s="161">
        <v>0</v>
      </c>
      <c r="G10" s="161">
        <v>0</v>
      </c>
      <c r="H10" s="161">
        <v>0</v>
      </c>
      <c r="I10" s="161">
        <v>0</v>
      </c>
      <c r="J10" s="161">
        <v>0</v>
      </c>
      <c r="K10" s="161">
        <v>0</v>
      </c>
      <c r="L10" s="161">
        <v>0</v>
      </c>
      <c r="M10" s="161">
        <v>0</v>
      </c>
      <c r="O10" s="159"/>
      <c r="BJ10" s="160"/>
    </row>
    <row r="11" spans="1:62" ht="14.25" customHeight="1" x14ac:dyDescent="0.35">
      <c r="A11" s="15">
        <f>IF(A10&lt;'Project Information'!B$11,A10+1,"")</f>
        <v>2032</v>
      </c>
      <c r="B11" s="161">
        <v>0</v>
      </c>
      <c r="C11" s="161">
        <v>0</v>
      </c>
      <c r="D11" s="161">
        <v>0</v>
      </c>
      <c r="E11" s="161">
        <v>0</v>
      </c>
      <c r="F11" s="161">
        <v>0</v>
      </c>
      <c r="G11" s="161">
        <v>0</v>
      </c>
      <c r="H11" s="161">
        <v>0</v>
      </c>
      <c r="I11" s="161">
        <v>0</v>
      </c>
      <c r="J11" s="161">
        <v>0</v>
      </c>
      <c r="K11" s="161">
        <v>0</v>
      </c>
      <c r="L11" s="161">
        <v>0</v>
      </c>
      <c r="M11" s="161">
        <v>0</v>
      </c>
      <c r="O11" s="159"/>
      <c r="BJ11" s="160"/>
    </row>
    <row r="12" spans="1:62" ht="14.25" customHeight="1" x14ac:dyDescent="0.35">
      <c r="A12" s="15">
        <f>IF(A11&lt;'Project Information'!B$11,A11+1,"")</f>
        <v>2033</v>
      </c>
      <c r="B12" s="161">
        <v>0</v>
      </c>
      <c r="C12" s="161">
        <v>0</v>
      </c>
      <c r="D12" s="161">
        <v>0</v>
      </c>
      <c r="E12" s="161">
        <v>0</v>
      </c>
      <c r="F12" s="161">
        <v>0</v>
      </c>
      <c r="G12" s="161">
        <v>0</v>
      </c>
      <c r="H12" s="161">
        <v>0</v>
      </c>
      <c r="I12" s="161">
        <v>0</v>
      </c>
      <c r="J12" s="161">
        <v>0</v>
      </c>
      <c r="K12" s="161">
        <v>0</v>
      </c>
      <c r="L12" s="161">
        <v>0</v>
      </c>
      <c r="M12" s="161">
        <v>0</v>
      </c>
      <c r="O12" s="159"/>
      <c r="BJ12" s="160"/>
    </row>
    <row r="13" spans="1:62" ht="14.25" customHeight="1" x14ac:dyDescent="0.35">
      <c r="A13" s="15">
        <f>IF(A12&lt;'Project Information'!B$11,A12+1,"")</f>
        <v>2034</v>
      </c>
      <c r="B13" s="161">
        <v>0</v>
      </c>
      <c r="C13" s="161">
        <v>0</v>
      </c>
      <c r="D13" s="161">
        <v>0</v>
      </c>
      <c r="E13" s="161">
        <v>0</v>
      </c>
      <c r="F13" s="161">
        <v>0</v>
      </c>
      <c r="G13" s="161">
        <v>0</v>
      </c>
      <c r="H13" s="161">
        <v>0</v>
      </c>
      <c r="I13" s="161">
        <v>0</v>
      </c>
      <c r="J13" s="161">
        <v>0</v>
      </c>
      <c r="K13" s="161">
        <v>0</v>
      </c>
      <c r="L13" s="161">
        <v>0</v>
      </c>
      <c r="M13" s="161">
        <v>0</v>
      </c>
      <c r="O13" s="159"/>
      <c r="BJ13" s="160"/>
    </row>
    <row r="14" spans="1:62" ht="14.25" customHeight="1" x14ac:dyDescent="0.35">
      <c r="A14" s="15">
        <f>IF(A13&lt;'Project Information'!B$11,A13+1,"")</f>
        <v>2035</v>
      </c>
      <c r="B14" s="161">
        <v>0</v>
      </c>
      <c r="C14" s="161">
        <v>0</v>
      </c>
      <c r="D14" s="161">
        <v>0</v>
      </c>
      <c r="E14" s="161">
        <v>0</v>
      </c>
      <c r="F14" s="161">
        <v>0</v>
      </c>
      <c r="G14" s="161">
        <v>0</v>
      </c>
      <c r="H14" s="161">
        <v>0</v>
      </c>
      <c r="I14" s="161">
        <v>0</v>
      </c>
      <c r="J14" s="161">
        <v>0</v>
      </c>
      <c r="K14" s="161">
        <v>0</v>
      </c>
      <c r="L14" s="161">
        <v>0</v>
      </c>
      <c r="M14" s="161">
        <v>0</v>
      </c>
      <c r="O14" s="159"/>
      <c r="BJ14" s="160"/>
    </row>
    <row r="15" spans="1:62" ht="14.25" customHeight="1" x14ac:dyDescent="0.35">
      <c r="A15" s="15">
        <f>IF(A14&lt;'Project Information'!B$11,A14+1,"")</f>
        <v>2036</v>
      </c>
      <c r="B15" s="161">
        <v>0</v>
      </c>
      <c r="C15" s="161">
        <v>0</v>
      </c>
      <c r="D15" s="161">
        <v>0</v>
      </c>
      <c r="E15" s="161">
        <v>0</v>
      </c>
      <c r="F15" s="161">
        <v>0</v>
      </c>
      <c r="G15" s="161">
        <v>0</v>
      </c>
      <c r="H15" s="161">
        <v>0</v>
      </c>
      <c r="I15" s="161">
        <v>0</v>
      </c>
      <c r="J15" s="161">
        <v>0</v>
      </c>
      <c r="K15" s="161">
        <v>0</v>
      </c>
      <c r="L15" s="161">
        <v>0</v>
      </c>
      <c r="M15" s="161">
        <v>0</v>
      </c>
      <c r="O15" s="159"/>
      <c r="BJ15" s="160"/>
    </row>
    <row r="16" spans="1:62" ht="14.25" customHeight="1" x14ac:dyDescent="0.35">
      <c r="A16" s="15">
        <f>IF(A15&lt;'Project Information'!B$11,A15+1,"")</f>
        <v>2037</v>
      </c>
      <c r="B16" s="161">
        <v>0</v>
      </c>
      <c r="C16" s="161">
        <v>0</v>
      </c>
      <c r="D16" s="161">
        <v>0</v>
      </c>
      <c r="E16" s="161">
        <v>0</v>
      </c>
      <c r="F16" s="161">
        <v>0</v>
      </c>
      <c r="G16" s="161">
        <v>0</v>
      </c>
      <c r="H16" s="161">
        <v>0</v>
      </c>
      <c r="I16" s="161">
        <v>0</v>
      </c>
      <c r="J16" s="161">
        <v>0</v>
      </c>
      <c r="K16" s="161">
        <v>0</v>
      </c>
      <c r="L16" s="161">
        <v>0</v>
      </c>
      <c r="M16" s="161">
        <v>0</v>
      </c>
      <c r="O16" s="159"/>
      <c r="BJ16" s="160"/>
    </row>
    <row r="17" spans="1:62" ht="14.25" customHeight="1" x14ac:dyDescent="0.35">
      <c r="A17" s="15">
        <f>IF(A16&lt;'Project Information'!B$11,A16+1,"")</f>
        <v>2038</v>
      </c>
      <c r="B17" s="161">
        <v>0</v>
      </c>
      <c r="C17" s="161">
        <v>0</v>
      </c>
      <c r="D17" s="161">
        <v>0</v>
      </c>
      <c r="E17" s="161">
        <v>0</v>
      </c>
      <c r="F17" s="161">
        <v>0</v>
      </c>
      <c r="G17" s="161">
        <v>0</v>
      </c>
      <c r="H17" s="161">
        <v>0</v>
      </c>
      <c r="I17" s="161">
        <v>0</v>
      </c>
      <c r="J17" s="161">
        <v>0</v>
      </c>
      <c r="K17" s="161">
        <v>0</v>
      </c>
      <c r="L17" s="161">
        <v>0</v>
      </c>
      <c r="M17" s="161">
        <v>0</v>
      </c>
      <c r="O17" s="159"/>
      <c r="BJ17" s="160"/>
    </row>
    <row r="18" spans="1:62" ht="14.25" customHeight="1" x14ac:dyDescent="0.35">
      <c r="A18" s="15">
        <f>IF(A17&lt;'Project Information'!B$11,A17+1,"")</f>
        <v>2039</v>
      </c>
      <c r="B18" s="161">
        <v>0</v>
      </c>
      <c r="C18" s="161">
        <v>0</v>
      </c>
      <c r="D18" s="161">
        <v>0</v>
      </c>
      <c r="E18" s="161">
        <v>0</v>
      </c>
      <c r="F18" s="161">
        <v>0</v>
      </c>
      <c r="G18" s="161">
        <v>0</v>
      </c>
      <c r="H18" s="161">
        <v>0</v>
      </c>
      <c r="I18" s="161">
        <v>0</v>
      </c>
      <c r="J18" s="161">
        <v>0</v>
      </c>
      <c r="K18" s="161">
        <v>0</v>
      </c>
      <c r="L18" s="161">
        <v>0</v>
      </c>
      <c r="M18" s="161">
        <v>0</v>
      </c>
      <c r="O18" s="159"/>
      <c r="BJ18" s="160"/>
    </row>
    <row r="19" spans="1:62" ht="14.25" customHeight="1" x14ac:dyDescent="0.35">
      <c r="A19" s="15">
        <f>IF(A18&lt;'Project Information'!B$11,A18+1,"")</f>
        <v>2040</v>
      </c>
      <c r="B19" s="161">
        <v>0</v>
      </c>
      <c r="C19" s="161">
        <v>0</v>
      </c>
      <c r="D19" s="161">
        <v>0</v>
      </c>
      <c r="E19" s="161">
        <v>0</v>
      </c>
      <c r="F19" s="161">
        <v>0</v>
      </c>
      <c r="G19" s="161">
        <v>0</v>
      </c>
      <c r="H19" s="161">
        <v>0</v>
      </c>
      <c r="I19" s="161">
        <v>0</v>
      </c>
      <c r="J19" s="161">
        <v>0</v>
      </c>
      <c r="K19" s="161">
        <v>0</v>
      </c>
      <c r="L19" s="161">
        <v>0</v>
      </c>
      <c r="M19" s="161">
        <v>0</v>
      </c>
      <c r="O19" s="159"/>
      <c r="BJ19" s="160"/>
    </row>
    <row r="20" spans="1:62" ht="14.25" customHeight="1" x14ac:dyDescent="0.35">
      <c r="A20" s="15">
        <f>IF(A19&lt;'Project Information'!B$11,A19+1,"")</f>
        <v>2041</v>
      </c>
      <c r="B20" s="161">
        <v>0</v>
      </c>
      <c r="C20" s="161">
        <v>0</v>
      </c>
      <c r="D20" s="161">
        <v>0</v>
      </c>
      <c r="E20" s="161">
        <v>0</v>
      </c>
      <c r="F20" s="161">
        <v>0</v>
      </c>
      <c r="G20" s="161">
        <v>0</v>
      </c>
      <c r="H20" s="161">
        <v>0</v>
      </c>
      <c r="I20" s="161">
        <v>0</v>
      </c>
      <c r="J20" s="161">
        <v>0</v>
      </c>
      <c r="K20" s="161">
        <v>0</v>
      </c>
      <c r="L20" s="161">
        <v>0</v>
      </c>
      <c r="M20" s="161">
        <v>0</v>
      </c>
      <c r="O20" s="159"/>
      <c r="BJ20" s="160"/>
    </row>
    <row r="21" spans="1:62" ht="14.25" customHeight="1" x14ac:dyDescent="0.35">
      <c r="A21" s="15">
        <f>IF(A20&lt;'Project Information'!B$11,A20+1,"")</f>
        <v>2042</v>
      </c>
      <c r="B21" s="161">
        <v>0</v>
      </c>
      <c r="C21" s="161">
        <v>0</v>
      </c>
      <c r="D21" s="161">
        <v>0</v>
      </c>
      <c r="E21" s="161">
        <v>0</v>
      </c>
      <c r="F21" s="161">
        <v>0</v>
      </c>
      <c r="G21" s="161">
        <v>0</v>
      </c>
      <c r="H21" s="161">
        <v>0</v>
      </c>
      <c r="I21" s="161">
        <v>0</v>
      </c>
      <c r="J21" s="161">
        <v>0</v>
      </c>
      <c r="K21" s="161">
        <v>0</v>
      </c>
      <c r="L21" s="161">
        <v>0</v>
      </c>
      <c r="M21" s="161">
        <v>0</v>
      </c>
      <c r="O21" s="159"/>
      <c r="BJ21" s="160"/>
    </row>
    <row r="22" spans="1:62" ht="14.25" customHeight="1" x14ac:dyDescent="0.35">
      <c r="A22" s="15">
        <f>IF(A21&lt;'Project Information'!B$11,A21+1,"")</f>
        <v>2043</v>
      </c>
      <c r="B22" s="161">
        <v>0</v>
      </c>
      <c r="C22" s="161">
        <v>0</v>
      </c>
      <c r="D22" s="161">
        <v>0</v>
      </c>
      <c r="E22" s="161">
        <v>0</v>
      </c>
      <c r="F22" s="161">
        <v>0</v>
      </c>
      <c r="G22" s="161">
        <v>0</v>
      </c>
      <c r="H22" s="161">
        <v>0</v>
      </c>
      <c r="I22" s="161">
        <v>0</v>
      </c>
      <c r="J22" s="161">
        <v>0</v>
      </c>
      <c r="K22" s="161">
        <v>0</v>
      </c>
      <c r="L22" s="161">
        <v>0</v>
      </c>
      <c r="M22" s="161">
        <v>0</v>
      </c>
      <c r="O22" s="159"/>
      <c r="BJ22" s="160"/>
    </row>
    <row r="23" spans="1:62" ht="14.25" customHeight="1" x14ac:dyDescent="0.35">
      <c r="A23" s="15">
        <f>IF(A22&lt;'Project Information'!B$11,A22+1,"")</f>
        <v>2044</v>
      </c>
      <c r="B23" s="161">
        <v>0</v>
      </c>
      <c r="C23" s="161">
        <v>0</v>
      </c>
      <c r="D23" s="161">
        <v>0</v>
      </c>
      <c r="E23" s="161">
        <v>0</v>
      </c>
      <c r="F23" s="161">
        <v>0</v>
      </c>
      <c r="G23" s="161">
        <v>0</v>
      </c>
      <c r="H23" s="161">
        <v>0</v>
      </c>
      <c r="I23" s="161">
        <v>0</v>
      </c>
      <c r="J23" s="161">
        <v>0</v>
      </c>
      <c r="K23" s="161">
        <v>0</v>
      </c>
      <c r="L23" s="161">
        <v>0</v>
      </c>
      <c r="M23" s="161">
        <v>0</v>
      </c>
      <c r="O23" s="159"/>
      <c r="BJ23" s="160"/>
    </row>
    <row r="24" spans="1:62" ht="14.25" customHeight="1" x14ac:dyDescent="0.35">
      <c r="A24" s="15">
        <f>IF(A23&lt;'Project Information'!B$11,A23+1,"")</f>
        <v>2045</v>
      </c>
      <c r="B24" s="161">
        <v>0</v>
      </c>
      <c r="C24" s="161">
        <v>0</v>
      </c>
      <c r="D24" s="161">
        <v>0</v>
      </c>
      <c r="E24" s="161">
        <v>0</v>
      </c>
      <c r="F24" s="161">
        <v>0</v>
      </c>
      <c r="G24" s="161">
        <v>0</v>
      </c>
      <c r="H24" s="161">
        <v>0</v>
      </c>
      <c r="I24" s="161">
        <v>0</v>
      </c>
      <c r="J24" s="161">
        <v>0</v>
      </c>
      <c r="K24" s="161">
        <v>0</v>
      </c>
      <c r="L24" s="161">
        <v>0</v>
      </c>
      <c r="M24" s="161">
        <v>0</v>
      </c>
      <c r="O24" s="159"/>
      <c r="BJ24" s="160"/>
    </row>
    <row r="25" spans="1:62" ht="14.25" customHeight="1" x14ac:dyDescent="0.35">
      <c r="A25" s="15">
        <f>IF(A24&lt;'Project Information'!B$11,A24+1,"")</f>
        <v>2046</v>
      </c>
      <c r="B25" s="161">
        <v>0</v>
      </c>
      <c r="C25" s="161">
        <v>0</v>
      </c>
      <c r="D25" s="161">
        <v>0</v>
      </c>
      <c r="E25" s="161">
        <v>0</v>
      </c>
      <c r="F25" s="161">
        <v>0</v>
      </c>
      <c r="G25" s="161">
        <v>0</v>
      </c>
      <c r="H25" s="161">
        <v>0</v>
      </c>
      <c r="I25" s="161">
        <v>0</v>
      </c>
      <c r="J25" s="161">
        <v>0</v>
      </c>
      <c r="K25" s="161">
        <v>0</v>
      </c>
      <c r="L25" s="161">
        <v>0</v>
      </c>
      <c r="M25" s="161">
        <v>0</v>
      </c>
      <c r="O25" s="159"/>
      <c r="BJ25" s="160"/>
    </row>
    <row r="26" spans="1:62" ht="14.25" customHeight="1" x14ac:dyDescent="0.35">
      <c r="A26" s="15">
        <f>IF(A25&lt;'Project Information'!B$11,A25+1,"")</f>
        <v>2047</v>
      </c>
      <c r="B26" s="161">
        <v>0</v>
      </c>
      <c r="C26" s="161">
        <v>0</v>
      </c>
      <c r="D26" s="161">
        <v>0</v>
      </c>
      <c r="E26" s="161">
        <v>0</v>
      </c>
      <c r="F26" s="161">
        <v>0</v>
      </c>
      <c r="G26" s="161">
        <v>0</v>
      </c>
      <c r="H26" s="161">
        <v>0</v>
      </c>
      <c r="I26" s="161">
        <v>0</v>
      </c>
      <c r="J26" s="161">
        <v>0</v>
      </c>
      <c r="K26" s="161">
        <v>0</v>
      </c>
      <c r="L26" s="161">
        <v>0</v>
      </c>
      <c r="M26" s="161">
        <v>0</v>
      </c>
      <c r="O26" s="159"/>
      <c r="BJ26" s="160"/>
    </row>
    <row r="27" spans="1:62" ht="14.25" customHeight="1" x14ac:dyDescent="0.35">
      <c r="A27" s="15">
        <f>IF(A26&lt;'Project Information'!B$11,A26+1,"")</f>
        <v>2048</v>
      </c>
      <c r="B27" s="161">
        <v>0</v>
      </c>
      <c r="C27" s="161">
        <v>0</v>
      </c>
      <c r="D27" s="161">
        <v>0</v>
      </c>
      <c r="E27" s="161">
        <v>0</v>
      </c>
      <c r="F27" s="161">
        <v>0</v>
      </c>
      <c r="G27" s="161">
        <v>0</v>
      </c>
      <c r="H27" s="161">
        <v>0</v>
      </c>
      <c r="I27" s="161">
        <v>0</v>
      </c>
      <c r="J27" s="161">
        <v>0</v>
      </c>
      <c r="K27" s="161">
        <v>0</v>
      </c>
      <c r="L27" s="161">
        <v>0</v>
      </c>
      <c r="M27" s="161">
        <v>0</v>
      </c>
      <c r="O27" s="159"/>
      <c r="BJ27" s="160"/>
    </row>
    <row r="28" spans="1:62" ht="14.25" customHeight="1" x14ac:dyDescent="0.35">
      <c r="A28" s="15">
        <f>IF(A27&lt;'Project Information'!B$11,A27+1,"")</f>
        <v>2049</v>
      </c>
      <c r="B28" s="161">
        <v>0</v>
      </c>
      <c r="C28" s="161">
        <v>0</v>
      </c>
      <c r="D28" s="161">
        <v>0</v>
      </c>
      <c r="E28" s="161">
        <v>0</v>
      </c>
      <c r="F28" s="161">
        <v>0</v>
      </c>
      <c r="G28" s="161">
        <v>0</v>
      </c>
      <c r="H28" s="161">
        <v>0</v>
      </c>
      <c r="I28" s="161">
        <v>0</v>
      </c>
      <c r="J28" s="161">
        <v>0</v>
      </c>
      <c r="K28" s="161">
        <v>0</v>
      </c>
      <c r="L28" s="161">
        <v>0</v>
      </c>
      <c r="M28" s="161">
        <v>0</v>
      </c>
      <c r="O28" s="159"/>
      <c r="BJ28" s="160"/>
    </row>
    <row r="29" spans="1:62" ht="14.25" customHeight="1" x14ac:dyDescent="0.35">
      <c r="A29" s="15">
        <f>IF(A28&lt;'Project Information'!B$11,A28+1,"")</f>
        <v>2050</v>
      </c>
      <c r="B29" s="161">
        <v>0</v>
      </c>
      <c r="C29" s="161">
        <v>0</v>
      </c>
      <c r="D29" s="161">
        <v>0</v>
      </c>
      <c r="E29" s="161">
        <v>0</v>
      </c>
      <c r="F29" s="161">
        <v>0</v>
      </c>
      <c r="G29" s="161">
        <v>0</v>
      </c>
      <c r="H29" s="161">
        <v>0</v>
      </c>
      <c r="I29" s="161">
        <v>0</v>
      </c>
      <c r="J29" s="161">
        <v>0</v>
      </c>
      <c r="K29" s="161">
        <v>0</v>
      </c>
      <c r="L29" s="161">
        <v>0</v>
      </c>
      <c r="M29" s="161">
        <v>0</v>
      </c>
      <c r="O29" s="159"/>
      <c r="BJ29" s="160"/>
    </row>
    <row r="30" spans="1:62" ht="14.25" customHeight="1" x14ac:dyDescent="0.35">
      <c r="A30" s="15">
        <f>IF(A29&lt;'Project Information'!B$11,A29+1,"")</f>
        <v>2051</v>
      </c>
      <c r="B30" s="161">
        <v>0</v>
      </c>
      <c r="C30" s="161">
        <v>0</v>
      </c>
      <c r="D30" s="161">
        <v>0</v>
      </c>
      <c r="E30" s="161">
        <v>0</v>
      </c>
      <c r="F30" s="161">
        <v>0</v>
      </c>
      <c r="G30" s="161">
        <v>0</v>
      </c>
      <c r="H30" s="161">
        <v>0</v>
      </c>
      <c r="I30" s="161">
        <v>0</v>
      </c>
      <c r="J30" s="161">
        <v>0</v>
      </c>
      <c r="K30" s="161">
        <v>0</v>
      </c>
      <c r="L30" s="161">
        <v>0</v>
      </c>
      <c r="M30" s="161">
        <v>0</v>
      </c>
      <c r="O30" s="159"/>
      <c r="BJ30" s="160"/>
    </row>
    <row r="31" spans="1:62" ht="14.25" customHeight="1" x14ac:dyDescent="0.35">
      <c r="A31" s="15">
        <f>IF(A30&lt;'Project Information'!B$11,A30+1,"")</f>
        <v>2052</v>
      </c>
      <c r="B31" s="161">
        <v>0</v>
      </c>
      <c r="C31" s="161">
        <v>0</v>
      </c>
      <c r="D31" s="161">
        <v>0</v>
      </c>
      <c r="E31" s="161">
        <v>0</v>
      </c>
      <c r="F31" s="161">
        <v>0</v>
      </c>
      <c r="G31" s="161">
        <v>0</v>
      </c>
      <c r="H31" s="161">
        <v>0</v>
      </c>
      <c r="I31" s="161">
        <v>0</v>
      </c>
      <c r="J31" s="161">
        <v>0</v>
      </c>
      <c r="K31" s="161">
        <v>0</v>
      </c>
      <c r="L31" s="161">
        <v>0</v>
      </c>
      <c r="M31" s="161">
        <v>0</v>
      </c>
      <c r="O31" s="159"/>
      <c r="BJ31" s="160"/>
    </row>
    <row r="32" spans="1:62" ht="14.25" customHeight="1" x14ac:dyDescent="0.35">
      <c r="A32" s="15">
        <f>IF(A31&lt;'Project Information'!B$11,A31+1,"")</f>
        <v>2053</v>
      </c>
      <c r="B32" s="161">
        <v>0</v>
      </c>
      <c r="C32" s="161">
        <v>0</v>
      </c>
      <c r="D32" s="161">
        <v>0</v>
      </c>
      <c r="E32" s="161">
        <v>0</v>
      </c>
      <c r="F32" s="161">
        <v>0</v>
      </c>
      <c r="G32" s="161">
        <v>0</v>
      </c>
      <c r="H32" s="161">
        <v>0</v>
      </c>
      <c r="I32" s="161">
        <v>0</v>
      </c>
      <c r="J32" s="161">
        <v>0</v>
      </c>
      <c r="K32" s="161">
        <v>0</v>
      </c>
      <c r="L32" s="161">
        <v>0</v>
      </c>
      <c r="M32" s="161">
        <v>0</v>
      </c>
      <c r="O32" s="159"/>
      <c r="BJ32" s="160"/>
    </row>
    <row r="33" spans="1:62" ht="14.25" customHeight="1" x14ac:dyDescent="0.35">
      <c r="A33" s="15">
        <f>IF(A32&lt;'Project Information'!B$11,A32+1,"")</f>
        <v>2054</v>
      </c>
      <c r="B33" s="161">
        <v>0</v>
      </c>
      <c r="C33" s="161">
        <v>0</v>
      </c>
      <c r="D33" s="161">
        <v>0</v>
      </c>
      <c r="E33" s="161">
        <v>0</v>
      </c>
      <c r="F33" s="161">
        <v>0</v>
      </c>
      <c r="G33" s="161">
        <v>0</v>
      </c>
      <c r="H33" s="161">
        <v>0</v>
      </c>
      <c r="I33" s="161">
        <v>0</v>
      </c>
      <c r="J33" s="161">
        <v>0</v>
      </c>
      <c r="K33" s="161">
        <v>0</v>
      </c>
      <c r="L33" s="161">
        <v>0</v>
      </c>
      <c r="M33" s="161">
        <v>0</v>
      </c>
      <c r="O33" s="159"/>
      <c r="BJ33" s="160"/>
    </row>
    <row r="34" spans="1:62" ht="14.25" customHeight="1" x14ac:dyDescent="0.35">
      <c r="A34" s="15">
        <f>IF(A33&lt;'Project Information'!B$11,A33+1,"")</f>
        <v>2055</v>
      </c>
      <c r="B34" s="161">
        <v>0</v>
      </c>
      <c r="C34" s="161">
        <v>0</v>
      </c>
      <c r="D34" s="161">
        <v>0</v>
      </c>
      <c r="E34" s="161">
        <v>0</v>
      </c>
      <c r="F34" s="161">
        <v>0</v>
      </c>
      <c r="G34" s="161">
        <v>0</v>
      </c>
      <c r="H34" s="161">
        <v>0</v>
      </c>
      <c r="I34" s="161">
        <v>0</v>
      </c>
      <c r="J34" s="161">
        <v>0</v>
      </c>
      <c r="K34" s="161">
        <v>0</v>
      </c>
      <c r="L34" s="161">
        <v>0</v>
      </c>
      <c r="M34" s="161">
        <v>0</v>
      </c>
      <c r="O34" s="159"/>
      <c r="BJ34" s="160"/>
    </row>
    <row r="35" spans="1:62" ht="14.25" customHeight="1" x14ac:dyDescent="0.35">
      <c r="A35" s="15">
        <f>IF(A34&lt;'Project Information'!B$11,A34+1,"")</f>
        <v>2056</v>
      </c>
      <c r="B35" s="161">
        <v>0</v>
      </c>
      <c r="C35" s="161">
        <v>0</v>
      </c>
      <c r="D35" s="161">
        <v>0</v>
      </c>
      <c r="E35" s="161">
        <v>0</v>
      </c>
      <c r="F35" s="161">
        <v>0</v>
      </c>
      <c r="G35" s="161">
        <v>0</v>
      </c>
      <c r="H35" s="161">
        <v>0</v>
      </c>
      <c r="I35" s="161">
        <v>0</v>
      </c>
      <c r="J35" s="161">
        <v>0</v>
      </c>
      <c r="K35" s="161">
        <v>0</v>
      </c>
      <c r="L35" s="161">
        <v>0</v>
      </c>
      <c r="M35" s="161">
        <v>0</v>
      </c>
      <c r="O35" s="159"/>
      <c r="BJ35" s="160"/>
    </row>
    <row r="36" spans="1:62" ht="14.25" customHeight="1" x14ac:dyDescent="0.35">
      <c r="A36" s="15">
        <f>IF(A35&lt;'Project Information'!B$11,A35+1,"")</f>
        <v>2057</v>
      </c>
      <c r="B36" s="161">
        <v>0</v>
      </c>
      <c r="C36" s="161">
        <v>0</v>
      </c>
      <c r="D36" s="161">
        <v>0</v>
      </c>
      <c r="E36" s="161">
        <v>0</v>
      </c>
      <c r="F36" s="161">
        <v>0</v>
      </c>
      <c r="G36" s="161">
        <v>0</v>
      </c>
      <c r="H36" s="161">
        <v>0</v>
      </c>
      <c r="I36" s="161">
        <v>0</v>
      </c>
      <c r="J36" s="161">
        <v>0</v>
      </c>
      <c r="K36" s="161">
        <v>0</v>
      </c>
      <c r="L36" s="161">
        <v>0</v>
      </c>
      <c r="M36" s="161">
        <v>0</v>
      </c>
      <c r="O36" s="159"/>
      <c r="BJ36" s="160"/>
    </row>
    <row r="37" spans="1:62" ht="14.25" customHeight="1" x14ac:dyDescent="0.35">
      <c r="A37" s="15">
        <f>IF(A36&lt;'Project Information'!B$11,A36+1,"")</f>
        <v>2058</v>
      </c>
      <c r="B37" s="161">
        <v>0</v>
      </c>
      <c r="C37" s="161">
        <v>0</v>
      </c>
      <c r="D37" s="161">
        <v>0</v>
      </c>
      <c r="E37" s="161">
        <v>0</v>
      </c>
      <c r="F37" s="161">
        <v>0</v>
      </c>
      <c r="G37" s="161">
        <v>0</v>
      </c>
      <c r="H37" s="161">
        <v>0</v>
      </c>
      <c r="I37" s="161">
        <v>0</v>
      </c>
      <c r="J37" s="161">
        <v>0</v>
      </c>
      <c r="K37" s="161">
        <v>0</v>
      </c>
      <c r="L37" s="161">
        <v>0</v>
      </c>
      <c r="M37" s="161">
        <v>0</v>
      </c>
      <c r="O37" s="159"/>
      <c r="BJ37" s="160"/>
    </row>
    <row r="38" spans="1:62" ht="14.25" customHeight="1" x14ac:dyDescent="0.35">
      <c r="A38" s="15">
        <f>IF(A37&lt;'Project Information'!B$11,A37+1,"")</f>
        <v>2059</v>
      </c>
      <c r="B38" s="161">
        <v>0</v>
      </c>
      <c r="C38" s="161">
        <v>0</v>
      </c>
      <c r="D38" s="161">
        <v>0</v>
      </c>
      <c r="E38" s="161">
        <v>0</v>
      </c>
      <c r="F38" s="161">
        <v>0</v>
      </c>
      <c r="G38" s="161">
        <v>0</v>
      </c>
      <c r="H38" s="161">
        <v>0</v>
      </c>
      <c r="I38" s="161">
        <v>0</v>
      </c>
      <c r="J38" s="161">
        <v>0</v>
      </c>
      <c r="K38" s="161">
        <v>0</v>
      </c>
      <c r="L38" s="161">
        <v>0</v>
      </c>
      <c r="M38" s="161">
        <v>0</v>
      </c>
      <c r="O38" s="159"/>
      <c r="BJ38" s="160"/>
    </row>
    <row r="39" spans="1:62" ht="14.25" customHeight="1" x14ac:dyDescent="0.35">
      <c r="A39" s="15">
        <f>IF(A38&lt;'Project Information'!B$11,A38+1,"")</f>
        <v>2060</v>
      </c>
      <c r="B39" s="161">
        <v>0</v>
      </c>
      <c r="C39" s="161">
        <v>0</v>
      </c>
      <c r="D39" s="161">
        <v>0</v>
      </c>
      <c r="E39" s="161">
        <v>0</v>
      </c>
      <c r="F39" s="161">
        <v>0</v>
      </c>
      <c r="G39" s="161">
        <v>0</v>
      </c>
      <c r="H39" s="161">
        <v>0</v>
      </c>
      <c r="I39" s="161">
        <v>0</v>
      </c>
      <c r="J39" s="161">
        <v>0</v>
      </c>
      <c r="K39" s="161">
        <v>0</v>
      </c>
      <c r="L39" s="161">
        <v>0</v>
      </c>
      <c r="M39" s="161">
        <v>0</v>
      </c>
      <c r="O39" s="159"/>
      <c r="BJ39" s="160"/>
    </row>
    <row r="40" spans="1:62" s="3" customFormat="1" ht="14.25" customHeight="1" x14ac:dyDescent="0.35">
      <c r="O40" s="162"/>
      <c r="BJ40" s="163"/>
    </row>
    <row r="41" spans="1:62" s="3" customFormat="1" ht="14.25" customHeight="1" x14ac:dyDescent="0.35">
      <c r="O41" s="162"/>
      <c r="BJ41" s="163"/>
    </row>
    <row r="42" spans="1:62" s="3" customFormat="1" ht="14.25" customHeight="1" x14ac:dyDescent="0.35">
      <c r="O42" s="162"/>
      <c r="BJ42" s="163"/>
    </row>
    <row r="43" spans="1:62" s="3" customFormat="1" ht="14.25" customHeight="1" x14ac:dyDescent="0.35">
      <c r="O43" s="162"/>
      <c r="BJ43" s="163"/>
    </row>
    <row r="44" spans="1:62" s="3" customFormat="1" ht="14.25" customHeight="1" x14ac:dyDescent="0.35">
      <c r="O44" s="162"/>
      <c r="BJ44" s="163"/>
    </row>
    <row r="45" spans="1:62" s="3" customFormat="1" ht="14.25" customHeight="1" x14ac:dyDescent="0.35">
      <c r="O45" s="162"/>
      <c r="BJ45" s="163"/>
    </row>
    <row r="46" spans="1:62" s="3" customFormat="1" ht="14.25" customHeight="1" x14ac:dyDescent="0.35">
      <c r="O46" s="162"/>
      <c r="BJ46" s="163"/>
    </row>
    <row r="47" spans="1:62" s="3" customFormat="1" ht="14.25" customHeight="1" x14ac:dyDescent="0.35">
      <c r="O47" s="162"/>
      <c r="BJ47" s="163"/>
    </row>
    <row r="48" spans="1:62" s="3" customFormat="1" ht="15" customHeight="1" x14ac:dyDescent="0.35">
      <c r="O48" s="164"/>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6"/>
    </row>
    <row r="49" s="3" customFormat="1" ht="14.25" customHeight="1" x14ac:dyDescent="0.35"/>
    <row r="50" s="3" customFormat="1" ht="14.25" customHeight="1" x14ac:dyDescent="0.35"/>
    <row r="51" s="3" customFormat="1" ht="14.25" customHeight="1" x14ac:dyDescent="0.35"/>
    <row r="52" s="3" customFormat="1" ht="14.25" customHeight="1" x14ac:dyDescent="0.35"/>
    <row r="53" s="3" customFormat="1" ht="14.25" customHeight="1" x14ac:dyDescent="0.35"/>
    <row r="54" s="3" customFormat="1" ht="14.25" customHeight="1" x14ac:dyDescent="0.35"/>
    <row r="55" s="3" customFormat="1" ht="14.25" customHeight="1" x14ac:dyDescent="0.35"/>
    <row r="56" s="3" customFormat="1" ht="14.25" customHeight="1" x14ac:dyDescent="0.35"/>
    <row r="57" s="3" customFormat="1" ht="14.25" customHeight="1" x14ac:dyDescent="0.35"/>
    <row r="58" s="3" customFormat="1" ht="14.25" customHeight="1" x14ac:dyDescent="0.35"/>
    <row r="59" s="3" customFormat="1" ht="14.25" customHeight="1" x14ac:dyDescent="0.35"/>
    <row r="60" s="3" customFormat="1" ht="14.25" customHeight="1" x14ac:dyDescent="0.35"/>
    <row r="61" s="3" customFormat="1" ht="14.25" customHeight="1" x14ac:dyDescent="0.35"/>
    <row r="62" s="3" customFormat="1" ht="14.25" customHeight="1" x14ac:dyDescent="0.35"/>
    <row r="63" s="3" customFormat="1" ht="14.25" customHeight="1" x14ac:dyDescent="0.35"/>
    <row r="64" s="3" customFormat="1" ht="14.25" customHeight="1" x14ac:dyDescent="0.35"/>
    <row r="65" s="3" customFormat="1" ht="14.25" customHeight="1" x14ac:dyDescent="0.35"/>
    <row r="66" s="3" customFormat="1" ht="14.25" customHeight="1" x14ac:dyDescent="0.35"/>
    <row r="67" s="3" customFormat="1" ht="14.25" customHeight="1" x14ac:dyDescent="0.35"/>
    <row r="68" s="3" customFormat="1" ht="14.25" customHeight="1" x14ac:dyDescent="0.35"/>
    <row r="69" s="3" customFormat="1" ht="14.25" customHeight="1" x14ac:dyDescent="0.35"/>
    <row r="70" s="3" customFormat="1" ht="14.25" customHeight="1" x14ac:dyDescent="0.35"/>
    <row r="71" s="3" customFormat="1" ht="14.25" customHeight="1" x14ac:dyDescent="0.35"/>
    <row r="72" s="3" customFormat="1" ht="14.25" customHeight="1" x14ac:dyDescent="0.35"/>
    <row r="73" s="3" customFormat="1" ht="14.25" customHeight="1" x14ac:dyDescent="0.35"/>
    <row r="74" s="3" customFormat="1" ht="14.25" customHeight="1" x14ac:dyDescent="0.35"/>
    <row r="75" s="3" customFormat="1" ht="14.25" customHeight="1" x14ac:dyDescent="0.35"/>
    <row r="76" s="3" customFormat="1" ht="14.25" customHeight="1" x14ac:dyDescent="0.35"/>
    <row r="77" s="3" customFormat="1" ht="14.25" customHeight="1" x14ac:dyDescent="0.35"/>
    <row r="78" s="3" customFormat="1" ht="14.25" customHeight="1" x14ac:dyDescent="0.35"/>
    <row r="79" s="3" customFormat="1" ht="14.25" customHeight="1" x14ac:dyDescent="0.35"/>
    <row r="80" s="3" customFormat="1" ht="14.25" customHeight="1" x14ac:dyDescent="0.35"/>
    <row r="81" s="3" customFormat="1" ht="14.25" customHeight="1" x14ac:dyDescent="0.35"/>
    <row r="82" s="3" customFormat="1" ht="14.25" customHeight="1" x14ac:dyDescent="0.35"/>
    <row r="83" s="3" customFormat="1" ht="14.25" customHeight="1" x14ac:dyDescent="0.35"/>
    <row r="84" s="3" customFormat="1" ht="14.25" customHeight="1" x14ac:dyDescent="0.35"/>
    <row r="85" s="3" customFormat="1" ht="14.25" customHeight="1" x14ac:dyDescent="0.35"/>
    <row r="86" s="3" customFormat="1" ht="14.25" customHeight="1" x14ac:dyDescent="0.35"/>
    <row r="87" s="3" customFormat="1" ht="14.25" customHeight="1" x14ac:dyDescent="0.35"/>
    <row r="88" s="3" customFormat="1" ht="14.25" customHeight="1" x14ac:dyDescent="0.35"/>
    <row r="89" s="3" customFormat="1" ht="14.25" customHeight="1" x14ac:dyDescent="0.35"/>
    <row r="90" s="3" customFormat="1" ht="14.25" customHeight="1" x14ac:dyDescent="0.35"/>
    <row r="91" s="3" customFormat="1" ht="14.25" customHeight="1" x14ac:dyDescent="0.35"/>
    <row r="92" s="3" customFormat="1" ht="14.25" customHeight="1" x14ac:dyDescent="0.35"/>
    <row r="93" s="3" customFormat="1" ht="14.25" customHeight="1" x14ac:dyDescent="0.35"/>
    <row r="94" s="3" customFormat="1" ht="14.25" customHeight="1" x14ac:dyDescent="0.35"/>
    <row r="95" s="3" customFormat="1" ht="14.25" customHeight="1" x14ac:dyDescent="0.35"/>
    <row r="96" s="3" customFormat="1" ht="14.25" customHeight="1" x14ac:dyDescent="0.35"/>
    <row r="97" s="3" customFormat="1" ht="14.25" customHeight="1" x14ac:dyDescent="0.35"/>
    <row r="98" s="3" customFormat="1" ht="14.25" customHeight="1" x14ac:dyDescent="0.35"/>
    <row r="99" s="3" customFormat="1" ht="14.25" customHeight="1" x14ac:dyDescent="0.35"/>
    <row r="100" s="3" customFormat="1" ht="14.25" customHeight="1" x14ac:dyDescent="0.35"/>
    <row r="101" s="3" customFormat="1" ht="14.25" customHeight="1" x14ac:dyDescent="0.35"/>
    <row r="102" s="3" customFormat="1" ht="14.25" customHeight="1" x14ac:dyDescent="0.35"/>
    <row r="103" s="3" customFormat="1" ht="14.25" customHeight="1" x14ac:dyDescent="0.35"/>
    <row r="104" s="3" customFormat="1" ht="14.25" customHeight="1" x14ac:dyDescent="0.35"/>
    <row r="105" s="3" customFormat="1" ht="14.25" customHeight="1" x14ac:dyDescent="0.35"/>
    <row r="106" s="3" customFormat="1" ht="14.25" customHeight="1" x14ac:dyDescent="0.35"/>
    <row r="107" s="3" customFormat="1" ht="14.25" customHeight="1" x14ac:dyDescent="0.35"/>
    <row r="108" s="3" customFormat="1" ht="14.25" customHeight="1" x14ac:dyDescent="0.35"/>
    <row r="109" s="3" customFormat="1" ht="14.25" customHeight="1" x14ac:dyDescent="0.35"/>
    <row r="110" s="3" customFormat="1" ht="14.25" customHeight="1" x14ac:dyDescent="0.35"/>
    <row r="111" s="3" customFormat="1" ht="14.25" customHeight="1" x14ac:dyDescent="0.35"/>
    <row r="112" s="3" customFormat="1" ht="14.25" customHeight="1" x14ac:dyDescent="0.35"/>
    <row r="113" s="3" customFormat="1" ht="14.25" customHeight="1" x14ac:dyDescent="0.35"/>
    <row r="114" s="3" customFormat="1" ht="14.25" customHeight="1" x14ac:dyDescent="0.35"/>
    <row r="115" s="3" customFormat="1" ht="14.25" customHeight="1" x14ac:dyDescent="0.35"/>
    <row r="116" s="3" customFormat="1" ht="14.25" customHeight="1" x14ac:dyDescent="0.35"/>
    <row r="117" s="3" customFormat="1" ht="14.25" customHeight="1" x14ac:dyDescent="0.35"/>
    <row r="118" s="3" customFormat="1" ht="14.25" customHeight="1" x14ac:dyDescent="0.35"/>
    <row r="119" s="3" customFormat="1" ht="14.25" customHeight="1" x14ac:dyDescent="0.35"/>
    <row r="120" s="3" customFormat="1" ht="14.25" customHeight="1" x14ac:dyDescent="0.35"/>
    <row r="121" s="3" customFormat="1" ht="14.25" customHeight="1" x14ac:dyDescent="0.35"/>
    <row r="122" s="3" customFormat="1" ht="14.25" customHeight="1" x14ac:dyDescent="0.35"/>
    <row r="123" s="3" customFormat="1" ht="14.25" customHeight="1" x14ac:dyDescent="0.35"/>
    <row r="124" s="3" customFormat="1" ht="14.25" customHeight="1" x14ac:dyDescent="0.35"/>
    <row r="125" s="3" customFormat="1" ht="14.25" customHeight="1" x14ac:dyDescent="0.35"/>
    <row r="126" s="3" customFormat="1" ht="14.25" customHeight="1" x14ac:dyDescent="0.35"/>
    <row r="127" s="3" customFormat="1" ht="14.25" customHeight="1" x14ac:dyDescent="0.35"/>
    <row r="128" s="3" customFormat="1" ht="14.25" customHeight="1" x14ac:dyDescent="0.35"/>
    <row r="129" s="3" customFormat="1" ht="14.25" customHeight="1" x14ac:dyDescent="0.35"/>
    <row r="130" s="3" customFormat="1" ht="14.25" customHeight="1" x14ac:dyDescent="0.35"/>
    <row r="131" s="3" customFormat="1" ht="14.25" customHeight="1" x14ac:dyDescent="0.35"/>
    <row r="132" s="3" customFormat="1" ht="14.25" customHeight="1" x14ac:dyDescent="0.35"/>
    <row r="133" s="3" customFormat="1" ht="14.25" customHeight="1" x14ac:dyDescent="0.35"/>
    <row r="134" s="3" customFormat="1" ht="14.25" customHeight="1" x14ac:dyDescent="0.35"/>
    <row r="135" s="3" customFormat="1" ht="14.25" customHeight="1" x14ac:dyDescent="0.35"/>
    <row r="136" s="3" customFormat="1" ht="14.25" customHeight="1" x14ac:dyDescent="0.35"/>
    <row r="137" s="3" customFormat="1" ht="14.25" customHeight="1" x14ac:dyDescent="0.35"/>
    <row r="138" s="3" customFormat="1" ht="14.25" customHeight="1" x14ac:dyDescent="0.35"/>
    <row r="139" s="3" customFormat="1" ht="14.25" customHeight="1" x14ac:dyDescent="0.35"/>
    <row r="140" s="3" customFormat="1" ht="14.25" customHeight="1" x14ac:dyDescent="0.35"/>
    <row r="141" s="3" customFormat="1" ht="14.25" customHeight="1" x14ac:dyDescent="0.35"/>
    <row r="142" s="3" customFormat="1" ht="14.25" customHeight="1" x14ac:dyDescent="0.35"/>
    <row r="143" s="3" customFormat="1" ht="14.25" customHeight="1" x14ac:dyDescent="0.35"/>
    <row r="144" s="3" customFormat="1" ht="14.25" customHeight="1" x14ac:dyDescent="0.35"/>
    <row r="145" s="3" customFormat="1" ht="14.25" customHeight="1" x14ac:dyDescent="0.35"/>
    <row r="146" s="3" customFormat="1" ht="14.25" customHeight="1" x14ac:dyDescent="0.35"/>
    <row r="147" s="3" customFormat="1" ht="14.25" customHeight="1" x14ac:dyDescent="0.35"/>
    <row r="148" s="3" customFormat="1" ht="14.25" customHeight="1" x14ac:dyDescent="0.35"/>
    <row r="149" s="3" customFormat="1" ht="14.25" customHeight="1" x14ac:dyDescent="0.35"/>
    <row r="150" s="3" customFormat="1" ht="14.25" customHeight="1" x14ac:dyDescent="0.35"/>
    <row r="151" s="3" customFormat="1" ht="14.25" customHeight="1" x14ac:dyDescent="0.35"/>
    <row r="152" s="3" customFormat="1" ht="14.25" customHeight="1" x14ac:dyDescent="0.35"/>
    <row r="153" s="3" customFormat="1" ht="14.25" customHeight="1" x14ac:dyDescent="0.35"/>
    <row r="154" s="3" customFormat="1" ht="14.25" customHeight="1" x14ac:dyDescent="0.35"/>
    <row r="155" s="3" customFormat="1" ht="14.25" customHeight="1" x14ac:dyDescent="0.35"/>
    <row r="156" s="3" customFormat="1" ht="14.25" customHeight="1" x14ac:dyDescent="0.35"/>
    <row r="157" s="3" customFormat="1" ht="14.25" customHeight="1" x14ac:dyDescent="0.35"/>
    <row r="158" s="3" customFormat="1" ht="14.25" customHeight="1" x14ac:dyDescent="0.35"/>
    <row r="159" s="3" customFormat="1" ht="14.25" customHeight="1" x14ac:dyDescent="0.35"/>
    <row r="160" s="3" customFormat="1" ht="14.25" customHeight="1" x14ac:dyDescent="0.35"/>
    <row r="161" s="3" customFormat="1" ht="14.25" customHeight="1" x14ac:dyDescent="0.35"/>
    <row r="162" s="3" customFormat="1" ht="14.25" customHeight="1" x14ac:dyDescent="0.35"/>
    <row r="163" s="3" customFormat="1" ht="14.25" customHeight="1" x14ac:dyDescent="0.35"/>
    <row r="164" s="3" customFormat="1" ht="14.25" customHeight="1" x14ac:dyDescent="0.35"/>
    <row r="165" s="3" customFormat="1" ht="14.25" customHeight="1" x14ac:dyDescent="0.35"/>
    <row r="166" s="3" customFormat="1" ht="14.25" customHeight="1" x14ac:dyDescent="0.35"/>
    <row r="167" s="3" customFormat="1" ht="14.25" customHeight="1" x14ac:dyDescent="0.35"/>
    <row r="168" s="3" customFormat="1" ht="14.25" customHeight="1" x14ac:dyDescent="0.35"/>
    <row r="169" s="3" customFormat="1" ht="14.25" customHeight="1" x14ac:dyDescent="0.35"/>
    <row r="170" s="3" customFormat="1" ht="14.25" customHeight="1" x14ac:dyDescent="0.35"/>
    <row r="171" s="3" customFormat="1" ht="14.25" customHeight="1" x14ac:dyDescent="0.35"/>
    <row r="172" s="3" customFormat="1" ht="14.25" customHeight="1" x14ac:dyDescent="0.35"/>
    <row r="173" s="3" customFormat="1" ht="14.25" customHeight="1" x14ac:dyDescent="0.35"/>
    <row r="174" s="3" customFormat="1" ht="14.25" customHeight="1" x14ac:dyDescent="0.35"/>
    <row r="175" s="3" customFormat="1" ht="14.25" customHeight="1" x14ac:dyDescent="0.35"/>
    <row r="176" s="3" customFormat="1" ht="14.25" customHeight="1" x14ac:dyDescent="0.35"/>
    <row r="177" s="3" customFormat="1" ht="14.25" customHeight="1" x14ac:dyDescent="0.35"/>
    <row r="178" s="3" customFormat="1" ht="14.25" customHeight="1" x14ac:dyDescent="0.35"/>
    <row r="179" s="3" customFormat="1" ht="14.25" customHeight="1" x14ac:dyDescent="0.35"/>
    <row r="180" s="3" customFormat="1" ht="14.25" customHeight="1" x14ac:dyDescent="0.35"/>
    <row r="181" s="3" customFormat="1" ht="14.25" customHeight="1" x14ac:dyDescent="0.35"/>
    <row r="182" s="3" customFormat="1" ht="14.25" customHeight="1" x14ac:dyDescent="0.35"/>
    <row r="183" s="3" customFormat="1" ht="14.25" customHeight="1" x14ac:dyDescent="0.35"/>
    <row r="184" s="3" customFormat="1" ht="14.25" customHeight="1" x14ac:dyDescent="0.35"/>
    <row r="185" s="3" customFormat="1" ht="14.25" customHeight="1" x14ac:dyDescent="0.35"/>
    <row r="186" s="3" customFormat="1" ht="14.25" customHeight="1" x14ac:dyDescent="0.35"/>
    <row r="187" s="3" customFormat="1" ht="14.25" customHeight="1" x14ac:dyDescent="0.35"/>
    <row r="188" s="3" customFormat="1" ht="14.25" customHeight="1" x14ac:dyDescent="0.35"/>
    <row r="189" s="3" customFormat="1" ht="14.25" customHeight="1" x14ac:dyDescent="0.35"/>
    <row r="190" s="3" customFormat="1" ht="14.25" customHeight="1" x14ac:dyDescent="0.35"/>
    <row r="191" s="3" customFormat="1" ht="14.25" customHeight="1" x14ac:dyDescent="0.35"/>
    <row r="192" s="3" customFormat="1" ht="14.25" customHeight="1" x14ac:dyDescent="0.35"/>
    <row r="193" s="3" customFormat="1" ht="14.25" customHeight="1" x14ac:dyDescent="0.35"/>
    <row r="194" s="3" customFormat="1" ht="14.25" customHeight="1" x14ac:dyDescent="0.35"/>
    <row r="195" s="3" customFormat="1" ht="14.25" customHeight="1" x14ac:dyDescent="0.35"/>
    <row r="196" s="3" customFormat="1" ht="14.25" customHeight="1" x14ac:dyDescent="0.35"/>
    <row r="197" s="3" customFormat="1" ht="14.25" customHeight="1" x14ac:dyDescent="0.35"/>
    <row r="198" s="3" customFormat="1" ht="14.25" customHeight="1" x14ac:dyDescent="0.35"/>
    <row r="199" s="3" customFormat="1" ht="14.25" customHeight="1" x14ac:dyDescent="0.35"/>
    <row r="200" s="3" customFormat="1" ht="14.25" customHeight="1" x14ac:dyDescent="0.35"/>
    <row r="201" s="3" customFormat="1" ht="14.25" customHeight="1" x14ac:dyDescent="0.35"/>
    <row r="202" s="3" customFormat="1" ht="14.25" customHeight="1" x14ac:dyDescent="0.35"/>
    <row r="203" s="3" customFormat="1" ht="14.25" customHeight="1" x14ac:dyDescent="0.35"/>
    <row r="204" s="3" customFormat="1" ht="14.25" customHeight="1" x14ac:dyDescent="0.35"/>
    <row r="205" s="3" customFormat="1" ht="14.25" customHeight="1" x14ac:dyDescent="0.35"/>
    <row r="206" s="3" customFormat="1" ht="14.25" customHeight="1" x14ac:dyDescent="0.35"/>
    <row r="207" s="3" customFormat="1" ht="14.25" customHeight="1" x14ac:dyDescent="0.35"/>
    <row r="208" s="3" customFormat="1" ht="14.25" customHeight="1" x14ac:dyDescent="0.35"/>
    <row r="209" s="3" customFormat="1" ht="14.25" customHeight="1" x14ac:dyDescent="0.35"/>
    <row r="210" s="3" customFormat="1" ht="14.25" customHeight="1" x14ac:dyDescent="0.35"/>
    <row r="211" s="3" customFormat="1" ht="14.25" customHeight="1" x14ac:dyDescent="0.35"/>
    <row r="212" s="3" customFormat="1" ht="14.25" customHeight="1" x14ac:dyDescent="0.35"/>
    <row r="213" s="3" customFormat="1" ht="14.25" customHeight="1" x14ac:dyDescent="0.35"/>
    <row r="214" s="3" customFormat="1" ht="14.25" customHeight="1" x14ac:dyDescent="0.35"/>
    <row r="215" s="3" customFormat="1" ht="14.25" customHeight="1" x14ac:dyDescent="0.35"/>
    <row r="216" s="3" customFormat="1" ht="14.25" customHeight="1" x14ac:dyDescent="0.35"/>
    <row r="217" s="3" customFormat="1" ht="14.25" customHeight="1" x14ac:dyDescent="0.35"/>
    <row r="218" s="3" customFormat="1" ht="14.25" customHeight="1" x14ac:dyDescent="0.35"/>
    <row r="219" s="3" customFormat="1" ht="14.25" customHeight="1" x14ac:dyDescent="0.35"/>
    <row r="220" s="3" customFormat="1" ht="14.25" customHeight="1" x14ac:dyDescent="0.35"/>
    <row r="221" s="3" customFormat="1" ht="14.25" customHeight="1" x14ac:dyDescent="0.35"/>
    <row r="222" s="3" customFormat="1" ht="14.25" customHeight="1" x14ac:dyDescent="0.35"/>
    <row r="223" s="3" customFormat="1" ht="14.25" customHeight="1" x14ac:dyDescent="0.35"/>
    <row r="224" s="3" customFormat="1" ht="14.25" customHeight="1" x14ac:dyDescent="0.35"/>
    <row r="225" s="3" customFormat="1" ht="14.25" customHeight="1" x14ac:dyDescent="0.35"/>
    <row r="226" s="3" customFormat="1" ht="14.25" customHeight="1" x14ac:dyDescent="0.35"/>
    <row r="227" s="3" customFormat="1" ht="14.25" customHeight="1" x14ac:dyDescent="0.35"/>
    <row r="228" s="3" customFormat="1" ht="14.25" customHeight="1" x14ac:dyDescent="0.35"/>
    <row r="229" s="3" customFormat="1" ht="14.25" customHeight="1" x14ac:dyDescent="0.35"/>
    <row r="230" s="3" customFormat="1" ht="14.25" customHeight="1" x14ac:dyDescent="0.35"/>
    <row r="231" s="3" customFormat="1" ht="14.25" customHeight="1" x14ac:dyDescent="0.35"/>
    <row r="232" s="3" customFormat="1" ht="14.25" customHeight="1" x14ac:dyDescent="0.35"/>
    <row r="233" s="3" customFormat="1" ht="14.25" customHeight="1" x14ac:dyDescent="0.35"/>
    <row r="234" s="3" customFormat="1" ht="14.25" customHeight="1" x14ac:dyDescent="0.35"/>
    <row r="235" s="3" customFormat="1" ht="14.25" customHeight="1" x14ac:dyDescent="0.35"/>
    <row r="236" s="3" customFormat="1" ht="14.25" customHeight="1" x14ac:dyDescent="0.35"/>
    <row r="237" s="3" customFormat="1" ht="14.25" customHeight="1" x14ac:dyDescent="0.35"/>
    <row r="238" s="3" customFormat="1" ht="14.25" customHeight="1" x14ac:dyDescent="0.35"/>
    <row r="239" s="3" customFormat="1" ht="14.25" customHeight="1" x14ac:dyDescent="0.35"/>
    <row r="240" s="3" customFormat="1" ht="14.25" customHeight="1" x14ac:dyDescent="0.35"/>
    <row r="241" s="3" customFormat="1" ht="14.25" customHeight="1" x14ac:dyDescent="0.35"/>
    <row r="242" s="3" customFormat="1" ht="14.25" customHeight="1" x14ac:dyDescent="0.35"/>
    <row r="243" s="3" customFormat="1" ht="14.25" customHeight="1" x14ac:dyDescent="0.35"/>
    <row r="244" s="3" customFormat="1" ht="14.25" customHeight="1" x14ac:dyDescent="0.35"/>
    <row r="245" s="3" customFormat="1" ht="14.25" customHeight="1" x14ac:dyDescent="0.35"/>
    <row r="246" s="3" customFormat="1" ht="14.25" customHeight="1" x14ac:dyDescent="0.35"/>
  </sheetData>
  <mergeCells count="6">
    <mergeCell ref="L8:M8"/>
    <mergeCell ref="B8:C8"/>
    <mergeCell ref="D8:E8"/>
    <mergeCell ref="F8:G8"/>
    <mergeCell ref="H8:I8"/>
    <mergeCell ref="J8:K8"/>
  </mergeCells>
  <conditionalFormatting sqref="B10:M39">
    <cfRule type="expression" dxfId="18" priority="2">
      <formula>$A10=""</formula>
    </cfRule>
  </conditionalFormatting>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A9D18E"/>
  </sheetPr>
  <dimension ref="A1:AZ48"/>
  <sheetViews>
    <sheetView workbookViewId="0"/>
  </sheetViews>
  <sheetFormatPr defaultColWidth="9.1796875" defaultRowHeight="14.5" x14ac:dyDescent="0.35"/>
  <cols>
    <col min="1" max="1" width="28.81640625" style="3" customWidth="1"/>
    <col min="2" max="2" width="39.54296875" style="3" customWidth="1"/>
    <col min="3" max="3" width="30.1796875" style="3" customWidth="1"/>
    <col min="4" max="16384" width="9.1796875" style="3"/>
  </cols>
  <sheetData>
    <row r="1" spans="1:52" ht="19.5" customHeight="1" x14ac:dyDescent="0.45">
      <c r="A1" s="4" t="s">
        <v>455</v>
      </c>
    </row>
    <row r="2" spans="1:52" ht="15" customHeight="1" x14ac:dyDescent="0.35">
      <c r="A2" s="167" t="s">
        <v>456</v>
      </c>
      <c r="B2" s="5"/>
      <c r="C2" s="5"/>
      <c r="D2" s="5"/>
      <c r="E2" s="5"/>
      <c r="F2" s="5"/>
      <c r="G2" s="5"/>
      <c r="H2" s="5"/>
      <c r="I2" s="5"/>
    </row>
    <row r="3" spans="1:52" ht="14.25" customHeight="1" x14ac:dyDescent="0.35">
      <c r="A3" s="168" t="s">
        <v>2</v>
      </c>
    </row>
    <row r="4" spans="1:52" ht="14.25" customHeight="1" x14ac:dyDescent="0.35">
      <c r="A4" s="169">
        <f>BCA_Inputs!$D$11</f>
        <v>0.03</v>
      </c>
      <c r="B4" s="3" t="s">
        <v>457</v>
      </c>
    </row>
    <row r="5" spans="1:52" ht="14.25" customHeight="1" x14ac:dyDescent="0.35">
      <c r="A5" s="170">
        <v>0</v>
      </c>
      <c r="B5" s="3" t="s">
        <v>458</v>
      </c>
    </row>
    <row r="6" spans="1:52" ht="14.25" customHeight="1" x14ac:dyDescent="0.35">
      <c r="A6" s="29" t="s">
        <v>2</v>
      </c>
    </row>
    <row r="7" spans="1:52" ht="15" customHeight="1" x14ac:dyDescent="0.35">
      <c r="A7" s="6" t="s">
        <v>459</v>
      </c>
    </row>
    <row r="8" spans="1:52" ht="14.25" customHeight="1" x14ac:dyDescent="0.35">
      <c r="A8" s="171" t="s">
        <v>4</v>
      </c>
      <c r="B8" s="8" t="s">
        <v>460</v>
      </c>
      <c r="C8" s="23" t="s">
        <v>461</v>
      </c>
      <c r="E8" s="154" t="s">
        <v>453</v>
      </c>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6"/>
    </row>
    <row r="9" spans="1:52" ht="14.25" customHeight="1" x14ac:dyDescent="0.35">
      <c r="A9" s="172">
        <f>'Project Information'!B7</f>
        <v>2028</v>
      </c>
      <c r="B9" s="173">
        <v>13723805</v>
      </c>
      <c r="C9" s="14">
        <f>B9/(1+$A$4)^(A9-Overview!$B$22)</f>
        <v>12193422.990620572</v>
      </c>
      <c r="E9" s="159"/>
      <c r="AZ9" s="160"/>
    </row>
    <row r="10" spans="1:52" ht="14.25" customHeight="1" x14ac:dyDescent="0.35">
      <c r="A10" s="15">
        <f>IF(A9&lt;$A$9+'Project Information'!$B$8-1,A9+1,"")</f>
        <v>2029</v>
      </c>
      <c r="B10" s="173">
        <v>31192819</v>
      </c>
      <c r="C10" s="14">
        <f>IFERROR(B10/(1+$A$4)^(A10-Overview!$B$22),0)</f>
        <v>26907199.679105256</v>
      </c>
      <c r="E10" s="159"/>
      <c r="AZ10" s="160"/>
    </row>
    <row r="11" spans="1:52" ht="14.25" customHeight="1" x14ac:dyDescent="0.35">
      <c r="A11" s="15">
        <f>IF(A10&lt;$A$9+'Project Information'!$B$8-1,A10+1,"")</f>
        <v>2030</v>
      </c>
      <c r="B11" s="173">
        <v>1383376</v>
      </c>
      <c r="C11" s="14">
        <f>IFERROR(B11/(1+$A$4)^(A11-Overview!$B$22),0)</f>
        <v>1158555.6210740071</v>
      </c>
      <c r="E11" s="159"/>
      <c r="AZ11" s="160"/>
    </row>
    <row r="12" spans="1:52" ht="14.25" customHeight="1" x14ac:dyDescent="0.35">
      <c r="A12" s="15" t="str">
        <f>IF(A11&lt;$A$9+'Project Information'!$B$8-1,A11+1,"")</f>
        <v/>
      </c>
      <c r="B12" s="173">
        <v>0</v>
      </c>
      <c r="C12" s="14">
        <f>IFERROR(B12/(1+$A$4)^(A12-Overview!$B$22),0)</f>
        <v>0</v>
      </c>
      <c r="E12" s="159"/>
      <c r="AZ12" s="160"/>
    </row>
    <row r="13" spans="1:52" ht="14.25" customHeight="1" x14ac:dyDescent="0.35">
      <c r="A13" s="15" t="str">
        <f>IF(A12&lt;$A$9+'Project Information'!$B$8-1,A12+1,"")</f>
        <v/>
      </c>
      <c r="B13" s="173">
        <v>0</v>
      </c>
      <c r="C13" s="14">
        <f>IFERROR(B13/(1+$A$4)^(A13-Overview!$B$22),0)</f>
        <v>0</v>
      </c>
      <c r="E13" s="159"/>
      <c r="AZ13" s="160"/>
    </row>
    <row r="14" spans="1:52" ht="14.25" customHeight="1" x14ac:dyDescent="0.35">
      <c r="A14" s="15" t="str">
        <f>IF(A13&lt;$A$9+'Project Information'!$B$8-1,A13+1,"")</f>
        <v/>
      </c>
      <c r="B14" s="173">
        <v>0</v>
      </c>
      <c r="C14" s="14">
        <f>IFERROR(B14/(1+$A$4)^(A14-Overview!$B$22),0)</f>
        <v>0</v>
      </c>
      <c r="E14" s="159"/>
      <c r="AZ14" s="160"/>
    </row>
    <row r="15" spans="1:52" ht="14.25" customHeight="1" x14ac:dyDescent="0.35">
      <c r="A15" s="15" t="str">
        <f>IF(A14&lt;$A$9+'Project Information'!$B$8-1,A14+1,"")</f>
        <v/>
      </c>
      <c r="B15" s="173">
        <v>0</v>
      </c>
      <c r="C15" s="14">
        <f>IFERROR(B15/(1+$A$4)^(A15-Overview!$B$22),0)</f>
        <v>0</v>
      </c>
      <c r="E15" s="159"/>
      <c r="AZ15" s="160"/>
    </row>
    <row r="16" spans="1:52" ht="14.25" customHeight="1" x14ac:dyDescent="0.35">
      <c r="A16" s="15" t="str">
        <f>IF(A15&lt;$A$9+'Project Information'!$B$8-1,A15+1,"")</f>
        <v/>
      </c>
      <c r="B16" s="173">
        <v>0</v>
      </c>
      <c r="C16" s="14">
        <f>IFERROR(B16/(1+$A$4)^(A16-Overview!$B$22),0)</f>
        <v>0</v>
      </c>
      <c r="E16" s="159"/>
      <c r="AZ16" s="160"/>
    </row>
    <row r="17" spans="1:52" ht="14.25" customHeight="1" x14ac:dyDescent="0.35">
      <c r="A17" s="15" t="str">
        <f>IF(A16&lt;$A$9+'Project Information'!$B$8-1,A16+1,"")</f>
        <v/>
      </c>
      <c r="B17" s="173">
        <v>0</v>
      </c>
      <c r="C17" s="14">
        <f>IFERROR(B17/(1+$A$4)^(A17-Overview!$B$22),0)</f>
        <v>0</v>
      </c>
      <c r="E17" s="159"/>
      <c r="AZ17" s="160"/>
    </row>
    <row r="18" spans="1:52" ht="14.25" customHeight="1" x14ac:dyDescent="0.35">
      <c r="A18" s="15" t="str">
        <f>IF(A17&lt;$A$9+'Project Information'!$B$8-1,A17+1,"")</f>
        <v/>
      </c>
      <c r="B18" s="173">
        <v>0</v>
      </c>
      <c r="C18" s="14">
        <f>IFERROR(B18/(1+$A$4)^(A18-Overview!$B$22),0)</f>
        <v>0</v>
      </c>
      <c r="E18" s="159"/>
      <c r="AZ18" s="160"/>
    </row>
    <row r="19" spans="1:52" ht="14.25" customHeight="1" x14ac:dyDescent="0.35">
      <c r="A19" s="15" t="str">
        <f>IF(A18&lt;$A$9+'Project Information'!$B$8-1,A18+1,"")</f>
        <v/>
      </c>
      <c r="B19" s="173">
        <v>0</v>
      </c>
      <c r="C19" s="14">
        <f>IFERROR(B19/(1+$A$4)^(A19-Overview!$B$22),0)</f>
        <v>0</v>
      </c>
      <c r="E19" s="159"/>
      <c r="AZ19" s="160"/>
    </row>
    <row r="20" spans="1:52" ht="14.25" customHeight="1" x14ac:dyDescent="0.35">
      <c r="A20" s="15" t="str">
        <f>IF(A19&lt;$A$9+'Project Information'!$B$8-1,A19+1,"")</f>
        <v/>
      </c>
      <c r="B20" s="173">
        <v>0</v>
      </c>
      <c r="C20" s="14">
        <f>IFERROR(B20/(1+$A$4)^(A20-Overview!$B$22),0)</f>
        <v>0</v>
      </c>
      <c r="E20" s="159"/>
      <c r="AZ20" s="160"/>
    </row>
    <row r="21" spans="1:52" ht="14.25" customHeight="1" x14ac:dyDescent="0.35">
      <c r="A21" s="15" t="str">
        <f>IF(A20&lt;$A$9+'Project Information'!$B$8-1,A20+1,"")</f>
        <v/>
      </c>
      <c r="B21" s="173">
        <v>0</v>
      </c>
      <c r="C21" s="14">
        <f>IFERROR(B21/(1+$A$4)^(A21-Overview!$B$22),0)</f>
        <v>0</v>
      </c>
      <c r="E21" s="159"/>
      <c r="AZ21" s="160"/>
    </row>
    <row r="22" spans="1:52" ht="14.25" customHeight="1" x14ac:dyDescent="0.35">
      <c r="A22" s="15" t="str">
        <f>IF(A21&lt;$A$9+'Project Information'!$B$8-1,A21+1,"")</f>
        <v/>
      </c>
      <c r="B22" s="173">
        <v>0</v>
      </c>
      <c r="C22" s="14">
        <f>IFERROR(B22/(1+$A$4)^(A22-Overview!$B$22),0)</f>
        <v>0</v>
      </c>
      <c r="E22" s="159"/>
      <c r="AZ22" s="160"/>
    </row>
    <row r="23" spans="1:52" ht="14.25" customHeight="1" x14ac:dyDescent="0.35">
      <c r="A23" s="15" t="str">
        <f>IF(A22&lt;$A$9+'Project Information'!$B$8-1,A22+1,"")</f>
        <v/>
      </c>
      <c r="B23" s="173">
        <v>0</v>
      </c>
      <c r="C23" s="14">
        <f>IFERROR(B23/(1+$A$4)^(A23-Overview!$B$22),0)</f>
        <v>0</v>
      </c>
      <c r="E23" s="159"/>
      <c r="AZ23" s="160"/>
    </row>
    <row r="24" spans="1:52" ht="14.25" customHeight="1" x14ac:dyDescent="0.35">
      <c r="A24" s="174"/>
      <c r="B24" s="175"/>
      <c r="C24" s="176"/>
      <c r="E24" s="159"/>
      <c r="AZ24" s="160"/>
    </row>
    <row r="25" spans="1:52" ht="14.25" customHeight="1" x14ac:dyDescent="0.35">
      <c r="B25" s="177"/>
      <c r="C25" s="29"/>
      <c r="E25" s="159"/>
      <c r="AZ25" s="160"/>
    </row>
    <row r="26" spans="1:52" ht="14.25" customHeight="1" x14ac:dyDescent="0.35">
      <c r="B26" s="177"/>
      <c r="C26" s="29"/>
      <c r="E26" s="159"/>
      <c r="AZ26" s="160"/>
    </row>
    <row r="27" spans="1:52" ht="14.25" customHeight="1" x14ac:dyDescent="0.35">
      <c r="B27" s="177"/>
      <c r="C27" s="29"/>
      <c r="E27" s="159"/>
      <c r="AZ27" s="160"/>
    </row>
    <row r="28" spans="1:52" ht="14.25" customHeight="1" x14ac:dyDescent="0.35">
      <c r="B28" s="177"/>
      <c r="C28" s="29"/>
      <c r="E28" s="159"/>
      <c r="AZ28" s="160"/>
    </row>
    <row r="29" spans="1:52" ht="14.25" customHeight="1" x14ac:dyDescent="0.35">
      <c r="B29" s="177"/>
      <c r="C29" s="29"/>
      <c r="E29" s="159"/>
      <c r="AZ29" s="160"/>
    </row>
    <row r="30" spans="1:52" ht="14.25" customHeight="1" x14ac:dyDescent="0.35">
      <c r="B30" s="177"/>
      <c r="C30" s="29"/>
      <c r="E30" s="159"/>
      <c r="AZ30" s="160"/>
    </row>
    <row r="31" spans="1:52" ht="14.25" customHeight="1" x14ac:dyDescent="0.35">
      <c r="B31" s="177"/>
      <c r="C31" s="29"/>
      <c r="E31" s="159"/>
      <c r="AZ31" s="160"/>
    </row>
    <row r="32" spans="1:52" ht="14.25" customHeight="1" x14ac:dyDescent="0.35">
      <c r="B32" s="177"/>
      <c r="C32" s="29"/>
      <c r="E32" s="159"/>
      <c r="AZ32" s="160"/>
    </row>
    <row r="33" spans="2:52" ht="14.25" customHeight="1" x14ac:dyDescent="0.35">
      <c r="B33" s="177"/>
      <c r="C33" s="29"/>
      <c r="E33" s="159"/>
      <c r="AZ33" s="160"/>
    </row>
    <row r="34" spans="2:52" ht="14.25" customHeight="1" x14ac:dyDescent="0.35">
      <c r="B34" s="177"/>
      <c r="C34" s="29"/>
      <c r="E34" s="159"/>
      <c r="AZ34" s="160"/>
    </row>
    <row r="35" spans="2:52" ht="14.25" customHeight="1" x14ac:dyDescent="0.35">
      <c r="B35" s="177"/>
      <c r="C35" s="29"/>
      <c r="E35" s="159"/>
      <c r="AZ35" s="160"/>
    </row>
    <row r="36" spans="2:52" ht="14.25" customHeight="1" x14ac:dyDescent="0.35">
      <c r="B36" s="177"/>
      <c r="C36" s="29"/>
      <c r="E36" s="159"/>
      <c r="AZ36" s="160"/>
    </row>
    <row r="37" spans="2:52" ht="14.25" customHeight="1" x14ac:dyDescent="0.35">
      <c r="B37" s="177"/>
      <c r="C37" s="29"/>
      <c r="E37" s="159"/>
      <c r="AZ37" s="160"/>
    </row>
    <row r="38" spans="2:52" ht="14.25" customHeight="1" x14ac:dyDescent="0.35">
      <c r="B38" s="177"/>
      <c r="C38" s="29"/>
      <c r="E38" s="159"/>
      <c r="AZ38" s="160"/>
    </row>
    <row r="39" spans="2:52" ht="14.25" customHeight="1" x14ac:dyDescent="0.35">
      <c r="B39" s="177"/>
      <c r="C39" s="29"/>
      <c r="E39" s="159"/>
      <c r="AZ39" s="160"/>
    </row>
    <row r="40" spans="2:52" ht="14.25" customHeight="1" x14ac:dyDescent="0.35">
      <c r="B40" s="177"/>
      <c r="C40" s="29"/>
      <c r="E40" s="159"/>
      <c r="AZ40" s="160"/>
    </row>
    <row r="41" spans="2:52" ht="14.25" customHeight="1" x14ac:dyDescent="0.35">
      <c r="B41" s="177"/>
      <c r="C41" s="29"/>
      <c r="E41" s="159"/>
      <c r="AZ41" s="160"/>
    </row>
    <row r="42" spans="2:52" ht="14.25" customHeight="1" x14ac:dyDescent="0.35">
      <c r="B42" s="177"/>
      <c r="C42" s="29"/>
      <c r="E42" s="159"/>
      <c r="AZ42" s="160"/>
    </row>
    <row r="43" spans="2:52" ht="14.25" customHeight="1" x14ac:dyDescent="0.35">
      <c r="B43" s="177"/>
      <c r="C43" s="29"/>
      <c r="E43" s="159"/>
      <c r="AZ43" s="160"/>
    </row>
    <row r="44" spans="2:52" ht="14.25" customHeight="1" x14ac:dyDescent="0.35">
      <c r="B44" s="177"/>
      <c r="C44" s="29"/>
      <c r="E44" s="159"/>
      <c r="AZ44" s="160"/>
    </row>
    <row r="45" spans="2:52" ht="14.25" customHeight="1" x14ac:dyDescent="0.35">
      <c r="B45" s="177"/>
      <c r="C45" s="29"/>
      <c r="E45" s="159"/>
      <c r="AZ45" s="160"/>
    </row>
    <row r="46" spans="2:52" ht="14.25" customHeight="1" x14ac:dyDescent="0.35">
      <c r="B46" s="177"/>
      <c r="C46" s="29"/>
      <c r="E46" s="159"/>
      <c r="AZ46" s="160"/>
    </row>
    <row r="47" spans="2:52" ht="14.25" customHeight="1" x14ac:dyDescent="0.35">
      <c r="B47" s="177"/>
      <c r="C47" s="29"/>
      <c r="E47" s="159"/>
      <c r="AZ47" s="160"/>
    </row>
    <row r="48" spans="2:52" ht="15" customHeight="1" x14ac:dyDescent="0.35">
      <c r="B48" s="177"/>
      <c r="C48" s="29"/>
      <c r="E48" s="178"/>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80"/>
    </row>
  </sheetData>
  <conditionalFormatting sqref="B9:B23">
    <cfRule type="expression" dxfId="17" priority="2">
      <formula>A9=""</formula>
    </cfRule>
  </conditionalFormatting>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A9D18E"/>
  </sheetPr>
  <dimension ref="A1:BB97"/>
  <sheetViews>
    <sheetView workbookViewId="0"/>
  </sheetViews>
  <sheetFormatPr defaultColWidth="9.1796875" defaultRowHeight="14.5" x14ac:dyDescent="0.35"/>
  <cols>
    <col min="1" max="1" width="28.54296875" style="3" customWidth="1"/>
    <col min="2" max="2" width="42" style="3" customWidth="1"/>
    <col min="3" max="3" width="37.81640625" style="3" customWidth="1"/>
    <col min="4" max="4" width="46.54296875" style="3" customWidth="1"/>
    <col min="5" max="16384" width="9.1796875" style="3"/>
  </cols>
  <sheetData>
    <row r="1" spans="1:54" ht="19.5" customHeight="1" x14ac:dyDescent="0.45">
      <c r="A1" s="4" t="s">
        <v>462</v>
      </c>
    </row>
    <row r="2" spans="1:54" ht="15" customHeight="1" x14ac:dyDescent="0.35">
      <c r="A2" s="167" t="s">
        <v>463</v>
      </c>
      <c r="B2" s="5"/>
      <c r="C2" s="5"/>
      <c r="D2" s="5"/>
      <c r="E2" s="5"/>
    </row>
    <row r="3" spans="1:54" ht="14.25" customHeight="1" x14ac:dyDescent="0.35">
      <c r="A3" s="3" t="s">
        <v>2</v>
      </c>
    </row>
    <row r="4" spans="1:54" ht="14.25" customHeight="1" x14ac:dyDescent="0.35">
      <c r="A4" s="167" t="s">
        <v>464</v>
      </c>
      <c r="B4" s="167"/>
      <c r="C4" s="167"/>
      <c r="D4" s="167"/>
      <c r="E4" s="167"/>
      <c r="F4" s="167"/>
    </row>
    <row r="5" spans="1:54" ht="14.25" customHeight="1" x14ac:dyDescent="0.35">
      <c r="A5" s="3" t="s">
        <v>2</v>
      </c>
    </row>
    <row r="6" spans="1:54" ht="15" customHeight="1" x14ac:dyDescent="0.35">
      <c r="A6" s="6" t="s">
        <v>465</v>
      </c>
    </row>
    <row r="7" spans="1:54" ht="14.25" customHeight="1" x14ac:dyDescent="0.35">
      <c r="A7" s="9" t="s">
        <v>4</v>
      </c>
      <c r="B7" s="23" t="s">
        <v>466</v>
      </c>
      <c r="C7" s="23" t="s">
        <v>467</v>
      </c>
      <c r="D7" s="23" t="s">
        <v>468</v>
      </c>
      <c r="G7" s="154" t="s">
        <v>453</v>
      </c>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6"/>
    </row>
    <row r="8" spans="1:54" ht="14.25" customHeight="1" x14ac:dyDescent="0.35">
      <c r="A8" s="10">
        <f>'Project Information'!$B$9</f>
        <v>2031</v>
      </c>
      <c r="B8" s="173">
        <v>0</v>
      </c>
      <c r="C8" s="173">
        <v>0</v>
      </c>
      <c r="D8" s="181">
        <f t="shared" ref="D8:D37" si="0">C8-B8</f>
        <v>0</v>
      </c>
      <c r="G8" s="159"/>
      <c r="BB8" s="160"/>
    </row>
    <row r="9" spans="1:54" ht="14.25" customHeight="1" x14ac:dyDescent="0.35">
      <c r="A9" s="15">
        <f>IF(A8&lt;'Project Information'!B$11,A8+1,"")</f>
        <v>2032</v>
      </c>
      <c r="B9" s="173">
        <v>0</v>
      </c>
      <c r="C9" s="173">
        <v>0</v>
      </c>
      <c r="D9" s="14">
        <f t="shared" si="0"/>
        <v>0</v>
      </c>
      <c r="G9" s="159"/>
      <c r="BB9" s="160"/>
    </row>
    <row r="10" spans="1:54" ht="14.25" customHeight="1" x14ac:dyDescent="0.35">
      <c r="A10" s="15">
        <f>IF(A9&lt;'Project Information'!B$11,A9+1,"")</f>
        <v>2033</v>
      </c>
      <c r="B10" s="173">
        <v>0</v>
      </c>
      <c r="C10" s="173">
        <v>0</v>
      </c>
      <c r="D10" s="14">
        <f t="shared" si="0"/>
        <v>0</v>
      </c>
      <c r="G10" s="159"/>
      <c r="BB10" s="160"/>
    </row>
    <row r="11" spans="1:54" ht="14.25" customHeight="1" x14ac:dyDescent="0.35">
      <c r="A11" s="15">
        <f>IF(A10&lt;'Project Information'!B$11,A10+1,"")</f>
        <v>2034</v>
      </c>
      <c r="B11" s="173">
        <v>0</v>
      </c>
      <c r="C11" s="173">
        <v>0</v>
      </c>
      <c r="D11" s="14">
        <f t="shared" si="0"/>
        <v>0</v>
      </c>
      <c r="G11" s="159"/>
      <c r="BB11" s="160"/>
    </row>
    <row r="12" spans="1:54" ht="14.25" customHeight="1" x14ac:dyDescent="0.35">
      <c r="A12" s="15">
        <f>IF(A11&lt;'Project Information'!B$11,A11+1,"")</f>
        <v>2035</v>
      </c>
      <c r="B12" s="173">
        <v>0</v>
      </c>
      <c r="C12" s="173">
        <v>0</v>
      </c>
      <c r="D12" s="14">
        <f t="shared" si="0"/>
        <v>0</v>
      </c>
      <c r="G12" s="159"/>
      <c r="BB12" s="160"/>
    </row>
    <row r="13" spans="1:54" ht="14.25" customHeight="1" x14ac:dyDescent="0.35">
      <c r="A13" s="15">
        <f>IF(A12&lt;'Project Information'!B$11,A12+1,"")</f>
        <v>2036</v>
      </c>
      <c r="B13" s="173">
        <v>0</v>
      </c>
      <c r="C13" s="173">
        <v>0</v>
      </c>
      <c r="D13" s="14">
        <f t="shared" si="0"/>
        <v>0</v>
      </c>
      <c r="G13" s="159"/>
      <c r="BB13" s="160"/>
    </row>
    <row r="14" spans="1:54" ht="14.25" customHeight="1" x14ac:dyDescent="0.35">
      <c r="A14" s="15">
        <f>IF(A13&lt;'Project Information'!B$11,A13+1,"")</f>
        <v>2037</v>
      </c>
      <c r="B14" s="173">
        <v>0</v>
      </c>
      <c r="C14" s="173">
        <v>0</v>
      </c>
      <c r="D14" s="14">
        <f t="shared" si="0"/>
        <v>0</v>
      </c>
      <c r="G14" s="159"/>
      <c r="BB14" s="160"/>
    </row>
    <row r="15" spans="1:54" ht="14.25" customHeight="1" x14ac:dyDescent="0.35">
      <c r="A15" s="15">
        <f>IF(A14&lt;'Project Information'!B$11,A14+1,"")</f>
        <v>2038</v>
      </c>
      <c r="B15" s="173">
        <v>0</v>
      </c>
      <c r="C15" s="173">
        <v>0</v>
      </c>
      <c r="D15" s="14">
        <f t="shared" si="0"/>
        <v>0</v>
      </c>
      <c r="G15" s="159"/>
      <c r="BB15" s="160"/>
    </row>
    <row r="16" spans="1:54" ht="14.25" customHeight="1" x14ac:dyDescent="0.35">
      <c r="A16" s="15">
        <f>IF(A15&lt;'Project Information'!B$11,A15+1,"")</f>
        <v>2039</v>
      </c>
      <c r="B16" s="173">
        <v>0</v>
      </c>
      <c r="C16" s="173">
        <v>0</v>
      </c>
      <c r="D16" s="14">
        <f t="shared" si="0"/>
        <v>0</v>
      </c>
      <c r="G16" s="159"/>
      <c r="BB16" s="160"/>
    </row>
    <row r="17" spans="1:54" ht="14.25" customHeight="1" x14ac:dyDescent="0.35">
      <c r="A17" s="15">
        <f>IF(A16&lt;'Project Information'!B$11,A16+1,"")</f>
        <v>2040</v>
      </c>
      <c r="B17" s="173">
        <v>0</v>
      </c>
      <c r="C17" s="173">
        <v>0</v>
      </c>
      <c r="D17" s="14">
        <f t="shared" si="0"/>
        <v>0</v>
      </c>
      <c r="G17" s="159"/>
      <c r="BB17" s="160"/>
    </row>
    <row r="18" spans="1:54" ht="14.25" customHeight="1" x14ac:dyDescent="0.35">
      <c r="A18" s="15">
        <f>IF(A17&lt;'Project Information'!B$11,A17+1,"")</f>
        <v>2041</v>
      </c>
      <c r="B18" s="173">
        <v>0</v>
      </c>
      <c r="C18" s="173">
        <v>0</v>
      </c>
      <c r="D18" s="14">
        <f t="shared" si="0"/>
        <v>0</v>
      </c>
      <c r="G18" s="159"/>
      <c r="BB18" s="160"/>
    </row>
    <row r="19" spans="1:54" ht="14.25" customHeight="1" x14ac:dyDescent="0.35">
      <c r="A19" s="15">
        <f>IF(A18&lt;'Project Information'!B$11,A18+1,"")</f>
        <v>2042</v>
      </c>
      <c r="B19" s="173">
        <v>0</v>
      </c>
      <c r="C19" s="173">
        <v>0</v>
      </c>
      <c r="D19" s="14">
        <f t="shared" si="0"/>
        <v>0</v>
      </c>
      <c r="G19" s="159"/>
      <c r="BB19" s="160"/>
    </row>
    <row r="20" spans="1:54" ht="14.25" customHeight="1" x14ac:dyDescent="0.35">
      <c r="A20" s="15">
        <f>IF(A19&lt;'Project Information'!B$11,A19+1,"")</f>
        <v>2043</v>
      </c>
      <c r="B20" s="173">
        <v>0</v>
      </c>
      <c r="C20" s="173">
        <v>0</v>
      </c>
      <c r="D20" s="14">
        <f t="shared" si="0"/>
        <v>0</v>
      </c>
      <c r="G20" s="159"/>
      <c r="BB20" s="160"/>
    </row>
    <row r="21" spans="1:54" ht="14.25" customHeight="1" x14ac:dyDescent="0.35">
      <c r="A21" s="15">
        <f>IF(A20&lt;'Project Information'!B$11,A20+1,"")</f>
        <v>2044</v>
      </c>
      <c r="B21" s="173">
        <v>0</v>
      </c>
      <c r="C21" s="173">
        <v>0</v>
      </c>
      <c r="D21" s="14">
        <f t="shared" si="0"/>
        <v>0</v>
      </c>
      <c r="G21" s="159"/>
      <c r="BB21" s="160"/>
    </row>
    <row r="22" spans="1:54" ht="14.25" customHeight="1" x14ac:dyDescent="0.35">
      <c r="A22" s="15">
        <f>IF(A21&lt;'Project Information'!B$11,A21+1,"")</f>
        <v>2045</v>
      </c>
      <c r="B22" s="173">
        <v>0</v>
      </c>
      <c r="C22" s="173">
        <v>0</v>
      </c>
      <c r="D22" s="14">
        <f t="shared" si="0"/>
        <v>0</v>
      </c>
      <c r="G22" s="159"/>
      <c r="BB22" s="160"/>
    </row>
    <row r="23" spans="1:54" ht="14.25" customHeight="1" x14ac:dyDescent="0.35">
      <c r="A23" s="15">
        <f>IF(A22&lt;'Project Information'!B$11,A22+1,"")</f>
        <v>2046</v>
      </c>
      <c r="B23" s="173">
        <v>0</v>
      </c>
      <c r="C23" s="173">
        <v>0</v>
      </c>
      <c r="D23" s="14">
        <f t="shared" si="0"/>
        <v>0</v>
      </c>
      <c r="G23" s="159"/>
      <c r="BB23" s="160"/>
    </row>
    <row r="24" spans="1:54" ht="14.25" customHeight="1" x14ac:dyDescent="0.35">
      <c r="A24" s="15">
        <f>IF(A23&lt;'Project Information'!B$11,A23+1,"")</f>
        <v>2047</v>
      </c>
      <c r="B24" s="173">
        <v>0</v>
      </c>
      <c r="C24" s="173">
        <v>0</v>
      </c>
      <c r="D24" s="14">
        <f t="shared" si="0"/>
        <v>0</v>
      </c>
      <c r="G24" s="159"/>
      <c r="BB24" s="160"/>
    </row>
    <row r="25" spans="1:54" ht="14.25" customHeight="1" x14ac:dyDescent="0.35">
      <c r="A25" s="15">
        <f>IF(A24&lt;'Project Information'!B$11,A24+1,"")</f>
        <v>2048</v>
      </c>
      <c r="B25" s="173">
        <v>0</v>
      </c>
      <c r="C25" s="173">
        <v>0</v>
      </c>
      <c r="D25" s="14">
        <f t="shared" si="0"/>
        <v>0</v>
      </c>
      <c r="G25" s="159"/>
      <c r="BB25" s="160"/>
    </row>
    <row r="26" spans="1:54" ht="14.25" customHeight="1" x14ac:dyDescent="0.35">
      <c r="A26" s="15">
        <f>IF(A25&lt;'Project Information'!B$11,A25+1,"")</f>
        <v>2049</v>
      </c>
      <c r="B26" s="173">
        <v>0</v>
      </c>
      <c r="C26" s="173">
        <v>0</v>
      </c>
      <c r="D26" s="14">
        <f t="shared" si="0"/>
        <v>0</v>
      </c>
      <c r="G26" s="159"/>
      <c r="BB26" s="160"/>
    </row>
    <row r="27" spans="1:54" ht="14.25" customHeight="1" x14ac:dyDescent="0.35">
      <c r="A27" s="15">
        <f>IF(A26&lt;'Project Information'!B$11,A26+1,"")</f>
        <v>2050</v>
      </c>
      <c r="B27" s="173">
        <v>0</v>
      </c>
      <c r="C27" s="173">
        <v>0</v>
      </c>
      <c r="D27" s="14">
        <f t="shared" si="0"/>
        <v>0</v>
      </c>
      <c r="G27" s="159"/>
      <c r="BB27" s="160"/>
    </row>
    <row r="28" spans="1:54" ht="14.25" customHeight="1" x14ac:dyDescent="0.35">
      <c r="A28" s="15">
        <f>IF(A27&lt;'Project Information'!B$11,A27+1,"")</f>
        <v>2051</v>
      </c>
      <c r="B28" s="173">
        <v>0</v>
      </c>
      <c r="C28" s="173">
        <v>0</v>
      </c>
      <c r="D28" s="14">
        <f t="shared" si="0"/>
        <v>0</v>
      </c>
      <c r="G28" s="159"/>
      <c r="BB28" s="160"/>
    </row>
    <row r="29" spans="1:54" ht="14.25" customHeight="1" x14ac:dyDescent="0.35">
      <c r="A29" s="15">
        <f>IF(A28&lt;'Project Information'!B$11,A28+1,"")</f>
        <v>2052</v>
      </c>
      <c r="B29" s="173">
        <v>0</v>
      </c>
      <c r="C29" s="173">
        <v>0</v>
      </c>
      <c r="D29" s="14">
        <f t="shared" si="0"/>
        <v>0</v>
      </c>
      <c r="G29" s="159"/>
      <c r="BB29" s="160"/>
    </row>
    <row r="30" spans="1:54" ht="14.25" customHeight="1" x14ac:dyDescent="0.35">
      <c r="A30" s="15">
        <f>IF(A29&lt;'Project Information'!B$11,A29+1,"")</f>
        <v>2053</v>
      </c>
      <c r="B30" s="173">
        <v>0</v>
      </c>
      <c r="C30" s="173">
        <v>0</v>
      </c>
      <c r="D30" s="14">
        <f t="shared" si="0"/>
        <v>0</v>
      </c>
      <c r="G30" s="159"/>
      <c r="BB30" s="160"/>
    </row>
    <row r="31" spans="1:54" ht="14.25" customHeight="1" x14ac:dyDescent="0.35">
      <c r="A31" s="15">
        <f>IF(A30&lt;'Project Information'!B$11,A30+1,"")</f>
        <v>2054</v>
      </c>
      <c r="B31" s="173">
        <v>0</v>
      </c>
      <c r="C31" s="173">
        <v>0</v>
      </c>
      <c r="D31" s="14">
        <f t="shared" si="0"/>
        <v>0</v>
      </c>
      <c r="G31" s="159"/>
      <c r="BB31" s="160"/>
    </row>
    <row r="32" spans="1:54" ht="14.25" customHeight="1" x14ac:dyDescent="0.35">
      <c r="A32" s="15">
        <f>IF(A31&lt;'Project Information'!B$11,A31+1,"")</f>
        <v>2055</v>
      </c>
      <c r="B32" s="173">
        <v>0</v>
      </c>
      <c r="C32" s="173">
        <v>0</v>
      </c>
      <c r="D32" s="14">
        <f t="shared" si="0"/>
        <v>0</v>
      </c>
      <c r="G32" s="159"/>
      <c r="BB32" s="160"/>
    </row>
    <row r="33" spans="1:54" ht="14.25" customHeight="1" x14ac:dyDescent="0.35">
      <c r="A33" s="15">
        <f>IF(A32&lt;'Project Information'!B$11,A32+1,"")</f>
        <v>2056</v>
      </c>
      <c r="B33" s="173">
        <v>0</v>
      </c>
      <c r="C33" s="173">
        <v>0</v>
      </c>
      <c r="D33" s="14">
        <f t="shared" si="0"/>
        <v>0</v>
      </c>
      <c r="G33" s="159"/>
      <c r="BB33" s="160"/>
    </row>
    <row r="34" spans="1:54" ht="14.25" customHeight="1" x14ac:dyDescent="0.35">
      <c r="A34" s="15">
        <f>IF(A33&lt;'Project Information'!B$11,A33+1,"")</f>
        <v>2057</v>
      </c>
      <c r="B34" s="173">
        <v>0</v>
      </c>
      <c r="C34" s="173">
        <v>0</v>
      </c>
      <c r="D34" s="14">
        <f t="shared" si="0"/>
        <v>0</v>
      </c>
      <c r="G34" s="159"/>
      <c r="BB34" s="160"/>
    </row>
    <row r="35" spans="1:54" ht="14.25" customHeight="1" x14ac:dyDescent="0.35">
      <c r="A35" s="15">
        <f>IF(A34&lt;'Project Information'!B$11,A34+1,"")</f>
        <v>2058</v>
      </c>
      <c r="B35" s="173">
        <v>0</v>
      </c>
      <c r="C35" s="173">
        <v>0</v>
      </c>
      <c r="D35" s="14">
        <f t="shared" si="0"/>
        <v>0</v>
      </c>
      <c r="G35" s="159"/>
      <c r="BB35" s="160"/>
    </row>
    <row r="36" spans="1:54" ht="14.25" customHeight="1" x14ac:dyDescent="0.35">
      <c r="A36" s="15">
        <f>IF(A35&lt;'Project Information'!B$11,A35+1,"")</f>
        <v>2059</v>
      </c>
      <c r="B36" s="173">
        <v>0</v>
      </c>
      <c r="C36" s="173">
        <v>0</v>
      </c>
      <c r="D36" s="14">
        <f t="shared" si="0"/>
        <v>0</v>
      </c>
      <c r="G36" s="159"/>
      <c r="BB36" s="160"/>
    </row>
    <row r="37" spans="1:54" ht="14.25" customHeight="1" x14ac:dyDescent="0.35">
      <c r="A37" s="15">
        <f>IF(A36&lt;'Project Information'!B$11,A36+1,"")</f>
        <v>2060</v>
      </c>
      <c r="B37" s="173">
        <v>0</v>
      </c>
      <c r="C37" s="173">
        <v>0</v>
      </c>
      <c r="D37" s="14">
        <f t="shared" si="0"/>
        <v>0</v>
      </c>
      <c r="G37" s="159"/>
      <c r="BB37" s="160"/>
    </row>
    <row r="38" spans="1:54" ht="14.25" customHeight="1" x14ac:dyDescent="0.35">
      <c r="A38" s="174"/>
      <c r="B38" s="175"/>
      <c r="C38" s="175"/>
      <c r="D38" s="176"/>
      <c r="G38" s="159"/>
      <c r="BB38" s="160"/>
    </row>
    <row r="39" spans="1:54" ht="14.25" customHeight="1" x14ac:dyDescent="0.35">
      <c r="B39" s="177"/>
      <c r="C39" s="177"/>
      <c r="D39" s="29"/>
      <c r="G39" s="159"/>
      <c r="BB39" s="160"/>
    </row>
    <row r="40" spans="1:54" ht="14.25" customHeight="1" x14ac:dyDescent="0.35">
      <c r="B40" s="177"/>
      <c r="C40" s="177"/>
      <c r="D40" s="29"/>
      <c r="G40" s="159"/>
      <c r="BB40" s="160"/>
    </row>
    <row r="41" spans="1:54" ht="14.25" customHeight="1" x14ac:dyDescent="0.35">
      <c r="B41" s="177"/>
      <c r="C41" s="177"/>
      <c r="D41" s="29"/>
      <c r="G41" s="159"/>
      <c r="BB41" s="160"/>
    </row>
    <row r="42" spans="1:54" ht="14.25" customHeight="1" x14ac:dyDescent="0.35">
      <c r="B42" s="177"/>
      <c r="C42" s="177"/>
      <c r="D42" s="29"/>
      <c r="G42" s="159"/>
      <c r="BB42" s="160"/>
    </row>
    <row r="43" spans="1:54" ht="14.25" customHeight="1" x14ac:dyDescent="0.35">
      <c r="B43" s="177"/>
      <c r="C43" s="177"/>
      <c r="D43" s="29"/>
      <c r="G43" s="159"/>
      <c r="BB43" s="160"/>
    </row>
    <row r="44" spans="1:54" ht="14.25" customHeight="1" x14ac:dyDescent="0.35">
      <c r="B44" s="177"/>
      <c r="C44" s="177"/>
      <c r="D44" s="29"/>
      <c r="G44" s="159"/>
      <c r="BB44" s="160"/>
    </row>
    <row r="45" spans="1:54" ht="14.25" customHeight="1" x14ac:dyDescent="0.35">
      <c r="B45" s="177"/>
      <c r="C45" s="177"/>
      <c r="D45" s="29"/>
      <c r="G45" s="159"/>
      <c r="BB45" s="160"/>
    </row>
    <row r="46" spans="1:54" ht="14.25" customHeight="1" x14ac:dyDescent="0.35">
      <c r="B46" s="177"/>
      <c r="C46" s="177"/>
      <c r="D46" s="29"/>
      <c r="G46" s="159"/>
      <c r="BB46" s="160"/>
    </row>
    <row r="47" spans="1:54" ht="14.25" customHeight="1" x14ac:dyDescent="0.35">
      <c r="B47" s="177"/>
      <c r="C47" s="177"/>
      <c r="D47" s="29"/>
      <c r="G47" s="159"/>
      <c r="BB47" s="160"/>
    </row>
    <row r="48" spans="1:54" ht="14.25" customHeight="1" x14ac:dyDescent="0.35">
      <c r="G48" s="159"/>
      <c r="BB48" s="160"/>
    </row>
    <row r="49" spans="7:54" ht="14.25" customHeight="1" x14ac:dyDescent="0.35">
      <c r="G49" s="159"/>
      <c r="BB49" s="160"/>
    </row>
    <row r="50" spans="7:54" ht="14.25" customHeight="1" x14ac:dyDescent="0.35">
      <c r="G50" s="159"/>
      <c r="BB50" s="160"/>
    </row>
    <row r="51" spans="7:54" ht="14.25" customHeight="1" x14ac:dyDescent="0.35">
      <c r="G51" s="159"/>
      <c r="BB51" s="160"/>
    </row>
    <row r="52" spans="7:54" ht="14.25" customHeight="1" x14ac:dyDescent="0.35">
      <c r="G52" s="159"/>
      <c r="BB52" s="160"/>
    </row>
    <row r="53" spans="7:54" ht="14.25" customHeight="1" x14ac:dyDescent="0.35">
      <c r="G53" s="159"/>
      <c r="BB53" s="160"/>
    </row>
    <row r="54" spans="7:54" ht="14.25" customHeight="1" x14ac:dyDescent="0.35">
      <c r="G54" s="159"/>
      <c r="BB54" s="160"/>
    </row>
    <row r="55" spans="7:54" ht="14.25" customHeight="1" x14ac:dyDescent="0.35">
      <c r="G55" s="159"/>
      <c r="BB55" s="160"/>
    </row>
    <row r="56" spans="7:54" ht="14.25" customHeight="1" x14ac:dyDescent="0.35">
      <c r="G56" s="159"/>
      <c r="BB56" s="160"/>
    </row>
    <row r="57" spans="7:54" ht="14.25" customHeight="1" x14ac:dyDescent="0.35">
      <c r="G57" s="159"/>
      <c r="BB57" s="160"/>
    </row>
    <row r="58" spans="7:54" ht="14.25" customHeight="1" x14ac:dyDescent="0.35">
      <c r="G58" s="159"/>
      <c r="BB58" s="160"/>
    </row>
    <row r="59" spans="7:54" ht="14.25" customHeight="1" x14ac:dyDescent="0.35">
      <c r="G59" s="159"/>
      <c r="BB59" s="160"/>
    </row>
    <row r="60" spans="7:54" ht="14.25" customHeight="1" x14ac:dyDescent="0.35">
      <c r="G60" s="159"/>
      <c r="BB60" s="160"/>
    </row>
    <row r="61" spans="7:54" ht="14.25" customHeight="1" x14ac:dyDescent="0.35">
      <c r="G61" s="159"/>
      <c r="BB61" s="160"/>
    </row>
    <row r="62" spans="7:54" ht="14.25" customHeight="1" x14ac:dyDescent="0.35">
      <c r="G62" s="159"/>
      <c r="BB62" s="160"/>
    </row>
    <row r="63" spans="7:54" ht="14.25" customHeight="1" x14ac:dyDescent="0.35">
      <c r="G63" s="159"/>
      <c r="BB63" s="160"/>
    </row>
    <row r="64" spans="7:54" ht="14.25" customHeight="1" x14ac:dyDescent="0.35">
      <c r="G64" s="159"/>
      <c r="BB64" s="160"/>
    </row>
    <row r="65" spans="7:54" ht="14.25" customHeight="1" x14ac:dyDescent="0.35">
      <c r="G65" s="159"/>
      <c r="BB65" s="160"/>
    </row>
    <row r="66" spans="7:54" ht="14.25" customHeight="1" x14ac:dyDescent="0.35">
      <c r="G66" s="159"/>
      <c r="BB66" s="160"/>
    </row>
    <row r="67" spans="7:54" ht="14.25" customHeight="1" x14ac:dyDescent="0.35">
      <c r="G67" s="159"/>
      <c r="BB67" s="160"/>
    </row>
    <row r="68" spans="7:54" ht="14.25" customHeight="1" x14ac:dyDescent="0.35">
      <c r="G68" s="159"/>
      <c r="BB68" s="160"/>
    </row>
    <row r="69" spans="7:54" ht="14.25" customHeight="1" x14ac:dyDescent="0.35">
      <c r="G69" s="159"/>
      <c r="BB69" s="160"/>
    </row>
    <row r="70" spans="7:54" ht="14.25" customHeight="1" x14ac:dyDescent="0.35">
      <c r="G70" s="159"/>
      <c r="BB70" s="160"/>
    </row>
    <row r="71" spans="7:54" ht="14.25" customHeight="1" x14ac:dyDescent="0.35">
      <c r="G71" s="159"/>
      <c r="BB71" s="160"/>
    </row>
    <row r="72" spans="7:54" ht="14.25" customHeight="1" x14ac:dyDescent="0.35">
      <c r="G72" s="159"/>
      <c r="BB72" s="160"/>
    </row>
    <row r="73" spans="7:54" ht="14.25" customHeight="1" x14ac:dyDescent="0.35">
      <c r="G73" s="159"/>
      <c r="BB73" s="160"/>
    </row>
    <row r="74" spans="7:54" ht="14.25" customHeight="1" x14ac:dyDescent="0.35">
      <c r="G74" s="159"/>
      <c r="BB74" s="160"/>
    </row>
    <row r="75" spans="7:54" ht="14.25" customHeight="1" x14ac:dyDescent="0.35">
      <c r="G75" s="159"/>
      <c r="BB75" s="160"/>
    </row>
    <row r="76" spans="7:54" ht="14.25" customHeight="1" x14ac:dyDescent="0.35">
      <c r="G76" s="159"/>
      <c r="BB76" s="160"/>
    </row>
    <row r="77" spans="7:54" ht="14.25" customHeight="1" x14ac:dyDescent="0.35">
      <c r="G77" s="159"/>
      <c r="BB77" s="160"/>
    </row>
    <row r="78" spans="7:54" ht="14.25" customHeight="1" x14ac:dyDescent="0.35">
      <c r="G78" s="159"/>
      <c r="BB78" s="160"/>
    </row>
    <row r="79" spans="7:54" ht="14.25" customHeight="1" x14ac:dyDescent="0.35">
      <c r="G79" s="159"/>
      <c r="BB79" s="160"/>
    </row>
    <row r="80" spans="7:54" ht="14.25" customHeight="1" x14ac:dyDescent="0.35">
      <c r="G80" s="159"/>
      <c r="BB80" s="160"/>
    </row>
    <row r="81" spans="7:54" ht="14.25" customHeight="1" x14ac:dyDescent="0.35">
      <c r="G81" s="159"/>
      <c r="BB81" s="160"/>
    </row>
    <row r="82" spans="7:54" ht="14.25" customHeight="1" x14ac:dyDescent="0.35">
      <c r="G82" s="159"/>
      <c r="BB82" s="160"/>
    </row>
    <row r="83" spans="7:54" ht="14.25" customHeight="1" x14ac:dyDescent="0.35">
      <c r="G83" s="159"/>
      <c r="BB83" s="160"/>
    </row>
    <row r="84" spans="7:54" ht="14.25" customHeight="1" x14ac:dyDescent="0.35">
      <c r="G84" s="159"/>
      <c r="BB84" s="160"/>
    </row>
    <row r="85" spans="7:54" ht="14.25" customHeight="1" x14ac:dyDescent="0.35">
      <c r="G85" s="159"/>
      <c r="BB85" s="160"/>
    </row>
    <row r="86" spans="7:54" ht="14.25" customHeight="1" x14ac:dyDescent="0.35">
      <c r="G86" s="159"/>
      <c r="BB86" s="160"/>
    </row>
    <row r="87" spans="7:54" ht="14.25" customHeight="1" x14ac:dyDescent="0.35">
      <c r="G87" s="159"/>
      <c r="BB87" s="160"/>
    </row>
    <row r="88" spans="7:54" ht="14.25" customHeight="1" x14ac:dyDescent="0.35">
      <c r="G88" s="159"/>
      <c r="BB88" s="160"/>
    </row>
    <row r="89" spans="7:54" ht="14.25" customHeight="1" x14ac:dyDescent="0.35">
      <c r="G89" s="159"/>
      <c r="BB89" s="160"/>
    </row>
    <row r="90" spans="7:54" ht="14.25" customHeight="1" x14ac:dyDescent="0.35">
      <c r="G90" s="159"/>
      <c r="BB90" s="160"/>
    </row>
    <row r="91" spans="7:54" ht="14.25" customHeight="1" x14ac:dyDescent="0.35">
      <c r="G91" s="159"/>
      <c r="BB91" s="160"/>
    </row>
    <row r="92" spans="7:54" ht="14.25" customHeight="1" x14ac:dyDescent="0.35">
      <c r="G92" s="159"/>
      <c r="BB92" s="160"/>
    </row>
    <row r="93" spans="7:54" ht="14.25" customHeight="1" x14ac:dyDescent="0.35">
      <c r="G93" s="159"/>
      <c r="BB93" s="160"/>
    </row>
    <row r="94" spans="7:54" ht="14.25" customHeight="1" x14ac:dyDescent="0.35">
      <c r="G94" s="159"/>
      <c r="BB94" s="160"/>
    </row>
    <row r="95" spans="7:54" ht="14.25" customHeight="1" x14ac:dyDescent="0.35">
      <c r="G95" s="159"/>
      <c r="BB95" s="160"/>
    </row>
    <row r="96" spans="7:54" ht="14.25" customHeight="1" x14ac:dyDescent="0.35">
      <c r="G96" s="159"/>
      <c r="BB96" s="160"/>
    </row>
    <row r="97" spans="7:54" ht="15" customHeight="1" x14ac:dyDescent="0.35">
      <c r="G97" s="178"/>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79"/>
      <c r="BB97" s="180"/>
    </row>
  </sheetData>
  <conditionalFormatting sqref="B8:B37">
    <cfRule type="expression" dxfId="16" priority="3">
      <formula>A8=""</formula>
    </cfRule>
  </conditionalFormatting>
  <conditionalFormatting sqref="C8:C37">
    <cfRule type="expression" dxfId="15" priority="2">
      <formula>A8=""</formula>
    </cfRule>
  </conditionalFormatting>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A9D18E"/>
  </sheetPr>
  <dimension ref="A1:BB111"/>
  <sheetViews>
    <sheetView workbookViewId="0"/>
  </sheetViews>
  <sheetFormatPr defaultColWidth="9.1796875" defaultRowHeight="14.5" x14ac:dyDescent="0.35"/>
  <cols>
    <col min="1" max="1" width="38.453125" style="3" customWidth="1"/>
    <col min="2" max="2" width="25.26953125" style="3" customWidth="1"/>
    <col min="3" max="3" width="32.54296875" style="3" customWidth="1"/>
    <col min="4" max="4" width="22.7265625" style="3" customWidth="1"/>
    <col min="5" max="7" width="9.1796875" style="3"/>
    <col min="8" max="8" width="25.54296875" style="3" bestFit="1" customWidth="1"/>
    <col min="9" max="9" width="54.26953125" style="3" bestFit="1" customWidth="1"/>
    <col min="10" max="10" width="16.7265625" style="3" customWidth="1"/>
    <col min="11" max="15" width="13.1796875" style="3" customWidth="1"/>
    <col min="16" max="21" width="9.1796875" style="3"/>
    <col min="22" max="22" width="10.7265625" style="3" bestFit="1" customWidth="1"/>
    <col min="23" max="16384" width="9.1796875" style="3"/>
  </cols>
  <sheetData>
    <row r="1" spans="1:9" ht="19.5" customHeight="1" x14ac:dyDescent="0.45">
      <c r="A1" s="4" t="s">
        <v>6</v>
      </c>
    </row>
    <row r="2" spans="1:9" ht="15" customHeight="1" x14ac:dyDescent="0.35">
      <c r="A2" s="5" t="s">
        <v>469</v>
      </c>
      <c r="B2" s="5"/>
      <c r="C2" s="5"/>
      <c r="D2" s="5"/>
      <c r="E2" s="5"/>
      <c r="F2" s="5"/>
    </row>
    <row r="3" spans="1:9" ht="14.25" customHeight="1" x14ac:dyDescent="0.35">
      <c r="A3" s="3" t="s">
        <v>2</v>
      </c>
    </row>
    <row r="4" spans="1:9" ht="14.25" customHeight="1" x14ac:dyDescent="0.35">
      <c r="A4" s="167" t="s">
        <v>463</v>
      </c>
      <c r="B4" s="5"/>
      <c r="C4" s="5"/>
      <c r="D4" s="5"/>
      <c r="E4" s="5"/>
      <c r="F4" s="5"/>
      <c r="G4" s="5"/>
      <c r="H4" s="5"/>
      <c r="I4" s="5"/>
    </row>
    <row r="5" spans="1:9" ht="14.25" customHeight="1" x14ac:dyDescent="0.35">
      <c r="A5" s="168" t="s">
        <v>2</v>
      </c>
    </row>
    <row r="6" spans="1:9" ht="14.25" customHeight="1" x14ac:dyDescent="0.35">
      <c r="A6" s="6" t="s">
        <v>470</v>
      </c>
    </row>
    <row r="7" spans="1:9" ht="14.25" customHeight="1" x14ac:dyDescent="0.35">
      <c r="A7" s="182" t="s">
        <v>264</v>
      </c>
      <c r="B7" s="182" t="str">
        <f>'Parameter Values'!B6</f>
        <v>Monetized Value (2024 $)</v>
      </c>
    </row>
    <row r="8" spans="1:9" ht="14.25" customHeight="1" x14ac:dyDescent="0.35">
      <c r="A8" s="183" t="s">
        <v>266</v>
      </c>
      <c r="B8" s="184">
        <f>'Parameter Values'!B7</f>
        <v>5500</v>
      </c>
    </row>
    <row r="9" spans="1:9" ht="14.25" customHeight="1" x14ac:dyDescent="0.35">
      <c r="A9" s="183" t="s">
        <v>267</v>
      </c>
      <c r="B9" s="184">
        <f>'Parameter Values'!B8</f>
        <v>122400</v>
      </c>
    </row>
    <row r="10" spans="1:9" ht="14.25" customHeight="1" x14ac:dyDescent="0.35">
      <c r="A10" s="183" t="s">
        <v>268</v>
      </c>
      <c r="B10" s="184">
        <f>'Parameter Values'!B9</f>
        <v>256300</v>
      </c>
    </row>
    <row r="11" spans="1:9" ht="14.25" customHeight="1" x14ac:dyDescent="0.35">
      <c r="A11" s="183" t="s">
        <v>269</v>
      </c>
      <c r="B11" s="184">
        <f>'Parameter Values'!B10</f>
        <v>1302300</v>
      </c>
    </row>
    <row r="12" spans="1:9" ht="14.25" customHeight="1" x14ac:dyDescent="0.35">
      <c r="A12" s="183" t="s">
        <v>270</v>
      </c>
      <c r="B12" s="184">
        <f>'Parameter Values'!B11</f>
        <v>13700000</v>
      </c>
    </row>
    <row r="13" spans="1:9" ht="14.25" customHeight="1" x14ac:dyDescent="0.35">
      <c r="A13" s="183" t="s">
        <v>271</v>
      </c>
      <c r="B13" s="184">
        <f>'Parameter Values'!B12</f>
        <v>238500</v>
      </c>
    </row>
    <row r="14" spans="1:9" ht="14.25" customHeight="1" x14ac:dyDescent="0.35">
      <c r="A14" s="185" t="s">
        <v>2</v>
      </c>
      <c r="B14" s="186"/>
    </row>
    <row r="15" spans="1:9" ht="14.25" customHeight="1" x14ac:dyDescent="0.35">
      <c r="A15" s="183" t="s">
        <v>273</v>
      </c>
    </row>
    <row r="16" spans="1:9" ht="14.25" customHeight="1" x14ac:dyDescent="0.35">
      <c r="A16" s="183" t="s">
        <v>274</v>
      </c>
      <c r="B16" s="184">
        <f>'Parameter Values'!B15</f>
        <v>9700</v>
      </c>
    </row>
    <row r="17" spans="1:54" ht="14.25" customHeight="1" x14ac:dyDescent="0.35">
      <c r="A17" s="183" t="s">
        <v>275</v>
      </c>
      <c r="B17" s="184">
        <f>'Parameter Values'!B16</f>
        <v>342400</v>
      </c>
    </row>
    <row r="18" spans="1:54" ht="14.25" customHeight="1" x14ac:dyDescent="0.35">
      <c r="A18" s="183" t="s">
        <v>276</v>
      </c>
      <c r="B18" s="184">
        <f>'Parameter Values'!B17</f>
        <v>15366900</v>
      </c>
    </row>
    <row r="19" spans="1:54" ht="14.25" customHeight="1" x14ac:dyDescent="0.35">
      <c r="A19" s="3" t="s">
        <v>2</v>
      </c>
    </row>
    <row r="20" spans="1:54" ht="15" customHeight="1" x14ac:dyDescent="0.35">
      <c r="A20" s="6" t="s">
        <v>471</v>
      </c>
    </row>
    <row r="21" spans="1:54" ht="14.25" customHeight="1" x14ac:dyDescent="0.35">
      <c r="A21" s="9" t="s">
        <v>4</v>
      </c>
      <c r="B21" s="23" t="s">
        <v>472</v>
      </c>
      <c r="C21" s="23" t="s">
        <v>473</v>
      </c>
      <c r="D21" s="187" t="s">
        <v>474</v>
      </c>
      <c r="G21" s="154" t="s">
        <v>453</v>
      </c>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6"/>
    </row>
    <row r="22" spans="1:54" ht="14.25" customHeight="1" x14ac:dyDescent="0.35">
      <c r="A22" s="10">
        <f>'Project Information'!$B$9</f>
        <v>2031</v>
      </c>
      <c r="B22" s="173">
        <f>Consolidated_Volumes!$B38*$I$26</f>
        <v>73775.439399999988</v>
      </c>
      <c r="C22" s="173">
        <v>0</v>
      </c>
      <c r="D22" s="181">
        <f t="shared" ref="D22:D51" si="0">B22-C22</f>
        <v>73775.439399999988</v>
      </c>
      <c r="G22" s="159"/>
      <c r="BB22" s="160"/>
    </row>
    <row r="23" spans="1:54" ht="14.25" customHeight="1" x14ac:dyDescent="0.35">
      <c r="A23" s="15">
        <f>IF(A22&lt;'Project Information'!B$11,A22+1,"")</f>
        <v>2032</v>
      </c>
      <c r="B23" s="173">
        <f>Consolidated_Volumes!$B39*$I$26</f>
        <v>96749.85985800004</v>
      </c>
      <c r="C23" s="173">
        <v>0</v>
      </c>
      <c r="D23" s="14">
        <f t="shared" si="0"/>
        <v>96749.85985800004</v>
      </c>
      <c r="G23" s="159"/>
      <c r="R23"/>
      <c r="S23"/>
      <c r="T23"/>
      <c r="U23"/>
      <c r="V23"/>
      <c r="W23"/>
      <c r="X23"/>
      <c r="Y23"/>
      <c r="BB23" s="160"/>
    </row>
    <row r="24" spans="1:54" ht="14.25" customHeight="1" x14ac:dyDescent="0.35">
      <c r="A24" s="15">
        <f>IF(A23&lt;'Project Information'!B$11,A23+1,"")</f>
        <v>2033</v>
      </c>
      <c r="B24" s="173">
        <f>Consolidated_Volumes!$B40*$I$26</f>
        <v>120654.97542226003</v>
      </c>
      <c r="C24" s="173">
        <v>0</v>
      </c>
      <c r="D24" s="14">
        <f t="shared" si="0"/>
        <v>120654.97542226003</v>
      </c>
      <c r="G24" s="159"/>
      <c r="R24"/>
      <c r="S24"/>
      <c r="T24"/>
      <c r="U24"/>
      <c r="V24"/>
      <c r="W24"/>
      <c r="X24"/>
      <c r="Y24"/>
      <c r="BB24" s="160"/>
    </row>
    <row r="25" spans="1:54" ht="14.25" customHeight="1" x14ac:dyDescent="0.35">
      <c r="A25" s="15">
        <f>IF(A24&lt;'Project Information'!B$11,A24+1,"")</f>
        <v>2034</v>
      </c>
      <c r="B25" s="173">
        <f>Consolidated_Volumes!$B41*$I$26</f>
        <v>145529.26080818826</v>
      </c>
      <c r="C25" s="173">
        <v>0</v>
      </c>
      <c r="D25" s="14">
        <f t="shared" si="0"/>
        <v>145529.26080818826</v>
      </c>
      <c r="G25" s="159"/>
      <c r="H25" s="287"/>
      <c r="I25" s="288" t="s">
        <v>564</v>
      </c>
      <c r="R25"/>
      <c r="S25"/>
      <c r="T25"/>
      <c r="U25"/>
      <c r="V25"/>
      <c r="W25"/>
      <c r="X25"/>
      <c r="Y25"/>
      <c r="BB25" s="160"/>
    </row>
    <row r="26" spans="1:54" ht="14.25" customHeight="1" x14ac:dyDescent="0.35">
      <c r="A26" s="15">
        <f>IF(A25&lt;'Project Information'!B$11,A25+1,"")</f>
        <v>2035</v>
      </c>
      <c r="B26" s="173">
        <f>Consolidated_Volumes!$B42*$I$26</f>
        <v>171412.81914416485</v>
      </c>
      <c r="C26" s="173">
        <v>0</v>
      </c>
      <c r="D26" s="14">
        <f t="shared" si="0"/>
        <v>171412.81914416485</v>
      </c>
      <c r="G26" s="159"/>
      <c r="H26" s="289" t="s">
        <v>565</v>
      </c>
      <c r="I26" s="290">
        <f>'Parameter Values'!D236</f>
        <v>2.3E-2</v>
      </c>
      <c r="R26"/>
      <c r="S26"/>
      <c r="T26"/>
      <c r="U26"/>
      <c r="V26"/>
      <c r="W26"/>
      <c r="X26"/>
      <c r="Y26"/>
      <c r="BB26" s="160"/>
    </row>
    <row r="27" spans="1:54" ht="14.25" customHeight="1" x14ac:dyDescent="0.35">
      <c r="A27" s="15">
        <f>IF(A26&lt;'Project Information'!B$11,A26+1,"")</f>
        <v>2036</v>
      </c>
      <c r="B27" s="173">
        <f>Consolidated_Volumes!$B43*$I$26</f>
        <v>198347.45274506934</v>
      </c>
      <c r="C27" s="173">
        <v>0</v>
      </c>
      <c r="D27" s="14">
        <f t="shared" si="0"/>
        <v>198347.45274506934</v>
      </c>
      <c r="G27" s="159"/>
      <c r="R27"/>
      <c r="S27"/>
      <c r="T27"/>
      <c r="U27"/>
      <c r="V27"/>
      <c r="W27"/>
      <c r="X27"/>
      <c r="Y27"/>
      <c r="BB27" s="160"/>
    </row>
    <row r="28" spans="1:54" ht="14.25" customHeight="1" x14ac:dyDescent="0.35">
      <c r="A28" s="15">
        <f>IF(A27&lt;'Project Information'!B$11,A27+1,"")</f>
        <v>2037</v>
      </c>
      <c r="B28" s="173">
        <f>Consolidated_Volumes!$B44*$I$26</f>
        <v>226376.73705314909</v>
      </c>
      <c r="C28" s="173">
        <v>0</v>
      </c>
      <c r="D28" s="14">
        <f t="shared" si="0"/>
        <v>226376.73705314909</v>
      </c>
      <c r="G28" s="159"/>
      <c r="R28"/>
      <c r="S28"/>
      <c r="T28"/>
      <c r="U28"/>
      <c r="V28"/>
      <c r="W28"/>
      <c r="X28"/>
      <c r="Y28"/>
      <c r="BB28" s="160"/>
    </row>
    <row r="29" spans="1:54" ht="14.25" customHeight="1" x14ac:dyDescent="0.35">
      <c r="A29" s="15">
        <f>IF(A28&lt;'Project Information'!B$11,A28+1,"")</f>
        <v>2038</v>
      </c>
      <c r="B29" s="173">
        <f>Consolidated_Volumes!$B45*$I$26</f>
        <v>255546.09789251996</v>
      </c>
      <c r="C29" s="173">
        <v>0</v>
      </c>
      <c r="D29" s="14">
        <f t="shared" si="0"/>
        <v>255546.09789251996</v>
      </c>
      <c r="G29" s="159"/>
      <c r="R29"/>
      <c r="S29"/>
      <c r="T29"/>
      <c r="U29"/>
      <c r="V29"/>
      <c r="W29"/>
      <c r="X29"/>
      <c r="Y29"/>
      <c r="BB29" s="160"/>
    </row>
    <row r="30" spans="1:54" ht="14.25" customHeight="1" x14ac:dyDescent="0.35">
      <c r="A30" s="15">
        <f>IF(A29&lt;'Project Information'!B$11,A29+1,"")</f>
        <v>2039</v>
      </c>
      <c r="B30" s="173">
        <f>Consolidated_Volumes!$B46*$I$26</f>
        <v>285902.89219057502</v>
      </c>
      <c r="C30" s="173">
        <v>0</v>
      </c>
      <c r="D30" s="14">
        <f t="shared" si="0"/>
        <v>285902.89219057502</v>
      </c>
      <c r="G30" s="159"/>
      <c r="R30"/>
      <c r="S30"/>
      <c r="T30"/>
      <c r="U30"/>
      <c r="V30"/>
      <c r="W30"/>
      <c r="X30"/>
      <c r="Y30"/>
      <c r="BB30" s="160"/>
    </row>
    <row r="31" spans="1:54" ht="14.25" customHeight="1" x14ac:dyDescent="0.35">
      <c r="A31" s="15">
        <f>IF(A30&lt;'Project Information'!B$11,A30+1,"")</f>
        <v>2040</v>
      </c>
      <c r="B31" s="173">
        <f>Consolidated_Volumes!$B47*$I$26</f>
        <v>317496.49232690281</v>
      </c>
      <c r="C31" s="173">
        <v>0</v>
      </c>
      <c r="D31" s="14">
        <f t="shared" si="0"/>
        <v>317496.49232690281</v>
      </c>
      <c r="G31" s="159"/>
      <c r="R31"/>
      <c r="S31"/>
      <c r="T31"/>
      <c r="U31"/>
      <c r="V31"/>
      <c r="W31"/>
      <c r="X31"/>
      <c r="Y31"/>
      <c r="BB31" s="160"/>
    </row>
    <row r="32" spans="1:54" ht="14.25" customHeight="1" x14ac:dyDescent="0.35">
      <c r="A32" s="15">
        <f>IF(A31&lt;'Project Information'!B$11,A31+1,"")</f>
        <v>2041</v>
      </c>
      <c r="B32" s="173">
        <f>Consolidated_Volumes!$B48*$I$26</f>
        <v>350378.37427800643</v>
      </c>
      <c r="C32" s="173">
        <v>0</v>
      </c>
      <c r="D32" s="14">
        <f t="shared" si="0"/>
        <v>350378.37427800643</v>
      </c>
      <c r="G32" s="159"/>
      <c r="R32"/>
      <c r="S32"/>
      <c r="T32"/>
      <c r="U32"/>
      <c r="V32"/>
      <c r="W32"/>
      <c r="X32"/>
      <c r="Y32"/>
      <c r="BB32" s="160"/>
    </row>
    <row r="33" spans="1:54" ht="14.25" customHeight="1" x14ac:dyDescent="0.35">
      <c r="A33" s="15">
        <f>IF(A32&lt;'Project Information'!B$11,A32+1,"")</f>
        <v>2042</v>
      </c>
      <c r="B33" s="173">
        <f>Consolidated_Volumes!$B49*$I$26</f>
        <v>384602.20973418531</v>
      </c>
      <c r="C33" s="173">
        <v>0</v>
      </c>
      <c r="D33" s="14">
        <f t="shared" si="0"/>
        <v>384602.20973418531</v>
      </c>
      <c r="G33" s="159"/>
      <c r="R33"/>
      <c r="S33"/>
      <c r="T33"/>
      <c r="U33"/>
      <c r="V33"/>
      <c r="W33"/>
      <c r="X33"/>
      <c r="Y33"/>
      <c r="BB33" s="160"/>
    </row>
    <row r="34" spans="1:54" ht="14.25" customHeight="1" x14ac:dyDescent="0.35">
      <c r="A34" s="15">
        <f>IF(A33&lt;'Project Information'!B$11,A33+1,"")</f>
        <v>2043</v>
      </c>
      <c r="B34" s="173">
        <f>Consolidated_Volumes!$B50*$I$26</f>
        <v>420223.9623734093</v>
      </c>
      <c r="C34" s="173">
        <v>0</v>
      </c>
      <c r="D34" s="14">
        <f t="shared" si="0"/>
        <v>420223.9623734093</v>
      </c>
      <c r="G34" s="159"/>
      <c r="R34"/>
      <c r="S34"/>
      <c r="T34"/>
      <c r="U34"/>
      <c r="V34"/>
      <c r="W34"/>
      <c r="X34"/>
      <c r="Y34"/>
      <c r="BB34" s="160"/>
    </row>
    <row r="35" spans="1:54" x14ac:dyDescent="0.35">
      <c r="A35" s="15">
        <f>IF(A34&lt;'Project Information'!B$11,A34+1,"")</f>
        <v>2044</v>
      </c>
      <c r="B35" s="173">
        <f>Consolidated_Volumes!$B51*$I$26</f>
        <v>457301.98848590761</v>
      </c>
      <c r="C35" s="173">
        <v>0</v>
      </c>
      <c r="D35" s="14">
        <f t="shared" si="0"/>
        <v>457301.98848590761</v>
      </c>
      <c r="G35" s="159"/>
      <c r="R35"/>
      <c r="S35"/>
      <c r="T35"/>
      <c r="U35"/>
      <c r="V35"/>
      <c r="W35"/>
      <c r="X35"/>
      <c r="Y35"/>
      <c r="BB35" s="160"/>
    </row>
    <row r="36" spans="1:54" ht="14.25" customHeight="1" x14ac:dyDescent="0.35">
      <c r="A36" s="15">
        <f>IF(A35&lt;'Project Information'!B$11,A35+1,"")</f>
        <v>2045</v>
      </c>
      <c r="B36" s="173">
        <f>Consolidated_Volumes!$B52*$I$26</f>
        <v>495897.14215252205</v>
      </c>
      <c r="C36" s="173">
        <v>0</v>
      </c>
      <c r="D36" s="14">
        <f t="shared" si="0"/>
        <v>495897.14215252205</v>
      </c>
      <c r="G36" s="159"/>
      <c r="R36"/>
      <c r="S36"/>
      <c r="T36"/>
      <c r="U36"/>
      <c r="V36"/>
      <c r="W36"/>
      <c r="X36"/>
      <c r="Y36"/>
      <c r="BB36" s="160"/>
    </row>
    <row r="37" spans="1:54" ht="14.25" customHeight="1" x14ac:dyDescent="0.35">
      <c r="A37" s="15">
        <f>IF(A36&lt;'Project Information'!B$11,A36+1,"")</f>
        <v>2046</v>
      </c>
      <c r="B37" s="173">
        <f>Consolidated_Volumes!$B53*$I$26</f>
        <v>536072.88518967654</v>
      </c>
      <c r="C37" s="173">
        <v>0</v>
      </c>
      <c r="D37" s="14">
        <f t="shared" si="0"/>
        <v>536072.88518967654</v>
      </c>
      <c r="G37" s="159"/>
      <c r="R37"/>
      <c r="S37"/>
      <c r="T37"/>
      <c r="U37"/>
      <c r="V37"/>
      <c r="W37"/>
      <c r="X37"/>
      <c r="Y37"/>
      <c r="BB37" s="160"/>
    </row>
    <row r="38" spans="1:54" ht="14.25" customHeight="1" x14ac:dyDescent="0.35">
      <c r="A38" s="15">
        <f>IF(A37&lt;'Project Information'!B$11,A37+1,"")</f>
        <v>2047</v>
      </c>
      <c r="B38" s="173">
        <f>Consolidated_Volumes!$B54*$I$26</f>
        <v>577895.4020840954</v>
      </c>
      <c r="C38" s="173">
        <v>0</v>
      </c>
      <c r="D38" s="14">
        <f t="shared" si="0"/>
        <v>577895.4020840954</v>
      </c>
      <c r="G38" s="159"/>
      <c r="R38"/>
      <c r="S38"/>
      <c r="T38"/>
      <c r="U38"/>
      <c r="V38"/>
      <c r="W38"/>
      <c r="X38"/>
      <c r="Y38"/>
      <c r="BB38" s="160"/>
    </row>
    <row r="39" spans="1:54" ht="14.25" customHeight="1" x14ac:dyDescent="0.35">
      <c r="A39" s="15">
        <f>IF(A38&lt;'Project Information'!B$11,A38+1,"")</f>
        <v>2048</v>
      </c>
      <c r="B39" s="173">
        <f>Consolidated_Volumes!$B55*$I$26</f>
        <v>621433.72015120077</v>
      </c>
      <c r="C39" s="173">
        <v>0</v>
      </c>
      <c r="D39" s="14">
        <f t="shared" si="0"/>
        <v>621433.72015120077</v>
      </c>
      <c r="G39" s="159"/>
      <c r="R39"/>
      <c r="S39"/>
      <c r="T39"/>
      <c r="U39"/>
      <c r="V39"/>
      <c r="W39"/>
      <c r="X39"/>
      <c r="Y39"/>
      <c r="BB39" s="160"/>
    </row>
    <row r="40" spans="1:54" ht="14.25" customHeight="1" x14ac:dyDescent="0.35">
      <c r="A40" s="15">
        <f>IF(A39&lt;'Project Information'!B$11,A39+1,"")</f>
        <v>2049</v>
      </c>
      <c r="B40" s="173">
        <f>Consolidated_Volumes!$B56*$I$26</f>
        <v>666759.83516245952</v>
      </c>
      <c r="C40" s="173">
        <v>0</v>
      </c>
      <c r="D40" s="14">
        <f t="shared" si="0"/>
        <v>666759.83516245952</v>
      </c>
      <c r="G40" s="159"/>
      <c r="BB40" s="160"/>
    </row>
    <row r="41" spans="1:54" ht="14.25" customHeight="1" x14ac:dyDescent="0.35">
      <c r="A41" s="15">
        <f>IF(A40&lt;'Project Information'!B$11,A40+1,"")</f>
        <v>2050</v>
      </c>
      <c r="B41" s="173">
        <f>Consolidated_Volumes!$B57*$I$26</f>
        <v>713948.84269885637</v>
      </c>
      <c r="C41" s="173">
        <v>0</v>
      </c>
      <c r="D41" s="14">
        <f t="shared" si="0"/>
        <v>713948.84269885637</v>
      </c>
      <c r="G41" s="159"/>
      <c r="BB41" s="160"/>
    </row>
    <row r="42" spans="1:54" ht="14.25" customHeight="1" x14ac:dyDescent="0.35">
      <c r="A42" s="15">
        <f>IF(A41&lt;'Project Information'!B$11,A41+1,"")</f>
        <v>2051</v>
      </c>
      <c r="B42" s="173">
        <f>Consolidated_Volumes!$B58*$I$26</f>
        <v>763079.07550016872</v>
      </c>
      <c r="C42" s="173">
        <v>0</v>
      </c>
      <c r="D42" s="14">
        <f t="shared" si="0"/>
        <v>763079.07550016872</v>
      </c>
      <c r="G42" s="159"/>
      <c r="BB42" s="160"/>
    </row>
    <row r="43" spans="1:54" ht="14.25" customHeight="1" x14ac:dyDescent="0.35">
      <c r="A43" s="15">
        <f>IF(A42&lt;'Project Information'!B$11,A42+1,"")</f>
        <v>2052</v>
      </c>
      <c r="B43" s="173">
        <f>Consolidated_Volumes!$B59*$I$26</f>
        <v>814232.24709285435</v>
      </c>
      <c r="C43" s="173">
        <v>0</v>
      </c>
      <c r="D43" s="14">
        <f t="shared" si="0"/>
        <v>814232.24709285435</v>
      </c>
      <c r="G43" s="159"/>
      <c r="BB43" s="160"/>
    </row>
    <row r="44" spans="1:54" ht="14.25" customHeight="1" x14ac:dyDescent="0.35">
      <c r="A44" s="15">
        <f>IF(A43&lt;'Project Information'!B$11,A43+1,"")</f>
        <v>2053</v>
      </c>
      <c r="B44" s="173">
        <f>Consolidated_Volumes!$B60*$I$26</f>
        <v>867493.60199315171</v>
      </c>
      <c r="C44" s="173">
        <v>0</v>
      </c>
      <c r="D44" s="14">
        <f t="shared" si="0"/>
        <v>867493.60199315171</v>
      </c>
      <c r="G44" s="159"/>
      <c r="BB44" s="160"/>
    </row>
    <row r="45" spans="1:54" ht="14.25" customHeight="1" x14ac:dyDescent="0.35">
      <c r="A45" s="15">
        <f>IF(A44&lt;'Project Information'!B$11,A44+1,"")</f>
        <v>2054</v>
      </c>
      <c r="B45" s="173">
        <f>Consolidated_Volumes!$B61*$I$26</f>
        <v>922952.07279647596</v>
      </c>
      <c r="C45" s="173">
        <v>0</v>
      </c>
      <c r="D45" s="14">
        <f t="shared" si="0"/>
        <v>922952.07279647596</v>
      </c>
      <c r="G45" s="159"/>
      <c r="BB45" s="160"/>
    </row>
    <row r="46" spans="1:54" ht="14.25" customHeight="1" x14ac:dyDescent="0.35">
      <c r="A46" s="15">
        <f>IF(A45&lt;'Project Information'!B$11,A45+1,"")</f>
        <v>2055</v>
      </c>
      <c r="B46" s="173">
        <f>Consolidated_Volumes!$B62*$I$26</f>
        <v>980700.44447941694</v>
      </c>
      <c r="C46" s="173">
        <v>0</v>
      </c>
      <c r="D46" s="14">
        <f t="shared" si="0"/>
        <v>980700.44447941694</v>
      </c>
      <c r="G46" s="159"/>
      <c r="BB46" s="160"/>
    </row>
    <row r="47" spans="1:54" ht="14.25" customHeight="1" x14ac:dyDescent="0.35">
      <c r="A47" s="15">
        <f>IF(A46&lt;'Project Information'!B$11,A46+1,"")</f>
        <v>2056</v>
      </c>
      <c r="B47" s="173">
        <f>Consolidated_Volumes!$B63*$I$26</f>
        <v>1040835.526256623</v>
      </c>
      <c r="C47" s="173">
        <v>0</v>
      </c>
      <c r="D47" s="14">
        <f t="shared" si="0"/>
        <v>1040835.526256623</v>
      </c>
      <c r="G47" s="159"/>
      <c r="BB47" s="160"/>
    </row>
    <row r="48" spans="1:54" ht="14.25" customHeight="1" x14ac:dyDescent="0.35">
      <c r="A48" s="15">
        <f>IF(A47&lt;'Project Information'!B$11,A47+1,"")</f>
        <v>2057</v>
      </c>
      <c r="B48" s="173">
        <f>Consolidated_Volumes!$B64*$I$26</f>
        <v>1103458.3313516558</v>
      </c>
      <c r="C48" s="173">
        <v>0</v>
      </c>
      <c r="D48" s="14">
        <f t="shared" si="0"/>
        <v>1103458.3313516558</v>
      </c>
      <c r="G48" s="159"/>
      <c r="BB48" s="160"/>
    </row>
    <row r="49" spans="1:54" ht="14.25" customHeight="1" x14ac:dyDescent="0.35">
      <c r="A49" s="15">
        <f>IF(A48&lt;'Project Information'!B$11,A48+1,"")</f>
        <v>2058</v>
      </c>
      <c r="B49" s="173">
        <f>Consolidated_Volumes!$B65*$I$26</f>
        <v>1168674.2650585372</v>
      </c>
      <c r="C49" s="173">
        <v>0</v>
      </c>
      <c r="D49" s="14">
        <f t="shared" si="0"/>
        <v>1168674.2650585372</v>
      </c>
      <c r="G49" s="159"/>
      <c r="BB49" s="160"/>
    </row>
    <row r="50" spans="1:54" ht="14.25" customHeight="1" x14ac:dyDescent="0.35">
      <c r="A50" s="15">
        <f>IF(A49&lt;'Project Information'!B$11,A49+1,"")</f>
        <v>2059</v>
      </c>
      <c r="B50" s="173">
        <f>Consolidated_Volumes!$B66*$I$26</f>
        <v>1236593.3214892575</v>
      </c>
      <c r="C50" s="173">
        <v>0</v>
      </c>
      <c r="D50" s="14">
        <f t="shared" si="0"/>
        <v>1236593.3214892575</v>
      </c>
      <c r="G50" s="159"/>
      <c r="BB50" s="160"/>
    </row>
    <row r="51" spans="1:54" ht="14.25" customHeight="1" x14ac:dyDescent="0.35">
      <c r="A51" s="15">
        <f>IF(A50&lt;'Project Information'!B$11,A50+1,"")</f>
        <v>2060</v>
      </c>
      <c r="B51" s="173">
        <f>Consolidated_Volumes!$B67*$I$26</f>
        <v>1307330.2894219935</v>
      </c>
      <c r="C51" s="173">
        <v>0</v>
      </c>
      <c r="D51" s="188">
        <f t="shared" si="0"/>
        <v>1307330.2894219935</v>
      </c>
      <c r="G51" s="159"/>
      <c r="BB51" s="160"/>
    </row>
    <row r="52" spans="1:54" ht="14.25" customHeight="1" x14ac:dyDescent="0.35">
      <c r="A52" s="174"/>
      <c r="B52" s="175"/>
      <c r="C52" s="175"/>
      <c r="D52" s="29"/>
      <c r="G52" s="159"/>
      <c r="BB52" s="160"/>
    </row>
    <row r="53" spans="1:54" ht="14.25" customHeight="1" x14ac:dyDescent="0.35">
      <c r="B53" s="177"/>
      <c r="C53" s="177"/>
      <c r="D53" s="29"/>
      <c r="G53" s="159"/>
      <c r="BB53" s="160"/>
    </row>
    <row r="54" spans="1:54" ht="14.25" customHeight="1" x14ac:dyDescent="0.35">
      <c r="B54" s="177"/>
      <c r="C54" s="177"/>
      <c r="D54" s="29"/>
      <c r="G54" s="159"/>
      <c r="BB54" s="160"/>
    </row>
    <row r="55" spans="1:54" ht="14.25" customHeight="1" x14ac:dyDescent="0.35">
      <c r="B55" s="177"/>
      <c r="C55" s="177"/>
      <c r="D55" s="29"/>
      <c r="G55" s="159"/>
      <c r="BB55" s="160"/>
    </row>
    <row r="56" spans="1:54" ht="14.25" customHeight="1" x14ac:dyDescent="0.35">
      <c r="B56" s="177"/>
      <c r="C56" s="177"/>
      <c r="D56" s="29"/>
      <c r="G56" s="159"/>
      <c r="BB56" s="160"/>
    </row>
    <row r="57" spans="1:54" ht="14.25" customHeight="1" x14ac:dyDescent="0.35">
      <c r="B57" s="177"/>
      <c r="C57" s="177"/>
      <c r="D57" s="29"/>
      <c r="G57" s="159"/>
      <c r="BB57" s="160"/>
    </row>
    <row r="58" spans="1:54" ht="14.25" customHeight="1" x14ac:dyDescent="0.35">
      <c r="B58" s="177"/>
      <c r="C58" s="177"/>
      <c r="D58" s="29"/>
      <c r="G58" s="159"/>
      <c r="BB58" s="160"/>
    </row>
    <row r="59" spans="1:54" ht="14.25" customHeight="1" x14ac:dyDescent="0.35">
      <c r="B59" s="177"/>
      <c r="C59" s="177"/>
      <c r="D59" s="29"/>
      <c r="G59" s="159"/>
      <c r="BB59" s="160"/>
    </row>
    <row r="60" spans="1:54" ht="14.25" customHeight="1" x14ac:dyDescent="0.35">
      <c r="B60" s="177"/>
      <c r="C60" s="177"/>
      <c r="D60" s="29"/>
      <c r="G60" s="159"/>
      <c r="BB60" s="160"/>
    </row>
    <row r="61" spans="1:54" ht="14.25" customHeight="1" x14ac:dyDescent="0.35">
      <c r="B61" s="177"/>
      <c r="C61" s="177"/>
      <c r="D61" s="29"/>
      <c r="G61" s="159"/>
      <c r="BB61" s="160"/>
    </row>
    <row r="62" spans="1:54" ht="14.25" customHeight="1" x14ac:dyDescent="0.35">
      <c r="G62" s="159"/>
      <c r="BB62" s="160"/>
    </row>
    <row r="63" spans="1:54" ht="14.25" customHeight="1" x14ac:dyDescent="0.35">
      <c r="G63" s="159"/>
      <c r="BB63" s="160"/>
    </row>
    <row r="64" spans="1:54" ht="14.25" customHeight="1" x14ac:dyDescent="0.35">
      <c r="G64" s="159"/>
      <c r="BB64" s="160"/>
    </row>
    <row r="65" spans="7:54" ht="14.25" customHeight="1" x14ac:dyDescent="0.35">
      <c r="G65" s="159"/>
      <c r="BB65" s="160"/>
    </row>
    <row r="66" spans="7:54" ht="14.25" customHeight="1" x14ac:dyDescent="0.35">
      <c r="G66" s="159"/>
      <c r="BB66" s="160"/>
    </row>
    <row r="67" spans="7:54" ht="14.25" customHeight="1" x14ac:dyDescent="0.35">
      <c r="G67" s="159"/>
      <c r="BB67" s="160"/>
    </row>
    <row r="68" spans="7:54" ht="14.25" customHeight="1" x14ac:dyDescent="0.35">
      <c r="G68" s="159"/>
      <c r="BB68" s="160"/>
    </row>
    <row r="69" spans="7:54" ht="14.25" customHeight="1" x14ac:dyDescent="0.35">
      <c r="G69" s="159"/>
      <c r="BB69" s="160"/>
    </row>
    <row r="70" spans="7:54" ht="14.25" customHeight="1" x14ac:dyDescent="0.35">
      <c r="G70" s="159"/>
      <c r="BB70" s="160"/>
    </row>
    <row r="71" spans="7:54" ht="14.25" customHeight="1" x14ac:dyDescent="0.35">
      <c r="G71" s="159"/>
      <c r="BB71" s="160"/>
    </row>
    <row r="72" spans="7:54" ht="14.25" customHeight="1" x14ac:dyDescent="0.35">
      <c r="G72" s="159"/>
      <c r="BB72" s="160"/>
    </row>
    <row r="73" spans="7:54" ht="14.25" customHeight="1" x14ac:dyDescent="0.35">
      <c r="G73" s="159"/>
      <c r="BB73" s="160"/>
    </row>
    <row r="74" spans="7:54" ht="14.25" customHeight="1" x14ac:dyDescent="0.35">
      <c r="G74" s="159"/>
      <c r="BB74" s="160"/>
    </row>
    <row r="75" spans="7:54" ht="14.25" customHeight="1" x14ac:dyDescent="0.35">
      <c r="G75" s="159"/>
      <c r="BB75" s="160"/>
    </row>
    <row r="76" spans="7:54" ht="14.25" customHeight="1" x14ac:dyDescent="0.35">
      <c r="G76" s="159"/>
      <c r="BB76" s="160"/>
    </row>
    <row r="77" spans="7:54" ht="14.25" customHeight="1" x14ac:dyDescent="0.35">
      <c r="G77" s="159"/>
      <c r="BB77" s="160"/>
    </row>
    <row r="78" spans="7:54" ht="14.25" customHeight="1" x14ac:dyDescent="0.35">
      <c r="G78" s="159"/>
      <c r="BB78" s="160"/>
    </row>
    <row r="79" spans="7:54" ht="14.25" customHeight="1" x14ac:dyDescent="0.35">
      <c r="G79" s="159"/>
      <c r="BB79" s="160"/>
    </row>
    <row r="80" spans="7:54" ht="14.25" customHeight="1" x14ac:dyDescent="0.35">
      <c r="G80" s="159"/>
      <c r="BB80" s="160"/>
    </row>
    <row r="81" spans="7:54" ht="14.25" customHeight="1" x14ac:dyDescent="0.35">
      <c r="G81" s="159"/>
      <c r="BB81" s="160"/>
    </row>
    <row r="82" spans="7:54" ht="14.25" customHeight="1" x14ac:dyDescent="0.35">
      <c r="G82" s="159"/>
      <c r="BB82" s="160"/>
    </row>
    <row r="83" spans="7:54" ht="14.25" customHeight="1" x14ac:dyDescent="0.35">
      <c r="G83" s="159"/>
      <c r="BB83" s="160"/>
    </row>
    <row r="84" spans="7:54" ht="14.25" customHeight="1" x14ac:dyDescent="0.35">
      <c r="G84" s="159"/>
      <c r="BB84" s="160"/>
    </row>
    <row r="85" spans="7:54" ht="14.25" customHeight="1" x14ac:dyDescent="0.35">
      <c r="G85" s="159"/>
      <c r="BB85" s="160"/>
    </row>
    <row r="86" spans="7:54" ht="14.25" customHeight="1" x14ac:dyDescent="0.35">
      <c r="G86" s="159"/>
      <c r="BB86" s="160"/>
    </row>
    <row r="87" spans="7:54" ht="14.25" customHeight="1" x14ac:dyDescent="0.35">
      <c r="G87" s="159"/>
      <c r="BB87" s="160"/>
    </row>
    <row r="88" spans="7:54" ht="14.25" customHeight="1" x14ac:dyDescent="0.35">
      <c r="G88" s="159"/>
      <c r="BB88" s="160"/>
    </row>
    <row r="89" spans="7:54" ht="14.25" customHeight="1" x14ac:dyDescent="0.35">
      <c r="G89" s="159"/>
      <c r="BB89" s="160"/>
    </row>
    <row r="90" spans="7:54" ht="14.25" customHeight="1" x14ac:dyDescent="0.35">
      <c r="G90" s="159"/>
      <c r="BB90" s="160"/>
    </row>
    <row r="91" spans="7:54" ht="14.25" customHeight="1" x14ac:dyDescent="0.35">
      <c r="G91" s="159"/>
      <c r="BB91" s="160"/>
    </row>
    <row r="92" spans="7:54" ht="14.25" customHeight="1" x14ac:dyDescent="0.35">
      <c r="G92" s="159"/>
      <c r="BB92" s="160"/>
    </row>
    <row r="93" spans="7:54" ht="14.25" customHeight="1" x14ac:dyDescent="0.35">
      <c r="G93" s="159"/>
      <c r="BB93" s="160"/>
    </row>
    <row r="94" spans="7:54" ht="14.25" customHeight="1" x14ac:dyDescent="0.35">
      <c r="G94" s="159"/>
      <c r="BB94" s="160"/>
    </row>
    <row r="95" spans="7:54" ht="14.25" customHeight="1" x14ac:dyDescent="0.35">
      <c r="G95" s="159"/>
      <c r="BB95" s="160"/>
    </row>
    <row r="96" spans="7:54" ht="14.25" customHeight="1" x14ac:dyDescent="0.35">
      <c r="G96" s="159"/>
      <c r="BB96" s="160"/>
    </row>
    <row r="97" spans="7:54" ht="14.25" customHeight="1" x14ac:dyDescent="0.35">
      <c r="G97" s="159"/>
      <c r="BB97" s="160"/>
    </row>
    <row r="98" spans="7:54" ht="14.25" customHeight="1" x14ac:dyDescent="0.35">
      <c r="G98" s="159"/>
      <c r="BB98" s="160"/>
    </row>
    <row r="99" spans="7:54" ht="14.25" customHeight="1" x14ac:dyDescent="0.35">
      <c r="G99" s="159"/>
      <c r="BB99" s="160"/>
    </row>
    <row r="100" spans="7:54" ht="14.25" customHeight="1" x14ac:dyDescent="0.35">
      <c r="G100" s="159"/>
      <c r="BB100" s="160"/>
    </row>
    <row r="101" spans="7:54" ht="14.25" customHeight="1" x14ac:dyDescent="0.35">
      <c r="G101" s="159"/>
      <c r="BB101" s="160"/>
    </row>
    <row r="102" spans="7:54" ht="14.25" customHeight="1" x14ac:dyDescent="0.35">
      <c r="G102" s="159"/>
      <c r="BB102" s="160"/>
    </row>
    <row r="103" spans="7:54" ht="14.25" customHeight="1" x14ac:dyDescent="0.35">
      <c r="G103" s="159"/>
      <c r="BB103" s="160"/>
    </row>
    <row r="104" spans="7:54" ht="14.25" customHeight="1" x14ac:dyDescent="0.35">
      <c r="G104" s="159"/>
      <c r="BB104" s="160"/>
    </row>
    <row r="105" spans="7:54" ht="14.25" customHeight="1" x14ac:dyDescent="0.35">
      <c r="G105" s="159"/>
      <c r="BB105" s="160"/>
    </row>
    <row r="106" spans="7:54" ht="14.25" customHeight="1" x14ac:dyDescent="0.35">
      <c r="G106" s="159"/>
      <c r="BB106" s="160"/>
    </row>
    <row r="107" spans="7:54" ht="14.25" customHeight="1" x14ac:dyDescent="0.35">
      <c r="G107" s="159"/>
      <c r="BB107" s="160"/>
    </row>
    <row r="108" spans="7:54" ht="14.25" customHeight="1" x14ac:dyDescent="0.35">
      <c r="G108" s="159"/>
      <c r="BB108" s="160"/>
    </row>
    <row r="109" spans="7:54" ht="14.25" customHeight="1" x14ac:dyDescent="0.35">
      <c r="G109" s="159"/>
      <c r="BB109" s="160"/>
    </row>
    <row r="110" spans="7:54" ht="14.25" customHeight="1" x14ac:dyDescent="0.35">
      <c r="G110" s="159"/>
      <c r="BB110" s="160"/>
    </row>
    <row r="111" spans="7:54" ht="15" customHeight="1" x14ac:dyDescent="0.35">
      <c r="G111" s="178"/>
      <c r="H111" s="179"/>
      <c r="I111" s="179"/>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79"/>
      <c r="AV111" s="179"/>
      <c r="AW111" s="179"/>
      <c r="AX111" s="179"/>
      <c r="AY111" s="179"/>
      <c r="AZ111" s="179"/>
      <c r="BA111" s="179"/>
      <c r="BB111" s="180"/>
    </row>
  </sheetData>
  <conditionalFormatting sqref="B22:B51">
    <cfRule type="expression" dxfId="14" priority="3">
      <formula>A22=""</formula>
    </cfRule>
  </conditionalFormatting>
  <conditionalFormatting sqref="C22:C51">
    <cfRule type="expression" dxfId="13" priority="2">
      <formula>A22=""</formula>
    </cfRule>
  </conditionalFormatting>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A9D18E"/>
  </sheetPr>
  <dimension ref="A1:BB109"/>
  <sheetViews>
    <sheetView workbookViewId="0"/>
  </sheetViews>
  <sheetFormatPr defaultColWidth="9.1796875" defaultRowHeight="14.5" x14ac:dyDescent="0.35"/>
  <cols>
    <col min="1" max="1" width="28.54296875" style="3" customWidth="1"/>
    <col min="2" max="2" width="27.453125" style="3" customWidth="1"/>
    <col min="3" max="3" width="28.81640625" style="3" customWidth="1"/>
    <col min="4" max="4" width="30.81640625" style="3" customWidth="1"/>
    <col min="5" max="7" width="9.1796875" style="3"/>
    <col min="8" max="8" width="25.6328125" style="3" customWidth="1"/>
    <col min="9" max="9" width="10.81640625" style="3" customWidth="1"/>
    <col min="10" max="11" width="9.1796875" style="3"/>
    <col min="12" max="12" width="9.6328125" style="3" customWidth="1"/>
    <col min="13" max="14" width="9.1796875" style="3"/>
    <col min="15" max="15" width="15.81640625" style="3" customWidth="1"/>
    <col min="16" max="16" width="21" style="3" customWidth="1"/>
    <col min="17" max="16384" width="9.1796875" style="3"/>
  </cols>
  <sheetData>
    <row r="1" spans="1:10" ht="19.5" customHeight="1" x14ac:dyDescent="0.45">
      <c r="A1" s="4" t="s">
        <v>7</v>
      </c>
    </row>
    <row r="2" spans="1:10" ht="15" customHeight="1" x14ac:dyDescent="0.35">
      <c r="A2" s="5" t="s">
        <v>469</v>
      </c>
      <c r="B2" s="5"/>
      <c r="C2" s="5"/>
      <c r="D2" s="5"/>
      <c r="E2" s="5"/>
      <c r="F2" s="5"/>
      <c r="G2" s="5"/>
    </row>
    <row r="3" spans="1:10" ht="14.25" customHeight="1" x14ac:dyDescent="0.35">
      <c r="A3" s="3" t="s">
        <v>2</v>
      </c>
    </row>
    <row r="4" spans="1:10" ht="14.25" customHeight="1" x14ac:dyDescent="0.35">
      <c r="A4" s="167" t="s">
        <v>463</v>
      </c>
      <c r="B4" s="5"/>
      <c r="C4" s="5"/>
      <c r="D4" s="5"/>
      <c r="E4" s="5"/>
      <c r="F4" s="5"/>
      <c r="G4" s="5"/>
      <c r="H4" s="5"/>
      <c r="I4" s="5"/>
      <c r="J4" s="5"/>
    </row>
    <row r="5" spans="1:10" ht="14.25" customHeight="1" x14ac:dyDescent="0.35">
      <c r="A5" s="168" t="s">
        <v>2</v>
      </c>
    </row>
    <row r="6" spans="1:10" ht="14.25" customHeight="1" x14ac:dyDescent="0.35">
      <c r="A6" s="6" t="s">
        <v>470</v>
      </c>
    </row>
    <row r="7" spans="1:10" ht="14.25" customHeight="1" x14ac:dyDescent="0.35">
      <c r="A7" s="182" t="s">
        <v>24</v>
      </c>
      <c r="B7" s="182" t="s">
        <v>475</v>
      </c>
    </row>
    <row r="8" spans="1:10" ht="14.25" customHeight="1" x14ac:dyDescent="0.35">
      <c r="A8" s="183" t="s">
        <v>476</v>
      </c>
      <c r="B8" s="189">
        <f>'Parameter Values'!B24</f>
        <v>20.100000000000001</v>
      </c>
    </row>
    <row r="9" spans="1:10" ht="14.25" customHeight="1" x14ac:dyDescent="0.35">
      <c r="A9" s="183" t="s">
        <v>477</v>
      </c>
      <c r="B9" s="189">
        <f>'Parameter Values'!B25</f>
        <v>34.6</v>
      </c>
    </row>
    <row r="10" spans="1:10" ht="14.25" customHeight="1" x14ac:dyDescent="0.35">
      <c r="A10" s="183" t="s">
        <v>478</v>
      </c>
      <c r="B10" s="189">
        <f>'Parameter Values'!B26</f>
        <v>21.8</v>
      </c>
    </row>
    <row r="11" spans="1:10" ht="28.5" customHeight="1" x14ac:dyDescent="0.35">
      <c r="A11" s="183" t="s">
        <v>479</v>
      </c>
      <c r="B11" s="189">
        <f>'Parameter Values'!B28</f>
        <v>40.200000000000003</v>
      </c>
    </row>
    <row r="12" spans="1:10" ht="14.25" customHeight="1" x14ac:dyDescent="0.35">
      <c r="A12" s="183" t="s">
        <v>480</v>
      </c>
      <c r="B12" s="189"/>
    </row>
    <row r="13" spans="1:10" ht="14.25" customHeight="1" x14ac:dyDescent="0.35">
      <c r="A13" s="183" t="s">
        <v>287</v>
      </c>
      <c r="B13" s="189">
        <f>'Parameter Values'!B31</f>
        <v>37.200000000000003</v>
      </c>
    </row>
    <row r="14" spans="1:10" ht="14.25" customHeight="1" x14ac:dyDescent="0.35">
      <c r="A14" s="183" t="s">
        <v>288</v>
      </c>
      <c r="B14" s="189">
        <f>'Parameter Values'!B32</f>
        <v>40.299999999999997</v>
      </c>
    </row>
    <row r="15" spans="1:10" ht="14.25" customHeight="1" x14ac:dyDescent="0.35">
      <c r="A15" s="183" t="s">
        <v>289</v>
      </c>
      <c r="B15" s="189">
        <f>'Parameter Values'!B33</f>
        <v>59.5</v>
      </c>
    </row>
    <row r="16" spans="1:10" ht="14.25" customHeight="1" x14ac:dyDescent="0.35">
      <c r="A16" s="183" t="s">
        <v>290</v>
      </c>
      <c r="B16" s="189">
        <f>'Parameter Values'!B34</f>
        <v>54.2</v>
      </c>
    </row>
    <row r="17" spans="1:54" ht="14.25" customHeight="1" x14ac:dyDescent="0.35">
      <c r="A17" s="168" t="s">
        <v>2</v>
      </c>
    </row>
    <row r="18" spans="1:54" ht="15" customHeight="1" x14ac:dyDescent="0.35">
      <c r="A18" s="6" t="s">
        <v>481</v>
      </c>
    </row>
    <row r="19" spans="1:54" ht="14.25" customHeight="1" x14ac:dyDescent="0.35">
      <c r="A19" s="9" t="s">
        <v>4</v>
      </c>
      <c r="B19" s="23" t="s">
        <v>482</v>
      </c>
      <c r="C19" s="23" t="s">
        <v>483</v>
      </c>
      <c r="D19" s="187" t="s">
        <v>484</v>
      </c>
      <c r="G19" s="154" t="s">
        <v>453</v>
      </c>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6"/>
    </row>
    <row r="20" spans="1:54" ht="14.25" customHeight="1" x14ac:dyDescent="0.35">
      <c r="A20" s="10">
        <f>'Project Information'!$B$9</f>
        <v>2031</v>
      </c>
      <c r="B20" s="173">
        <f>$I$30</f>
        <v>1716624.0000000002</v>
      </c>
      <c r="C20" s="173">
        <v>0</v>
      </c>
      <c r="D20" s="181">
        <f t="shared" ref="D20:D49" si="0">B20-C20</f>
        <v>1716624.0000000002</v>
      </c>
      <c r="G20" s="159"/>
      <c r="BB20" s="160"/>
    </row>
    <row r="21" spans="1:54" ht="28.5" customHeight="1" x14ac:dyDescent="0.35">
      <c r="A21" s="15">
        <f>IF(A20&lt;'Project Information'!B$11,A20+1,"")</f>
        <v>2032</v>
      </c>
      <c r="B21" s="173">
        <f t="shared" ref="B21:B49" si="1">$I$31+$I$30</f>
        <v>1716624.0000000002</v>
      </c>
      <c r="C21" s="173">
        <v>0</v>
      </c>
      <c r="D21" s="14">
        <f t="shared" si="0"/>
        <v>1716624.0000000002</v>
      </c>
      <c r="G21" s="159"/>
      <c r="H21" s="38" t="s">
        <v>485</v>
      </c>
      <c r="I21" s="190" t="s">
        <v>486</v>
      </c>
      <c r="J21" s="190" t="s">
        <v>487</v>
      </c>
      <c r="K21" s="190" t="s">
        <v>488</v>
      </c>
      <c r="L21" s="190" t="s">
        <v>489</v>
      </c>
      <c r="M21" s="190" t="s">
        <v>490</v>
      </c>
      <c r="N21" s="190" t="s">
        <v>491</v>
      </c>
      <c r="O21" s="191" t="s">
        <v>610</v>
      </c>
      <c r="P21"/>
      <c r="BB21" s="160"/>
    </row>
    <row r="22" spans="1:54" ht="14.25" customHeight="1" x14ac:dyDescent="0.35">
      <c r="A22" s="15">
        <f>IF(A21&lt;'Project Information'!B$11,A21+1,"")</f>
        <v>2033</v>
      </c>
      <c r="B22" s="173">
        <f t="shared" si="1"/>
        <v>1716624.0000000002</v>
      </c>
      <c r="C22" s="173">
        <v>0</v>
      </c>
      <c r="D22" s="14">
        <f t="shared" si="0"/>
        <v>1716624.0000000002</v>
      </c>
      <c r="G22" s="159"/>
      <c r="H22" s="192">
        <v>520</v>
      </c>
      <c r="I22" s="348">
        <f>BCA_Inputs!D24</f>
        <v>24</v>
      </c>
      <c r="J22" s="349">
        <f>I22/BCA_Inputs!$C$17</f>
        <v>2.4</v>
      </c>
      <c r="K22" s="350">
        <f>I22/BCA_Inputs!$D$18</f>
        <v>0.96</v>
      </c>
      <c r="L22" s="350">
        <f>J22-K22</f>
        <v>1.44</v>
      </c>
      <c r="M22" s="348">
        <f>BCA_Inputs!D23*BCA_Inputs!$D$22*BCA_Inputs!$D$21</f>
        <v>520</v>
      </c>
      <c r="N22" s="351">
        <f>L22*M22</f>
        <v>748.8</v>
      </c>
      <c r="O22" s="373">
        <f>M22*K22</f>
        <v>499.2</v>
      </c>
      <c r="BB22" s="160"/>
    </row>
    <row r="23" spans="1:54" ht="14.25" customHeight="1" x14ac:dyDescent="0.35">
      <c r="A23" s="15">
        <f>IF(A22&lt;'Project Information'!B$11,A22+1,"")</f>
        <v>2034</v>
      </c>
      <c r="B23" s="173">
        <f t="shared" si="1"/>
        <v>1716624.0000000002</v>
      </c>
      <c r="C23" s="173">
        <v>0</v>
      </c>
      <c r="D23" s="14">
        <f t="shared" si="0"/>
        <v>1716624.0000000002</v>
      </c>
      <c r="G23" s="159"/>
      <c r="H23" s="192">
        <v>530</v>
      </c>
      <c r="I23" s="348">
        <f>BCA_Inputs!D30</f>
        <v>32</v>
      </c>
      <c r="J23" s="349">
        <f>I23/BCA_Inputs!$C$17</f>
        <v>3.2</v>
      </c>
      <c r="K23" s="350">
        <f>I23/BCA_Inputs!$D$18</f>
        <v>1.28</v>
      </c>
      <c r="L23" s="350">
        <f>J23-K23</f>
        <v>1.9200000000000002</v>
      </c>
      <c r="M23" s="348">
        <f>BCA_Inputs!D29*BCA_Inputs!$D$22*BCA_Inputs!$D$21</f>
        <v>624</v>
      </c>
      <c r="N23" s="351">
        <f>L23*M23</f>
        <v>1198.0800000000002</v>
      </c>
      <c r="O23" s="373">
        <f>M23*K23</f>
        <v>798.72</v>
      </c>
      <c r="BB23" s="160"/>
    </row>
    <row r="24" spans="1:54" ht="14.25" customHeight="1" x14ac:dyDescent="0.35">
      <c r="A24" s="15">
        <f>IF(A23&lt;'Project Information'!B$11,A23+1,"")</f>
        <v>2035</v>
      </c>
      <c r="B24" s="173">
        <f t="shared" si="1"/>
        <v>1716624.0000000002</v>
      </c>
      <c r="C24" s="173">
        <v>0</v>
      </c>
      <c r="D24" s="14">
        <f t="shared" si="0"/>
        <v>1716624.0000000002</v>
      </c>
      <c r="G24" s="159"/>
      <c r="H24" s="192">
        <v>900</v>
      </c>
      <c r="I24" s="348">
        <f>BCA_Inputs!D36</f>
        <v>18</v>
      </c>
      <c r="J24" s="349">
        <f>I24/BCA_Inputs!$C$17</f>
        <v>1.8</v>
      </c>
      <c r="K24" s="350">
        <f>I24/BCA_Inputs!$D$18</f>
        <v>0.72</v>
      </c>
      <c r="L24" s="350">
        <f>J24-K24</f>
        <v>1.08</v>
      </c>
      <c r="M24" s="348">
        <f>BCA_Inputs!D35*BCA_Inputs!$D$22*BCA_Inputs!$D$21</f>
        <v>624</v>
      </c>
      <c r="N24" s="351">
        <f>L24*M24</f>
        <v>673.92000000000007</v>
      </c>
      <c r="O24" s="373">
        <f>M24*K24</f>
        <v>449.28</v>
      </c>
      <c r="BB24" s="160"/>
    </row>
    <row r="25" spans="1:54" ht="14.25" customHeight="1" x14ac:dyDescent="0.35">
      <c r="A25" s="15">
        <f>IF(A24&lt;'Project Information'!B$11,A24+1,"")</f>
        <v>2036</v>
      </c>
      <c r="B25" s="173">
        <f t="shared" si="1"/>
        <v>1716624.0000000002</v>
      </c>
      <c r="C25" s="173">
        <v>0</v>
      </c>
      <c r="D25" s="14">
        <f t="shared" si="0"/>
        <v>1716624.0000000002</v>
      </c>
      <c r="G25" s="159"/>
      <c r="H25" s="193" t="s">
        <v>611</v>
      </c>
      <c r="I25" s="194"/>
      <c r="J25" s="194"/>
      <c r="K25" s="194"/>
      <c r="L25" s="194"/>
      <c r="M25" s="195">
        <f>SUM(M22:M24)</f>
        <v>1768</v>
      </c>
      <c r="N25" s="195">
        <f>SUM(N22:N24)</f>
        <v>2620.8000000000002</v>
      </c>
      <c r="O25" s="374">
        <f>AVERAGE(O22:O24)</f>
        <v>582.4</v>
      </c>
      <c r="BB25" s="160"/>
    </row>
    <row r="26" spans="1:54" ht="14.25" customHeight="1" x14ac:dyDescent="0.35">
      <c r="A26" s="15">
        <f>IF(A25&lt;'Project Information'!B$11,A25+1,"")</f>
        <v>2037</v>
      </c>
      <c r="B26" s="173">
        <f t="shared" si="1"/>
        <v>1716624.0000000002</v>
      </c>
      <c r="C26" s="173">
        <v>0</v>
      </c>
      <c r="D26" s="14">
        <f t="shared" si="0"/>
        <v>1716624.0000000002</v>
      </c>
      <c r="G26" s="159"/>
      <c r="BB26" s="160"/>
    </row>
    <row r="27" spans="1:54" ht="14.25" customHeight="1" x14ac:dyDescent="0.35">
      <c r="A27" s="15">
        <f>IF(A26&lt;'Project Information'!B$11,A26+1,"")</f>
        <v>2038</v>
      </c>
      <c r="B27" s="173">
        <f t="shared" si="1"/>
        <v>1716624.0000000002</v>
      </c>
      <c r="C27" s="173">
        <v>0</v>
      </c>
      <c r="D27" s="14">
        <f t="shared" si="0"/>
        <v>1716624.0000000002</v>
      </c>
      <c r="G27" s="159"/>
      <c r="H27" s="196" t="s">
        <v>492</v>
      </c>
      <c r="I27" s="197"/>
      <c r="BB27" s="160"/>
    </row>
    <row r="28" spans="1:54" ht="14.25" customHeight="1" x14ac:dyDescent="0.35">
      <c r="A28" s="15">
        <f>IF(A27&lt;'Project Information'!B$11,A27+1,"")</f>
        <v>2039</v>
      </c>
      <c r="B28" s="173">
        <f t="shared" si="1"/>
        <v>1716624.0000000002</v>
      </c>
      <c r="C28" s="173">
        <v>0</v>
      </c>
      <c r="D28" s="14">
        <f t="shared" si="0"/>
        <v>1716624.0000000002</v>
      </c>
      <c r="G28" s="159"/>
      <c r="H28" s="198" t="s">
        <v>493</v>
      </c>
      <c r="I28" s="199">
        <f>BCA_Inputs!$D$45</f>
        <v>655</v>
      </c>
      <c r="BB28" s="160"/>
    </row>
    <row r="29" spans="1:54" ht="14.25" customHeight="1" x14ac:dyDescent="0.35">
      <c r="A29" s="15">
        <f>IF(A28&lt;'Project Information'!B$11,A28+1,"")</f>
        <v>2040</v>
      </c>
      <c r="B29" s="173">
        <f t="shared" si="1"/>
        <v>1716624.0000000002</v>
      </c>
      <c r="C29" s="173">
        <v>0</v>
      </c>
      <c r="D29" s="14">
        <f t="shared" si="0"/>
        <v>1716624.0000000002</v>
      </c>
      <c r="G29" s="159"/>
      <c r="H29" s="198" t="s">
        <v>494</v>
      </c>
      <c r="I29" s="200">
        <f>$N$25</f>
        <v>2620.8000000000002</v>
      </c>
      <c r="BB29" s="160"/>
    </row>
    <row r="30" spans="1:54" ht="14.25" customHeight="1" x14ac:dyDescent="0.35">
      <c r="A30" s="15">
        <f>IF(A29&lt;'Project Information'!B$11,A29+1,"")</f>
        <v>2041</v>
      </c>
      <c r="B30" s="173">
        <f t="shared" si="1"/>
        <v>1716624.0000000002</v>
      </c>
      <c r="C30" s="173">
        <v>0</v>
      </c>
      <c r="D30" s="14">
        <f t="shared" si="0"/>
        <v>1716624.0000000002</v>
      </c>
      <c r="G30" s="159"/>
      <c r="H30" s="201" t="s">
        <v>495</v>
      </c>
      <c r="I30" s="202">
        <f>I28*I29</f>
        <v>1716624.0000000002</v>
      </c>
      <c r="BB30" s="160"/>
    </row>
    <row r="31" spans="1:54" ht="14.25" customHeight="1" x14ac:dyDescent="0.35">
      <c r="A31" s="15">
        <f>IF(A30&lt;'Project Information'!B$11,A30+1,"")</f>
        <v>2042</v>
      </c>
      <c r="B31" s="173">
        <f t="shared" si="1"/>
        <v>1716624.0000000002</v>
      </c>
      <c r="C31" s="173">
        <v>0</v>
      </c>
      <c r="D31" s="14">
        <f t="shared" si="0"/>
        <v>1716624.0000000002</v>
      </c>
      <c r="G31" s="159"/>
      <c r="BB31" s="160"/>
    </row>
    <row r="32" spans="1:54" ht="14.25" customHeight="1" x14ac:dyDescent="0.35">
      <c r="A32" s="15">
        <f>IF(A31&lt;'Project Information'!B$11,A31+1,"")</f>
        <v>2043</v>
      </c>
      <c r="B32" s="173">
        <f t="shared" si="1"/>
        <v>1716624.0000000002</v>
      </c>
      <c r="C32" s="173">
        <v>0</v>
      </c>
      <c r="D32" s="14">
        <f t="shared" si="0"/>
        <v>1716624.0000000002</v>
      </c>
      <c r="G32" s="159"/>
      <c r="BB32" s="160"/>
    </row>
    <row r="33" spans="1:54" ht="14.25" customHeight="1" x14ac:dyDescent="0.35">
      <c r="A33" s="15">
        <f>IF(A32&lt;'Project Information'!B$11,A32+1,"")</f>
        <v>2044</v>
      </c>
      <c r="B33" s="173">
        <f t="shared" si="1"/>
        <v>1716624.0000000002</v>
      </c>
      <c r="C33" s="173">
        <v>0</v>
      </c>
      <c r="D33" s="14">
        <f t="shared" si="0"/>
        <v>1716624.0000000002</v>
      </c>
      <c r="G33" s="159"/>
      <c r="BB33" s="160"/>
    </row>
    <row r="34" spans="1:54" ht="14.25" customHeight="1" x14ac:dyDescent="0.35">
      <c r="A34" s="15">
        <f>IF(A33&lt;'Project Information'!B$11,A33+1,"")</f>
        <v>2045</v>
      </c>
      <c r="B34" s="173">
        <f t="shared" si="1"/>
        <v>1716624.0000000002</v>
      </c>
      <c r="C34" s="173">
        <v>0</v>
      </c>
      <c r="D34" s="14">
        <f t="shared" si="0"/>
        <v>1716624.0000000002</v>
      </c>
      <c r="G34" s="159"/>
      <c r="BB34" s="160"/>
    </row>
    <row r="35" spans="1:54" ht="14.25" customHeight="1" x14ac:dyDescent="0.35">
      <c r="A35" s="15">
        <f>IF(A34&lt;'Project Information'!B$11,A34+1,"")</f>
        <v>2046</v>
      </c>
      <c r="B35" s="173">
        <f t="shared" si="1"/>
        <v>1716624.0000000002</v>
      </c>
      <c r="C35" s="173">
        <v>0</v>
      </c>
      <c r="D35" s="14">
        <f t="shared" si="0"/>
        <v>1716624.0000000002</v>
      </c>
      <c r="G35" s="159"/>
      <c r="BB35" s="160"/>
    </row>
    <row r="36" spans="1:54" ht="14.25" customHeight="1" x14ac:dyDescent="0.35">
      <c r="A36" s="15">
        <f>IF(A35&lt;'Project Information'!B$11,A35+1,"")</f>
        <v>2047</v>
      </c>
      <c r="B36" s="173">
        <f t="shared" si="1"/>
        <v>1716624.0000000002</v>
      </c>
      <c r="C36" s="173">
        <v>0</v>
      </c>
      <c r="D36" s="14">
        <f t="shared" si="0"/>
        <v>1716624.0000000002</v>
      </c>
      <c r="G36" s="159"/>
      <c r="BB36" s="160"/>
    </row>
    <row r="37" spans="1:54" ht="14.25" customHeight="1" x14ac:dyDescent="0.35">
      <c r="A37" s="15">
        <f>IF(A36&lt;'Project Information'!B$11,A36+1,"")</f>
        <v>2048</v>
      </c>
      <c r="B37" s="173">
        <f t="shared" si="1"/>
        <v>1716624.0000000002</v>
      </c>
      <c r="C37" s="173">
        <v>0</v>
      </c>
      <c r="D37" s="14">
        <f t="shared" si="0"/>
        <v>1716624.0000000002</v>
      </c>
      <c r="G37" s="159"/>
      <c r="BB37" s="160"/>
    </row>
    <row r="38" spans="1:54" ht="14.25" customHeight="1" x14ac:dyDescent="0.35">
      <c r="A38" s="15">
        <f>IF(A37&lt;'Project Information'!B$11,A37+1,"")</f>
        <v>2049</v>
      </c>
      <c r="B38" s="173">
        <f t="shared" si="1"/>
        <v>1716624.0000000002</v>
      </c>
      <c r="C38" s="173">
        <v>0</v>
      </c>
      <c r="D38" s="14">
        <f t="shared" si="0"/>
        <v>1716624.0000000002</v>
      </c>
      <c r="G38" s="159"/>
      <c r="BB38" s="160"/>
    </row>
    <row r="39" spans="1:54" ht="14.25" customHeight="1" x14ac:dyDescent="0.35">
      <c r="A39" s="15">
        <f>IF(A38&lt;'Project Information'!B$11,A38+1,"")</f>
        <v>2050</v>
      </c>
      <c r="B39" s="173">
        <f t="shared" si="1"/>
        <v>1716624.0000000002</v>
      </c>
      <c r="C39" s="173">
        <v>0</v>
      </c>
      <c r="D39" s="14">
        <f t="shared" si="0"/>
        <v>1716624.0000000002</v>
      </c>
      <c r="G39" s="159"/>
      <c r="BB39" s="160"/>
    </row>
    <row r="40" spans="1:54" ht="14.25" customHeight="1" x14ac:dyDescent="0.35">
      <c r="A40" s="15">
        <f>IF(A39&lt;'Project Information'!B$11,A39+1,"")</f>
        <v>2051</v>
      </c>
      <c r="B40" s="173">
        <f t="shared" si="1"/>
        <v>1716624.0000000002</v>
      </c>
      <c r="C40" s="173">
        <v>0</v>
      </c>
      <c r="D40" s="14">
        <f t="shared" si="0"/>
        <v>1716624.0000000002</v>
      </c>
      <c r="G40" s="159"/>
      <c r="BB40" s="160"/>
    </row>
    <row r="41" spans="1:54" ht="14.25" customHeight="1" x14ac:dyDescent="0.35">
      <c r="A41" s="15">
        <f>IF(A40&lt;'Project Information'!B$11,A40+1,"")</f>
        <v>2052</v>
      </c>
      <c r="B41" s="173">
        <f t="shared" si="1"/>
        <v>1716624.0000000002</v>
      </c>
      <c r="C41" s="173">
        <v>0</v>
      </c>
      <c r="D41" s="14">
        <f t="shared" si="0"/>
        <v>1716624.0000000002</v>
      </c>
      <c r="G41" s="159"/>
      <c r="BB41" s="160"/>
    </row>
    <row r="42" spans="1:54" ht="14.25" customHeight="1" x14ac:dyDescent="0.35">
      <c r="A42" s="15">
        <f>IF(A41&lt;'Project Information'!B$11,A41+1,"")</f>
        <v>2053</v>
      </c>
      <c r="B42" s="173">
        <f t="shared" si="1"/>
        <v>1716624.0000000002</v>
      </c>
      <c r="C42" s="173">
        <v>0</v>
      </c>
      <c r="D42" s="14">
        <f t="shared" si="0"/>
        <v>1716624.0000000002</v>
      </c>
      <c r="G42" s="159"/>
      <c r="BB42" s="160"/>
    </row>
    <row r="43" spans="1:54" ht="14.25" customHeight="1" x14ac:dyDescent="0.35">
      <c r="A43" s="15">
        <f>IF(A42&lt;'Project Information'!B$11,A42+1,"")</f>
        <v>2054</v>
      </c>
      <c r="B43" s="173">
        <f t="shared" si="1"/>
        <v>1716624.0000000002</v>
      </c>
      <c r="C43" s="173">
        <v>0</v>
      </c>
      <c r="D43" s="14">
        <f t="shared" si="0"/>
        <v>1716624.0000000002</v>
      </c>
      <c r="G43" s="159"/>
      <c r="BB43" s="160"/>
    </row>
    <row r="44" spans="1:54" ht="14.25" customHeight="1" x14ac:dyDescent="0.35">
      <c r="A44" s="15">
        <f>IF(A43&lt;'Project Information'!B$11,A43+1,"")</f>
        <v>2055</v>
      </c>
      <c r="B44" s="173">
        <f t="shared" si="1"/>
        <v>1716624.0000000002</v>
      </c>
      <c r="C44" s="173">
        <v>0</v>
      </c>
      <c r="D44" s="14">
        <f t="shared" si="0"/>
        <v>1716624.0000000002</v>
      </c>
      <c r="G44" s="159"/>
      <c r="BB44" s="160"/>
    </row>
    <row r="45" spans="1:54" ht="14.25" customHeight="1" x14ac:dyDescent="0.35">
      <c r="A45" s="15">
        <f>IF(A44&lt;'Project Information'!B$11,A44+1,"")</f>
        <v>2056</v>
      </c>
      <c r="B45" s="173">
        <f t="shared" si="1"/>
        <v>1716624.0000000002</v>
      </c>
      <c r="C45" s="173">
        <v>0</v>
      </c>
      <c r="D45" s="14">
        <f t="shared" si="0"/>
        <v>1716624.0000000002</v>
      </c>
      <c r="G45" s="159"/>
      <c r="BB45" s="160"/>
    </row>
    <row r="46" spans="1:54" ht="14.25" customHeight="1" x14ac:dyDescent="0.35">
      <c r="A46" s="15">
        <f>IF(A45&lt;'Project Information'!B$11,A45+1,"")</f>
        <v>2057</v>
      </c>
      <c r="B46" s="173">
        <f t="shared" si="1"/>
        <v>1716624.0000000002</v>
      </c>
      <c r="C46" s="173">
        <v>0</v>
      </c>
      <c r="D46" s="14">
        <f t="shared" si="0"/>
        <v>1716624.0000000002</v>
      </c>
      <c r="G46" s="159"/>
      <c r="BB46" s="160"/>
    </row>
    <row r="47" spans="1:54" ht="14.25" customHeight="1" x14ac:dyDescent="0.35">
      <c r="A47" s="15">
        <f>IF(A46&lt;'Project Information'!B$11,A46+1,"")</f>
        <v>2058</v>
      </c>
      <c r="B47" s="173">
        <f t="shared" si="1"/>
        <v>1716624.0000000002</v>
      </c>
      <c r="C47" s="173">
        <v>0</v>
      </c>
      <c r="D47" s="14">
        <f t="shared" si="0"/>
        <v>1716624.0000000002</v>
      </c>
      <c r="G47" s="159"/>
      <c r="BB47" s="160"/>
    </row>
    <row r="48" spans="1:54" ht="14.25" customHeight="1" x14ac:dyDescent="0.35">
      <c r="A48" s="15">
        <f>IF(A47&lt;'Project Information'!B$11,A47+1,"")</f>
        <v>2059</v>
      </c>
      <c r="B48" s="173">
        <f t="shared" si="1"/>
        <v>1716624.0000000002</v>
      </c>
      <c r="C48" s="173">
        <v>0</v>
      </c>
      <c r="D48" s="14">
        <f t="shared" si="0"/>
        <v>1716624.0000000002</v>
      </c>
      <c r="G48" s="159"/>
      <c r="BB48" s="160"/>
    </row>
    <row r="49" spans="1:54" ht="14.25" customHeight="1" x14ac:dyDescent="0.35">
      <c r="A49" s="15">
        <f>IF(A48&lt;'Project Information'!B$11,A48+1,"")</f>
        <v>2060</v>
      </c>
      <c r="B49" s="173">
        <f t="shared" si="1"/>
        <v>1716624.0000000002</v>
      </c>
      <c r="C49" s="173">
        <v>0</v>
      </c>
      <c r="D49" s="188">
        <f t="shared" si="0"/>
        <v>1716624.0000000002</v>
      </c>
      <c r="G49" s="159"/>
      <c r="BB49" s="160"/>
    </row>
    <row r="50" spans="1:54" ht="14.25" customHeight="1" x14ac:dyDescent="0.35">
      <c r="A50" s="174"/>
      <c r="B50" s="175"/>
      <c r="C50" s="175"/>
      <c r="D50" s="29"/>
      <c r="G50" s="159"/>
      <c r="BB50" s="160"/>
    </row>
    <row r="51" spans="1:54" ht="14.25" customHeight="1" x14ac:dyDescent="0.35">
      <c r="B51" s="177"/>
      <c r="C51" s="177"/>
      <c r="D51" s="29"/>
      <c r="G51" s="159"/>
      <c r="BB51" s="160"/>
    </row>
    <row r="52" spans="1:54" ht="14.25" customHeight="1" x14ac:dyDescent="0.35">
      <c r="B52" s="177"/>
      <c r="C52" s="177"/>
      <c r="D52" s="29"/>
      <c r="G52" s="159"/>
      <c r="BB52" s="160"/>
    </row>
    <row r="53" spans="1:54" ht="14.25" customHeight="1" x14ac:dyDescent="0.35">
      <c r="B53" s="177"/>
      <c r="C53" s="177"/>
      <c r="D53" s="29"/>
      <c r="G53" s="159"/>
      <c r="BB53" s="160"/>
    </row>
    <row r="54" spans="1:54" ht="14.25" customHeight="1" x14ac:dyDescent="0.35">
      <c r="B54" s="177"/>
      <c r="C54" s="177"/>
      <c r="D54" s="29"/>
      <c r="G54" s="159"/>
      <c r="BB54" s="160"/>
    </row>
    <row r="55" spans="1:54" ht="14.25" customHeight="1" x14ac:dyDescent="0.35">
      <c r="B55" s="177"/>
      <c r="C55" s="177"/>
      <c r="D55" s="29"/>
      <c r="G55" s="159"/>
      <c r="BB55" s="160"/>
    </row>
    <row r="56" spans="1:54" ht="14.25" customHeight="1" x14ac:dyDescent="0.35">
      <c r="B56" s="177"/>
      <c r="C56" s="177"/>
      <c r="D56" s="29"/>
      <c r="G56" s="159"/>
      <c r="BB56" s="160"/>
    </row>
    <row r="57" spans="1:54" ht="14.25" customHeight="1" x14ac:dyDescent="0.35">
      <c r="B57" s="177"/>
      <c r="C57" s="177"/>
      <c r="D57" s="29"/>
      <c r="G57" s="159"/>
      <c r="BB57" s="160"/>
    </row>
    <row r="58" spans="1:54" ht="14.25" customHeight="1" x14ac:dyDescent="0.35">
      <c r="B58" s="177"/>
      <c r="C58" s="177"/>
      <c r="D58" s="29"/>
      <c r="G58" s="159"/>
      <c r="BB58" s="160"/>
    </row>
    <row r="59" spans="1:54" ht="14.25" customHeight="1" x14ac:dyDescent="0.35">
      <c r="B59" s="177"/>
      <c r="C59" s="177"/>
      <c r="D59" s="29"/>
      <c r="G59" s="159"/>
      <c r="BB59" s="160"/>
    </row>
    <row r="60" spans="1:54" ht="14.25" customHeight="1" x14ac:dyDescent="0.35">
      <c r="G60" s="159"/>
      <c r="BB60" s="160"/>
    </row>
    <row r="61" spans="1:54" ht="14.25" customHeight="1" x14ac:dyDescent="0.35">
      <c r="G61" s="159"/>
      <c r="BB61" s="160"/>
    </row>
    <row r="62" spans="1:54" ht="14.25" customHeight="1" x14ac:dyDescent="0.35">
      <c r="G62" s="159"/>
      <c r="BB62" s="160"/>
    </row>
    <row r="63" spans="1:54" ht="14.25" customHeight="1" x14ac:dyDescent="0.35">
      <c r="G63" s="159"/>
      <c r="BB63" s="160"/>
    </row>
    <row r="64" spans="1:54" ht="14.25" customHeight="1" x14ac:dyDescent="0.35">
      <c r="G64" s="159"/>
      <c r="BB64" s="160"/>
    </row>
    <row r="65" spans="7:54" ht="14.25" customHeight="1" x14ac:dyDescent="0.35">
      <c r="G65" s="159"/>
      <c r="BB65" s="160"/>
    </row>
    <row r="66" spans="7:54" ht="14.25" customHeight="1" x14ac:dyDescent="0.35">
      <c r="G66" s="159"/>
      <c r="BB66" s="160"/>
    </row>
    <row r="67" spans="7:54" ht="14.25" customHeight="1" x14ac:dyDescent="0.35">
      <c r="G67" s="159"/>
      <c r="BB67" s="160"/>
    </row>
    <row r="68" spans="7:54" ht="14.25" customHeight="1" x14ac:dyDescent="0.35">
      <c r="G68" s="159"/>
      <c r="BB68" s="160"/>
    </row>
    <row r="69" spans="7:54" ht="14.25" customHeight="1" x14ac:dyDescent="0.35">
      <c r="G69" s="159"/>
      <c r="BB69" s="160"/>
    </row>
    <row r="70" spans="7:54" ht="14.25" customHeight="1" x14ac:dyDescent="0.35">
      <c r="G70" s="159"/>
      <c r="BB70" s="160"/>
    </row>
    <row r="71" spans="7:54" ht="14.25" customHeight="1" x14ac:dyDescent="0.35">
      <c r="G71" s="159"/>
      <c r="BB71" s="160"/>
    </row>
    <row r="72" spans="7:54" ht="14.25" customHeight="1" x14ac:dyDescent="0.35">
      <c r="G72" s="159"/>
      <c r="BB72" s="160"/>
    </row>
    <row r="73" spans="7:54" ht="14.25" customHeight="1" x14ac:dyDescent="0.35">
      <c r="G73" s="159"/>
      <c r="BB73" s="160"/>
    </row>
    <row r="74" spans="7:54" ht="14.25" customHeight="1" x14ac:dyDescent="0.35">
      <c r="G74" s="159"/>
      <c r="BB74" s="160"/>
    </row>
    <row r="75" spans="7:54" ht="14.25" customHeight="1" x14ac:dyDescent="0.35">
      <c r="G75" s="159"/>
      <c r="BB75" s="160"/>
    </row>
    <row r="76" spans="7:54" ht="14.25" customHeight="1" x14ac:dyDescent="0.35">
      <c r="G76" s="159"/>
      <c r="BB76" s="160"/>
    </row>
    <row r="77" spans="7:54" ht="14.25" customHeight="1" x14ac:dyDescent="0.35">
      <c r="G77" s="159"/>
      <c r="BB77" s="160"/>
    </row>
    <row r="78" spans="7:54" ht="14.25" customHeight="1" x14ac:dyDescent="0.35">
      <c r="G78" s="159"/>
      <c r="BB78" s="160"/>
    </row>
    <row r="79" spans="7:54" ht="14.25" customHeight="1" x14ac:dyDescent="0.35">
      <c r="G79" s="159"/>
      <c r="BB79" s="160"/>
    </row>
    <row r="80" spans="7:54" ht="14.25" customHeight="1" x14ac:dyDescent="0.35">
      <c r="G80" s="159"/>
      <c r="BB80" s="160"/>
    </row>
    <row r="81" spans="7:54" ht="14.25" customHeight="1" x14ac:dyDescent="0.35">
      <c r="G81" s="159"/>
      <c r="BB81" s="160"/>
    </row>
    <row r="82" spans="7:54" ht="14.25" customHeight="1" x14ac:dyDescent="0.35">
      <c r="G82" s="159"/>
      <c r="BB82" s="160"/>
    </row>
    <row r="83" spans="7:54" ht="14.25" customHeight="1" x14ac:dyDescent="0.35">
      <c r="G83" s="159"/>
      <c r="BB83" s="160"/>
    </row>
    <row r="84" spans="7:54" ht="14.25" customHeight="1" x14ac:dyDescent="0.35">
      <c r="G84" s="159"/>
      <c r="BB84" s="160"/>
    </row>
    <row r="85" spans="7:54" ht="14.25" customHeight="1" x14ac:dyDescent="0.35">
      <c r="G85" s="159"/>
      <c r="BB85" s="160"/>
    </row>
    <row r="86" spans="7:54" ht="14.25" customHeight="1" x14ac:dyDescent="0.35">
      <c r="G86" s="159"/>
      <c r="BB86" s="160"/>
    </row>
    <row r="87" spans="7:54" ht="14.25" customHeight="1" x14ac:dyDescent="0.35">
      <c r="G87" s="159"/>
      <c r="BB87" s="160"/>
    </row>
    <row r="88" spans="7:54" ht="14.25" customHeight="1" x14ac:dyDescent="0.35">
      <c r="G88" s="159"/>
      <c r="BB88" s="160"/>
    </row>
    <row r="89" spans="7:54" ht="14.25" customHeight="1" x14ac:dyDescent="0.35">
      <c r="G89" s="159"/>
      <c r="BB89" s="160"/>
    </row>
    <row r="90" spans="7:54" ht="14.25" customHeight="1" x14ac:dyDescent="0.35">
      <c r="G90" s="159"/>
      <c r="BB90" s="160"/>
    </row>
    <row r="91" spans="7:54" ht="14.25" customHeight="1" x14ac:dyDescent="0.35">
      <c r="G91" s="159"/>
      <c r="BB91" s="160"/>
    </row>
    <row r="92" spans="7:54" ht="14.25" customHeight="1" x14ac:dyDescent="0.35">
      <c r="G92" s="159"/>
      <c r="BB92" s="160"/>
    </row>
    <row r="93" spans="7:54" ht="14.25" customHeight="1" x14ac:dyDescent="0.35">
      <c r="G93" s="159"/>
      <c r="BB93" s="160"/>
    </row>
    <row r="94" spans="7:54" ht="14.25" customHeight="1" x14ac:dyDescent="0.35">
      <c r="G94" s="159"/>
      <c r="BB94" s="160"/>
    </row>
    <row r="95" spans="7:54" ht="14.25" customHeight="1" x14ac:dyDescent="0.35">
      <c r="G95" s="159"/>
      <c r="BB95" s="160"/>
    </row>
    <row r="96" spans="7:54" ht="14.25" customHeight="1" x14ac:dyDescent="0.35">
      <c r="G96" s="159"/>
      <c r="BB96" s="160"/>
    </row>
    <row r="97" spans="7:54" ht="14.25" customHeight="1" x14ac:dyDescent="0.35">
      <c r="G97" s="159"/>
      <c r="BB97" s="160"/>
    </row>
    <row r="98" spans="7:54" ht="14.25" customHeight="1" x14ac:dyDescent="0.35">
      <c r="G98" s="159"/>
      <c r="BB98" s="160"/>
    </row>
    <row r="99" spans="7:54" ht="14.25" customHeight="1" x14ac:dyDescent="0.35">
      <c r="G99" s="159"/>
      <c r="BB99" s="160"/>
    </row>
    <row r="100" spans="7:54" ht="14.25" customHeight="1" x14ac:dyDescent="0.35">
      <c r="G100" s="159"/>
      <c r="BB100" s="160"/>
    </row>
    <row r="101" spans="7:54" ht="14.25" customHeight="1" x14ac:dyDescent="0.35">
      <c r="G101" s="159"/>
      <c r="BB101" s="160"/>
    </row>
    <row r="102" spans="7:54" ht="14.25" customHeight="1" x14ac:dyDescent="0.35">
      <c r="G102" s="159"/>
      <c r="BB102" s="160"/>
    </row>
    <row r="103" spans="7:54" ht="14.25" customHeight="1" x14ac:dyDescent="0.35">
      <c r="G103" s="159"/>
      <c r="BB103" s="160"/>
    </row>
    <row r="104" spans="7:54" ht="14.25" customHeight="1" x14ac:dyDescent="0.35">
      <c r="G104" s="159"/>
      <c r="BB104" s="160"/>
    </row>
    <row r="105" spans="7:54" ht="14.25" customHeight="1" x14ac:dyDescent="0.35">
      <c r="G105" s="159"/>
      <c r="BB105" s="160"/>
    </row>
    <row r="106" spans="7:54" ht="14.25" customHeight="1" x14ac:dyDescent="0.35">
      <c r="G106" s="159"/>
      <c r="BB106" s="160"/>
    </row>
    <row r="107" spans="7:54" ht="14.25" customHeight="1" x14ac:dyDescent="0.35">
      <c r="G107" s="159"/>
      <c r="BB107" s="160"/>
    </row>
    <row r="108" spans="7:54" ht="14.25" customHeight="1" x14ac:dyDescent="0.35">
      <c r="G108" s="159"/>
      <c r="BB108" s="160"/>
    </row>
    <row r="109" spans="7:54" ht="15" customHeight="1" x14ac:dyDescent="0.35">
      <c r="G109" s="178"/>
      <c r="H109" s="179"/>
      <c r="I109" s="179"/>
      <c r="J109" s="179"/>
      <c r="K109" s="179"/>
      <c r="L109" s="179"/>
      <c r="M109" s="179"/>
      <c r="N109" s="179"/>
      <c r="O109" s="179"/>
      <c r="P109" s="179"/>
      <c r="Q109" s="179"/>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80"/>
    </row>
  </sheetData>
  <conditionalFormatting sqref="B20:B49">
    <cfRule type="expression" dxfId="12" priority="3">
      <formula>A20=""</formula>
    </cfRule>
  </conditionalFormatting>
  <conditionalFormatting sqref="C20:C49">
    <cfRule type="expression" dxfId="11" priority="2">
      <formula>A20=""</formula>
    </cfRule>
  </conditionalFormatting>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A9D18E"/>
  </sheetPr>
  <dimension ref="A1:BD115"/>
  <sheetViews>
    <sheetView showGridLines="0" zoomScale="85" zoomScaleNormal="85" workbookViewId="0"/>
  </sheetViews>
  <sheetFormatPr defaultColWidth="9.1796875" defaultRowHeight="14.5" x14ac:dyDescent="0.35"/>
  <cols>
    <col min="1" max="1" width="28.54296875" style="3" customWidth="1"/>
    <col min="2" max="2" width="35.1796875" style="3" customWidth="1"/>
    <col min="3" max="3" width="30.7265625" style="3" customWidth="1"/>
    <col min="4" max="4" width="29.1796875" style="3" customWidth="1"/>
    <col min="5" max="7" width="9.1796875" style="3"/>
    <col min="8" max="8" width="43.7265625" style="3" bestFit="1" customWidth="1"/>
    <col min="9" max="11" width="9.1796875" style="3"/>
    <col min="12" max="12" width="15.08984375" style="3" customWidth="1"/>
    <col min="13" max="13" width="18.453125" style="3" bestFit="1" customWidth="1"/>
    <col min="14" max="15" width="15.6328125" style="3" customWidth="1"/>
    <col min="16" max="18" width="18" style="3" customWidth="1"/>
    <col min="19" max="16384" width="9.1796875" style="3"/>
  </cols>
  <sheetData>
    <row r="1" spans="1:9" ht="19.5" customHeight="1" x14ac:dyDescent="0.45">
      <c r="A1" s="4" t="s">
        <v>496</v>
      </c>
    </row>
    <row r="2" spans="1:9" ht="15" customHeight="1" x14ac:dyDescent="0.35">
      <c r="A2" s="5" t="s">
        <v>469</v>
      </c>
      <c r="B2" s="5"/>
      <c r="C2" s="5"/>
      <c r="D2" s="5"/>
      <c r="E2" s="5"/>
      <c r="F2" s="5"/>
    </row>
    <row r="3" spans="1:9" ht="14.25" customHeight="1" x14ac:dyDescent="0.35">
      <c r="A3" s="3" t="s">
        <v>2</v>
      </c>
    </row>
    <row r="4" spans="1:9" ht="14.25" customHeight="1" x14ac:dyDescent="0.35">
      <c r="A4" s="167" t="s">
        <v>463</v>
      </c>
      <c r="B4" s="5"/>
      <c r="C4" s="5"/>
      <c r="D4" s="5"/>
      <c r="E4" s="5"/>
      <c r="F4" s="5"/>
      <c r="G4" s="5"/>
      <c r="H4" s="5"/>
      <c r="I4" s="5"/>
    </row>
    <row r="5" spans="1:9" ht="14.25" customHeight="1" x14ac:dyDescent="0.35">
      <c r="A5" s="168" t="s">
        <v>2</v>
      </c>
    </row>
    <row r="6" spans="1:9" ht="14.25" customHeight="1" x14ac:dyDescent="0.35">
      <c r="A6" s="6" t="s">
        <v>470</v>
      </c>
    </row>
    <row r="7" spans="1:9" ht="14.25" customHeight="1" x14ac:dyDescent="0.35">
      <c r="A7" s="182" t="s">
        <v>297</v>
      </c>
      <c r="B7" s="182" t="s">
        <v>305</v>
      </c>
    </row>
    <row r="8" spans="1:9" ht="14.25" customHeight="1" x14ac:dyDescent="0.35">
      <c r="A8" s="183" t="s">
        <v>497</v>
      </c>
      <c r="B8" s="203">
        <f>'Parameter Values'!B53</f>
        <v>0.56000000000000005</v>
      </c>
    </row>
    <row r="9" spans="1:9" ht="14.25" customHeight="1" x14ac:dyDescent="0.35">
      <c r="A9" s="183" t="s">
        <v>498</v>
      </c>
      <c r="B9" s="203">
        <f>'Parameter Values'!B54</f>
        <v>1.23</v>
      </c>
    </row>
    <row r="10" spans="1:9" ht="14.25" customHeight="1" x14ac:dyDescent="0.35">
      <c r="A10" s="182" t="s">
        <v>312</v>
      </c>
      <c r="B10" s="182" t="s">
        <v>311</v>
      </c>
    </row>
    <row r="11" spans="1:9" ht="14.25" customHeight="1" x14ac:dyDescent="0.35">
      <c r="A11" s="204" t="s">
        <v>315</v>
      </c>
      <c r="B11" s="205" t="s">
        <v>499</v>
      </c>
    </row>
    <row r="12" spans="1:9" ht="14.25" customHeight="1" x14ac:dyDescent="0.35">
      <c r="A12" s="183" t="s">
        <v>316</v>
      </c>
      <c r="B12" s="206">
        <f>'Parameter Values'!B63</f>
        <v>259</v>
      </c>
    </row>
    <row r="13" spans="1:9" ht="14.25" customHeight="1" x14ac:dyDescent="0.35">
      <c r="A13" s="183" t="s">
        <v>317</v>
      </c>
      <c r="B13" s="206">
        <f>'Parameter Values'!B64</f>
        <v>281</v>
      </c>
    </row>
    <row r="14" spans="1:9" ht="14.25" customHeight="1" x14ac:dyDescent="0.35">
      <c r="A14" s="183" t="s">
        <v>318</v>
      </c>
      <c r="B14" s="206">
        <f>'Parameter Values'!B65</f>
        <v>723</v>
      </c>
    </row>
    <row r="15" spans="1:9" ht="14.25" customHeight="1" x14ac:dyDescent="0.35">
      <c r="A15" s="183" t="s">
        <v>319</v>
      </c>
      <c r="B15" s="206">
        <f>'Parameter Values'!B66</f>
        <v>327</v>
      </c>
    </row>
    <row r="16" spans="1:9" ht="14.25" customHeight="1" x14ac:dyDescent="0.35">
      <c r="A16" s="204" t="s">
        <v>320</v>
      </c>
      <c r="B16" s="205" t="s">
        <v>499</v>
      </c>
    </row>
    <row r="17" spans="1:56" ht="14.25" customHeight="1" x14ac:dyDescent="0.35">
      <c r="A17" s="183" t="s">
        <v>316</v>
      </c>
      <c r="B17" s="206">
        <f>'Parameter Values'!B68</f>
        <v>655</v>
      </c>
    </row>
    <row r="18" spans="1:56" ht="14.25" customHeight="1" x14ac:dyDescent="0.35">
      <c r="A18" s="183" t="s">
        <v>317</v>
      </c>
      <c r="B18" s="206">
        <f>'Parameter Values'!B69</f>
        <v>642</v>
      </c>
    </row>
    <row r="19" spans="1:56" ht="14.25" customHeight="1" x14ac:dyDescent="0.35">
      <c r="A19" s="183" t="s">
        <v>318</v>
      </c>
      <c r="B19" s="206">
        <f>'Parameter Values'!B70</f>
        <v>1084</v>
      </c>
    </row>
    <row r="20" spans="1:56" ht="14.25" customHeight="1" x14ac:dyDescent="0.35">
      <c r="A20" s="183" t="s">
        <v>319</v>
      </c>
      <c r="B20" s="206">
        <f>'Parameter Values'!B71</f>
        <v>688</v>
      </c>
    </row>
    <row r="21" spans="1:56" ht="14.25" customHeight="1" x14ac:dyDescent="0.35">
      <c r="A21" s="204" t="s">
        <v>321</v>
      </c>
      <c r="B21" s="205" t="s">
        <v>499</v>
      </c>
    </row>
    <row r="22" spans="1:56" ht="14.25" customHeight="1" x14ac:dyDescent="0.35">
      <c r="A22" s="183" t="s">
        <v>322</v>
      </c>
      <c r="B22" s="203">
        <f>'Parameter Values'!B73</f>
        <v>1.0900000000000001</v>
      </c>
    </row>
    <row r="23" spans="1:56" ht="14.25" customHeight="1" x14ac:dyDescent="0.35">
      <c r="A23" s="168" t="s">
        <v>2</v>
      </c>
      <c r="B23" s="168"/>
    </row>
    <row r="24" spans="1:56" ht="15" customHeight="1" x14ac:dyDescent="0.35">
      <c r="A24" s="6" t="s">
        <v>500</v>
      </c>
    </row>
    <row r="25" spans="1:56" ht="14.25" customHeight="1" x14ac:dyDescent="0.35">
      <c r="A25" s="9" t="s">
        <v>4</v>
      </c>
      <c r="B25" s="23" t="s">
        <v>501</v>
      </c>
      <c r="C25" s="23" t="s">
        <v>502</v>
      </c>
      <c r="D25" s="187" t="s">
        <v>8</v>
      </c>
      <c r="G25" s="154" t="s">
        <v>453</v>
      </c>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6"/>
    </row>
    <row r="26" spans="1:56" ht="14.25" customHeight="1" x14ac:dyDescent="0.35">
      <c r="A26" s="10">
        <f>'Project Information'!$B$9</f>
        <v>2031</v>
      </c>
      <c r="B26" s="173">
        <f>Consolidated_Volumes!B38*$B$9</f>
        <v>3945382.1939999997</v>
      </c>
      <c r="C26" s="173">
        <f>R34</f>
        <v>1144415.9999999998</v>
      </c>
      <c r="D26" s="181">
        <f t="shared" ref="D26:D55" si="0">B26-C26</f>
        <v>2800966.1940000001</v>
      </c>
      <c r="G26" s="159"/>
      <c r="N26" s="347"/>
      <c r="BD26" s="160"/>
    </row>
    <row r="27" spans="1:56" ht="58" customHeight="1" x14ac:dyDescent="0.35">
      <c r="A27" s="15">
        <f>IF(A26&lt;'Project Information'!B$11,A26+1,"")</f>
        <v>2032</v>
      </c>
      <c r="B27" s="173">
        <f>Consolidated_Volumes!B39*$B$9</f>
        <v>5174014.2445800016</v>
      </c>
      <c r="C27" s="173">
        <f t="shared" ref="C27:C55" si="1">R35</f>
        <v>1144415.9999999998</v>
      </c>
      <c r="D27" s="14">
        <f t="shared" si="0"/>
        <v>4029598.2445800016</v>
      </c>
      <c r="G27" s="159"/>
      <c r="H27" s="399" t="s">
        <v>603</v>
      </c>
      <c r="I27" s="399"/>
      <c r="K27" s="372" t="s">
        <v>4</v>
      </c>
      <c r="L27" s="352" t="s">
        <v>614</v>
      </c>
      <c r="M27" s="352" t="s">
        <v>605</v>
      </c>
      <c r="N27" s="352" t="s">
        <v>606</v>
      </c>
      <c r="O27" s="352" t="s">
        <v>607</v>
      </c>
      <c r="P27" s="352" t="s">
        <v>608</v>
      </c>
      <c r="Q27" s="352" t="s">
        <v>612</v>
      </c>
      <c r="R27" s="371" t="s">
        <v>613</v>
      </c>
      <c r="BD27" s="160"/>
    </row>
    <row r="28" spans="1:56" ht="14.25" customHeight="1" x14ac:dyDescent="0.35">
      <c r="A28" s="15">
        <f>IF(A27&lt;'Project Information'!B$11,A27+1,"")</f>
        <v>2033</v>
      </c>
      <c r="B28" s="173">
        <f>Consolidated_Volumes!B40*$B$9</f>
        <v>6452418.2508426011</v>
      </c>
      <c r="C28" s="173">
        <f t="shared" si="1"/>
        <v>1144415.9999999998</v>
      </c>
      <c r="D28" s="14">
        <f t="shared" si="0"/>
        <v>5308002.2508426011</v>
      </c>
      <c r="G28" s="159"/>
      <c r="H28" s="345" t="s">
        <v>604</v>
      </c>
      <c r="I28" s="346">
        <f>B9</f>
        <v>1.23</v>
      </c>
      <c r="K28" s="353">
        <v>2025</v>
      </c>
      <c r="L28" s="354">
        <f>Consolidated_Volumes!N33</f>
        <v>16656</v>
      </c>
      <c r="M28" s="355">
        <v>3</v>
      </c>
      <c r="N28" s="356">
        <f>L28/M28</f>
        <v>5552</v>
      </c>
      <c r="O28" s="357"/>
      <c r="P28" s="357"/>
      <c r="Q28" s="357"/>
      <c r="R28" s="358"/>
      <c r="S28" s="347" t="s">
        <v>609</v>
      </c>
      <c r="BD28" s="160"/>
    </row>
    <row r="29" spans="1:56" ht="14.25" customHeight="1" x14ac:dyDescent="0.35">
      <c r="A29" s="15">
        <f>IF(A28&lt;'Project Information'!B$11,A28+1,"")</f>
        <v>2034</v>
      </c>
      <c r="B29" s="173">
        <f>Consolidated_Volumes!B41*$B$9</f>
        <v>7782651.7736552851</v>
      </c>
      <c r="C29" s="173">
        <f t="shared" si="1"/>
        <v>1144415.9999999998</v>
      </c>
      <c r="D29" s="14">
        <f t="shared" si="0"/>
        <v>6638235.7736552851</v>
      </c>
      <c r="G29" s="159"/>
      <c r="K29" s="353">
        <f>K28+1</f>
        <v>2026</v>
      </c>
      <c r="L29" s="359"/>
      <c r="M29" s="357"/>
      <c r="N29" s="357"/>
      <c r="O29" s="357"/>
      <c r="P29" s="357"/>
      <c r="Q29" s="357"/>
      <c r="R29" s="358"/>
      <c r="BD29" s="160"/>
    </row>
    <row r="30" spans="1:56" ht="14.25" customHeight="1" x14ac:dyDescent="0.35">
      <c r="A30" s="15">
        <f>IF(A29&lt;'Project Information'!B$11,A29+1,"")</f>
        <v>2035</v>
      </c>
      <c r="B30" s="173">
        <f>Consolidated_Volumes!B42*$B$9</f>
        <v>9166859.4585792497</v>
      </c>
      <c r="C30" s="173">
        <f t="shared" si="1"/>
        <v>1525888</v>
      </c>
      <c r="D30" s="14">
        <f t="shared" si="0"/>
        <v>7640971.4585792497</v>
      </c>
      <c r="G30" s="159"/>
      <c r="K30" s="353">
        <f t="shared" ref="K30:K63" si="2">K29+1</f>
        <v>2027</v>
      </c>
      <c r="L30" s="357"/>
      <c r="M30" s="357"/>
      <c r="N30" s="357"/>
      <c r="O30" s="357"/>
      <c r="P30" s="357"/>
      <c r="Q30" s="357"/>
      <c r="R30" s="358"/>
      <c r="BD30" s="160"/>
    </row>
    <row r="31" spans="1:56" ht="14.25" customHeight="1" x14ac:dyDescent="0.35">
      <c r="A31" s="15">
        <f>IF(A30&lt;'Project Information'!B$11,A30+1,"")</f>
        <v>2036</v>
      </c>
      <c r="B31" s="173">
        <f>Consolidated_Volumes!B43*$B$9</f>
        <v>10607276.820714578</v>
      </c>
      <c r="C31" s="173">
        <f t="shared" si="1"/>
        <v>1525888</v>
      </c>
      <c r="D31" s="14">
        <f t="shared" si="0"/>
        <v>9081388.820714578</v>
      </c>
      <c r="G31" s="159"/>
      <c r="K31" s="353">
        <f t="shared" si="2"/>
        <v>2028</v>
      </c>
      <c r="L31" s="357"/>
      <c r="M31" s="357"/>
      <c r="N31" s="357"/>
      <c r="O31" s="357"/>
      <c r="P31" s="357"/>
      <c r="Q31" s="357"/>
      <c r="R31" s="358"/>
      <c r="BD31" s="160"/>
    </row>
    <row r="32" spans="1:56" ht="14.25" customHeight="1" x14ac:dyDescent="0.35">
      <c r="A32" s="15">
        <f>IF(A31&lt;'Project Information'!B$11,A31+1,"")</f>
        <v>2037</v>
      </c>
      <c r="B32" s="173">
        <f>Consolidated_Volumes!B44*$B$9</f>
        <v>12106234.198929276</v>
      </c>
      <c r="C32" s="173">
        <f t="shared" si="1"/>
        <v>1525888</v>
      </c>
      <c r="D32" s="14">
        <f t="shared" si="0"/>
        <v>10580346.198929276</v>
      </c>
      <c r="G32" s="159"/>
      <c r="K32" s="353">
        <f t="shared" si="2"/>
        <v>2029</v>
      </c>
      <c r="L32" s="357"/>
      <c r="M32" s="357"/>
      <c r="N32" s="357"/>
      <c r="O32" s="357"/>
      <c r="P32" s="357"/>
      <c r="Q32" s="357"/>
      <c r="R32" s="358"/>
      <c r="S32"/>
      <c r="T32"/>
      <c r="U32"/>
      <c r="V32"/>
      <c r="W32"/>
      <c r="X32"/>
      <c r="Y32"/>
      <c r="Z32"/>
      <c r="AA32"/>
      <c r="AB32"/>
      <c r="AC32"/>
      <c r="AD32"/>
      <c r="AE32"/>
      <c r="AF32"/>
      <c r="AG32"/>
      <c r="AH32"/>
      <c r="AI32"/>
      <c r="AJ32"/>
      <c r="AK32"/>
      <c r="AL32"/>
      <c r="AM32"/>
      <c r="AN32"/>
      <c r="AO32"/>
      <c r="AP32"/>
      <c r="AQ32"/>
      <c r="AR32"/>
      <c r="AS32"/>
      <c r="AT32"/>
      <c r="AU32"/>
      <c r="AV32"/>
      <c r="BD32" s="160"/>
    </row>
    <row r="33" spans="1:56" ht="14.25" customHeight="1" x14ac:dyDescent="0.35">
      <c r="A33" s="15">
        <f>IF(A32&lt;'Project Information'!B$11,A32+1,"")</f>
        <v>2038</v>
      </c>
      <c r="B33" s="173">
        <f>Consolidated_Volumes!B45*$B$9</f>
        <v>13666160.887295634</v>
      </c>
      <c r="C33" s="173">
        <f t="shared" si="1"/>
        <v>1907360</v>
      </c>
      <c r="D33" s="14">
        <f t="shared" si="0"/>
        <v>11758800.887295634</v>
      </c>
      <c r="G33" s="159"/>
      <c r="K33" s="353">
        <f t="shared" si="2"/>
        <v>2030</v>
      </c>
      <c r="L33" s="354">
        <f>Consolidated_Volumes!BD33</f>
        <v>30685</v>
      </c>
      <c r="M33" s="360">
        <f>ROUND(L33/N33,0)</f>
        <v>6</v>
      </c>
      <c r="N33" s="354">
        <f>$N$28</f>
        <v>5552</v>
      </c>
      <c r="O33" s="3">
        <f>M33-$M$28</f>
        <v>3</v>
      </c>
      <c r="P33" s="361">
        <f>'Travel Time Savings'!$O$25</f>
        <v>582.4</v>
      </c>
      <c r="Q33" s="362">
        <f>$B$17</f>
        <v>655</v>
      </c>
      <c r="R33" s="369">
        <f>O33*$P33*$Q33</f>
        <v>1144415.9999999998</v>
      </c>
      <c r="S33"/>
      <c r="T33"/>
      <c r="U33"/>
      <c r="V33"/>
      <c r="W33"/>
      <c r="X33"/>
      <c r="Y33"/>
      <c r="Z33"/>
      <c r="AA33"/>
      <c r="AB33"/>
      <c r="AC33"/>
      <c r="AD33"/>
      <c r="AE33"/>
      <c r="AF33"/>
      <c r="AG33"/>
      <c r="AH33"/>
      <c r="AI33"/>
      <c r="AJ33"/>
      <c r="AK33"/>
      <c r="AL33"/>
      <c r="AM33"/>
      <c r="AN33"/>
      <c r="AO33"/>
      <c r="AP33"/>
      <c r="AQ33"/>
      <c r="AR33"/>
      <c r="AS33"/>
      <c r="AT33"/>
      <c r="AU33"/>
      <c r="AV33"/>
      <c r="BD33" s="160"/>
    </row>
    <row r="34" spans="1:56" ht="14.25" customHeight="1" x14ac:dyDescent="0.35">
      <c r="A34" s="15">
        <f>IF(A33&lt;'Project Information'!B$11,A33+1,"")</f>
        <v>2039</v>
      </c>
      <c r="B34" s="173">
        <f>Consolidated_Volumes!B46*$B$9</f>
        <v>15289589.45193075</v>
      </c>
      <c r="C34" s="173">
        <f t="shared" si="1"/>
        <v>1907360</v>
      </c>
      <c r="D34" s="14">
        <f t="shared" si="0"/>
        <v>13382229.45193075</v>
      </c>
      <c r="G34" s="159"/>
      <c r="K34" s="353">
        <f t="shared" si="2"/>
        <v>2031</v>
      </c>
      <c r="L34" s="354">
        <f>Consolidated_Volumes!BE33</f>
        <v>31915.200000000001</v>
      </c>
      <c r="M34" s="360">
        <f t="shared" ref="M34:M63" si="3">ROUND(L34/N34,0)</f>
        <v>6</v>
      </c>
      <c r="N34" s="354">
        <f t="shared" ref="N34:N63" si="4">$N$28</f>
        <v>5552</v>
      </c>
      <c r="O34" s="3">
        <f t="shared" ref="O34:O63" si="5">M34-$M$28</f>
        <v>3</v>
      </c>
      <c r="P34" s="361">
        <f>'Travel Time Savings'!$O$25</f>
        <v>582.4</v>
      </c>
      <c r="Q34" s="362">
        <f t="shared" ref="Q34:Q63" si="6">$B$17</f>
        <v>655</v>
      </c>
      <c r="R34" s="369">
        <f t="shared" ref="R34:R63" si="7">O34*$P34*$Q34</f>
        <v>1144415.9999999998</v>
      </c>
      <c r="BD34" s="160"/>
    </row>
    <row r="35" spans="1:56" ht="14.25" customHeight="1" x14ac:dyDescent="0.35">
      <c r="A35" s="15">
        <f>IF(A34&lt;'Project Information'!B$11,A34+1,"")</f>
        <v>2040</v>
      </c>
      <c r="B35" s="173">
        <f>Consolidated_Volumes!B47*$B$9</f>
        <v>16979160.241830017</v>
      </c>
      <c r="C35" s="173">
        <f t="shared" si="1"/>
        <v>1907360</v>
      </c>
      <c r="D35" s="14">
        <f t="shared" si="0"/>
        <v>15071800.241830017</v>
      </c>
      <c r="G35" s="159"/>
      <c r="K35" s="353">
        <f t="shared" si="2"/>
        <v>2032</v>
      </c>
      <c r="L35" s="354">
        <f>Consolidated_Volumes!BF33</f>
        <v>33196.643000000004</v>
      </c>
      <c r="M35" s="360">
        <f t="shared" si="3"/>
        <v>6</v>
      </c>
      <c r="N35" s="354">
        <f t="shared" si="4"/>
        <v>5552</v>
      </c>
      <c r="O35" s="3">
        <f t="shared" si="5"/>
        <v>3</v>
      </c>
      <c r="P35" s="361">
        <f>'Travel Time Savings'!$O$25</f>
        <v>582.4</v>
      </c>
      <c r="Q35" s="362">
        <f t="shared" si="6"/>
        <v>655</v>
      </c>
      <c r="R35" s="369">
        <f t="shared" si="7"/>
        <v>1144415.9999999998</v>
      </c>
      <c r="BD35" s="160"/>
    </row>
    <row r="36" spans="1:56" ht="14.25" customHeight="1" x14ac:dyDescent="0.35">
      <c r="A36" s="15">
        <f>IF(A35&lt;'Project Information'!B$11,A35+1,"")</f>
        <v>2041</v>
      </c>
      <c r="B36" s="173">
        <f>Consolidated_Volumes!B48*$B$9</f>
        <v>18737626.102693386</v>
      </c>
      <c r="C36" s="173">
        <f t="shared" si="1"/>
        <v>2288831.9999999995</v>
      </c>
      <c r="D36" s="14">
        <f t="shared" si="0"/>
        <v>16448794.102693386</v>
      </c>
      <c r="G36" s="159"/>
      <c r="K36" s="353">
        <f t="shared" si="2"/>
        <v>2033</v>
      </c>
      <c r="L36" s="354">
        <f>Consolidated_Volumes!BG33</f>
        <v>34531.540650000003</v>
      </c>
      <c r="M36" s="360">
        <f t="shared" si="3"/>
        <v>6</v>
      </c>
      <c r="N36" s="354">
        <f t="shared" si="4"/>
        <v>5552</v>
      </c>
      <c r="O36" s="3">
        <f t="shared" si="5"/>
        <v>3</v>
      </c>
      <c r="P36" s="361">
        <f>'Travel Time Savings'!$O$25</f>
        <v>582.4</v>
      </c>
      <c r="Q36" s="362">
        <f t="shared" si="6"/>
        <v>655</v>
      </c>
      <c r="R36" s="369">
        <f t="shared" si="7"/>
        <v>1144415.9999999998</v>
      </c>
      <c r="BD36" s="160"/>
    </row>
    <row r="37" spans="1:56" ht="14.25" customHeight="1" x14ac:dyDescent="0.35">
      <c r="A37" s="15">
        <f>IF(A36&lt;'Project Information'!B$11,A36+1,"")</f>
        <v>2042</v>
      </c>
      <c r="B37" s="173">
        <f>Consolidated_Volumes!B49*$B$9</f>
        <v>20567857.303175997</v>
      </c>
      <c r="C37" s="173">
        <f t="shared" si="1"/>
        <v>2288831.9999999995</v>
      </c>
      <c r="D37" s="14">
        <f t="shared" si="0"/>
        <v>18279025.303175997</v>
      </c>
      <c r="G37" s="159"/>
      <c r="K37" s="353">
        <f t="shared" si="2"/>
        <v>2034</v>
      </c>
      <c r="L37" s="354">
        <f>Consolidated_Volumes!BH33</f>
        <v>35922.203501299999</v>
      </c>
      <c r="M37" s="360">
        <f t="shared" si="3"/>
        <v>6</v>
      </c>
      <c r="N37" s="354">
        <f t="shared" si="4"/>
        <v>5552</v>
      </c>
      <c r="O37" s="3">
        <f t="shared" si="5"/>
        <v>3</v>
      </c>
      <c r="P37" s="361">
        <f>'Travel Time Savings'!$O$25</f>
        <v>582.4</v>
      </c>
      <c r="Q37" s="362">
        <f t="shared" si="6"/>
        <v>655</v>
      </c>
      <c r="R37" s="369">
        <f t="shared" si="7"/>
        <v>1144415.9999999998</v>
      </c>
      <c r="BD37" s="160"/>
    </row>
    <row r="38" spans="1:56" ht="14.25" customHeight="1" x14ac:dyDescent="0.35">
      <c r="A38" s="15">
        <f>IF(A37&lt;'Project Information'!B$11,A37+1,"")</f>
        <v>2043</v>
      </c>
      <c r="B38" s="173">
        <f>Consolidated_Volumes!B50*$B$9</f>
        <v>22472846.683447544</v>
      </c>
      <c r="C38" s="173">
        <f t="shared" si="1"/>
        <v>2288831.9999999995</v>
      </c>
      <c r="D38" s="14">
        <f t="shared" si="0"/>
        <v>20184014.683447544</v>
      </c>
      <c r="G38" s="159"/>
      <c r="K38" s="353">
        <f t="shared" si="2"/>
        <v>2035</v>
      </c>
      <c r="L38" s="354">
        <f>Consolidated_Volumes!BI33</f>
        <v>37371.045592677008</v>
      </c>
      <c r="M38" s="360">
        <f t="shared" si="3"/>
        <v>7</v>
      </c>
      <c r="N38" s="354">
        <f t="shared" si="4"/>
        <v>5552</v>
      </c>
      <c r="O38" s="3">
        <f t="shared" si="5"/>
        <v>4</v>
      </c>
      <c r="P38" s="361">
        <f>'Travel Time Savings'!$O$25</f>
        <v>582.4</v>
      </c>
      <c r="Q38" s="362">
        <f t="shared" si="6"/>
        <v>655</v>
      </c>
      <c r="R38" s="369">
        <f t="shared" si="7"/>
        <v>1525888</v>
      </c>
      <c r="BD38" s="160"/>
    </row>
    <row r="39" spans="1:56" ht="14.25" customHeight="1" x14ac:dyDescent="0.35">
      <c r="A39" s="15">
        <f>IF(A38&lt;'Project Information'!B$11,A38+1,"")</f>
        <v>2044</v>
      </c>
      <c r="B39" s="173">
        <f>Consolidated_Volumes!B51*$B$9</f>
        <v>24455715.036420278</v>
      </c>
      <c r="C39" s="173">
        <f t="shared" si="1"/>
        <v>2670304</v>
      </c>
      <c r="D39" s="14">
        <f t="shared" si="0"/>
        <v>21785411.036420278</v>
      </c>
      <c r="G39" s="159"/>
      <c r="K39" s="353">
        <f t="shared" si="2"/>
        <v>2036</v>
      </c>
      <c r="L39" s="354">
        <f>Consolidated_Volumes!BJ33</f>
        <v>38880.589257176929</v>
      </c>
      <c r="M39" s="360">
        <f t="shared" si="3"/>
        <v>7</v>
      </c>
      <c r="N39" s="354">
        <f t="shared" si="4"/>
        <v>5552</v>
      </c>
      <c r="O39" s="3">
        <f t="shared" si="5"/>
        <v>4</v>
      </c>
      <c r="P39" s="361">
        <f>'Travel Time Savings'!$O$25</f>
        <v>582.4</v>
      </c>
      <c r="Q39" s="362">
        <f t="shared" si="6"/>
        <v>655</v>
      </c>
      <c r="R39" s="369">
        <f t="shared" si="7"/>
        <v>1525888</v>
      </c>
      <c r="BD39" s="160"/>
    </row>
    <row r="40" spans="1:56" ht="14.25" customHeight="1" x14ac:dyDescent="0.35">
      <c r="A40" s="15">
        <f>IF(A39&lt;'Project Information'!B$11,A39+1,"")</f>
        <v>2045</v>
      </c>
      <c r="B40" s="173">
        <f>Consolidated_Volumes!B52*$B$9</f>
        <v>26519716.732504442</v>
      </c>
      <c r="C40" s="173">
        <f t="shared" si="1"/>
        <v>2670304</v>
      </c>
      <c r="D40" s="14">
        <f t="shared" si="0"/>
        <v>23849412.732504442</v>
      </c>
      <c r="G40" s="159"/>
      <c r="K40" s="353">
        <f t="shared" si="2"/>
        <v>2037</v>
      </c>
      <c r="L40" s="354">
        <f>Consolidated_Volumes!BK33</f>
        <v>40453.470160521341</v>
      </c>
      <c r="M40" s="360">
        <f t="shared" si="3"/>
        <v>7</v>
      </c>
      <c r="N40" s="354">
        <f t="shared" si="4"/>
        <v>5552</v>
      </c>
      <c r="O40" s="3">
        <f t="shared" si="5"/>
        <v>4</v>
      </c>
      <c r="P40" s="361">
        <f>'Travel Time Savings'!$O$25</f>
        <v>582.4</v>
      </c>
      <c r="Q40" s="362">
        <f t="shared" si="6"/>
        <v>655</v>
      </c>
      <c r="R40" s="369">
        <f t="shared" si="7"/>
        <v>1525888</v>
      </c>
      <c r="BD40" s="160"/>
    </row>
    <row r="41" spans="1:56" ht="14.25" customHeight="1" x14ac:dyDescent="0.35">
      <c r="A41" s="15">
        <f>IF(A40&lt;'Project Information'!B$11,A40+1,"")</f>
        <v>2046</v>
      </c>
      <c r="B41" s="173">
        <f>Consolidated_Volumes!B53*$B$9</f>
        <v>28668245.599274009</v>
      </c>
      <c r="C41" s="173">
        <f t="shared" si="1"/>
        <v>2670304</v>
      </c>
      <c r="D41" s="14">
        <f t="shared" si="0"/>
        <v>25997941.599274009</v>
      </c>
      <c r="G41" s="159"/>
      <c r="K41" s="353">
        <f t="shared" si="2"/>
        <v>2038</v>
      </c>
      <c r="L41" s="354">
        <f>Consolidated_Volumes!BL33</f>
        <v>42092.442582695716</v>
      </c>
      <c r="M41" s="360">
        <f t="shared" si="3"/>
        <v>8</v>
      </c>
      <c r="N41" s="354">
        <f t="shared" si="4"/>
        <v>5552</v>
      </c>
      <c r="O41" s="3">
        <f t="shared" si="5"/>
        <v>5</v>
      </c>
      <c r="P41" s="361">
        <f>'Travel Time Savings'!$O$25</f>
        <v>582.4</v>
      </c>
      <c r="Q41" s="362">
        <f t="shared" si="6"/>
        <v>655</v>
      </c>
      <c r="R41" s="369">
        <f t="shared" si="7"/>
        <v>1907360</v>
      </c>
      <c r="BD41" s="160"/>
    </row>
    <row r="42" spans="1:56" ht="14.25" customHeight="1" x14ac:dyDescent="0.35">
      <c r="A42" s="15">
        <f>IF(A41&lt;'Project Information'!B$11,A41+1,"")</f>
        <v>2047</v>
      </c>
      <c r="B42" s="173">
        <f>Consolidated_Volumes!B54*$B$9</f>
        <v>30904841.067975536</v>
      </c>
      <c r="C42" s="173">
        <f t="shared" si="1"/>
        <v>3051776</v>
      </c>
      <c r="D42" s="14">
        <f t="shared" si="0"/>
        <v>27853065.067975536</v>
      </c>
      <c r="G42" s="159"/>
      <c r="K42" s="353">
        <f t="shared" si="2"/>
        <v>2039</v>
      </c>
      <c r="L42" s="354">
        <f>Consolidated_Volumes!BM33</f>
        <v>43800.384954883833</v>
      </c>
      <c r="M42" s="360">
        <f t="shared" si="3"/>
        <v>8</v>
      </c>
      <c r="N42" s="354">
        <f t="shared" si="4"/>
        <v>5552</v>
      </c>
      <c r="O42" s="3">
        <f t="shared" si="5"/>
        <v>5</v>
      </c>
      <c r="P42" s="361">
        <f>'Travel Time Savings'!$O$25</f>
        <v>582.4</v>
      </c>
      <c r="Q42" s="362">
        <f t="shared" si="6"/>
        <v>655</v>
      </c>
      <c r="R42" s="369">
        <f t="shared" si="7"/>
        <v>1907360</v>
      </c>
      <c r="BD42" s="160"/>
    </row>
    <row r="43" spans="1:56" ht="14.25" customHeight="1" x14ac:dyDescent="0.35">
      <c r="A43" s="15">
        <f>IF(A42&lt;'Project Information'!B$11,A42+1,"")</f>
        <v>2048</v>
      </c>
      <c r="B43" s="173">
        <f>Consolidated_Volumes!B55*$B$9</f>
        <v>33233194.599390298</v>
      </c>
      <c r="C43" s="173">
        <f t="shared" si="1"/>
        <v>3051776</v>
      </c>
      <c r="D43" s="14">
        <f t="shared" si="0"/>
        <v>30181418.599390298</v>
      </c>
      <c r="G43" s="159"/>
      <c r="K43" s="353">
        <f t="shared" si="2"/>
        <v>2040</v>
      </c>
      <c r="L43" s="354">
        <f>Consolidated_Volumes!BN33</f>
        <v>45580.305664540989</v>
      </c>
      <c r="M43" s="360">
        <f t="shared" si="3"/>
        <v>8</v>
      </c>
      <c r="N43" s="354">
        <f t="shared" si="4"/>
        <v>5552</v>
      </c>
      <c r="O43" s="3">
        <f t="shared" si="5"/>
        <v>5</v>
      </c>
      <c r="P43" s="361">
        <f>'Travel Time Savings'!$O$25</f>
        <v>582.4</v>
      </c>
      <c r="Q43" s="362">
        <f t="shared" si="6"/>
        <v>655</v>
      </c>
      <c r="R43" s="369">
        <f t="shared" si="7"/>
        <v>1907360</v>
      </c>
      <c r="BD43" s="160"/>
    </row>
    <row r="44" spans="1:56" ht="14.25" customHeight="1" x14ac:dyDescent="0.35">
      <c r="A44" s="15">
        <f>IF(A43&lt;'Project Information'!B$11,A43+1,"")</f>
        <v>2049</v>
      </c>
      <c r="B44" s="173">
        <f>Consolidated_Volumes!B56*$B$9</f>
        <v>35657156.402166314</v>
      </c>
      <c r="C44" s="173">
        <f t="shared" si="1"/>
        <v>3433247.9999999995</v>
      </c>
      <c r="D44" s="14">
        <f t="shared" si="0"/>
        <v>32223908.402166314</v>
      </c>
      <c r="G44" s="159"/>
      <c r="K44" s="353">
        <f t="shared" si="2"/>
        <v>2041</v>
      </c>
      <c r="L44" s="354">
        <f>Consolidated_Volumes!BO33</f>
        <v>47435.349142062238</v>
      </c>
      <c r="M44" s="360">
        <f t="shared" si="3"/>
        <v>9</v>
      </c>
      <c r="N44" s="354">
        <f t="shared" si="4"/>
        <v>5552</v>
      </c>
      <c r="O44" s="3">
        <f t="shared" si="5"/>
        <v>6</v>
      </c>
      <c r="P44" s="361">
        <f>'Travel Time Savings'!$O$25</f>
        <v>582.4</v>
      </c>
      <c r="Q44" s="362">
        <f t="shared" si="6"/>
        <v>655</v>
      </c>
      <c r="R44" s="369">
        <f t="shared" si="7"/>
        <v>2288831.9999999995</v>
      </c>
      <c r="BD44" s="160"/>
    </row>
    <row r="45" spans="1:56" ht="14.25" customHeight="1" x14ac:dyDescent="0.35">
      <c r="A45" s="15">
        <f>IF(A44&lt;'Project Information'!B$11,A44+1,"")</f>
        <v>2050</v>
      </c>
      <c r="B45" s="173">
        <f>Consolidated_Volumes!B57*$B$9</f>
        <v>38180742.457373619</v>
      </c>
      <c r="C45" s="173">
        <f t="shared" si="1"/>
        <v>3433247.9999999995</v>
      </c>
      <c r="D45" s="14">
        <f t="shared" si="0"/>
        <v>34747494.457373619</v>
      </c>
      <c r="G45" s="159"/>
      <c r="K45" s="353">
        <f t="shared" si="2"/>
        <v>2042</v>
      </c>
      <c r="L45" s="354">
        <f>Consolidated_Volumes!BP33</f>
        <v>49368.802243198857</v>
      </c>
      <c r="M45" s="360">
        <f t="shared" si="3"/>
        <v>9</v>
      </c>
      <c r="N45" s="354">
        <f t="shared" si="4"/>
        <v>5552</v>
      </c>
      <c r="O45" s="3">
        <f t="shared" si="5"/>
        <v>6</v>
      </c>
      <c r="P45" s="361">
        <f>'Travel Time Savings'!$O$25</f>
        <v>582.4</v>
      </c>
      <c r="Q45" s="362">
        <f t="shared" si="6"/>
        <v>655</v>
      </c>
      <c r="R45" s="369">
        <f t="shared" si="7"/>
        <v>2288831.9999999995</v>
      </c>
      <c r="BD45" s="160"/>
    </row>
    <row r="46" spans="1:56" ht="14.25" customHeight="1" x14ac:dyDescent="0.35">
      <c r="A46" s="15">
        <f>IF(A45&lt;'Project Information'!B$11,A45+1,"")</f>
        <v>2051</v>
      </c>
      <c r="B46" s="173">
        <f>Consolidated_Volumes!B58*$B$9</f>
        <v>40808141.863704674</v>
      </c>
      <c r="C46" s="173">
        <f t="shared" si="1"/>
        <v>3814720</v>
      </c>
      <c r="D46" s="14">
        <f t="shared" si="0"/>
        <v>36993421.863704674</v>
      </c>
      <c r="G46" s="159"/>
      <c r="K46" s="353">
        <f t="shared" si="2"/>
        <v>2043</v>
      </c>
      <c r="L46" s="354">
        <f>Consolidated_Volumes!BQ33</f>
        <v>51384.100942111989</v>
      </c>
      <c r="M46" s="360">
        <f t="shared" si="3"/>
        <v>9</v>
      </c>
      <c r="N46" s="354">
        <f t="shared" si="4"/>
        <v>5552</v>
      </c>
      <c r="O46" s="3">
        <f t="shared" si="5"/>
        <v>6</v>
      </c>
      <c r="P46" s="361">
        <f>'Travel Time Savings'!$O$25</f>
        <v>582.4</v>
      </c>
      <c r="Q46" s="362">
        <f t="shared" si="6"/>
        <v>655</v>
      </c>
      <c r="R46" s="369">
        <f t="shared" si="7"/>
        <v>2288831.9999999995</v>
      </c>
      <c r="BD46" s="160"/>
    </row>
    <row r="47" spans="1:56" ht="14.25" customHeight="1" x14ac:dyDescent="0.35">
      <c r="A47" s="15">
        <f>IF(A46&lt;'Project Information'!B$11,A46+1,"")</f>
        <v>2052</v>
      </c>
      <c r="B47" s="173">
        <f>Consolidated_Volumes!B59*$B$9</f>
        <v>43543724.51844395</v>
      </c>
      <c r="C47" s="173">
        <f t="shared" si="1"/>
        <v>3814720</v>
      </c>
      <c r="D47" s="14">
        <f t="shared" si="0"/>
        <v>39729004.51844395</v>
      </c>
      <c r="G47" s="159"/>
      <c r="K47" s="353">
        <f t="shared" si="2"/>
        <v>2044</v>
      </c>
      <c r="L47" s="354">
        <f>Consolidated_Volumes!BR33</f>
        <v>53484.837350726331</v>
      </c>
      <c r="M47" s="360">
        <f t="shared" si="3"/>
        <v>10</v>
      </c>
      <c r="N47" s="354">
        <f t="shared" si="4"/>
        <v>5552</v>
      </c>
      <c r="O47" s="3">
        <f t="shared" si="5"/>
        <v>7</v>
      </c>
      <c r="P47" s="361">
        <f>'Travel Time Savings'!$O$25</f>
        <v>582.4</v>
      </c>
      <c r="Q47" s="362">
        <f t="shared" si="6"/>
        <v>655</v>
      </c>
      <c r="R47" s="369">
        <f t="shared" si="7"/>
        <v>2670304</v>
      </c>
      <c r="BD47" s="160"/>
    </row>
    <row r="48" spans="1:56" ht="14.25" customHeight="1" x14ac:dyDescent="0.35">
      <c r="A48" s="15">
        <f>IF(A47&lt;'Project Information'!B$11,A47+1,"")</f>
        <v>2053</v>
      </c>
      <c r="B48" s="173">
        <f>Consolidated_Volumes!B60*$B$9</f>
        <v>46392049.150068551</v>
      </c>
      <c r="C48" s="173">
        <f t="shared" si="1"/>
        <v>4196192</v>
      </c>
      <c r="D48" s="14">
        <f t="shared" si="0"/>
        <v>42195857.150068551</v>
      </c>
      <c r="G48" s="159"/>
      <c r="K48" s="353">
        <f t="shared" si="2"/>
        <v>2045</v>
      </c>
      <c r="L48" s="354">
        <f>Consolidated_Volumes!BS33</f>
        <v>55674.767080862992</v>
      </c>
      <c r="M48" s="360">
        <f t="shared" si="3"/>
        <v>10</v>
      </c>
      <c r="N48" s="354">
        <f t="shared" si="4"/>
        <v>5552</v>
      </c>
      <c r="O48" s="3">
        <f t="shared" si="5"/>
        <v>7</v>
      </c>
      <c r="P48" s="361">
        <f>'Travel Time Savings'!$O$25</f>
        <v>582.4</v>
      </c>
      <c r="Q48" s="362">
        <f t="shared" si="6"/>
        <v>655</v>
      </c>
      <c r="R48" s="369">
        <f t="shared" si="7"/>
        <v>2670304</v>
      </c>
      <c r="BD48" s="160"/>
    </row>
    <row r="49" spans="1:56" ht="14.25" customHeight="1" x14ac:dyDescent="0.35">
      <c r="A49" s="15">
        <f>IF(A48&lt;'Project Information'!B$11,A48+1,"")</f>
        <v>2054</v>
      </c>
      <c r="B49" s="173">
        <f>Consolidated_Volumes!B61*$B$9</f>
        <v>49357871.719115891</v>
      </c>
      <c r="C49" s="173">
        <f t="shared" si="1"/>
        <v>4196192</v>
      </c>
      <c r="D49" s="14">
        <f t="shared" si="0"/>
        <v>45161679.719115891</v>
      </c>
      <c r="G49" s="159"/>
      <c r="K49" s="353">
        <f t="shared" si="2"/>
        <v>2046</v>
      </c>
      <c r="L49" s="354">
        <f>Consolidated_Volumes!BT33</f>
        <v>57957.816966489801</v>
      </c>
      <c r="M49" s="360">
        <f t="shared" si="3"/>
        <v>10</v>
      </c>
      <c r="N49" s="354">
        <f t="shared" si="4"/>
        <v>5552</v>
      </c>
      <c r="O49" s="3">
        <f t="shared" si="5"/>
        <v>7</v>
      </c>
      <c r="P49" s="361">
        <f>'Travel Time Savings'!$O$25</f>
        <v>582.4</v>
      </c>
      <c r="Q49" s="362">
        <f t="shared" si="6"/>
        <v>655</v>
      </c>
      <c r="R49" s="369">
        <f t="shared" si="7"/>
        <v>2670304</v>
      </c>
      <c r="BD49" s="160"/>
    </row>
    <row r="50" spans="1:56" ht="14.25" customHeight="1" x14ac:dyDescent="0.35">
      <c r="A50" s="15">
        <f>IF(A49&lt;'Project Information'!B$11,A49+1,"")</f>
        <v>2055</v>
      </c>
      <c r="B50" s="173">
        <f>Consolidated_Volumes!B62*$B$9</f>
        <v>52446154.204768822</v>
      </c>
      <c r="C50" s="173">
        <f t="shared" si="1"/>
        <v>4577663.9999999991</v>
      </c>
      <c r="D50" s="14">
        <f t="shared" si="0"/>
        <v>47868490.204768822</v>
      </c>
      <c r="G50" s="159"/>
      <c r="K50" s="353">
        <f t="shared" si="2"/>
        <v>2047</v>
      </c>
      <c r="L50" s="354">
        <f>Consolidated_Volumes!BU33</f>
        <v>60338.093164333564</v>
      </c>
      <c r="M50" s="360">
        <f t="shared" si="3"/>
        <v>11</v>
      </c>
      <c r="N50" s="354">
        <f t="shared" si="4"/>
        <v>5552</v>
      </c>
      <c r="O50" s="3">
        <f t="shared" si="5"/>
        <v>8</v>
      </c>
      <c r="P50" s="361">
        <f>'Travel Time Savings'!$O$25</f>
        <v>582.4</v>
      </c>
      <c r="Q50" s="362">
        <f t="shared" si="6"/>
        <v>655</v>
      </c>
      <c r="R50" s="369">
        <f t="shared" si="7"/>
        <v>3051776</v>
      </c>
      <c r="BD50" s="160"/>
    </row>
    <row r="51" spans="1:56" ht="14.25" customHeight="1" x14ac:dyDescent="0.35">
      <c r="A51" s="15">
        <f>IF(A50&lt;'Project Information'!B$11,A50+1,"")</f>
        <v>2056</v>
      </c>
      <c r="B51" s="173">
        <f>Consolidated_Volumes!B63*$B$9</f>
        <v>55662073.795462884</v>
      </c>
      <c r="C51" s="173">
        <f t="shared" si="1"/>
        <v>4959136</v>
      </c>
      <c r="D51" s="14">
        <f t="shared" si="0"/>
        <v>50702937.795462884</v>
      </c>
      <c r="G51" s="159"/>
      <c r="K51" s="353">
        <f t="shared" si="2"/>
        <v>2048</v>
      </c>
      <c r="L51" s="354">
        <f>Consolidated_Volumes!BV33</f>
        <v>62819.889652052756</v>
      </c>
      <c r="M51" s="360">
        <f t="shared" si="3"/>
        <v>11</v>
      </c>
      <c r="N51" s="354">
        <f t="shared" si="4"/>
        <v>5552</v>
      </c>
      <c r="O51" s="3">
        <f t="shared" si="5"/>
        <v>8</v>
      </c>
      <c r="P51" s="361">
        <f>'Travel Time Savings'!$O$25</f>
        <v>582.4</v>
      </c>
      <c r="Q51" s="362">
        <f t="shared" si="6"/>
        <v>655</v>
      </c>
      <c r="R51" s="369">
        <f t="shared" si="7"/>
        <v>3051776</v>
      </c>
      <c r="BD51" s="160"/>
    </row>
    <row r="52" spans="1:56" ht="14.25" customHeight="1" x14ac:dyDescent="0.35">
      <c r="A52" s="15">
        <f>IF(A51&lt;'Project Information'!B$11,A51+1,"")</f>
        <v>2057</v>
      </c>
      <c r="B52" s="173">
        <f>Consolidated_Volumes!B64*$B$9</f>
        <v>59011032.502718985</v>
      </c>
      <c r="C52" s="173">
        <f t="shared" si="1"/>
        <v>4959136</v>
      </c>
      <c r="D52" s="14">
        <f t="shared" si="0"/>
        <v>54051896.502718985</v>
      </c>
      <c r="G52" s="159"/>
      <c r="K52" s="353">
        <f t="shared" si="2"/>
        <v>2049</v>
      </c>
      <c r="L52" s="354">
        <f>Consolidated_Volumes!BW33</f>
        <v>65407.697144174861</v>
      </c>
      <c r="M52" s="360">
        <f t="shared" si="3"/>
        <v>12</v>
      </c>
      <c r="N52" s="354">
        <f t="shared" si="4"/>
        <v>5552</v>
      </c>
      <c r="O52" s="3">
        <f t="shared" si="5"/>
        <v>9</v>
      </c>
      <c r="P52" s="361">
        <f>'Travel Time Savings'!$O$25</f>
        <v>582.4</v>
      </c>
      <c r="Q52" s="362">
        <f t="shared" si="6"/>
        <v>655</v>
      </c>
      <c r="R52" s="369">
        <f t="shared" si="7"/>
        <v>3433247.9999999995</v>
      </c>
      <c r="BD52" s="160"/>
    </row>
    <row r="53" spans="1:56" ht="14.25" customHeight="1" x14ac:dyDescent="0.35">
      <c r="A53" s="15">
        <f>IF(A52&lt;'Project Information'!B$11,A52+1,"")</f>
        <v>2058</v>
      </c>
      <c r="B53" s="173">
        <f>Consolidated_Volumes!B65*$B$9</f>
        <v>62498667.218347855</v>
      </c>
      <c r="C53" s="173">
        <f t="shared" si="1"/>
        <v>5340608</v>
      </c>
      <c r="D53" s="14">
        <f t="shared" si="0"/>
        <v>57158059.218347855</v>
      </c>
      <c r="G53" s="159"/>
      <c r="K53" s="353">
        <f t="shared" si="2"/>
        <v>2050</v>
      </c>
      <c r="L53" s="354">
        <f>Consolidated_Volumes!BX33</f>
        <v>68106.212447062731</v>
      </c>
      <c r="M53" s="360">
        <f t="shared" si="3"/>
        <v>12</v>
      </c>
      <c r="N53" s="354">
        <f t="shared" si="4"/>
        <v>5552</v>
      </c>
      <c r="O53" s="3">
        <f t="shared" si="5"/>
        <v>9</v>
      </c>
      <c r="P53" s="361">
        <f>'Travel Time Savings'!$O$25</f>
        <v>582.4</v>
      </c>
      <c r="Q53" s="362">
        <f t="shared" si="6"/>
        <v>655</v>
      </c>
      <c r="R53" s="369">
        <f t="shared" si="7"/>
        <v>3433247.9999999995</v>
      </c>
      <c r="BD53" s="160"/>
    </row>
    <row r="54" spans="1:56" ht="14.25" customHeight="1" x14ac:dyDescent="0.35">
      <c r="A54" s="15">
        <f>IF(A53&lt;'Project Information'!B$11,A53+1,"")</f>
        <v>2059</v>
      </c>
      <c r="B54" s="173">
        <f>Consolidated_Volumes!B66*$B$9</f>
        <v>66130860.236164637</v>
      </c>
      <c r="C54" s="173">
        <f t="shared" si="1"/>
        <v>5722080</v>
      </c>
      <c r="D54" s="14">
        <f t="shared" si="0"/>
        <v>60408780.236164637</v>
      </c>
      <c r="G54" s="159"/>
      <c r="K54" s="353">
        <f t="shared" si="2"/>
        <v>2051</v>
      </c>
      <c r="L54" s="354">
        <f>Consolidated_Volumes!BY33</f>
        <v>70920.34827529121</v>
      </c>
      <c r="M54" s="360">
        <f t="shared" si="3"/>
        <v>13</v>
      </c>
      <c r="N54" s="354">
        <f t="shared" si="4"/>
        <v>5552</v>
      </c>
      <c r="O54" s="3">
        <f t="shared" si="5"/>
        <v>10</v>
      </c>
      <c r="P54" s="361">
        <f>'Travel Time Savings'!$O$25</f>
        <v>582.4</v>
      </c>
      <c r="Q54" s="362">
        <f t="shared" si="6"/>
        <v>655</v>
      </c>
      <c r="R54" s="369">
        <f t="shared" si="7"/>
        <v>3814720</v>
      </c>
      <c r="BD54" s="160"/>
    </row>
    <row r="55" spans="1:56" ht="14.25" customHeight="1" x14ac:dyDescent="0.35">
      <c r="A55" s="15">
        <f>IF(A54&lt;'Project Information'!B$11,A54+1,"")</f>
        <v>2060</v>
      </c>
      <c r="B55" s="173">
        <f>Consolidated_Volumes!B67*$B$9</f>
        <v>69913750.26039356</v>
      </c>
      <c r="C55" s="173">
        <f t="shared" si="1"/>
        <v>5722080</v>
      </c>
      <c r="D55" s="188">
        <f t="shared" si="0"/>
        <v>64191670.26039356</v>
      </c>
      <c r="G55" s="159"/>
      <c r="K55" s="353">
        <f t="shared" si="2"/>
        <v>2052</v>
      </c>
      <c r="L55" s="354">
        <f>Consolidated_Volumes!BZ33</f>
        <v>73855.243552992135</v>
      </c>
      <c r="M55" s="360">
        <f t="shared" si="3"/>
        <v>13</v>
      </c>
      <c r="N55" s="354">
        <f t="shared" si="4"/>
        <v>5552</v>
      </c>
      <c r="O55" s="3">
        <f t="shared" si="5"/>
        <v>10</v>
      </c>
      <c r="P55" s="361">
        <f>'Travel Time Savings'!$O$25</f>
        <v>582.4</v>
      </c>
      <c r="Q55" s="362">
        <f t="shared" si="6"/>
        <v>655</v>
      </c>
      <c r="R55" s="369">
        <f t="shared" si="7"/>
        <v>3814720</v>
      </c>
      <c r="BD55" s="160"/>
    </row>
    <row r="56" spans="1:56" ht="14.25" customHeight="1" x14ac:dyDescent="0.35">
      <c r="A56" s="174"/>
      <c r="B56" s="175"/>
      <c r="C56" s="175"/>
      <c r="D56" s="29"/>
      <c r="G56" s="159"/>
      <c r="K56" s="353">
        <f t="shared" si="2"/>
        <v>2053</v>
      </c>
      <c r="L56" s="354">
        <f>Consolidated_Volumes!CA33</f>
        <v>76916.274224968016</v>
      </c>
      <c r="M56" s="360">
        <f t="shared" si="3"/>
        <v>14</v>
      </c>
      <c r="N56" s="354">
        <f t="shared" si="4"/>
        <v>5552</v>
      </c>
      <c r="O56" s="3">
        <f t="shared" si="5"/>
        <v>11</v>
      </c>
      <c r="P56" s="361">
        <f>'Travel Time Savings'!$O$25</f>
        <v>582.4</v>
      </c>
      <c r="Q56" s="362">
        <f t="shared" si="6"/>
        <v>655</v>
      </c>
      <c r="R56" s="369">
        <f t="shared" si="7"/>
        <v>4196192</v>
      </c>
      <c r="BD56" s="160"/>
    </row>
    <row r="57" spans="1:56" ht="14.25" customHeight="1" x14ac:dyDescent="0.35">
      <c r="B57" s="177"/>
      <c r="C57" s="177"/>
      <c r="D57" s="29"/>
      <c r="G57" s="159"/>
      <c r="K57" s="353">
        <f t="shared" si="2"/>
        <v>2054</v>
      </c>
      <c r="L57" s="354">
        <f>Consolidated_Volumes!CB33</f>
        <v>80109.064603681094</v>
      </c>
      <c r="M57" s="360">
        <f t="shared" si="3"/>
        <v>14</v>
      </c>
      <c r="N57" s="354">
        <f t="shared" si="4"/>
        <v>5552</v>
      </c>
      <c r="O57" s="3">
        <f t="shared" si="5"/>
        <v>11</v>
      </c>
      <c r="P57" s="361">
        <f>'Travel Time Savings'!$O$25</f>
        <v>582.4</v>
      </c>
      <c r="Q57" s="362">
        <f t="shared" si="6"/>
        <v>655</v>
      </c>
      <c r="R57" s="369">
        <f t="shared" si="7"/>
        <v>4196192</v>
      </c>
      <c r="BD57" s="160"/>
    </row>
    <row r="58" spans="1:56" ht="14.25" customHeight="1" x14ac:dyDescent="0.35">
      <c r="B58" s="177"/>
      <c r="C58" s="177"/>
      <c r="D58" s="29"/>
      <c r="G58" s="159"/>
      <c r="K58" s="353">
        <f t="shared" si="2"/>
        <v>2055</v>
      </c>
      <c r="L58" s="354">
        <f>Consolidated_Volumes!CC33</f>
        <v>83439.499279605341</v>
      </c>
      <c r="M58" s="360">
        <f t="shared" si="3"/>
        <v>15</v>
      </c>
      <c r="N58" s="354">
        <f t="shared" si="4"/>
        <v>5552</v>
      </c>
      <c r="O58" s="3">
        <f t="shared" si="5"/>
        <v>12</v>
      </c>
      <c r="P58" s="361">
        <f>'Travel Time Savings'!$O$25</f>
        <v>582.4</v>
      </c>
      <c r="Q58" s="362">
        <f t="shared" si="6"/>
        <v>655</v>
      </c>
      <c r="R58" s="369">
        <f t="shared" si="7"/>
        <v>4577663.9999999991</v>
      </c>
      <c r="BD58" s="160"/>
    </row>
    <row r="59" spans="1:56" ht="14.25" customHeight="1" x14ac:dyDescent="0.35">
      <c r="B59" s="177"/>
      <c r="C59" s="177"/>
      <c r="D59" s="29"/>
      <c r="G59" s="159"/>
      <c r="K59" s="353">
        <f t="shared" si="2"/>
        <v>2056</v>
      </c>
      <c r="L59" s="354">
        <f>Consolidated_Volumes!CD33</f>
        <v>86913.735623881046</v>
      </c>
      <c r="M59" s="360">
        <f t="shared" si="3"/>
        <v>16</v>
      </c>
      <c r="N59" s="354">
        <f t="shared" si="4"/>
        <v>5552</v>
      </c>
      <c r="O59" s="3">
        <f t="shared" si="5"/>
        <v>13</v>
      </c>
      <c r="P59" s="361">
        <f>'Travel Time Savings'!$O$25</f>
        <v>582.4</v>
      </c>
      <c r="Q59" s="362">
        <f t="shared" si="6"/>
        <v>655</v>
      </c>
      <c r="R59" s="369">
        <f t="shared" si="7"/>
        <v>4959136</v>
      </c>
      <c r="BD59" s="160"/>
    </row>
    <row r="60" spans="1:56" ht="14.25" customHeight="1" x14ac:dyDescent="0.35">
      <c r="B60" s="177"/>
      <c r="C60" s="177"/>
      <c r="D60" s="29"/>
      <c r="G60" s="159"/>
      <c r="K60" s="353">
        <f t="shared" si="2"/>
        <v>2057</v>
      </c>
      <c r="L60" s="354">
        <f>Consolidated_Volumes!CE33</f>
        <v>90538.216913745535</v>
      </c>
      <c r="M60" s="360">
        <f t="shared" si="3"/>
        <v>16</v>
      </c>
      <c r="N60" s="354">
        <f t="shared" si="4"/>
        <v>5552</v>
      </c>
      <c r="O60" s="3">
        <f t="shared" si="5"/>
        <v>13</v>
      </c>
      <c r="P60" s="361">
        <f>'Travel Time Savings'!$O$25</f>
        <v>582.4</v>
      </c>
      <c r="Q60" s="362">
        <f t="shared" si="6"/>
        <v>655</v>
      </c>
      <c r="R60" s="369">
        <f t="shared" si="7"/>
        <v>4959136</v>
      </c>
      <c r="BD60" s="160"/>
    </row>
    <row r="61" spans="1:56" ht="14.25" customHeight="1" x14ac:dyDescent="0.35">
      <c r="B61" s="177"/>
      <c r="C61" s="177"/>
      <c r="D61" s="29"/>
      <c r="G61" s="159"/>
      <c r="K61" s="353">
        <f t="shared" si="2"/>
        <v>2058</v>
      </c>
      <c r="L61" s="354">
        <f>Consolidated_Volumes!CF33</f>
        <v>94319.686112828844</v>
      </c>
      <c r="M61" s="360">
        <f t="shared" si="3"/>
        <v>17</v>
      </c>
      <c r="N61" s="354">
        <f t="shared" si="4"/>
        <v>5552</v>
      </c>
      <c r="O61" s="3">
        <f t="shared" si="5"/>
        <v>14</v>
      </c>
      <c r="P61" s="361">
        <f>'Travel Time Savings'!$O$25</f>
        <v>582.4</v>
      </c>
      <c r="Q61" s="362">
        <f t="shared" si="6"/>
        <v>655</v>
      </c>
      <c r="R61" s="369">
        <f t="shared" si="7"/>
        <v>5340608</v>
      </c>
      <c r="BD61" s="160"/>
    </row>
    <row r="62" spans="1:56" ht="14.25" customHeight="1" x14ac:dyDescent="0.35">
      <c r="B62" s="177"/>
      <c r="C62" s="177"/>
      <c r="D62" s="29"/>
      <c r="G62" s="159"/>
      <c r="K62" s="353">
        <f t="shared" si="2"/>
        <v>2059</v>
      </c>
      <c r="L62" s="354">
        <f>Consolidated_Volumes!CG33</f>
        <v>98265.200340108247</v>
      </c>
      <c r="M62" s="360">
        <f t="shared" si="3"/>
        <v>18</v>
      </c>
      <c r="N62" s="354">
        <f t="shared" si="4"/>
        <v>5552</v>
      </c>
      <c r="O62" s="3">
        <f t="shared" si="5"/>
        <v>15</v>
      </c>
      <c r="P62" s="361">
        <f>'Travel Time Savings'!$O$25</f>
        <v>582.4</v>
      </c>
      <c r="Q62" s="362">
        <f t="shared" si="6"/>
        <v>655</v>
      </c>
      <c r="R62" s="369">
        <f t="shared" si="7"/>
        <v>5722080</v>
      </c>
      <c r="BD62" s="160"/>
    </row>
    <row r="63" spans="1:56" ht="14.25" customHeight="1" x14ac:dyDescent="0.35">
      <c r="B63" s="177"/>
      <c r="C63" s="177"/>
      <c r="D63" s="29"/>
      <c r="G63" s="159"/>
      <c r="K63" s="363">
        <f t="shared" si="2"/>
        <v>2060</v>
      </c>
      <c r="L63" s="364">
        <f>Consolidated_Volumes!CH33</f>
        <v>102382.14606311051</v>
      </c>
      <c r="M63" s="365">
        <f t="shared" si="3"/>
        <v>18</v>
      </c>
      <c r="N63" s="364">
        <f t="shared" si="4"/>
        <v>5552</v>
      </c>
      <c r="O63" s="366">
        <f t="shared" si="5"/>
        <v>15</v>
      </c>
      <c r="P63" s="367">
        <f>'Travel Time Savings'!$O$25</f>
        <v>582.4</v>
      </c>
      <c r="Q63" s="368">
        <f t="shared" si="6"/>
        <v>655</v>
      </c>
      <c r="R63" s="370">
        <f t="shared" si="7"/>
        <v>5722080</v>
      </c>
      <c r="BD63" s="160"/>
    </row>
    <row r="64" spans="1:56" ht="14.25" customHeight="1" x14ac:dyDescent="0.35">
      <c r="B64" s="177"/>
      <c r="C64" s="177"/>
      <c r="D64" s="29"/>
      <c r="G64" s="159"/>
      <c r="BD64" s="160"/>
    </row>
    <row r="65" spans="2:56" ht="14.25" customHeight="1" x14ac:dyDescent="0.35">
      <c r="B65" s="177"/>
      <c r="C65" s="177"/>
      <c r="D65" s="29"/>
      <c r="G65" s="159"/>
      <c r="BD65" s="160"/>
    </row>
    <row r="66" spans="2:56" ht="14.25" customHeight="1" x14ac:dyDescent="0.35">
      <c r="G66" s="159"/>
      <c r="BD66" s="160"/>
    </row>
    <row r="67" spans="2:56" ht="14.25" customHeight="1" x14ac:dyDescent="0.35">
      <c r="G67" s="159"/>
      <c r="BD67" s="160"/>
    </row>
    <row r="68" spans="2:56" ht="14.25" customHeight="1" x14ac:dyDescent="0.35">
      <c r="G68" s="159"/>
      <c r="BD68" s="160"/>
    </row>
    <row r="69" spans="2:56" ht="14.25" customHeight="1" x14ac:dyDescent="0.35">
      <c r="G69" s="159"/>
      <c r="BD69" s="160"/>
    </row>
    <row r="70" spans="2:56" ht="14.25" customHeight="1" x14ac:dyDescent="0.35">
      <c r="G70" s="159"/>
      <c r="BD70" s="160"/>
    </row>
    <row r="71" spans="2:56" ht="14.25" customHeight="1" x14ac:dyDescent="0.35">
      <c r="G71" s="159"/>
      <c r="BD71" s="160"/>
    </row>
    <row r="72" spans="2:56" ht="14.25" customHeight="1" x14ac:dyDescent="0.35">
      <c r="G72" s="159"/>
      <c r="BD72" s="160"/>
    </row>
    <row r="73" spans="2:56" ht="14.25" customHeight="1" x14ac:dyDescent="0.35">
      <c r="G73" s="159"/>
      <c r="BD73" s="160"/>
    </row>
    <row r="74" spans="2:56" ht="14.25" customHeight="1" x14ac:dyDescent="0.35">
      <c r="G74" s="159"/>
      <c r="BD74" s="160"/>
    </row>
    <row r="75" spans="2:56" ht="14.25" customHeight="1" x14ac:dyDescent="0.35">
      <c r="G75" s="159"/>
      <c r="BD75" s="160"/>
    </row>
    <row r="76" spans="2:56" ht="14.25" customHeight="1" x14ac:dyDescent="0.35">
      <c r="G76" s="159"/>
      <c r="BD76" s="160"/>
    </row>
    <row r="77" spans="2:56" ht="14.25" customHeight="1" x14ac:dyDescent="0.35">
      <c r="G77" s="159"/>
      <c r="BD77" s="160"/>
    </row>
    <row r="78" spans="2:56" ht="14.25" customHeight="1" x14ac:dyDescent="0.35">
      <c r="G78" s="159"/>
      <c r="BD78" s="160"/>
    </row>
    <row r="79" spans="2:56" ht="14.25" customHeight="1" x14ac:dyDescent="0.35">
      <c r="G79" s="159"/>
      <c r="BD79" s="160"/>
    </row>
    <row r="80" spans="2:56" ht="14.25" customHeight="1" x14ac:dyDescent="0.35">
      <c r="G80" s="159"/>
      <c r="BD80" s="160"/>
    </row>
    <row r="81" spans="7:56" ht="14.25" customHeight="1" x14ac:dyDescent="0.35">
      <c r="G81" s="159"/>
      <c r="BD81" s="160"/>
    </row>
    <row r="82" spans="7:56" ht="14.25" customHeight="1" x14ac:dyDescent="0.35">
      <c r="G82" s="159"/>
      <c r="BD82" s="160"/>
    </row>
    <row r="83" spans="7:56" ht="14.25" customHeight="1" x14ac:dyDescent="0.35">
      <c r="G83" s="159"/>
      <c r="BD83" s="160"/>
    </row>
    <row r="84" spans="7:56" ht="14.25" customHeight="1" x14ac:dyDescent="0.35">
      <c r="G84" s="159"/>
      <c r="BD84" s="160"/>
    </row>
    <row r="85" spans="7:56" ht="14.25" customHeight="1" x14ac:dyDescent="0.35">
      <c r="G85" s="159"/>
      <c r="BD85" s="160"/>
    </row>
    <row r="86" spans="7:56" ht="14.25" customHeight="1" x14ac:dyDescent="0.35">
      <c r="G86" s="159"/>
      <c r="BD86" s="160"/>
    </row>
    <row r="87" spans="7:56" ht="14.25" customHeight="1" x14ac:dyDescent="0.35">
      <c r="G87" s="159"/>
      <c r="BD87" s="160"/>
    </row>
    <row r="88" spans="7:56" ht="14.25" customHeight="1" x14ac:dyDescent="0.35">
      <c r="G88" s="159"/>
      <c r="BD88" s="160"/>
    </row>
    <row r="89" spans="7:56" ht="14.25" customHeight="1" x14ac:dyDescent="0.35">
      <c r="G89" s="159"/>
      <c r="BD89" s="160"/>
    </row>
    <row r="90" spans="7:56" ht="14.25" customHeight="1" x14ac:dyDescent="0.35">
      <c r="G90" s="159"/>
      <c r="BD90" s="160"/>
    </row>
    <row r="91" spans="7:56" ht="14.25" customHeight="1" x14ac:dyDescent="0.35">
      <c r="G91" s="159"/>
      <c r="BD91" s="160"/>
    </row>
    <row r="92" spans="7:56" ht="14.25" customHeight="1" x14ac:dyDescent="0.35">
      <c r="G92" s="159"/>
      <c r="BD92" s="160"/>
    </row>
    <row r="93" spans="7:56" ht="14.25" customHeight="1" x14ac:dyDescent="0.35">
      <c r="G93" s="159"/>
      <c r="BD93" s="160"/>
    </row>
    <row r="94" spans="7:56" ht="14.25" customHeight="1" x14ac:dyDescent="0.35">
      <c r="G94" s="159"/>
      <c r="BD94" s="160"/>
    </row>
    <row r="95" spans="7:56" ht="14.25" customHeight="1" x14ac:dyDescent="0.35">
      <c r="G95" s="159"/>
      <c r="BD95" s="160"/>
    </row>
    <row r="96" spans="7:56" ht="14.25" customHeight="1" x14ac:dyDescent="0.35">
      <c r="G96" s="159"/>
      <c r="BD96" s="160"/>
    </row>
    <row r="97" spans="7:56" ht="14.25" customHeight="1" x14ac:dyDescent="0.35">
      <c r="G97" s="159"/>
      <c r="BD97" s="160"/>
    </row>
    <row r="98" spans="7:56" ht="14.25" customHeight="1" x14ac:dyDescent="0.35">
      <c r="G98" s="159"/>
      <c r="BD98" s="160"/>
    </row>
    <row r="99" spans="7:56" ht="14.25" customHeight="1" x14ac:dyDescent="0.35">
      <c r="G99" s="159"/>
      <c r="BD99" s="160"/>
    </row>
    <row r="100" spans="7:56" ht="14.25" customHeight="1" x14ac:dyDescent="0.35">
      <c r="G100" s="159"/>
      <c r="BD100" s="160"/>
    </row>
    <row r="101" spans="7:56" ht="14.25" customHeight="1" x14ac:dyDescent="0.35">
      <c r="G101" s="159"/>
      <c r="BD101" s="160"/>
    </row>
    <row r="102" spans="7:56" ht="14.25" customHeight="1" x14ac:dyDescent="0.35">
      <c r="G102" s="159"/>
      <c r="BD102" s="160"/>
    </row>
    <row r="103" spans="7:56" ht="14.25" customHeight="1" x14ac:dyDescent="0.35">
      <c r="G103" s="159"/>
      <c r="BD103" s="160"/>
    </row>
    <row r="104" spans="7:56" ht="14.25" customHeight="1" x14ac:dyDescent="0.35">
      <c r="G104" s="159"/>
      <c r="BD104" s="160"/>
    </row>
    <row r="105" spans="7:56" ht="14.25" customHeight="1" x14ac:dyDescent="0.35">
      <c r="G105" s="159"/>
      <c r="BD105" s="160"/>
    </row>
    <row r="106" spans="7:56" ht="14.25" customHeight="1" x14ac:dyDescent="0.35">
      <c r="G106" s="159"/>
      <c r="BD106" s="160"/>
    </row>
    <row r="107" spans="7:56" ht="14.25" customHeight="1" x14ac:dyDescent="0.35">
      <c r="G107" s="159"/>
      <c r="BD107" s="160"/>
    </row>
    <row r="108" spans="7:56" ht="14.25" customHeight="1" x14ac:dyDescent="0.35">
      <c r="G108" s="159"/>
      <c r="BD108" s="160"/>
    </row>
    <row r="109" spans="7:56" ht="14.25" customHeight="1" x14ac:dyDescent="0.35">
      <c r="G109" s="159"/>
      <c r="BD109" s="160"/>
    </row>
    <row r="110" spans="7:56" ht="14.25" customHeight="1" x14ac:dyDescent="0.35">
      <c r="G110" s="159"/>
      <c r="BD110" s="160"/>
    </row>
    <row r="111" spans="7:56" ht="14.25" customHeight="1" x14ac:dyDescent="0.35">
      <c r="G111" s="159"/>
      <c r="BD111" s="160"/>
    </row>
    <row r="112" spans="7:56" ht="14.25" customHeight="1" x14ac:dyDescent="0.35">
      <c r="G112" s="159"/>
      <c r="BD112" s="160"/>
    </row>
    <row r="113" spans="7:56" ht="14.25" customHeight="1" x14ac:dyDescent="0.35">
      <c r="G113" s="159"/>
      <c r="BD113" s="160"/>
    </row>
    <row r="114" spans="7:56" ht="14.25" customHeight="1" x14ac:dyDescent="0.35">
      <c r="G114" s="159"/>
      <c r="BD114" s="160"/>
    </row>
    <row r="115" spans="7:56" ht="15" customHeight="1" x14ac:dyDescent="0.35">
      <c r="G115" s="178"/>
      <c r="H115" s="179"/>
      <c r="I115" s="179"/>
      <c r="J115" s="179"/>
      <c r="K115" s="179"/>
      <c r="L115" s="179"/>
      <c r="M115" s="179"/>
      <c r="N115" s="179"/>
      <c r="O115" s="179"/>
      <c r="P115" s="179"/>
      <c r="Q115" s="179"/>
      <c r="R115" s="179"/>
      <c r="S115" s="179"/>
      <c r="T115" s="179"/>
      <c r="U115" s="179"/>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80"/>
    </row>
  </sheetData>
  <mergeCells count="1">
    <mergeCell ref="H27:I27"/>
  </mergeCells>
  <conditionalFormatting sqref="B26:B55">
    <cfRule type="expression" dxfId="10" priority="3">
      <formula>A26=""</formula>
    </cfRule>
  </conditionalFormatting>
  <conditionalFormatting sqref="C26:C55">
    <cfRule type="expression" dxfId="9" priority="2">
      <formula>A26=""</formula>
    </cfRule>
  </conditionalFormatting>
  <pageMargins left="0.7" right="0.7" top="0.75" bottom="0.75"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A9D18E"/>
  </sheetPr>
  <dimension ref="A1:BV112"/>
  <sheetViews>
    <sheetView workbookViewId="0"/>
  </sheetViews>
  <sheetFormatPr defaultColWidth="9.1796875" defaultRowHeight="14.5" x14ac:dyDescent="0.35"/>
  <cols>
    <col min="1" max="1" width="39" style="3" customWidth="1"/>
    <col min="2" max="2" width="35.453125" style="3" customWidth="1"/>
    <col min="3" max="3" width="35.54296875" style="3" customWidth="1"/>
    <col min="4" max="4" width="30.1796875" style="3" customWidth="1"/>
    <col min="5" max="5" width="26.81640625" style="3" customWidth="1"/>
    <col min="6" max="6" width="7.453125" style="3" customWidth="1"/>
    <col min="7" max="14" width="20.54296875" style="3" customWidth="1"/>
    <col min="15" max="18" width="15.7265625" style="3" customWidth="1"/>
    <col min="19" max="19" width="28.54296875" style="3" customWidth="1"/>
    <col min="20" max="20" width="24.81640625" style="3" customWidth="1"/>
    <col min="21" max="16384" width="9.1796875" style="3"/>
  </cols>
  <sheetData>
    <row r="1" spans="1:9" ht="19.5" customHeight="1" x14ac:dyDescent="0.45">
      <c r="A1" s="4" t="s">
        <v>503</v>
      </c>
      <c r="B1" s="207"/>
      <c r="C1" s="207"/>
      <c r="D1" s="207"/>
      <c r="E1" s="207"/>
      <c r="F1" s="207"/>
    </row>
    <row r="2" spans="1:9" ht="15" customHeight="1" x14ac:dyDescent="0.35">
      <c r="A2" s="5" t="s">
        <v>504</v>
      </c>
      <c r="B2" s="208"/>
      <c r="C2" s="208"/>
      <c r="D2" s="208"/>
      <c r="E2" s="208"/>
      <c r="F2" s="208"/>
      <c r="G2" s="208"/>
      <c r="H2" s="208"/>
      <c r="I2" s="208"/>
    </row>
    <row r="3" spans="1:9" ht="14.25" customHeight="1" x14ac:dyDescent="0.35">
      <c r="A3" s="5" t="s">
        <v>505</v>
      </c>
      <c r="B3" s="208"/>
      <c r="C3" s="208"/>
      <c r="D3" s="208"/>
    </row>
    <row r="4" spans="1:9" ht="14.25" customHeight="1" x14ac:dyDescent="0.35">
      <c r="A4" s="5" t="s">
        <v>506</v>
      </c>
      <c r="B4" s="208"/>
      <c r="C4" s="208"/>
    </row>
    <row r="5" spans="1:9" ht="14.25" customHeight="1" x14ac:dyDescent="0.35">
      <c r="A5" s="5" t="s">
        <v>507</v>
      </c>
      <c r="B5" s="208"/>
      <c r="C5" s="208"/>
      <c r="D5" s="208"/>
      <c r="E5" s="208"/>
    </row>
    <row r="6" spans="1:9" ht="14.25" customHeight="1" x14ac:dyDescent="0.35">
      <c r="A6" s="3" t="s">
        <v>2</v>
      </c>
    </row>
    <row r="7" spans="1:9" ht="14.25" customHeight="1" x14ac:dyDescent="0.35">
      <c r="A7" s="6" t="s">
        <v>508</v>
      </c>
    </row>
    <row r="8" spans="1:9" ht="14.25" customHeight="1" x14ac:dyDescent="0.35">
      <c r="A8" s="182" t="s">
        <v>424</v>
      </c>
      <c r="B8" s="182" t="s">
        <v>305</v>
      </c>
      <c r="C8" s="209"/>
    </row>
    <row r="9" spans="1:9" ht="14.25" customHeight="1" x14ac:dyDescent="0.35">
      <c r="A9" s="210"/>
      <c r="B9" s="205" t="s">
        <v>509</v>
      </c>
      <c r="C9" s="211"/>
    </row>
    <row r="10" spans="1:9" ht="14.25" customHeight="1" x14ac:dyDescent="0.35">
      <c r="A10" s="183" t="s">
        <v>430</v>
      </c>
      <c r="B10" s="212" t="s">
        <v>323</v>
      </c>
      <c r="C10" s="213"/>
    </row>
    <row r="11" spans="1:9" ht="14.25" customHeight="1" x14ac:dyDescent="0.35">
      <c r="A11" s="183" t="s">
        <v>431</v>
      </c>
      <c r="B11" s="212" t="s">
        <v>323</v>
      </c>
      <c r="C11" s="213"/>
    </row>
    <row r="12" spans="1:9" ht="14.25" customHeight="1" x14ac:dyDescent="0.35">
      <c r="A12" s="183" t="s">
        <v>432</v>
      </c>
      <c r="B12" s="214">
        <f>'Parameter Values'!E233</f>
        <v>1.2999999999999999E-2</v>
      </c>
      <c r="C12" s="213"/>
    </row>
    <row r="13" spans="1:9" ht="14.25" customHeight="1" x14ac:dyDescent="0.35">
      <c r="A13" s="183" t="s">
        <v>433</v>
      </c>
      <c r="B13" s="212" t="s">
        <v>323</v>
      </c>
      <c r="C13" s="213"/>
    </row>
    <row r="14" spans="1:9" ht="14.25" customHeight="1" x14ac:dyDescent="0.35">
      <c r="A14" s="183" t="s">
        <v>434</v>
      </c>
      <c r="B14" s="212" t="s">
        <v>323</v>
      </c>
      <c r="C14" s="213"/>
    </row>
    <row r="15" spans="1:9" ht="14.25" customHeight="1" x14ac:dyDescent="0.35">
      <c r="A15" s="183" t="s">
        <v>435</v>
      </c>
      <c r="B15" s="214">
        <f>'Parameter Values'!E236</f>
        <v>3.7999999999999999E-2</v>
      </c>
      <c r="C15" s="213"/>
    </row>
    <row r="16" spans="1:9" ht="14.25" customHeight="1" x14ac:dyDescent="0.35">
      <c r="A16" s="183" t="s">
        <v>436</v>
      </c>
      <c r="B16" s="212" t="s">
        <v>323</v>
      </c>
      <c r="C16" s="213"/>
    </row>
    <row r="17" spans="1:74" ht="14.25" customHeight="1" x14ac:dyDescent="0.35">
      <c r="A17" s="183" t="s">
        <v>437</v>
      </c>
      <c r="B17" s="212" t="s">
        <v>323</v>
      </c>
      <c r="C17" s="213"/>
    </row>
    <row r="18" spans="1:74" ht="14.25" customHeight="1" x14ac:dyDescent="0.35">
      <c r="A18" s="183" t="s">
        <v>438</v>
      </c>
      <c r="B18" s="214">
        <f>'Parameter Values'!E239</f>
        <v>1.6E-2</v>
      </c>
      <c r="C18" s="213"/>
    </row>
    <row r="19" spans="1:74" ht="14.25" customHeight="1" x14ac:dyDescent="0.35">
      <c r="A19" s="182" t="s">
        <v>312</v>
      </c>
      <c r="B19" s="182" t="s">
        <v>311</v>
      </c>
      <c r="C19" s="209"/>
    </row>
    <row r="20" spans="1:74" ht="14.25" customHeight="1" x14ac:dyDescent="0.35">
      <c r="A20" s="204" t="s">
        <v>315</v>
      </c>
      <c r="B20" s="205" t="s">
        <v>509</v>
      </c>
      <c r="C20" s="211"/>
    </row>
    <row r="21" spans="1:74" ht="14.25" customHeight="1" x14ac:dyDescent="0.35">
      <c r="A21" s="183" t="s">
        <v>316</v>
      </c>
      <c r="B21" s="206">
        <f>'Parameter Values'!C63</f>
        <v>799</v>
      </c>
      <c r="C21" s="215"/>
    </row>
    <row r="22" spans="1:74" ht="14.25" customHeight="1" x14ac:dyDescent="0.35">
      <c r="A22" s="183" t="s">
        <v>317</v>
      </c>
      <c r="B22" s="206">
        <f>'Parameter Values'!C64</f>
        <v>109</v>
      </c>
      <c r="C22" s="215"/>
    </row>
    <row r="23" spans="1:74" ht="14.25" customHeight="1" x14ac:dyDescent="0.35">
      <c r="A23" s="183" t="s">
        <v>318</v>
      </c>
      <c r="B23" s="206">
        <f>'Parameter Values'!C65</f>
        <v>109</v>
      </c>
      <c r="C23" s="215"/>
    </row>
    <row r="24" spans="1:74" ht="14.25" customHeight="1" x14ac:dyDescent="0.35">
      <c r="A24" s="183" t="s">
        <v>319</v>
      </c>
      <c r="B24" s="206">
        <f>'Parameter Values'!C66</f>
        <v>109</v>
      </c>
      <c r="C24" s="215"/>
    </row>
    <row r="25" spans="1:74" ht="14.25" customHeight="1" x14ac:dyDescent="0.35">
      <c r="A25" s="204" t="s">
        <v>320</v>
      </c>
      <c r="B25" s="205" t="s">
        <v>509</v>
      </c>
      <c r="C25" s="211"/>
    </row>
    <row r="26" spans="1:74" ht="14.25" customHeight="1" x14ac:dyDescent="0.35">
      <c r="A26" s="183" t="s">
        <v>316</v>
      </c>
      <c r="B26" s="206">
        <f>'Parameter Values'!C68</f>
        <v>2356</v>
      </c>
      <c r="C26" s="215"/>
    </row>
    <row r="27" spans="1:74" ht="14.25" customHeight="1" x14ac:dyDescent="0.35">
      <c r="A27" s="183" t="s">
        <v>317</v>
      </c>
      <c r="B27" s="206">
        <f>'Parameter Values'!C69</f>
        <v>780</v>
      </c>
      <c r="C27" s="215"/>
    </row>
    <row r="28" spans="1:74" ht="14.25" customHeight="1" x14ac:dyDescent="0.35">
      <c r="A28" s="183" t="s">
        <v>318</v>
      </c>
      <c r="B28" s="206">
        <f>'Parameter Values'!C70</f>
        <v>780</v>
      </c>
      <c r="C28" s="215"/>
    </row>
    <row r="29" spans="1:74" ht="14.25" customHeight="1" x14ac:dyDescent="0.35">
      <c r="A29" s="183" t="s">
        <v>319</v>
      </c>
      <c r="B29" s="206">
        <f>'Parameter Values'!C71</f>
        <v>780</v>
      </c>
      <c r="C29" s="215"/>
    </row>
    <row r="30" spans="1:74" ht="14.25" customHeight="1" x14ac:dyDescent="0.35">
      <c r="A30" s="3" t="s">
        <v>2</v>
      </c>
    </row>
    <row r="31" spans="1:74" ht="15" customHeight="1" x14ac:dyDescent="0.35">
      <c r="A31" s="6" t="s">
        <v>510</v>
      </c>
      <c r="B31" s="216"/>
      <c r="C31" s="216"/>
      <c r="D31" s="216"/>
      <c r="E31" s="216"/>
      <c r="F31" s="216"/>
    </row>
    <row r="32" spans="1:74" ht="16.5" customHeight="1" x14ac:dyDescent="0.35">
      <c r="A32" s="9" t="s">
        <v>4</v>
      </c>
      <c r="B32" s="7" t="s">
        <v>511</v>
      </c>
      <c r="C32" s="7" t="s">
        <v>512</v>
      </c>
      <c r="D32" s="7"/>
      <c r="E32" s="7"/>
      <c r="F32" s="7"/>
      <c r="G32" s="7" t="s">
        <v>513</v>
      </c>
      <c r="H32" s="23" t="s">
        <v>514</v>
      </c>
      <c r="I32" s="7" t="s">
        <v>515</v>
      </c>
      <c r="J32" s="23" t="s">
        <v>516</v>
      </c>
      <c r="K32" s="7" t="s">
        <v>517</v>
      </c>
      <c r="L32" s="23" t="s">
        <v>518</v>
      </c>
      <c r="M32" s="7"/>
      <c r="N32" s="23"/>
      <c r="O32" s="217" t="s">
        <v>519</v>
      </c>
      <c r="P32" s="218" t="s">
        <v>520</v>
      </c>
      <c r="Q32" s="218" t="s">
        <v>521</v>
      </c>
      <c r="R32" s="218"/>
      <c r="S32" s="23" t="s">
        <v>9</v>
      </c>
      <c r="T32" s="219"/>
      <c r="AA32" s="154" t="s">
        <v>453</v>
      </c>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6"/>
    </row>
    <row r="33" spans="1:74" ht="14.25" customHeight="1" x14ac:dyDescent="0.35">
      <c r="A33" s="10">
        <f>'Project Information'!$B$9</f>
        <v>2031</v>
      </c>
      <c r="B33" s="220">
        <f>Consolidated_Volumes!B38*$B$15</f>
        <v>121889.85639999999</v>
      </c>
      <c r="C33" s="220">
        <v>0</v>
      </c>
      <c r="D33" s="221"/>
      <c r="E33" s="222"/>
      <c r="F33" s="10"/>
      <c r="G33" s="223">
        <v>0</v>
      </c>
      <c r="H33" s="223">
        <v>0</v>
      </c>
      <c r="I33" s="223">
        <v>0</v>
      </c>
      <c r="J33" s="223">
        <v>0</v>
      </c>
      <c r="K33" s="223">
        <v>0</v>
      </c>
      <c r="L33" s="223">
        <v>0</v>
      </c>
      <c r="M33" s="224"/>
      <c r="N33" s="225"/>
      <c r="O33" s="226">
        <f>IFERROR(VLOOKUP($A33,'Parameter Values'!$A$78:$E$107,2,FALSE()),'Parameter Values'!B$107)</f>
        <v>23800</v>
      </c>
      <c r="P33" s="226">
        <f>IFERROR(VLOOKUP($A33,'Parameter Values'!$A$78:$E$107,3,FALSE()),'Parameter Values'!C$107)</f>
        <v>64500</v>
      </c>
      <c r="Q33" s="226">
        <f>IFERROR(VLOOKUP($A33,'Parameter Values'!$A$78:$E$107,4,FALSE()),'Parameter Values'!D$107)</f>
        <v>1140500</v>
      </c>
      <c r="R33" s="227"/>
      <c r="S33" s="228">
        <f t="shared" ref="S33:S62" si="0">(B33-C33)+((G33-H33)*O33)+((I33-J33)*P33)+((K33-L33)*Q33)</f>
        <v>121889.85639999999</v>
      </c>
      <c r="T33" s="229"/>
      <c r="AA33" s="159"/>
      <c r="BV33" s="160"/>
    </row>
    <row r="34" spans="1:74" ht="14.25" customHeight="1" x14ac:dyDescent="0.35">
      <c r="A34" s="15">
        <f>IF(A33&lt;'Project Information'!B$11,A33+1,"")</f>
        <v>2032</v>
      </c>
      <c r="B34" s="220">
        <f>Consolidated_Volumes!B39*$B$15</f>
        <v>159847.59454800005</v>
      </c>
      <c r="C34" s="220">
        <v>0</v>
      </c>
      <c r="D34" s="230"/>
      <c r="E34" s="231"/>
      <c r="F34" s="15"/>
      <c r="G34" s="223">
        <v>0</v>
      </c>
      <c r="H34" s="223">
        <v>0</v>
      </c>
      <c r="I34" s="223">
        <v>0</v>
      </c>
      <c r="J34" s="223">
        <v>0</v>
      </c>
      <c r="K34" s="223">
        <v>0</v>
      </c>
      <c r="L34" s="223">
        <v>0</v>
      </c>
      <c r="M34" s="232"/>
      <c r="N34" s="233"/>
      <c r="O34" s="226">
        <f>IFERROR(VLOOKUP($A34,'Parameter Values'!$A$78:$E$107,2,FALSE()),'Parameter Values'!B$107)</f>
        <v>23800</v>
      </c>
      <c r="P34" s="226">
        <f>IFERROR(VLOOKUP($A34,'Parameter Values'!$A$78:$E$107,3,FALSE()),'Parameter Values'!C$107)</f>
        <v>64500</v>
      </c>
      <c r="Q34" s="226">
        <f>IFERROR(VLOOKUP($A34,'Parameter Values'!$A$78:$E$107,4,FALSE()),'Parameter Values'!D$107)</f>
        <v>1140500</v>
      </c>
      <c r="R34" s="226"/>
      <c r="S34" s="234">
        <f t="shared" si="0"/>
        <v>159847.59454800005</v>
      </c>
      <c r="T34" s="229"/>
      <c r="AA34" s="159"/>
      <c r="BV34" s="160"/>
    </row>
    <row r="35" spans="1:74" ht="14.25" customHeight="1" x14ac:dyDescent="0.35">
      <c r="A35" s="15">
        <f>IF(A34&lt;'Project Information'!B$11,A34+1,"")</f>
        <v>2033</v>
      </c>
      <c r="B35" s="220">
        <f>Consolidated_Volumes!B40*$B$15</f>
        <v>199343.00287156005</v>
      </c>
      <c r="C35" s="220">
        <v>0</v>
      </c>
      <c r="D35" s="230"/>
      <c r="E35" s="231"/>
      <c r="F35" s="15"/>
      <c r="G35" s="223">
        <v>0</v>
      </c>
      <c r="H35" s="223">
        <v>0</v>
      </c>
      <c r="I35" s="223">
        <v>0</v>
      </c>
      <c r="J35" s="223">
        <v>0</v>
      </c>
      <c r="K35" s="223">
        <v>0</v>
      </c>
      <c r="L35" s="223">
        <v>0</v>
      </c>
      <c r="M35" s="232"/>
      <c r="N35" s="233"/>
      <c r="O35" s="226">
        <f>IFERROR(VLOOKUP($A35,'Parameter Values'!$A$78:$E$107,2,FALSE()),'Parameter Values'!B$107)</f>
        <v>23800</v>
      </c>
      <c r="P35" s="226">
        <f>IFERROR(VLOOKUP($A35,'Parameter Values'!$A$78:$E$107,3,FALSE()),'Parameter Values'!C$107)</f>
        <v>64500</v>
      </c>
      <c r="Q35" s="226">
        <f>IFERROR(VLOOKUP($A35,'Parameter Values'!$A$78:$E$107,4,FALSE()),'Parameter Values'!D$107)</f>
        <v>1140500</v>
      </c>
      <c r="R35" s="226"/>
      <c r="S35" s="234">
        <f t="shared" si="0"/>
        <v>199343.00287156005</v>
      </c>
      <c r="T35" s="229"/>
      <c r="AA35" s="159"/>
      <c r="BV35" s="160"/>
    </row>
    <row r="36" spans="1:74" ht="14.25" customHeight="1" x14ac:dyDescent="0.35">
      <c r="A36" s="15">
        <f>IF(A35&lt;'Project Information'!B$11,A35+1,"")</f>
        <v>2034</v>
      </c>
      <c r="B36" s="220">
        <f>Consolidated_Volumes!B41*$B$15</f>
        <v>240439.64829178929</v>
      </c>
      <c r="C36" s="220">
        <v>0</v>
      </c>
      <c r="D36" s="230"/>
      <c r="E36" s="231"/>
      <c r="F36" s="15"/>
      <c r="G36" s="223">
        <v>0</v>
      </c>
      <c r="H36" s="223">
        <v>0</v>
      </c>
      <c r="I36" s="223">
        <v>0</v>
      </c>
      <c r="J36" s="223">
        <v>0</v>
      </c>
      <c r="K36" s="223">
        <v>0</v>
      </c>
      <c r="L36" s="223">
        <v>0</v>
      </c>
      <c r="M36" s="232"/>
      <c r="N36" s="233"/>
      <c r="O36" s="226">
        <f>IFERROR(VLOOKUP($A36,'Parameter Values'!$A$78:$E$107,2,FALSE()),'Parameter Values'!B$107)</f>
        <v>23800</v>
      </c>
      <c r="P36" s="226">
        <f>IFERROR(VLOOKUP($A36,'Parameter Values'!$A$78:$E$107,3,FALSE()),'Parameter Values'!C$107)</f>
        <v>64500</v>
      </c>
      <c r="Q36" s="226">
        <f>IFERROR(VLOOKUP($A36,'Parameter Values'!$A$78:$E$107,4,FALSE()),'Parameter Values'!D$107)</f>
        <v>1140500</v>
      </c>
      <c r="R36" s="226"/>
      <c r="S36" s="234">
        <f t="shared" si="0"/>
        <v>240439.64829178929</v>
      </c>
      <c r="T36" s="229"/>
      <c r="AA36" s="159"/>
      <c r="BV36" s="160"/>
    </row>
    <row r="37" spans="1:74" ht="14.25" customHeight="1" x14ac:dyDescent="0.35">
      <c r="A37" s="15">
        <f>IF(A36&lt;'Project Information'!B$11,A36+1,"")</f>
        <v>2035</v>
      </c>
      <c r="B37" s="220">
        <f>Consolidated_Volumes!B42*$B$15</f>
        <v>283203.78815122886</v>
      </c>
      <c r="C37" s="220">
        <v>0</v>
      </c>
      <c r="D37" s="230"/>
      <c r="E37" s="231"/>
      <c r="F37" s="15"/>
      <c r="G37" s="223">
        <v>0</v>
      </c>
      <c r="H37" s="223">
        <v>0</v>
      </c>
      <c r="I37" s="223">
        <v>0</v>
      </c>
      <c r="J37" s="223">
        <v>0</v>
      </c>
      <c r="K37" s="223">
        <v>0</v>
      </c>
      <c r="L37" s="223">
        <v>0</v>
      </c>
      <c r="M37" s="232"/>
      <c r="N37" s="233"/>
      <c r="O37" s="226">
        <f>IFERROR(VLOOKUP($A37,'Parameter Values'!$A$78:$E$107,2,FALSE()),'Parameter Values'!B$107)</f>
        <v>23800</v>
      </c>
      <c r="P37" s="226">
        <f>IFERROR(VLOOKUP($A37,'Parameter Values'!$A$78:$E$107,3,FALSE()),'Parameter Values'!C$107)</f>
        <v>64500</v>
      </c>
      <c r="Q37" s="226">
        <f>IFERROR(VLOOKUP($A37,'Parameter Values'!$A$78:$E$107,4,FALSE()),'Parameter Values'!D$107)</f>
        <v>1140500</v>
      </c>
      <c r="R37" s="226"/>
      <c r="S37" s="234">
        <f t="shared" si="0"/>
        <v>283203.78815122886</v>
      </c>
      <c r="T37" s="229"/>
      <c r="AA37" s="159"/>
      <c r="BV37" s="160"/>
    </row>
    <row r="38" spans="1:74" ht="14.25" customHeight="1" x14ac:dyDescent="0.35">
      <c r="A38" s="15">
        <f>IF(A37&lt;'Project Information'!B$11,A37+1,"")</f>
        <v>2036</v>
      </c>
      <c r="B38" s="220">
        <f>Consolidated_Volumes!B43*$B$15</f>
        <v>327704.4871440276</v>
      </c>
      <c r="C38" s="220">
        <v>0</v>
      </c>
      <c r="D38" s="230"/>
      <c r="E38" s="231"/>
      <c r="F38" s="15"/>
      <c r="G38" s="223">
        <v>0</v>
      </c>
      <c r="H38" s="223">
        <v>0</v>
      </c>
      <c r="I38" s="223">
        <v>0</v>
      </c>
      <c r="J38" s="223">
        <v>0</v>
      </c>
      <c r="K38" s="223">
        <v>0</v>
      </c>
      <c r="L38" s="223">
        <v>0</v>
      </c>
      <c r="M38" s="232"/>
      <c r="N38" s="233"/>
      <c r="O38" s="226">
        <f>IFERROR(VLOOKUP($A38,'Parameter Values'!$A$78:$E$107,2,FALSE()),'Parameter Values'!B$107)</f>
        <v>23800</v>
      </c>
      <c r="P38" s="226">
        <f>IFERROR(VLOOKUP($A38,'Parameter Values'!$A$78:$E$107,3,FALSE()),'Parameter Values'!C$107)</f>
        <v>64500</v>
      </c>
      <c r="Q38" s="226">
        <f>IFERROR(VLOOKUP($A38,'Parameter Values'!$A$78:$E$107,4,FALSE()),'Parameter Values'!D$107)</f>
        <v>1140500</v>
      </c>
      <c r="R38" s="226"/>
      <c r="S38" s="234">
        <f t="shared" si="0"/>
        <v>327704.4871440276</v>
      </c>
      <c r="T38" s="229"/>
      <c r="AA38" s="159"/>
      <c r="BV38" s="160"/>
    </row>
    <row r="39" spans="1:74" ht="14.25" customHeight="1" x14ac:dyDescent="0.35">
      <c r="A39" s="15">
        <f>IF(A38&lt;'Project Information'!B$11,A38+1,"")</f>
        <v>2037</v>
      </c>
      <c r="B39" s="220">
        <f>Consolidated_Volumes!B44*$B$15</f>
        <v>374013.73947911587</v>
      </c>
      <c r="C39" s="220">
        <v>0</v>
      </c>
      <c r="D39" s="230"/>
      <c r="E39" s="231"/>
      <c r="F39" s="15"/>
      <c r="G39" s="223">
        <v>0</v>
      </c>
      <c r="H39" s="223">
        <v>0</v>
      </c>
      <c r="I39" s="223">
        <v>0</v>
      </c>
      <c r="J39" s="223">
        <v>0</v>
      </c>
      <c r="K39" s="223">
        <v>0</v>
      </c>
      <c r="L39" s="223">
        <v>0</v>
      </c>
      <c r="M39" s="232"/>
      <c r="N39" s="233"/>
      <c r="O39" s="226">
        <f>IFERROR(VLOOKUP($A39,'Parameter Values'!$A$78:$E$107,2,FALSE()),'Parameter Values'!B$107)</f>
        <v>23800</v>
      </c>
      <c r="P39" s="226">
        <f>IFERROR(VLOOKUP($A39,'Parameter Values'!$A$78:$E$107,3,FALSE()),'Parameter Values'!C$107)</f>
        <v>64500</v>
      </c>
      <c r="Q39" s="226">
        <f>IFERROR(VLOOKUP($A39,'Parameter Values'!$A$78:$E$107,4,FALSE()),'Parameter Values'!D$107)</f>
        <v>1140500</v>
      </c>
      <c r="R39" s="226"/>
      <c r="S39" s="234">
        <f t="shared" si="0"/>
        <v>374013.73947911587</v>
      </c>
      <c r="T39" s="229"/>
      <c r="AA39" s="159"/>
      <c r="BV39" s="160"/>
    </row>
    <row r="40" spans="1:74" ht="14.25" customHeight="1" x14ac:dyDescent="0.35">
      <c r="A40" s="15">
        <f>IF(A39&lt;'Project Information'!B$11,A39+1,"")</f>
        <v>2038</v>
      </c>
      <c r="B40" s="220">
        <f>Consolidated_Volumes!B45*$B$15</f>
        <v>422206.59651807643</v>
      </c>
      <c r="C40" s="220">
        <v>0</v>
      </c>
      <c r="D40" s="230"/>
      <c r="E40" s="231"/>
      <c r="F40" s="15"/>
      <c r="G40" s="223">
        <v>0</v>
      </c>
      <c r="H40" s="223">
        <v>0</v>
      </c>
      <c r="I40" s="223">
        <v>0</v>
      </c>
      <c r="J40" s="223">
        <v>0</v>
      </c>
      <c r="K40" s="223">
        <v>0</v>
      </c>
      <c r="L40" s="223">
        <v>0</v>
      </c>
      <c r="M40" s="232"/>
      <c r="N40" s="233"/>
      <c r="O40" s="226">
        <f>IFERROR(VLOOKUP($A40,'Parameter Values'!$A$78:$E$107,2,FALSE()),'Parameter Values'!B$107)</f>
        <v>23800</v>
      </c>
      <c r="P40" s="226">
        <f>IFERROR(VLOOKUP($A40,'Parameter Values'!$A$78:$E$107,3,FALSE()),'Parameter Values'!C$107)</f>
        <v>64500</v>
      </c>
      <c r="Q40" s="226">
        <f>IFERROR(VLOOKUP($A40,'Parameter Values'!$A$78:$E$107,4,FALSE()),'Parameter Values'!D$107)</f>
        <v>1140500</v>
      </c>
      <c r="R40" s="226"/>
      <c r="S40" s="234">
        <f t="shared" si="0"/>
        <v>422206.59651807643</v>
      </c>
      <c r="T40" s="229"/>
      <c r="AA40" s="159"/>
      <c r="BV40" s="160"/>
    </row>
    <row r="41" spans="1:74" ht="14.25" customHeight="1" x14ac:dyDescent="0.35">
      <c r="A41" s="15">
        <f>IF(A40&lt;'Project Information'!B$11,A40+1,"")</f>
        <v>2039</v>
      </c>
      <c r="B41" s="220">
        <f>Consolidated_Volumes!B46*$B$15</f>
        <v>472361.30014094996</v>
      </c>
      <c r="C41" s="220">
        <v>0</v>
      </c>
      <c r="D41" s="230"/>
      <c r="E41" s="231"/>
      <c r="F41" s="15"/>
      <c r="G41" s="223">
        <v>0</v>
      </c>
      <c r="H41" s="223">
        <v>0</v>
      </c>
      <c r="I41" s="223">
        <v>0</v>
      </c>
      <c r="J41" s="223">
        <v>0</v>
      </c>
      <c r="K41" s="223">
        <v>0</v>
      </c>
      <c r="L41" s="223">
        <v>0</v>
      </c>
      <c r="M41" s="232"/>
      <c r="N41" s="233"/>
      <c r="O41" s="226">
        <f>IFERROR(VLOOKUP($A41,'Parameter Values'!$A$78:$E$107,2,FALSE()),'Parameter Values'!B$107)</f>
        <v>23800</v>
      </c>
      <c r="P41" s="226">
        <f>IFERROR(VLOOKUP($A41,'Parameter Values'!$A$78:$E$107,3,FALSE()),'Parameter Values'!C$107)</f>
        <v>64500</v>
      </c>
      <c r="Q41" s="226">
        <f>IFERROR(VLOOKUP($A41,'Parameter Values'!$A$78:$E$107,4,FALSE()),'Parameter Values'!D$107)</f>
        <v>1140500</v>
      </c>
      <c r="R41" s="226"/>
      <c r="S41" s="234">
        <f t="shared" si="0"/>
        <v>472361.30014094996</v>
      </c>
      <c r="T41" s="229"/>
      <c r="AA41" s="159"/>
      <c r="BV41" s="160"/>
    </row>
    <row r="42" spans="1:74" ht="14.25" customHeight="1" x14ac:dyDescent="0.35">
      <c r="A42" s="15">
        <f>IF(A41&lt;'Project Information'!B$11,A41+1,"")</f>
        <v>2040</v>
      </c>
      <c r="B42" s="220">
        <f>Consolidated_Volumes!B47*$B$15</f>
        <v>524559.4221053177</v>
      </c>
      <c r="C42" s="220">
        <v>0</v>
      </c>
      <c r="D42" s="230"/>
      <c r="E42" s="231"/>
      <c r="F42" s="15"/>
      <c r="G42" s="223">
        <v>0</v>
      </c>
      <c r="H42" s="223">
        <v>0</v>
      </c>
      <c r="I42" s="223">
        <v>0</v>
      </c>
      <c r="J42" s="223">
        <v>0</v>
      </c>
      <c r="K42" s="223">
        <v>0</v>
      </c>
      <c r="L42" s="223">
        <v>0</v>
      </c>
      <c r="M42" s="232"/>
      <c r="N42" s="233"/>
      <c r="O42" s="226">
        <f>IFERROR(VLOOKUP($A42,'Parameter Values'!$A$78:$E$107,2,FALSE()),'Parameter Values'!B$107)</f>
        <v>23800</v>
      </c>
      <c r="P42" s="226">
        <f>IFERROR(VLOOKUP($A42,'Parameter Values'!$A$78:$E$107,3,FALSE()),'Parameter Values'!C$107)</f>
        <v>64500</v>
      </c>
      <c r="Q42" s="226">
        <f>IFERROR(VLOOKUP($A42,'Parameter Values'!$A$78:$E$107,4,FALSE()),'Parameter Values'!D$107)</f>
        <v>1140500</v>
      </c>
      <c r="R42" s="226"/>
      <c r="S42" s="234">
        <f t="shared" si="0"/>
        <v>524559.4221053177</v>
      </c>
      <c r="T42" s="229"/>
      <c r="AA42" s="159"/>
      <c r="BV42" s="160"/>
    </row>
    <row r="43" spans="1:74" ht="14.25" customHeight="1" x14ac:dyDescent="0.35">
      <c r="A43" s="15">
        <f>IF(A42&lt;'Project Information'!B$11,A42+1,"")</f>
        <v>2041</v>
      </c>
      <c r="B43" s="220">
        <f>Consolidated_Volumes!B48*$B$15</f>
        <v>578886.00967670628</v>
      </c>
      <c r="C43" s="220">
        <v>0</v>
      </c>
      <c r="D43" s="230"/>
      <c r="E43" s="231"/>
      <c r="F43" s="15"/>
      <c r="G43" s="223">
        <v>0</v>
      </c>
      <c r="H43" s="223">
        <v>0</v>
      </c>
      <c r="I43" s="223">
        <v>0</v>
      </c>
      <c r="J43" s="223">
        <v>0</v>
      </c>
      <c r="K43" s="223">
        <v>0</v>
      </c>
      <c r="L43" s="223">
        <v>0</v>
      </c>
      <c r="M43" s="232"/>
      <c r="N43" s="233"/>
      <c r="O43" s="226">
        <f>IFERROR(VLOOKUP($A43,'Parameter Values'!$A$78:$E$107,2,FALSE()),'Parameter Values'!B$107)</f>
        <v>23800</v>
      </c>
      <c r="P43" s="226">
        <f>IFERROR(VLOOKUP($A43,'Parameter Values'!$A$78:$E$107,3,FALSE()),'Parameter Values'!C$107)</f>
        <v>64500</v>
      </c>
      <c r="Q43" s="226">
        <f>IFERROR(VLOOKUP($A43,'Parameter Values'!$A$78:$E$107,4,FALSE()),'Parameter Values'!D$107)</f>
        <v>1140500</v>
      </c>
      <c r="R43" s="226"/>
      <c r="S43" s="234">
        <f t="shared" si="0"/>
        <v>578886.00967670628</v>
      </c>
      <c r="T43" s="229"/>
      <c r="AA43" s="159"/>
      <c r="BV43" s="160"/>
    </row>
    <row r="44" spans="1:74" ht="14.25" customHeight="1" x14ac:dyDescent="0.35">
      <c r="A44" s="15">
        <f>IF(A43&lt;'Project Information'!B$11,A43+1,"")</f>
        <v>2042</v>
      </c>
      <c r="B44" s="220">
        <f>Consolidated_Volumes!B49*$B$15</f>
        <v>635429.73782169737</v>
      </c>
      <c r="C44" s="220">
        <v>0</v>
      </c>
      <c r="D44" s="230"/>
      <c r="E44" s="231"/>
      <c r="F44" s="15"/>
      <c r="G44" s="223">
        <v>0</v>
      </c>
      <c r="H44" s="223">
        <v>0</v>
      </c>
      <c r="I44" s="223">
        <v>0</v>
      </c>
      <c r="J44" s="223">
        <v>0</v>
      </c>
      <c r="K44" s="223">
        <v>0</v>
      </c>
      <c r="L44" s="223">
        <v>0</v>
      </c>
      <c r="M44" s="232"/>
      <c r="N44" s="233"/>
      <c r="O44" s="226">
        <f>IFERROR(VLOOKUP($A44,'Parameter Values'!$A$78:$E$107,2,FALSE()),'Parameter Values'!B$107)</f>
        <v>23800</v>
      </c>
      <c r="P44" s="226">
        <f>IFERROR(VLOOKUP($A44,'Parameter Values'!$A$78:$E$107,3,FALSE()),'Parameter Values'!C$107)</f>
        <v>64500</v>
      </c>
      <c r="Q44" s="226">
        <f>IFERROR(VLOOKUP($A44,'Parameter Values'!$A$78:$E$107,4,FALSE()),'Parameter Values'!D$107)</f>
        <v>1140500</v>
      </c>
      <c r="R44" s="226"/>
      <c r="S44" s="234">
        <f t="shared" si="0"/>
        <v>635429.73782169737</v>
      </c>
      <c r="T44" s="229"/>
      <c r="AA44" s="159"/>
      <c r="BV44" s="160"/>
    </row>
    <row r="45" spans="1:74" ht="14.25" customHeight="1" x14ac:dyDescent="0.35">
      <c r="A45" s="15">
        <f>IF(A44&lt;'Project Information'!B$11,A44+1,"")</f>
        <v>2043</v>
      </c>
      <c r="B45" s="220">
        <f>Consolidated_Volumes!B50*$B$15</f>
        <v>694283.0682691111</v>
      </c>
      <c r="C45" s="220">
        <v>0</v>
      </c>
      <c r="D45" s="230"/>
      <c r="E45" s="231"/>
      <c r="F45" s="15"/>
      <c r="G45" s="223">
        <v>0</v>
      </c>
      <c r="H45" s="223">
        <v>0</v>
      </c>
      <c r="I45" s="223">
        <v>0</v>
      </c>
      <c r="J45" s="223">
        <v>0</v>
      </c>
      <c r="K45" s="223">
        <v>0</v>
      </c>
      <c r="L45" s="223">
        <v>0</v>
      </c>
      <c r="M45" s="232"/>
      <c r="N45" s="233"/>
      <c r="O45" s="226">
        <f>IFERROR(VLOOKUP($A45,'Parameter Values'!$A$78:$E$107,2,FALSE()),'Parameter Values'!B$107)</f>
        <v>23800</v>
      </c>
      <c r="P45" s="226">
        <f>IFERROR(VLOOKUP($A45,'Parameter Values'!$A$78:$E$107,3,FALSE()),'Parameter Values'!C$107)</f>
        <v>64500</v>
      </c>
      <c r="Q45" s="226">
        <f>IFERROR(VLOOKUP($A45,'Parameter Values'!$A$78:$E$107,4,FALSE()),'Parameter Values'!D$107)</f>
        <v>1140500</v>
      </c>
      <c r="R45" s="226"/>
      <c r="S45" s="234">
        <f t="shared" si="0"/>
        <v>694283.0682691111</v>
      </c>
      <c r="T45" s="229"/>
      <c r="AA45" s="159"/>
      <c r="BV45" s="160"/>
    </row>
    <row r="46" spans="1:74" ht="14.25" customHeight="1" x14ac:dyDescent="0.35">
      <c r="A46" s="15">
        <f>IF(A45&lt;'Project Information'!B$11,A45+1,"")</f>
        <v>2044</v>
      </c>
      <c r="B46" s="220">
        <f>Consolidated_Volumes!B51*$B$15</f>
        <v>755542.41575932561</v>
      </c>
      <c r="C46" s="220">
        <v>0</v>
      </c>
      <c r="D46" s="230"/>
      <c r="E46" s="231"/>
      <c r="F46" s="15"/>
      <c r="G46" s="223">
        <v>0</v>
      </c>
      <c r="H46" s="223">
        <v>0</v>
      </c>
      <c r="I46" s="223">
        <v>0</v>
      </c>
      <c r="J46" s="223">
        <v>0</v>
      </c>
      <c r="K46" s="223">
        <v>0</v>
      </c>
      <c r="L46" s="223">
        <v>0</v>
      </c>
      <c r="M46" s="232"/>
      <c r="N46" s="233"/>
      <c r="O46" s="226">
        <f>IFERROR(VLOOKUP($A46,'Parameter Values'!$A$78:$E$107,2,FALSE()),'Parameter Values'!B$107)</f>
        <v>23800</v>
      </c>
      <c r="P46" s="226">
        <f>IFERROR(VLOOKUP($A46,'Parameter Values'!$A$78:$E$107,3,FALSE()),'Parameter Values'!C$107)</f>
        <v>64500</v>
      </c>
      <c r="Q46" s="226">
        <f>IFERROR(VLOOKUP($A46,'Parameter Values'!$A$78:$E$107,4,FALSE()),'Parameter Values'!D$107)</f>
        <v>1140500</v>
      </c>
      <c r="R46" s="226"/>
      <c r="S46" s="234">
        <f t="shared" si="0"/>
        <v>755542.41575932561</v>
      </c>
      <c r="T46" s="229"/>
      <c r="AA46" s="159"/>
      <c r="BV46" s="160"/>
    </row>
    <row r="47" spans="1:74" ht="14.25" customHeight="1" x14ac:dyDescent="0.35">
      <c r="A47" s="15">
        <f>IF(A46&lt;'Project Information'!B$11,A46+1,"")</f>
        <v>2045</v>
      </c>
      <c r="B47" s="220">
        <f>Consolidated_Volumes!B52*$B$15</f>
        <v>819308.32181721041</v>
      </c>
      <c r="C47" s="220">
        <v>0</v>
      </c>
      <c r="D47" s="230"/>
      <c r="E47" s="231"/>
      <c r="F47" s="15"/>
      <c r="G47" s="223">
        <v>0</v>
      </c>
      <c r="H47" s="223">
        <v>0</v>
      </c>
      <c r="I47" s="223">
        <v>0</v>
      </c>
      <c r="J47" s="223">
        <v>0</v>
      </c>
      <c r="K47" s="223">
        <v>0</v>
      </c>
      <c r="L47" s="223">
        <v>0</v>
      </c>
      <c r="M47" s="232"/>
      <c r="N47" s="233"/>
      <c r="O47" s="226">
        <f>IFERROR(VLOOKUP($A47,'Parameter Values'!$A$78:$E$107,2,FALSE()),'Parameter Values'!B$107)</f>
        <v>23800</v>
      </c>
      <c r="P47" s="226">
        <f>IFERROR(VLOOKUP($A47,'Parameter Values'!$A$78:$E$107,3,FALSE()),'Parameter Values'!C$107)</f>
        <v>64500</v>
      </c>
      <c r="Q47" s="226">
        <f>IFERROR(VLOOKUP($A47,'Parameter Values'!$A$78:$E$107,4,FALSE()),'Parameter Values'!D$107)</f>
        <v>1140500</v>
      </c>
      <c r="R47" s="226"/>
      <c r="S47" s="234">
        <f t="shared" si="0"/>
        <v>819308.32181721041</v>
      </c>
      <c r="T47" s="229"/>
      <c r="AA47" s="159"/>
      <c r="BV47" s="160"/>
    </row>
    <row r="48" spans="1:74" ht="14.25" customHeight="1" x14ac:dyDescent="0.35">
      <c r="A48" s="15">
        <f>IF(A47&lt;'Project Information'!B$11,A47+1,"")</f>
        <v>2046</v>
      </c>
      <c r="B48" s="220">
        <f>Consolidated_Volumes!B53*$B$15</f>
        <v>885685.63640033524</v>
      </c>
      <c r="C48" s="220">
        <v>0</v>
      </c>
      <c r="D48" s="230"/>
      <c r="E48" s="231"/>
      <c r="F48" s="15"/>
      <c r="G48" s="223">
        <v>0</v>
      </c>
      <c r="H48" s="223">
        <v>0</v>
      </c>
      <c r="I48" s="223">
        <v>0</v>
      </c>
      <c r="J48" s="223">
        <v>0</v>
      </c>
      <c r="K48" s="223">
        <v>0</v>
      </c>
      <c r="L48" s="223">
        <v>0</v>
      </c>
      <c r="M48" s="232"/>
      <c r="N48" s="233"/>
      <c r="O48" s="226">
        <f>IFERROR(VLOOKUP($A48,'Parameter Values'!$A$78:$E$107,2,FALSE()),'Parameter Values'!B$107)</f>
        <v>23800</v>
      </c>
      <c r="P48" s="226">
        <f>IFERROR(VLOOKUP($A48,'Parameter Values'!$A$78:$E$107,3,FALSE()),'Parameter Values'!C$107)</f>
        <v>64500</v>
      </c>
      <c r="Q48" s="226">
        <f>IFERROR(VLOOKUP($A48,'Parameter Values'!$A$78:$E$107,4,FALSE()),'Parameter Values'!D$107)</f>
        <v>1140500</v>
      </c>
      <c r="R48" s="226"/>
      <c r="S48" s="234">
        <f t="shared" si="0"/>
        <v>885685.63640033524</v>
      </c>
      <c r="T48" s="229"/>
      <c r="AA48" s="159"/>
      <c r="BV48" s="160"/>
    </row>
    <row r="49" spans="1:74" ht="14.25" customHeight="1" x14ac:dyDescent="0.35">
      <c r="A49" s="15">
        <f>IF(A48&lt;'Project Information'!B$11,A48+1,"")</f>
        <v>2047</v>
      </c>
      <c r="B49" s="220">
        <f>Consolidated_Volumes!B54*$B$15</f>
        <v>954783.70779111411</v>
      </c>
      <c r="C49" s="220">
        <v>0</v>
      </c>
      <c r="D49" s="230"/>
      <c r="E49" s="231"/>
      <c r="F49" s="15"/>
      <c r="G49" s="223">
        <v>0</v>
      </c>
      <c r="H49" s="223">
        <v>0</v>
      </c>
      <c r="I49" s="223">
        <v>0</v>
      </c>
      <c r="J49" s="223">
        <v>0</v>
      </c>
      <c r="K49" s="223">
        <v>0</v>
      </c>
      <c r="L49" s="223">
        <v>0</v>
      </c>
      <c r="M49" s="232"/>
      <c r="N49" s="233"/>
      <c r="O49" s="226">
        <f>IFERROR(VLOOKUP($A49,'Parameter Values'!$A$78:$E$107,2,FALSE()),'Parameter Values'!B$107)</f>
        <v>23800</v>
      </c>
      <c r="P49" s="226">
        <f>IFERROR(VLOOKUP($A49,'Parameter Values'!$A$78:$E$107,3,FALSE()),'Parameter Values'!C$107)</f>
        <v>64500</v>
      </c>
      <c r="Q49" s="226">
        <f>IFERROR(VLOOKUP($A49,'Parameter Values'!$A$78:$E$107,4,FALSE()),'Parameter Values'!D$107)</f>
        <v>1140500</v>
      </c>
      <c r="R49" s="226"/>
      <c r="S49" s="234">
        <f t="shared" si="0"/>
        <v>954783.70779111411</v>
      </c>
      <c r="T49" s="229"/>
      <c r="AA49" s="159"/>
      <c r="BV49" s="160"/>
    </row>
    <row r="50" spans="1:74" ht="14.25" customHeight="1" x14ac:dyDescent="0.35">
      <c r="A50" s="15">
        <f>IF(A49&lt;'Project Information'!B$11,A49+1,"")</f>
        <v>2048</v>
      </c>
      <c r="B50" s="220">
        <f>Consolidated_Volumes!B55*$B$15</f>
        <v>1026716.5811193751</v>
      </c>
      <c r="C50" s="220">
        <v>0</v>
      </c>
      <c r="D50" s="230"/>
      <c r="E50" s="231"/>
      <c r="F50" s="15"/>
      <c r="G50" s="223">
        <v>0</v>
      </c>
      <c r="H50" s="223">
        <v>0</v>
      </c>
      <c r="I50" s="223">
        <v>0</v>
      </c>
      <c r="J50" s="223">
        <v>0</v>
      </c>
      <c r="K50" s="223">
        <v>0</v>
      </c>
      <c r="L50" s="223">
        <v>0</v>
      </c>
      <c r="M50" s="232"/>
      <c r="N50" s="233"/>
      <c r="O50" s="226">
        <f>IFERROR(VLOOKUP($A50,'Parameter Values'!$A$78:$E$107,2,FALSE()),'Parameter Values'!B$107)</f>
        <v>23800</v>
      </c>
      <c r="P50" s="226">
        <f>IFERROR(VLOOKUP($A50,'Parameter Values'!$A$78:$E$107,3,FALSE()),'Parameter Values'!C$107)</f>
        <v>64500</v>
      </c>
      <c r="Q50" s="226">
        <f>IFERROR(VLOOKUP($A50,'Parameter Values'!$A$78:$E$107,4,FALSE()),'Parameter Values'!D$107)</f>
        <v>1140500</v>
      </c>
      <c r="R50" s="226"/>
      <c r="S50" s="234">
        <f t="shared" si="0"/>
        <v>1026716.5811193751</v>
      </c>
      <c r="T50" s="229"/>
      <c r="AA50" s="159"/>
      <c r="BV50" s="160"/>
    </row>
    <row r="51" spans="1:74" ht="14.25" customHeight="1" x14ac:dyDescent="0.35">
      <c r="A51" s="15">
        <f>IF(A50&lt;'Project Information'!B$11,A50+1,"")</f>
        <v>2049</v>
      </c>
      <c r="B51" s="220">
        <f>Consolidated_Volumes!B56*$B$15</f>
        <v>1101603.2059205854</v>
      </c>
      <c r="C51" s="220">
        <v>0</v>
      </c>
      <c r="D51" s="230"/>
      <c r="E51" s="231"/>
      <c r="F51" s="15"/>
      <c r="G51" s="223">
        <v>0</v>
      </c>
      <c r="H51" s="223">
        <v>0</v>
      </c>
      <c r="I51" s="223">
        <v>0</v>
      </c>
      <c r="J51" s="223">
        <v>0</v>
      </c>
      <c r="K51" s="223">
        <v>0</v>
      </c>
      <c r="L51" s="223">
        <v>0</v>
      </c>
      <c r="M51" s="232"/>
      <c r="N51" s="233"/>
      <c r="O51" s="226">
        <f>IFERROR(VLOOKUP($A51,'Parameter Values'!$A$78:$E$107,2,FALSE()),'Parameter Values'!B$107)</f>
        <v>23800</v>
      </c>
      <c r="P51" s="226">
        <f>IFERROR(VLOOKUP($A51,'Parameter Values'!$A$78:$E$107,3,FALSE()),'Parameter Values'!C$107)</f>
        <v>64500</v>
      </c>
      <c r="Q51" s="226">
        <f>IFERROR(VLOOKUP($A51,'Parameter Values'!$A$78:$E$107,4,FALSE()),'Parameter Values'!D$107)</f>
        <v>1140500</v>
      </c>
      <c r="R51" s="226"/>
      <c r="S51" s="234">
        <f t="shared" si="0"/>
        <v>1101603.2059205854</v>
      </c>
      <c r="T51" s="229"/>
      <c r="AA51" s="159"/>
      <c r="BV51" s="160"/>
    </row>
    <row r="52" spans="1:74" ht="14.25" customHeight="1" x14ac:dyDescent="0.35">
      <c r="A52" s="15">
        <f>IF(A51&lt;'Project Information'!B$11,A51+1,"")</f>
        <v>2050</v>
      </c>
      <c r="B52" s="220">
        <f>Consolidated_Volumes!B57*$B$15</f>
        <v>1179567.6531546321</v>
      </c>
      <c r="C52" s="220">
        <v>0</v>
      </c>
      <c r="D52" s="230"/>
      <c r="E52" s="231"/>
      <c r="F52" s="15"/>
      <c r="G52" s="223">
        <v>0</v>
      </c>
      <c r="H52" s="223">
        <v>0</v>
      </c>
      <c r="I52" s="223">
        <v>0</v>
      </c>
      <c r="J52" s="223">
        <v>0</v>
      </c>
      <c r="K52" s="223">
        <v>0</v>
      </c>
      <c r="L52" s="223">
        <v>0</v>
      </c>
      <c r="M52" s="232"/>
      <c r="N52" s="233"/>
      <c r="O52" s="226">
        <f>IFERROR(VLOOKUP($A52,'Parameter Values'!$A$78:$E$107,2,FALSE()),'Parameter Values'!B$107)</f>
        <v>23800</v>
      </c>
      <c r="P52" s="226">
        <f>IFERROR(VLOOKUP($A52,'Parameter Values'!$A$78:$E$107,3,FALSE()),'Parameter Values'!C$107)</f>
        <v>64500</v>
      </c>
      <c r="Q52" s="226">
        <f>IFERROR(VLOOKUP($A52,'Parameter Values'!$A$78:$E$107,4,FALSE()),'Parameter Values'!D$107)</f>
        <v>1140500</v>
      </c>
      <c r="R52" s="226"/>
      <c r="S52" s="234">
        <f t="shared" si="0"/>
        <v>1179567.6531546321</v>
      </c>
      <c r="T52" s="229"/>
      <c r="AA52" s="159"/>
      <c r="BV52" s="160"/>
    </row>
    <row r="53" spans="1:74" ht="14.25" customHeight="1" x14ac:dyDescent="0.35">
      <c r="A53" s="15">
        <f>IF(A52&lt;'Project Information'!B$11,A52+1,"")</f>
        <v>2051</v>
      </c>
      <c r="B53" s="220">
        <f>Consolidated_Volumes!B58*$B$15</f>
        <v>1260739.3421307134</v>
      </c>
      <c r="C53" s="220">
        <v>0</v>
      </c>
      <c r="D53" s="235"/>
      <c r="E53" s="236"/>
      <c r="F53" s="15"/>
      <c r="G53" s="223">
        <v>0</v>
      </c>
      <c r="H53" s="223">
        <v>0</v>
      </c>
      <c r="I53" s="223">
        <v>0</v>
      </c>
      <c r="J53" s="223">
        <v>0</v>
      </c>
      <c r="K53" s="223">
        <v>0</v>
      </c>
      <c r="L53" s="223">
        <v>0</v>
      </c>
      <c r="M53" s="232"/>
      <c r="N53" s="233"/>
      <c r="O53" s="226">
        <f>IFERROR(VLOOKUP($A53,'Parameter Values'!$A$78:$E$107,2,FALSE()),'Parameter Values'!B$107)</f>
        <v>23800</v>
      </c>
      <c r="P53" s="226">
        <f>IFERROR(VLOOKUP($A53,'Parameter Values'!$A$78:$E$107,3,FALSE()),'Parameter Values'!C$107)</f>
        <v>64500</v>
      </c>
      <c r="Q53" s="226">
        <f>IFERROR(VLOOKUP($A53,'Parameter Values'!$A$78:$E$107,4,FALSE()),'Parameter Values'!D$107)</f>
        <v>1140500</v>
      </c>
      <c r="R53" s="226"/>
      <c r="S53" s="234">
        <f t="shared" si="0"/>
        <v>1260739.3421307134</v>
      </c>
      <c r="T53" s="229"/>
      <c r="AA53" s="159"/>
      <c r="BV53" s="160"/>
    </row>
    <row r="54" spans="1:74" ht="14.25" customHeight="1" x14ac:dyDescent="0.35">
      <c r="A54" s="15">
        <f>IF(A53&lt;'Project Information'!B$11,A53+1,"")</f>
        <v>2052</v>
      </c>
      <c r="B54" s="220">
        <f>Consolidated_Volumes!B59*$B$15</f>
        <v>1345253.2778055854</v>
      </c>
      <c r="C54" s="220">
        <v>0</v>
      </c>
      <c r="D54" s="235"/>
      <c r="E54" s="236"/>
      <c r="F54" s="15"/>
      <c r="G54" s="223">
        <v>0</v>
      </c>
      <c r="H54" s="223">
        <v>0</v>
      </c>
      <c r="I54" s="223">
        <v>0</v>
      </c>
      <c r="J54" s="223">
        <v>0</v>
      </c>
      <c r="K54" s="223">
        <v>0</v>
      </c>
      <c r="L54" s="223">
        <v>0</v>
      </c>
      <c r="M54" s="232"/>
      <c r="N54" s="233"/>
      <c r="O54" s="226">
        <f>IFERROR(VLOOKUP($A54,'Parameter Values'!$A$78:$E$107,2,FALSE()),'Parameter Values'!B$107)</f>
        <v>23800</v>
      </c>
      <c r="P54" s="226">
        <f>IFERROR(VLOOKUP($A54,'Parameter Values'!$A$78:$E$107,3,FALSE()),'Parameter Values'!C$107)</f>
        <v>64500</v>
      </c>
      <c r="Q54" s="226">
        <f>IFERROR(VLOOKUP($A54,'Parameter Values'!$A$78:$E$107,4,FALSE()),'Parameter Values'!D$107)</f>
        <v>1140500</v>
      </c>
      <c r="R54" s="226"/>
      <c r="S54" s="234">
        <f t="shared" si="0"/>
        <v>1345253.2778055854</v>
      </c>
      <c r="T54" s="229"/>
      <c r="AA54" s="159"/>
      <c r="BV54" s="160"/>
    </row>
    <row r="55" spans="1:74" ht="14.25" customHeight="1" x14ac:dyDescent="0.35">
      <c r="A55" s="15">
        <f>IF(A54&lt;'Project Information'!B$11,A54+1,"")</f>
        <v>2053</v>
      </c>
      <c r="B55" s="220">
        <f>Consolidated_Volumes!B60*$B$15</f>
        <v>1433250.2989452071</v>
      </c>
      <c r="C55" s="220">
        <v>0</v>
      </c>
      <c r="D55" s="235"/>
      <c r="E55" s="236"/>
      <c r="F55" s="15"/>
      <c r="G55" s="223">
        <v>0</v>
      </c>
      <c r="H55" s="223">
        <v>0</v>
      </c>
      <c r="I55" s="223">
        <v>0</v>
      </c>
      <c r="J55" s="223">
        <v>0</v>
      </c>
      <c r="K55" s="223">
        <v>0</v>
      </c>
      <c r="L55" s="223">
        <v>0</v>
      </c>
      <c r="M55" s="232"/>
      <c r="N55" s="233"/>
      <c r="O55" s="226">
        <f>IFERROR(VLOOKUP($A55,'Parameter Values'!$A$78:$E$107,2,FALSE()),'Parameter Values'!B$107)</f>
        <v>23800</v>
      </c>
      <c r="P55" s="226">
        <f>IFERROR(VLOOKUP($A55,'Parameter Values'!$A$78:$E$107,3,FALSE()),'Parameter Values'!C$107)</f>
        <v>64500</v>
      </c>
      <c r="Q55" s="226">
        <f>IFERROR(VLOOKUP($A55,'Parameter Values'!$A$78:$E$107,4,FALSE()),'Parameter Values'!D$107)</f>
        <v>1140500</v>
      </c>
      <c r="R55" s="226"/>
      <c r="S55" s="234">
        <f t="shared" si="0"/>
        <v>1433250.2989452071</v>
      </c>
      <c r="T55" s="229"/>
      <c r="AA55" s="159"/>
      <c r="BV55" s="160"/>
    </row>
    <row r="56" spans="1:74" ht="14.25" customHeight="1" x14ac:dyDescent="0.35">
      <c r="A56" s="15">
        <f>IF(A55&lt;'Project Information'!B$11,A55+1,"")</f>
        <v>2054</v>
      </c>
      <c r="B56" s="220">
        <f>Consolidated_Volumes!B61*$B$15</f>
        <v>1524877.3376637429</v>
      </c>
      <c r="C56" s="220">
        <v>0</v>
      </c>
      <c r="D56" s="235"/>
      <c r="E56" s="236"/>
      <c r="F56" s="15"/>
      <c r="G56" s="223">
        <v>0</v>
      </c>
      <c r="H56" s="223">
        <v>0</v>
      </c>
      <c r="I56" s="223">
        <v>0</v>
      </c>
      <c r="J56" s="223">
        <v>0</v>
      </c>
      <c r="K56" s="223">
        <v>0</v>
      </c>
      <c r="L56" s="223">
        <v>0</v>
      </c>
      <c r="M56" s="232"/>
      <c r="N56" s="233"/>
      <c r="O56" s="226">
        <f>IFERROR(VLOOKUP($A56,'Parameter Values'!$A$78:$E$107,2,FALSE()),'Parameter Values'!B$107)</f>
        <v>23800</v>
      </c>
      <c r="P56" s="226">
        <f>IFERROR(VLOOKUP($A56,'Parameter Values'!$A$78:$E$107,3,FALSE()),'Parameter Values'!C$107)</f>
        <v>64500</v>
      </c>
      <c r="Q56" s="226">
        <f>IFERROR(VLOOKUP($A56,'Parameter Values'!$A$78:$E$107,4,FALSE()),'Parameter Values'!D$107)</f>
        <v>1140500</v>
      </c>
      <c r="R56" s="226"/>
      <c r="S56" s="234">
        <f t="shared" si="0"/>
        <v>1524877.3376637429</v>
      </c>
      <c r="T56" s="229"/>
      <c r="AA56" s="159"/>
      <c r="BV56" s="160"/>
    </row>
    <row r="57" spans="1:74" ht="14.25" customHeight="1" x14ac:dyDescent="0.35">
      <c r="A57" s="15">
        <f>IF(A56&lt;'Project Information'!B$11,A56+1,"")</f>
        <v>2055</v>
      </c>
      <c r="B57" s="220">
        <f>Consolidated_Volumes!B62*$B$15</f>
        <v>1620287.6908790367</v>
      </c>
      <c r="C57" s="220">
        <v>0</v>
      </c>
      <c r="D57" s="235"/>
      <c r="E57" s="236"/>
      <c r="F57" s="15"/>
      <c r="G57" s="223">
        <v>0</v>
      </c>
      <c r="H57" s="223">
        <v>0</v>
      </c>
      <c r="I57" s="223">
        <v>0</v>
      </c>
      <c r="J57" s="223">
        <v>0</v>
      </c>
      <c r="K57" s="223">
        <v>0</v>
      </c>
      <c r="L57" s="223">
        <v>0</v>
      </c>
      <c r="M57" s="232"/>
      <c r="N57" s="233"/>
      <c r="O57" s="226">
        <f>IFERROR(VLOOKUP($A57,'Parameter Values'!$A$78:$E$107,2,FALSE()),'Parameter Values'!B$107)</f>
        <v>23800</v>
      </c>
      <c r="P57" s="226">
        <f>IFERROR(VLOOKUP($A57,'Parameter Values'!$A$78:$E$107,3,FALSE()),'Parameter Values'!C$107)</f>
        <v>64500</v>
      </c>
      <c r="Q57" s="226">
        <f>IFERROR(VLOOKUP($A57,'Parameter Values'!$A$78:$E$107,4,FALSE()),'Parameter Values'!D$107)</f>
        <v>1140500</v>
      </c>
      <c r="R57" s="226"/>
      <c r="S57" s="234">
        <f t="shared" si="0"/>
        <v>1620287.6908790367</v>
      </c>
      <c r="T57" s="229"/>
      <c r="AA57" s="159"/>
      <c r="BV57" s="160"/>
    </row>
    <row r="58" spans="1:74" ht="14.25" customHeight="1" x14ac:dyDescent="0.35">
      <c r="A58" s="15">
        <f>IF(A57&lt;'Project Information'!B$11,A57+1,"")</f>
        <v>2056</v>
      </c>
      <c r="B58" s="220">
        <f>Consolidated_Volumes!B63*$B$15</f>
        <v>1719641.3042500727</v>
      </c>
      <c r="C58" s="220">
        <v>0</v>
      </c>
      <c r="D58" s="235"/>
      <c r="E58" s="236"/>
      <c r="F58" s="15"/>
      <c r="G58" s="223">
        <v>0</v>
      </c>
      <c r="H58" s="223">
        <v>0</v>
      </c>
      <c r="I58" s="223">
        <v>0</v>
      </c>
      <c r="J58" s="223">
        <v>0</v>
      </c>
      <c r="K58" s="223">
        <v>0</v>
      </c>
      <c r="L58" s="223">
        <v>0</v>
      </c>
      <c r="M58" s="232"/>
      <c r="N58" s="233"/>
      <c r="O58" s="226">
        <f>IFERROR(VLOOKUP($A58,'Parameter Values'!$A$78:$E$107,2,FALSE()),'Parameter Values'!B$107)</f>
        <v>23800</v>
      </c>
      <c r="P58" s="226">
        <f>IFERROR(VLOOKUP($A58,'Parameter Values'!$A$78:$E$107,3,FALSE()),'Parameter Values'!C$107)</f>
        <v>64500</v>
      </c>
      <c r="Q58" s="226">
        <f>IFERROR(VLOOKUP($A58,'Parameter Values'!$A$78:$E$107,4,FALSE()),'Parameter Values'!D$107)</f>
        <v>1140500</v>
      </c>
      <c r="R58" s="226"/>
      <c r="S58" s="234">
        <f t="shared" si="0"/>
        <v>1719641.3042500727</v>
      </c>
      <c r="T58" s="229"/>
      <c r="AA58" s="159"/>
      <c r="BV58" s="160"/>
    </row>
    <row r="59" spans="1:74" ht="14.25" customHeight="1" x14ac:dyDescent="0.35">
      <c r="A59" s="15">
        <f>IF(A58&lt;'Project Information'!B$11,A58+1,"")</f>
        <v>2057</v>
      </c>
      <c r="B59" s="220">
        <f>Consolidated_Volumes!B64*$B$15</f>
        <v>1823105.0691896921</v>
      </c>
      <c r="C59" s="220">
        <v>0</v>
      </c>
      <c r="D59" s="235"/>
      <c r="E59" s="236"/>
      <c r="F59" s="15"/>
      <c r="G59" s="223">
        <v>0</v>
      </c>
      <c r="H59" s="223">
        <v>0</v>
      </c>
      <c r="I59" s="223">
        <v>0</v>
      </c>
      <c r="J59" s="223">
        <v>0</v>
      </c>
      <c r="K59" s="223">
        <v>0</v>
      </c>
      <c r="L59" s="223">
        <v>0</v>
      </c>
      <c r="M59" s="232"/>
      <c r="N59" s="233"/>
      <c r="O59" s="226">
        <f>IFERROR(VLOOKUP($A59,'Parameter Values'!$A$78:$E$107,2,FALSE()),'Parameter Values'!B$107)</f>
        <v>23800</v>
      </c>
      <c r="P59" s="226">
        <f>IFERROR(VLOOKUP($A59,'Parameter Values'!$A$78:$E$107,3,FALSE()),'Parameter Values'!C$107)</f>
        <v>64500</v>
      </c>
      <c r="Q59" s="226">
        <f>IFERROR(VLOOKUP($A59,'Parameter Values'!$A$78:$E$107,4,FALSE()),'Parameter Values'!D$107)</f>
        <v>1140500</v>
      </c>
      <c r="R59" s="226"/>
      <c r="S59" s="234">
        <f t="shared" si="0"/>
        <v>1823105.0691896921</v>
      </c>
      <c r="T59" s="229"/>
      <c r="AA59" s="159"/>
      <c r="BV59" s="160"/>
    </row>
    <row r="60" spans="1:74" ht="14.25" customHeight="1" x14ac:dyDescent="0.35">
      <c r="A60" s="15">
        <f>IF(A59&lt;'Project Information'!B$11,A59+1,"")</f>
        <v>2058</v>
      </c>
      <c r="B60" s="220">
        <f>Consolidated_Volumes!B65*$B$15</f>
        <v>1930853.1335749745</v>
      </c>
      <c r="C60" s="220">
        <v>0</v>
      </c>
      <c r="D60" s="235"/>
      <c r="E60" s="236"/>
      <c r="F60" s="15"/>
      <c r="G60" s="223">
        <v>0</v>
      </c>
      <c r="H60" s="223">
        <v>0</v>
      </c>
      <c r="I60" s="223">
        <v>0</v>
      </c>
      <c r="J60" s="223">
        <v>0</v>
      </c>
      <c r="K60" s="223">
        <v>0</v>
      </c>
      <c r="L60" s="223">
        <v>0</v>
      </c>
      <c r="M60" s="232"/>
      <c r="N60" s="233"/>
      <c r="O60" s="226">
        <f>IFERROR(VLOOKUP($A60,'Parameter Values'!$A$78:$E$107,2,FALSE()),'Parameter Values'!B$107)</f>
        <v>23800</v>
      </c>
      <c r="P60" s="226">
        <f>IFERROR(VLOOKUP($A60,'Parameter Values'!$A$78:$E$107,3,FALSE()),'Parameter Values'!C$107)</f>
        <v>64500</v>
      </c>
      <c r="Q60" s="226">
        <f>IFERROR(VLOOKUP($A60,'Parameter Values'!$A$78:$E$107,4,FALSE()),'Parameter Values'!D$107)</f>
        <v>1140500</v>
      </c>
      <c r="R60" s="226"/>
      <c r="S60" s="234">
        <f t="shared" si="0"/>
        <v>1930853.1335749745</v>
      </c>
      <c r="T60" s="229"/>
      <c r="AA60" s="159"/>
      <c r="BV60" s="160"/>
    </row>
    <row r="61" spans="1:74" ht="14.25" customHeight="1" x14ac:dyDescent="0.35">
      <c r="A61" s="15">
        <f>IF(A60&lt;'Project Information'!B$11,A60+1,"")</f>
        <v>2059</v>
      </c>
      <c r="B61" s="220">
        <f>Consolidated_Volumes!B66*$B$15</f>
        <v>2043067.2268083384</v>
      </c>
      <c r="C61" s="220">
        <v>0</v>
      </c>
      <c r="D61" s="235"/>
      <c r="E61" s="236"/>
      <c r="F61" s="15"/>
      <c r="G61" s="223">
        <v>0</v>
      </c>
      <c r="H61" s="223">
        <v>0</v>
      </c>
      <c r="I61" s="223">
        <v>0</v>
      </c>
      <c r="J61" s="223">
        <v>0</v>
      </c>
      <c r="K61" s="223">
        <v>0</v>
      </c>
      <c r="L61" s="223">
        <v>0</v>
      </c>
      <c r="M61" s="232"/>
      <c r="N61" s="233"/>
      <c r="O61" s="226">
        <f>IFERROR(VLOOKUP($A61,'Parameter Values'!$A$78:$E$107,2,FALSE()),'Parameter Values'!B$107)</f>
        <v>23800</v>
      </c>
      <c r="P61" s="226">
        <f>IFERROR(VLOOKUP($A61,'Parameter Values'!$A$78:$E$107,3,FALSE()),'Parameter Values'!C$107)</f>
        <v>64500</v>
      </c>
      <c r="Q61" s="226">
        <f>IFERROR(VLOOKUP($A61,'Parameter Values'!$A$78:$E$107,4,FALSE()),'Parameter Values'!D$107)</f>
        <v>1140500</v>
      </c>
      <c r="R61" s="226"/>
      <c r="S61" s="234">
        <f t="shared" si="0"/>
        <v>2043067.2268083384</v>
      </c>
      <c r="T61" s="229"/>
      <c r="AA61" s="159"/>
      <c r="BV61" s="160"/>
    </row>
    <row r="62" spans="1:74" ht="14.25" customHeight="1" x14ac:dyDescent="0.35">
      <c r="A62" s="15">
        <f>IF(A61&lt;'Project Information'!B$11,A61+1,"")</f>
        <v>2060</v>
      </c>
      <c r="B62" s="220">
        <f>Consolidated_Volumes!B67*$B$15</f>
        <v>2159936.9999145982</v>
      </c>
      <c r="C62" s="237">
        <v>0</v>
      </c>
      <c r="D62" s="238"/>
      <c r="E62" s="239"/>
      <c r="F62" s="89"/>
      <c r="G62" s="240">
        <v>0</v>
      </c>
      <c r="H62" s="240">
        <v>0</v>
      </c>
      <c r="I62" s="240">
        <v>0</v>
      </c>
      <c r="J62" s="240">
        <v>0</v>
      </c>
      <c r="K62" s="240">
        <v>0</v>
      </c>
      <c r="L62" s="240">
        <v>0</v>
      </c>
      <c r="M62" s="241"/>
      <c r="N62" s="242"/>
      <c r="O62" s="243">
        <f>IFERROR(VLOOKUP($A62,'Parameter Values'!$A$78:$E$107,2,FALSE()),'Parameter Values'!B$107)</f>
        <v>23800</v>
      </c>
      <c r="P62" s="243">
        <f>IFERROR(VLOOKUP($A62,'Parameter Values'!$A$78:$E$107,3,FALSE()),'Parameter Values'!C$107)</f>
        <v>64500</v>
      </c>
      <c r="Q62" s="243">
        <f>IFERROR(VLOOKUP($A62,'Parameter Values'!$A$78:$E$107,4,FALSE()),'Parameter Values'!D$107)</f>
        <v>1140500</v>
      </c>
      <c r="R62" s="243"/>
      <c r="S62" s="244">
        <f t="shared" si="0"/>
        <v>2159936.9999145982</v>
      </c>
      <c r="T62" s="229"/>
      <c r="AA62" s="159"/>
      <c r="BV62" s="160"/>
    </row>
    <row r="63" spans="1:74" ht="14.25" customHeight="1" x14ac:dyDescent="0.35">
      <c r="AA63" s="159"/>
      <c r="BV63" s="160"/>
    </row>
    <row r="64" spans="1:74" ht="14.25" customHeight="1" x14ac:dyDescent="0.35">
      <c r="AA64" s="159"/>
      <c r="BV64" s="160"/>
    </row>
    <row r="65" spans="27:74" ht="14.25" customHeight="1" x14ac:dyDescent="0.35">
      <c r="AA65" s="159"/>
      <c r="BV65" s="160"/>
    </row>
    <row r="66" spans="27:74" ht="14.25" customHeight="1" x14ac:dyDescent="0.35">
      <c r="AA66" s="159"/>
      <c r="BV66" s="160"/>
    </row>
    <row r="67" spans="27:74" ht="14.25" customHeight="1" x14ac:dyDescent="0.35">
      <c r="AA67" s="159"/>
      <c r="BV67" s="160"/>
    </row>
    <row r="68" spans="27:74" ht="14.25" customHeight="1" x14ac:dyDescent="0.35">
      <c r="AA68" s="159"/>
      <c r="BV68" s="160"/>
    </row>
    <row r="69" spans="27:74" ht="14.25" customHeight="1" x14ac:dyDescent="0.35">
      <c r="AA69" s="159"/>
      <c r="BV69" s="160"/>
    </row>
    <row r="70" spans="27:74" ht="14.25" customHeight="1" x14ac:dyDescent="0.35">
      <c r="AA70" s="159"/>
      <c r="BV70" s="160"/>
    </row>
    <row r="71" spans="27:74" ht="14.25" customHeight="1" x14ac:dyDescent="0.35">
      <c r="AA71" s="159"/>
      <c r="BV71" s="160"/>
    </row>
    <row r="72" spans="27:74" ht="14.25" customHeight="1" x14ac:dyDescent="0.35">
      <c r="AA72" s="159"/>
      <c r="BV72" s="160"/>
    </row>
    <row r="73" spans="27:74" ht="14.25" customHeight="1" x14ac:dyDescent="0.35">
      <c r="AA73" s="159"/>
      <c r="BV73" s="160"/>
    </row>
    <row r="74" spans="27:74" ht="14.25" customHeight="1" x14ac:dyDescent="0.35">
      <c r="AA74" s="159"/>
      <c r="BV74" s="160"/>
    </row>
    <row r="75" spans="27:74" ht="14.25" customHeight="1" x14ac:dyDescent="0.35">
      <c r="AA75" s="159"/>
      <c r="BV75" s="160"/>
    </row>
    <row r="76" spans="27:74" ht="14.25" customHeight="1" x14ac:dyDescent="0.35">
      <c r="AA76" s="159"/>
      <c r="BV76" s="160"/>
    </row>
    <row r="77" spans="27:74" ht="14.25" customHeight="1" x14ac:dyDescent="0.35">
      <c r="AA77" s="159"/>
      <c r="BV77" s="160"/>
    </row>
    <row r="78" spans="27:74" ht="14.25" customHeight="1" x14ac:dyDescent="0.35">
      <c r="AA78" s="159"/>
      <c r="BV78" s="160"/>
    </row>
    <row r="79" spans="27:74" ht="14.25" customHeight="1" x14ac:dyDescent="0.35">
      <c r="AA79" s="159"/>
      <c r="BV79" s="160"/>
    </row>
    <row r="80" spans="27:74" ht="14.25" customHeight="1" x14ac:dyDescent="0.35">
      <c r="AA80" s="159"/>
      <c r="BV80" s="160"/>
    </row>
    <row r="81" spans="27:74" ht="14.25" customHeight="1" x14ac:dyDescent="0.35">
      <c r="AA81" s="159"/>
      <c r="BV81" s="160"/>
    </row>
    <row r="82" spans="27:74" ht="14.25" customHeight="1" x14ac:dyDescent="0.35">
      <c r="AA82" s="159"/>
      <c r="BV82" s="160"/>
    </row>
    <row r="83" spans="27:74" ht="14.25" customHeight="1" x14ac:dyDescent="0.35">
      <c r="AA83" s="159"/>
      <c r="BV83" s="160"/>
    </row>
    <row r="84" spans="27:74" ht="14.25" customHeight="1" x14ac:dyDescent="0.35">
      <c r="AA84" s="159"/>
      <c r="BV84" s="160"/>
    </row>
    <row r="85" spans="27:74" ht="14.25" customHeight="1" x14ac:dyDescent="0.35">
      <c r="AA85" s="159"/>
      <c r="BV85" s="160"/>
    </row>
    <row r="86" spans="27:74" ht="14.25" customHeight="1" x14ac:dyDescent="0.35">
      <c r="AA86" s="159"/>
      <c r="BV86" s="160"/>
    </row>
    <row r="87" spans="27:74" ht="14.25" customHeight="1" x14ac:dyDescent="0.35">
      <c r="AA87" s="159"/>
      <c r="BV87" s="160"/>
    </row>
    <row r="88" spans="27:74" ht="14.25" customHeight="1" x14ac:dyDescent="0.35">
      <c r="AA88" s="159"/>
      <c r="BV88" s="160"/>
    </row>
    <row r="89" spans="27:74" ht="14.25" customHeight="1" x14ac:dyDescent="0.35">
      <c r="AA89" s="159"/>
      <c r="BV89" s="160"/>
    </row>
    <row r="90" spans="27:74" ht="14.25" customHeight="1" x14ac:dyDescent="0.35">
      <c r="AA90" s="159"/>
      <c r="BV90" s="160"/>
    </row>
    <row r="91" spans="27:74" ht="14.25" customHeight="1" x14ac:dyDescent="0.35">
      <c r="AA91" s="159"/>
      <c r="BV91" s="160"/>
    </row>
    <row r="92" spans="27:74" ht="14.25" customHeight="1" x14ac:dyDescent="0.35">
      <c r="AA92" s="159"/>
      <c r="BV92" s="160"/>
    </row>
    <row r="93" spans="27:74" ht="14.25" customHeight="1" x14ac:dyDescent="0.35">
      <c r="AA93" s="159"/>
      <c r="BV93" s="160"/>
    </row>
    <row r="94" spans="27:74" ht="14.25" customHeight="1" x14ac:dyDescent="0.35">
      <c r="AA94" s="159"/>
      <c r="BV94" s="160"/>
    </row>
    <row r="95" spans="27:74" ht="14.25" customHeight="1" x14ac:dyDescent="0.35">
      <c r="AA95" s="159"/>
      <c r="BV95" s="160"/>
    </row>
    <row r="96" spans="27:74" ht="14.25" customHeight="1" x14ac:dyDescent="0.35">
      <c r="AA96" s="159"/>
      <c r="BV96" s="160"/>
    </row>
    <row r="97" spans="27:74" ht="14.25" customHeight="1" x14ac:dyDescent="0.35">
      <c r="AA97" s="159"/>
      <c r="BV97" s="160"/>
    </row>
    <row r="98" spans="27:74" ht="14.25" customHeight="1" x14ac:dyDescent="0.35">
      <c r="AA98" s="159"/>
      <c r="BV98" s="160"/>
    </row>
    <row r="99" spans="27:74" ht="14.25" customHeight="1" x14ac:dyDescent="0.35">
      <c r="AA99" s="159"/>
      <c r="BV99" s="160"/>
    </row>
    <row r="100" spans="27:74" ht="14.25" customHeight="1" x14ac:dyDescent="0.35">
      <c r="AA100" s="159"/>
      <c r="BV100" s="160"/>
    </row>
    <row r="101" spans="27:74" ht="14.25" customHeight="1" x14ac:dyDescent="0.35">
      <c r="AA101" s="159"/>
      <c r="BV101" s="160"/>
    </row>
    <row r="102" spans="27:74" ht="14.25" customHeight="1" x14ac:dyDescent="0.35">
      <c r="AA102" s="159"/>
      <c r="BV102" s="160"/>
    </row>
    <row r="103" spans="27:74" ht="14.25" customHeight="1" x14ac:dyDescent="0.35">
      <c r="AA103" s="159"/>
      <c r="BV103" s="160"/>
    </row>
    <row r="104" spans="27:74" ht="14.25" customHeight="1" x14ac:dyDescent="0.35">
      <c r="AA104" s="159"/>
      <c r="BV104" s="160"/>
    </row>
    <row r="105" spans="27:74" ht="14.25" customHeight="1" x14ac:dyDescent="0.35">
      <c r="AA105" s="159"/>
      <c r="BV105" s="160"/>
    </row>
    <row r="106" spans="27:74" ht="14.25" customHeight="1" x14ac:dyDescent="0.35">
      <c r="AA106" s="159"/>
      <c r="BV106" s="160"/>
    </row>
    <row r="107" spans="27:74" ht="14.25" customHeight="1" x14ac:dyDescent="0.35">
      <c r="AA107" s="159"/>
      <c r="BV107" s="160"/>
    </row>
    <row r="108" spans="27:74" ht="14.25" customHeight="1" x14ac:dyDescent="0.35">
      <c r="AA108" s="159"/>
      <c r="BV108" s="160"/>
    </row>
    <row r="109" spans="27:74" ht="14.25" customHeight="1" x14ac:dyDescent="0.35">
      <c r="AA109" s="159"/>
      <c r="BV109" s="160"/>
    </row>
    <row r="110" spans="27:74" ht="14.25" customHeight="1" x14ac:dyDescent="0.35">
      <c r="AA110" s="159"/>
      <c r="BV110" s="160"/>
    </row>
    <row r="111" spans="27:74" ht="14.25" customHeight="1" x14ac:dyDescent="0.35">
      <c r="AA111" s="159"/>
      <c r="BV111" s="160"/>
    </row>
    <row r="112" spans="27:74" ht="15" customHeight="1" x14ac:dyDescent="0.35">
      <c r="AA112" s="178"/>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79"/>
      <c r="BB112" s="179"/>
      <c r="BC112" s="179"/>
      <c r="BD112" s="179"/>
      <c r="BE112" s="179"/>
      <c r="BF112" s="179"/>
      <c r="BG112" s="179"/>
      <c r="BH112" s="179"/>
      <c r="BI112" s="179"/>
      <c r="BJ112" s="179"/>
      <c r="BK112" s="179"/>
      <c r="BL112" s="179"/>
      <c r="BM112" s="179"/>
      <c r="BN112" s="179"/>
      <c r="BO112" s="179"/>
      <c r="BP112" s="179"/>
      <c r="BQ112" s="179"/>
      <c r="BR112" s="179"/>
      <c r="BS112" s="179"/>
      <c r="BT112" s="179"/>
      <c r="BU112" s="179"/>
      <c r="BV112" s="180"/>
    </row>
  </sheetData>
  <conditionalFormatting sqref="B33:E62">
    <cfRule type="expression" dxfId="8" priority="2">
      <formula>$A33=""</formula>
    </cfRule>
  </conditionalFormatting>
  <conditionalFormatting sqref="G33:N62">
    <cfRule type="expression" dxfId="7" priority="3">
      <formula>$A33=""</formula>
    </cfRule>
  </conditionalFormatting>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A9D18E"/>
  </sheetPr>
  <dimension ref="A1:BA99"/>
  <sheetViews>
    <sheetView workbookViewId="0"/>
  </sheetViews>
  <sheetFormatPr defaultColWidth="9.1796875" defaultRowHeight="14.5" x14ac:dyDescent="0.35"/>
  <cols>
    <col min="1" max="1" width="32" style="3" customWidth="1"/>
    <col min="2" max="2" width="24.453125" style="3" customWidth="1"/>
    <col min="3" max="3" width="25.7265625" style="3" customWidth="1"/>
    <col min="4" max="4" width="24.453125" style="3" customWidth="1"/>
    <col min="5" max="10" width="9.1796875" style="3"/>
    <col min="11" max="11" width="10.26953125" style="3" customWidth="1"/>
    <col min="12" max="16384" width="9.1796875" style="3"/>
  </cols>
  <sheetData>
    <row r="1" spans="1:11" ht="19.5" customHeight="1" x14ac:dyDescent="0.45">
      <c r="A1" s="4" t="s">
        <v>522</v>
      </c>
    </row>
    <row r="2" spans="1:11" ht="15" customHeight="1" x14ac:dyDescent="0.35">
      <c r="A2" s="5" t="s">
        <v>469</v>
      </c>
      <c r="B2" s="5"/>
      <c r="C2" s="5"/>
      <c r="D2" s="5"/>
      <c r="E2" s="5"/>
      <c r="F2" s="5"/>
      <c r="G2" s="5"/>
      <c r="H2" s="5"/>
      <c r="I2" s="5"/>
    </row>
    <row r="3" spans="1:11" ht="14.25" customHeight="1" x14ac:dyDescent="0.35">
      <c r="A3" s="3" t="s">
        <v>2</v>
      </c>
    </row>
    <row r="4" spans="1:11" ht="14.25" customHeight="1" x14ac:dyDescent="0.35">
      <c r="A4" s="167" t="s">
        <v>463</v>
      </c>
      <c r="B4" s="5"/>
      <c r="C4" s="5"/>
      <c r="D4" s="5"/>
      <c r="E4" s="5"/>
      <c r="F4" s="5"/>
      <c r="G4" s="5"/>
      <c r="H4" s="5"/>
      <c r="I4" s="5"/>
      <c r="J4" s="5"/>
      <c r="K4" s="5"/>
    </row>
    <row r="5" spans="1:11" ht="14.25" customHeight="1" x14ac:dyDescent="0.35">
      <c r="A5" s="168" t="s">
        <v>2</v>
      </c>
    </row>
    <row r="6" spans="1:11" ht="14.25" customHeight="1" x14ac:dyDescent="0.35">
      <c r="A6" s="6" t="s">
        <v>470</v>
      </c>
    </row>
    <row r="7" spans="1:11" ht="14.25" customHeight="1" x14ac:dyDescent="0.35">
      <c r="A7" s="245" t="s">
        <v>424</v>
      </c>
      <c r="B7" s="246" t="s">
        <v>523</v>
      </c>
      <c r="C7" s="247" t="s">
        <v>524</v>
      </c>
      <c r="D7" s="248" t="s">
        <v>525</v>
      </c>
    </row>
    <row r="8" spans="1:11" ht="14.25" customHeight="1" x14ac:dyDescent="0.35">
      <c r="A8" s="93" t="str">
        <f>'Parameter Values'!A231</f>
        <v>Light-Duty Vehicles - Urban</v>
      </c>
      <c r="B8" s="249">
        <f>'Parameter Values'!B231</f>
        <v>0.14699999999999999</v>
      </c>
      <c r="C8" s="250">
        <f>'Parameter Values'!C231</f>
        <v>2.0999999999999999E-3</v>
      </c>
      <c r="D8" s="251">
        <f>'Parameter Values'!D231</f>
        <v>1.9E-2</v>
      </c>
    </row>
    <row r="9" spans="1:11" ht="14.25" customHeight="1" x14ac:dyDescent="0.35">
      <c r="A9" s="93" t="str">
        <f>'Parameter Values'!A232</f>
        <v>Light-Duty Vehicles - Rural</v>
      </c>
      <c r="B9" s="249">
        <f>'Parameter Values'!B232</f>
        <v>3.1E-2</v>
      </c>
      <c r="C9" s="250">
        <f>'Parameter Values'!C232</f>
        <v>2.0000000000000001E-4</v>
      </c>
      <c r="D9" s="251">
        <f>'Parameter Values'!D232</f>
        <v>0.105</v>
      </c>
    </row>
    <row r="10" spans="1:11" ht="14.25" customHeight="1" x14ac:dyDescent="0.35">
      <c r="A10" s="93" t="str">
        <f>'Parameter Values'!A233</f>
        <v>Light-Duty Vehicles – All Locations</v>
      </c>
      <c r="B10" s="249">
        <f>'Parameter Values'!B233</f>
        <v>0.124</v>
      </c>
      <c r="C10" s="250">
        <f>'Parameter Values'!C233</f>
        <v>1.1000000000000001E-3</v>
      </c>
      <c r="D10" s="251">
        <f>'Parameter Values'!D233</f>
        <v>4.2999999999999997E-2</v>
      </c>
    </row>
    <row r="11" spans="1:11" ht="14.25" customHeight="1" x14ac:dyDescent="0.35">
      <c r="A11" s="93" t="str">
        <f>'Parameter Values'!A234</f>
        <v>Buses and Trucks - Urban</v>
      </c>
      <c r="B11" s="249">
        <f>'Parameter Values'!B234</f>
        <v>0.36699999999999999</v>
      </c>
      <c r="C11" s="250">
        <f>'Parameter Values'!C234</f>
        <v>4.65E-2</v>
      </c>
      <c r="D11" s="251">
        <f>'Parameter Values'!D234</f>
        <v>1.7000000000000001E-2</v>
      </c>
    </row>
    <row r="12" spans="1:11" ht="14.25" customHeight="1" x14ac:dyDescent="0.35">
      <c r="A12" s="93" t="str">
        <f>'Parameter Values'!A235</f>
        <v>Buses and Trucks - Rural</v>
      </c>
      <c r="B12" s="249">
        <f>'Parameter Values'!B235</f>
        <v>0.08</v>
      </c>
      <c r="C12" s="250">
        <f>'Parameter Values'!C235</f>
        <v>3.8999999999999998E-3</v>
      </c>
      <c r="D12" s="251">
        <f>'Parameter Values'!D235</f>
        <v>0.03</v>
      </c>
    </row>
    <row r="13" spans="1:11" ht="14.25" customHeight="1" x14ac:dyDescent="0.35">
      <c r="A13" s="93" t="str">
        <f>'Parameter Values'!A236</f>
        <v>Buses and Trucks – All Locations</v>
      </c>
      <c r="B13" s="249">
        <f>'Parameter Values'!B236</f>
        <v>0.251</v>
      </c>
      <c r="C13" s="250">
        <f>'Parameter Values'!C236</f>
        <v>2.3400000000000001E-2</v>
      </c>
      <c r="D13" s="251">
        <f>'Parameter Values'!D236</f>
        <v>2.3E-2</v>
      </c>
    </row>
    <row r="14" spans="1:11" ht="14.25" customHeight="1" x14ac:dyDescent="0.35">
      <c r="A14" s="93" t="str">
        <f>'Parameter Values'!A237</f>
        <v>All Vehicles - Urban</v>
      </c>
      <c r="B14" s="249">
        <f>'Parameter Values'!B237</f>
        <v>0.16300000000000001</v>
      </c>
      <c r="C14" s="250">
        <f>'Parameter Values'!C237</f>
        <v>5.4000000000000003E-3</v>
      </c>
      <c r="D14" s="251">
        <f>'Parameter Values'!D237</f>
        <v>1.9E-2</v>
      </c>
    </row>
    <row r="15" spans="1:11" ht="14.25" customHeight="1" x14ac:dyDescent="0.35">
      <c r="A15" s="93" t="str">
        <f>'Parameter Values'!A238</f>
        <v>All Vehicles - Rural</v>
      </c>
      <c r="B15" s="249">
        <f>'Parameter Values'!B238</f>
        <v>3.7999999999999999E-2</v>
      </c>
      <c r="C15" s="250">
        <f>'Parameter Values'!C238</f>
        <v>6.9999999999999999E-4</v>
      </c>
      <c r="D15" s="251">
        <f>'Parameter Values'!D238</f>
        <v>9.4E-2</v>
      </c>
    </row>
    <row r="16" spans="1:11" ht="14.25" customHeight="1" x14ac:dyDescent="0.35">
      <c r="A16" s="93" t="str">
        <f>'Parameter Values'!A239</f>
        <v>All Vehicles – All Locations</v>
      </c>
      <c r="B16" s="249">
        <f>'Parameter Values'!B239</f>
        <v>0.13600000000000001</v>
      </c>
      <c r="C16" s="250">
        <f>'Parameter Values'!C239</f>
        <v>3.3E-3</v>
      </c>
      <c r="D16" s="251">
        <f>'Parameter Values'!D239</f>
        <v>4.1000000000000002E-2</v>
      </c>
    </row>
    <row r="17" spans="1:53" ht="14.25" customHeight="1" x14ac:dyDescent="0.35">
      <c r="A17" s="168" t="s">
        <v>2</v>
      </c>
    </row>
    <row r="18" spans="1:53" ht="15" customHeight="1" x14ac:dyDescent="0.35">
      <c r="A18" s="6" t="s">
        <v>526</v>
      </c>
    </row>
    <row r="19" spans="1:53" ht="14.25" customHeight="1" x14ac:dyDescent="0.35">
      <c r="A19" s="9" t="s">
        <v>4</v>
      </c>
      <c r="B19" s="23" t="s">
        <v>527</v>
      </c>
      <c r="F19" s="154" t="s">
        <v>453</v>
      </c>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6"/>
    </row>
    <row r="20" spans="1:53" ht="14.25" customHeight="1" x14ac:dyDescent="0.35">
      <c r="A20" s="10">
        <f>'Project Information'!$B$9</f>
        <v>2031</v>
      </c>
      <c r="B20" s="252">
        <v>0</v>
      </c>
      <c r="F20" s="159"/>
      <c r="BA20" s="160"/>
    </row>
    <row r="21" spans="1:53" ht="14.25" customHeight="1" x14ac:dyDescent="0.35">
      <c r="A21" s="15">
        <f>IF(A20&lt;'Project Information'!B$11,A20+1,"")</f>
        <v>2032</v>
      </c>
      <c r="B21" s="252">
        <v>0</v>
      </c>
      <c r="F21" s="159"/>
      <c r="BA21" s="160"/>
    </row>
    <row r="22" spans="1:53" ht="14.25" customHeight="1" x14ac:dyDescent="0.35">
      <c r="A22" s="15">
        <f>IF(A21&lt;'Project Information'!B$11,A21+1,"")</f>
        <v>2033</v>
      </c>
      <c r="B22" s="252">
        <v>0</v>
      </c>
      <c r="F22" s="159"/>
      <c r="BA22" s="160"/>
    </row>
    <row r="23" spans="1:53" ht="14.25" customHeight="1" x14ac:dyDescent="0.35">
      <c r="A23" s="15">
        <f>IF(A22&lt;'Project Information'!B$11,A22+1,"")</f>
        <v>2034</v>
      </c>
      <c r="B23" s="252">
        <v>0</v>
      </c>
      <c r="F23" s="159"/>
      <c r="BA23" s="160"/>
    </row>
    <row r="24" spans="1:53" ht="14.25" customHeight="1" x14ac:dyDescent="0.35">
      <c r="A24" s="15">
        <f>IF(A23&lt;'Project Information'!B$11,A23+1,"")</f>
        <v>2035</v>
      </c>
      <c r="B24" s="252">
        <v>0</v>
      </c>
      <c r="F24" s="159"/>
      <c r="BA24" s="160"/>
    </row>
    <row r="25" spans="1:53" ht="14.25" customHeight="1" x14ac:dyDescent="0.35">
      <c r="A25" s="15">
        <f>IF(A24&lt;'Project Information'!B$11,A24+1,"")</f>
        <v>2036</v>
      </c>
      <c r="B25" s="252">
        <v>0</v>
      </c>
      <c r="F25" s="159"/>
      <c r="BA25" s="160"/>
    </row>
    <row r="26" spans="1:53" ht="14.25" customHeight="1" x14ac:dyDescent="0.35">
      <c r="A26" s="15">
        <f>IF(A25&lt;'Project Information'!B$11,A25+1,"")</f>
        <v>2037</v>
      </c>
      <c r="B26" s="252">
        <v>0</v>
      </c>
      <c r="F26" s="159"/>
      <c r="BA26" s="160"/>
    </row>
    <row r="27" spans="1:53" ht="14.25" customHeight="1" x14ac:dyDescent="0.35">
      <c r="A27" s="15">
        <f>IF(A26&lt;'Project Information'!B$11,A26+1,"")</f>
        <v>2038</v>
      </c>
      <c r="B27" s="252">
        <v>0</v>
      </c>
      <c r="F27" s="159"/>
      <c r="BA27" s="160"/>
    </row>
    <row r="28" spans="1:53" ht="14.25" customHeight="1" x14ac:dyDescent="0.35">
      <c r="A28" s="15">
        <f>IF(A27&lt;'Project Information'!B$11,A27+1,"")</f>
        <v>2039</v>
      </c>
      <c r="B28" s="252">
        <v>0</v>
      </c>
      <c r="F28" s="159"/>
      <c r="BA28" s="160"/>
    </row>
    <row r="29" spans="1:53" ht="14.25" customHeight="1" x14ac:dyDescent="0.35">
      <c r="A29" s="15">
        <f>IF(A28&lt;'Project Information'!B$11,A28+1,"")</f>
        <v>2040</v>
      </c>
      <c r="B29" s="252">
        <v>0</v>
      </c>
      <c r="F29" s="159"/>
      <c r="BA29" s="160"/>
    </row>
    <row r="30" spans="1:53" ht="14.25" customHeight="1" x14ac:dyDescent="0.35">
      <c r="A30" s="15">
        <f>IF(A29&lt;'Project Information'!B$11,A29+1,"")</f>
        <v>2041</v>
      </c>
      <c r="B30" s="252">
        <v>0</v>
      </c>
      <c r="F30" s="159"/>
      <c r="BA30" s="160"/>
    </row>
    <row r="31" spans="1:53" ht="14.25" customHeight="1" x14ac:dyDescent="0.35">
      <c r="A31" s="15">
        <f>IF(A30&lt;'Project Information'!B$11,A30+1,"")</f>
        <v>2042</v>
      </c>
      <c r="B31" s="252">
        <v>0</v>
      </c>
      <c r="F31" s="159"/>
      <c r="BA31" s="160"/>
    </row>
    <row r="32" spans="1:53" ht="14.25" customHeight="1" x14ac:dyDescent="0.35">
      <c r="A32" s="15">
        <f>IF(A31&lt;'Project Information'!B$11,A31+1,"")</f>
        <v>2043</v>
      </c>
      <c r="B32" s="252">
        <v>0</v>
      </c>
      <c r="F32" s="159"/>
      <c r="BA32" s="160"/>
    </row>
    <row r="33" spans="1:53" ht="14.25" customHeight="1" x14ac:dyDescent="0.35">
      <c r="A33" s="15">
        <f>IF(A32&lt;'Project Information'!B$11,A32+1,"")</f>
        <v>2044</v>
      </c>
      <c r="B33" s="252">
        <v>0</v>
      </c>
      <c r="F33" s="159"/>
      <c r="BA33" s="160"/>
    </row>
    <row r="34" spans="1:53" ht="14.25" customHeight="1" x14ac:dyDescent="0.35">
      <c r="A34" s="15">
        <f>IF(A33&lt;'Project Information'!B$11,A33+1,"")</f>
        <v>2045</v>
      </c>
      <c r="B34" s="252">
        <v>0</v>
      </c>
      <c r="F34" s="159"/>
      <c r="BA34" s="160"/>
    </row>
    <row r="35" spans="1:53" ht="14.25" customHeight="1" x14ac:dyDescent="0.35">
      <c r="A35" s="15">
        <f>IF(A34&lt;'Project Information'!B$11,A34+1,"")</f>
        <v>2046</v>
      </c>
      <c r="B35" s="252">
        <v>0</v>
      </c>
      <c r="F35" s="159"/>
      <c r="BA35" s="160"/>
    </row>
    <row r="36" spans="1:53" ht="14.25" customHeight="1" x14ac:dyDescent="0.35">
      <c r="A36" s="15">
        <f>IF(A35&lt;'Project Information'!B$11,A35+1,"")</f>
        <v>2047</v>
      </c>
      <c r="B36" s="252">
        <v>0</v>
      </c>
      <c r="F36" s="159"/>
      <c r="BA36" s="160"/>
    </row>
    <row r="37" spans="1:53" ht="14.25" customHeight="1" x14ac:dyDescent="0.35">
      <c r="A37" s="15">
        <f>IF(A36&lt;'Project Information'!B$11,A36+1,"")</f>
        <v>2048</v>
      </c>
      <c r="B37" s="252">
        <v>0</v>
      </c>
      <c r="F37" s="159"/>
      <c r="BA37" s="160"/>
    </row>
    <row r="38" spans="1:53" ht="14.25" customHeight="1" x14ac:dyDescent="0.35">
      <c r="A38" s="15">
        <f>IF(A37&lt;'Project Information'!B$11,A37+1,"")</f>
        <v>2049</v>
      </c>
      <c r="B38" s="252">
        <v>0</v>
      </c>
      <c r="F38" s="159"/>
      <c r="BA38" s="160"/>
    </row>
    <row r="39" spans="1:53" ht="14.25" customHeight="1" x14ac:dyDescent="0.35">
      <c r="A39" s="15">
        <f>IF(A38&lt;'Project Information'!B$11,A38+1,"")</f>
        <v>2050</v>
      </c>
      <c r="B39" s="252">
        <v>0</v>
      </c>
      <c r="F39" s="159"/>
      <c r="BA39" s="160"/>
    </row>
    <row r="40" spans="1:53" ht="14.25" customHeight="1" x14ac:dyDescent="0.35">
      <c r="A40" s="15">
        <f>IF(A39&lt;'Project Information'!B$11,A39+1,"")</f>
        <v>2051</v>
      </c>
      <c r="B40" s="252">
        <v>0</v>
      </c>
      <c r="F40" s="159"/>
      <c r="BA40" s="160"/>
    </row>
    <row r="41" spans="1:53" ht="14.25" customHeight="1" x14ac:dyDescent="0.35">
      <c r="A41" s="15">
        <f>IF(A40&lt;'Project Information'!B$11,A40+1,"")</f>
        <v>2052</v>
      </c>
      <c r="B41" s="252">
        <v>0</v>
      </c>
      <c r="F41" s="159"/>
      <c r="BA41" s="160"/>
    </row>
    <row r="42" spans="1:53" ht="14.25" customHeight="1" x14ac:dyDescent="0.35">
      <c r="A42" s="15">
        <f>IF(A41&lt;'Project Information'!B$11,A41+1,"")</f>
        <v>2053</v>
      </c>
      <c r="B42" s="252">
        <v>0</v>
      </c>
      <c r="F42" s="159"/>
      <c r="BA42" s="160"/>
    </row>
    <row r="43" spans="1:53" ht="14.25" customHeight="1" x14ac:dyDescent="0.35">
      <c r="A43" s="15">
        <f>IF(A42&lt;'Project Information'!B$11,A42+1,"")</f>
        <v>2054</v>
      </c>
      <c r="B43" s="252">
        <v>0</v>
      </c>
      <c r="F43" s="159"/>
      <c r="BA43" s="160"/>
    </row>
    <row r="44" spans="1:53" ht="14.25" customHeight="1" x14ac:dyDescent="0.35">
      <c r="A44" s="15">
        <f>IF(A43&lt;'Project Information'!B$11,A43+1,"")</f>
        <v>2055</v>
      </c>
      <c r="B44" s="252">
        <v>0</v>
      </c>
      <c r="F44" s="159"/>
      <c r="BA44" s="160"/>
    </row>
    <row r="45" spans="1:53" ht="14.25" customHeight="1" x14ac:dyDescent="0.35">
      <c r="A45" s="15">
        <f>IF(A44&lt;'Project Information'!B$11,A44+1,"")</f>
        <v>2056</v>
      </c>
      <c r="B45" s="252">
        <v>0</v>
      </c>
      <c r="F45" s="159"/>
      <c r="BA45" s="160"/>
    </row>
    <row r="46" spans="1:53" ht="14.25" customHeight="1" x14ac:dyDescent="0.35">
      <c r="A46" s="15">
        <f>IF(A45&lt;'Project Information'!B$11,A45+1,"")</f>
        <v>2057</v>
      </c>
      <c r="B46" s="252">
        <v>0</v>
      </c>
      <c r="F46" s="159"/>
      <c r="BA46" s="160"/>
    </row>
    <row r="47" spans="1:53" ht="14.25" customHeight="1" x14ac:dyDescent="0.35">
      <c r="A47" s="15">
        <f>IF(A46&lt;'Project Information'!B$11,A46+1,"")</f>
        <v>2058</v>
      </c>
      <c r="B47" s="252">
        <v>0</v>
      </c>
      <c r="F47" s="159"/>
      <c r="BA47" s="160"/>
    </row>
    <row r="48" spans="1:53" ht="14.25" customHeight="1" x14ac:dyDescent="0.35">
      <c r="A48" s="15">
        <f>IF(A47&lt;'Project Information'!B$11,A47+1,"")</f>
        <v>2059</v>
      </c>
      <c r="B48" s="252">
        <v>0</v>
      </c>
      <c r="F48" s="159"/>
      <c r="BA48" s="160"/>
    </row>
    <row r="49" spans="1:53" ht="14.25" customHeight="1" x14ac:dyDescent="0.35">
      <c r="A49" s="89">
        <f>IF(A48&lt;'Project Information'!B$11,A48+1,"")</f>
        <v>2060</v>
      </c>
      <c r="B49" s="170">
        <v>0</v>
      </c>
      <c r="F49" s="159"/>
      <c r="BA49" s="160"/>
    </row>
    <row r="50" spans="1:53" ht="14.25" customHeight="1" x14ac:dyDescent="0.35">
      <c r="F50" s="159"/>
      <c r="BA50" s="160"/>
    </row>
    <row r="51" spans="1:53" ht="14.25" customHeight="1" x14ac:dyDescent="0.35">
      <c r="F51" s="159"/>
      <c r="BA51" s="160"/>
    </row>
    <row r="52" spans="1:53" ht="14.25" customHeight="1" x14ac:dyDescent="0.35">
      <c r="F52" s="159"/>
      <c r="BA52" s="160"/>
    </row>
    <row r="53" spans="1:53" ht="14.25" customHeight="1" x14ac:dyDescent="0.35">
      <c r="F53" s="159"/>
      <c r="BA53" s="160"/>
    </row>
    <row r="54" spans="1:53" ht="14.25" customHeight="1" x14ac:dyDescent="0.35">
      <c r="F54" s="159"/>
      <c r="BA54" s="160"/>
    </row>
    <row r="55" spans="1:53" ht="14.25" customHeight="1" x14ac:dyDescent="0.35">
      <c r="F55" s="159"/>
      <c r="BA55" s="160"/>
    </row>
    <row r="56" spans="1:53" ht="14.25" customHeight="1" x14ac:dyDescent="0.35">
      <c r="F56" s="159"/>
      <c r="BA56" s="160"/>
    </row>
    <row r="57" spans="1:53" ht="14.25" customHeight="1" x14ac:dyDescent="0.35">
      <c r="F57" s="159"/>
      <c r="BA57" s="160"/>
    </row>
    <row r="58" spans="1:53" ht="14.25" customHeight="1" x14ac:dyDescent="0.35">
      <c r="F58" s="159"/>
      <c r="BA58" s="160"/>
    </row>
    <row r="59" spans="1:53" ht="14.25" customHeight="1" x14ac:dyDescent="0.35">
      <c r="F59" s="159"/>
      <c r="BA59" s="160"/>
    </row>
    <row r="60" spans="1:53" ht="14.25" customHeight="1" x14ac:dyDescent="0.35">
      <c r="F60" s="159"/>
      <c r="BA60" s="160"/>
    </row>
    <row r="61" spans="1:53" ht="14.25" customHeight="1" x14ac:dyDescent="0.35">
      <c r="F61" s="159"/>
      <c r="BA61" s="160"/>
    </row>
    <row r="62" spans="1:53" ht="14.25" customHeight="1" x14ac:dyDescent="0.35">
      <c r="F62" s="159"/>
      <c r="BA62" s="160"/>
    </row>
    <row r="63" spans="1:53" ht="14.25" customHeight="1" x14ac:dyDescent="0.35">
      <c r="F63" s="159"/>
      <c r="BA63" s="160"/>
    </row>
    <row r="64" spans="1:53" ht="14.25" customHeight="1" x14ac:dyDescent="0.35">
      <c r="F64" s="159"/>
      <c r="BA64" s="160"/>
    </row>
    <row r="65" spans="6:53" ht="14.25" customHeight="1" x14ac:dyDescent="0.35">
      <c r="F65" s="159"/>
      <c r="BA65" s="160"/>
    </row>
    <row r="66" spans="6:53" ht="14.25" customHeight="1" x14ac:dyDescent="0.35">
      <c r="F66" s="159"/>
      <c r="BA66" s="160"/>
    </row>
    <row r="67" spans="6:53" ht="14.25" customHeight="1" x14ac:dyDescent="0.35">
      <c r="F67" s="159"/>
      <c r="BA67" s="160"/>
    </row>
    <row r="68" spans="6:53" ht="14.25" customHeight="1" x14ac:dyDescent="0.35">
      <c r="F68" s="159"/>
      <c r="BA68" s="160"/>
    </row>
    <row r="69" spans="6:53" ht="14.25" customHeight="1" x14ac:dyDescent="0.35">
      <c r="F69" s="159"/>
      <c r="BA69" s="160"/>
    </row>
    <row r="70" spans="6:53" ht="14.25" customHeight="1" x14ac:dyDescent="0.35">
      <c r="F70" s="159"/>
      <c r="BA70" s="160"/>
    </row>
    <row r="71" spans="6:53" ht="14.25" customHeight="1" x14ac:dyDescent="0.35">
      <c r="F71" s="159"/>
      <c r="BA71" s="160"/>
    </row>
    <row r="72" spans="6:53" ht="14.25" customHeight="1" x14ac:dyDescent="0.35">
      <c r="F72" s="159"/>
      <c r="BA72" s="160"/>
    </row>
    <row r="73" spans="6:53" ht="14.25" customHeight="1" x14ac:dyDescent="0.35">
      <c r="F73" s="159"/>
      <c r="BA73" s="160"/>
    </row>
    <row r="74" spans="6:53" ht="14.25" customHeight="1" x14ac:dyDescent="0.35">
      <c r="F74" s="159"/>
      <c r="BA74" s="160"/>
    </row>
    <row r="75" spans="6:53" ht="14.25" customHeight="1" x14ac:dyDescent="0.35">
      <c r="F75" s="159"/>
      <c r="BA75" s="160"/>
    </row>
    <row r="76" spans="6:53" ht="14.25" customHeight="1" x14ac:dyDescent="0.35">
      <c r="F76" s="159"/>
      <c r="BA76" s="160"/>
    </row>
    <row r="77" spans="6:53" ht="14.25" customHeight="1" x14ac:dyDescent="0.35">
      <c r="F77" s="159"/>
      <c r="BA77" s="160"/>
    </row>
    <row r="78" spans="6:53" ht="14.25" customHeight="1" x14ac:dyDescent="0.35">
      <c r="F78" s="159"/>
      <c r="BA78" s="160"/>
    </row>
    <row r="79" spans="6:53" ht="14.25" customHeight="1" x14ac:dyDescent="0.35">
      <c r="F79" s="159"/>
      <c r="BA79" s="160"/>
    </row>
    <row r="80" spans="6:53" ht="14.25" customHeight="1" x14ac:dyDescent="0.35">
      <c r="F80" s="159"/>
      <c r="BA80" s="160"/>
    </row>
    <row r="81" spans="6:53" ht="14.25" customHeight="1" x14ac:dyDescent="0.35">
      <c r="F81" s="159"/>
      <c r="BA81" s="160"/>
    </row>
    <row r="82" spans="6:53" ht="14.25" customHeight="1" x14ac:dyDescent="0.35">
      <c r="F82" s="159"/>
      <c r="BA82" s="160"/>
    </row>
    <row r="83" spans="6:53" ht="14.25" customHeight="1" x14ac:dyDescent="0.35">
      <c r="F83" s="159"/>
      <c r="BA83" s="160"/>
    </row>
    <row r="84" spans="6:53" ht="14.25" customHeight="1" x14ac:dyDescent="0.35">
      <c r="F84" s="159"/>
      <c r="BA84" s="160"/>
    </row>
    <row r="85" spans="6:53" ht="14.25" customHeight="1" x14ac:dyDescent="0.35">
      <c r="F85" s="159"/>
      <c r="BA85" s="160"/>
    </row>
    <row r="86" spans="6:53" ht="14.25" customHeight="1" x14ac:dyDescent="0.35">
      <c r="F86" s="159"/>
      <c r="BA86" s="160"/>
    </row>
    <row r="87" spans="6:53" ht="14.25" customHeight="1" x14ac:dyDescent="0.35">
      <c r="F87" s="159"/>
      <c r="BA87" s="160"/>
    </row>
    <row r="88" spans="6:53" ht="14.25" customHeight="1" x14ac:dyDescent="0.35">
      <c r="F88" s="159"/>
      <c r="BA88" s="160"/>
    </row>
    <row r="89" spans="6:53" ht="14.25" customHeight="1" x14ac:dyDescent="0.35">
      <c r="F89" s="159"/>
      <c r="BA89" s="160"/>
    </row>
    <row r="90" spans="6:53" ht="14.25" customHeight="1" x14ac:dyDescent="0.35">
      <c r="F90" s="159"/>
      <c r="BA90" s="160"/>
    </row>
    <row r="91" spans="6:53" ht="14.25" customHeight="1" x14ac:dyDescent="0.35">
      <c r="F91" s="159"/>
      <c r="BA91" s="160"/>
    </row>
    <row r="92" spans="6:53" ht="14.25" customHeight="1" x14ac:dyDescent="0.35">
      <c r="F92" s="159"/>
      <c r="BA92" s="160"/>
    </row>
    <row r="93" spans="6:53" ht="14.25" customHeight="1" x14ac:dyDescent="0.35">
      <c r="F93" s="159"/>
      <c r="BA93" s="160"/>
    </row>
    <row r="94" spans="6:53" ht="14.25" customHeight="1" x14ac:dyDescent="0.35">
      <c r="F94" s="159"/>
      <c r="BA94" s="160"/>
    </row>
    <row r="95" spans="6:53" ht="14.25" customHeight="1" x14ac:dyDescent="0.35">
      <c r="F95" s="159"/>
      <c r="BA95" s="160"/>
    </row>
    <row r="96" spans="6:53" ht="14.25" customHeight="1" x14ac:dyDescent="0.35">
      <c r="F96" s="159"/>
      <c r="BA96" s="160"/>
    </row>
    <row r="97" spans="6:53" ht="14.25" customHeight="1" x14ac:dyDescent="0.35">
      <c r="F97" s="159"/>
      <c r="BA97" s="160"/>
    </row>
    <row r="98" spans="6:53" ht="14.25" customHeight="1" x14ac:dyDescent="0.35">
      <c r="F98" s="159"/>
      <c r="BA98" s="160"/>
    </row>
    <row r="99" spans="6:53" ht="15" customHeight="1" x14ac:dyDescent="0.35">
      <c r="F99" s="178"/>
      <c r="G99" s="179"/>
      <c r="H99" s="179"/>
      <c r="I99" s="179"/>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80"/>
    </row>
  </sheetData>
  <conditionalFormatting sqref="B20:B49">
    <cfRule type="expression" dxfId="6" priority="2">
      <formula>A20=""</formula>
    </cfRule>
  </conditionalFormatting>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A9D18E"/>
  </sheetPr>
  <dimension ref="A1:AZ90"/>
  <sheetViews>
    <sheetView workbookViewId="0"/>
  </sheetViews>
  <sheetFormatPr defaultColWidth="9.1796875" defaultRowHeight="14.5" x14ac:dyDescent="0.35"/>
  <cols>
    <col min="1" max="1" width="26.453125" style="3" customWidth="1"/>
    <col min="2" max="2" width="28.81640625" style="3" customWidth="1"/>
    <col min="3" max="16384" width="9.1796875" style="3"/>
  </cols>
  <sheetData>
    <row r="1" spans="1:52" ht="19.5" customHeight="1" x14ac:dyDescent="0.45">
      <c r="A1" s="4" t="s">
        <v>11</v>
      </c>
    </row>
    <row r="2" spans="1:52" ht="15" customHeight="1" x14ac:dyDescent="0.35">
      <c r="A2" s="5" t="s">
        <v>469</v>
      </c>
      <c r="B2" s="5"/>
      <c r="C2" s="5"/>
      <c r="D2" s="5"/>
      <c r="E2" s="5"/>
      <c r="F2" s="5"/>
      <c r="G2" s="5"/>
      <c r="H2" s="5"/>
      <c r="I2" s="5"/>
      <c r="J2" s="5"/>
      <c r="K2" s="5"/>
    </row>
    <row r="3" spans="1:52" ht="14.25" customHeight="1" x14ac:dyDescent="0.35">
      <c r="A3" s="3" t="s">
        <v>2</v>
      </c>
    </row>
    <row r="4" spans="1:52" ht="14.25" customHeight="1" x14ac:dyDescent="0.35">
      <c r="A4" s="167" t="s">
        <v>463</v>
      </c>
      <c r="B4" s="5"/>
      <c r="C4" s="5"/>
      <c r="D4" s="5"/>
      <c r="E4" s="5"/>
      <c r="F4" s="5"/>
      <c r="G4" s="5"/>
      <c r="H4" s="5"/>
      <c r="I4" s="5"/>
      <c r="J4" s="5"/>
      <c r="K4" s="5"/>
      <c r="L4" s="5"/>
      <c r="M4" s="5"/>
      <c r="N4" s="5"/>
    </row>
    <row r="5" spans="1:52" ht="14.25" customHeight="1" x14ac:dyDescent="0.35">
      <c r="A5" s="168" t="s">
        <v>2</v>
      </c>
    </row>
    <row r="6" spans="1:52" ht="14.25" customHeight="1" x14ac:dyDescent="0.35">
      <c r="A6" s="167" t="s">
        <v>528</v>
      </c>
      <c r="B6" s="5"/>
      <c r="C6" s="5"/>
      <c r="D6" s="5"/>
      <c r="E6" s="5"/>
    </row>
    <row r="7" spans="1:52" ht="14.25" customHeight="1" x14ac:dyDescent="0.35">
      <c r="A7" s="167" t="s">
        <v>529</v>
      </c>
      <c r="B7" s="5"/>
      <c r="C7" s="5"/>
      <c r="D7" s="5"/>
      <c r="E7" s="5"/>
      <c r="F7" s="5"/>
      <c r="G7" s="5"/>
      <c r="H7" s="5"/>
    </row>
    <row r="8" spans="1:52" ht="14.25" customHeight="1" x14ac:dyDescent="0.35">
      <c r="A8" s="3" t="s">
        <v>2</v>
      </c>
    </row>
    <row r="9" spans="1:52" ht="15" customHeight="1" x14ac:dyDescent="0.35">
      <c r="A9" s="6" t="s">
        <v>530</v>
      </c>
    </row>
    <row r="10" spans="1:52" ht="14.25" customHeight="1" x14ac:dyDescent="0.35">
      <c r="A10" s="9" t="s">
        <v>4</v>
      </c>
      <c r="B10" s="23" t="s">
        <v>11</v>
      </c>
      <c r="E10" s="154" t="s">
        <v>453</v>
      </c>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6"/>
    </row>
    <row r="11" spans="1:52" ht="14.25" customHeight="1" x14ac:dyDescent="0.35">
      <c r="A11" s="10">
        <f>'Project Information'!$B$9</f>
        <v>2031</v>
      </c>
      <c r="B11" s="252">
        <v>0</v>
      </c>
      <c r="E11" s="159"/>
      <c r="AZ11" s="160"/>
    </row>
    <row r="12" spans="1:52" ht="14.25" customHeight="1" x14ac:dyDescent="0.35">
      <c r="A12" s="15">
        <f>IF(A11&lt;'Project Information'!B$11,A11+1,"")</f>
        <v>2032</v>
      </c>
      <c r="B12" s="252">
        <v>0</v>
      </c>
      <c r="E12" s="159"/>
      <c r="AZ12" s="160"/>
    </row>
    <row r="13" spans="1:52" ht="14.25" customHeight="1" x14ac:dyDescent="0.35">
      <c r="A13" s="15">
        <f>IF(A12&lt;'Project Information'!B$11,A12+1,"")</f>
        <v>2033</v>
      </c>
      <c r="B13" s="252">
        <v>0</v>
      </c>
      <c r="E13" s="159"/>
      <c r="AZ13" s="160"/>
    </row>
    <row r="14" spans="1:52" ht="14.25" customHeight="1" x14ac:dyDescent="0.35">
      <c r="A14" s="15">
        <f>IF(A13&lt;'Project Information'!B$11,A13+1,"")</f>
        <v>2034</v>
      </c>
      <c r="B14" s="252">
        <v>0</v>
      </c>
      <c r="E14" s="159"/>
      <c r="AZ14" s="160"/>
    </row>
    <row r="15" spans="1:52" ht="14.25" customHeight="1" x14ac:dyDescent="0.35">
      <c r="A15" s="15">
        <f>IF(A14&lt;'Project Information'!B$11,A14+1,"")</f>
        <v>2035</v>
      </c>
      <c r="B15" s="252">
        <v>0</v>
      </c>
      <c r="E15" s="159"/>
      <c r="AZ15" s="160"/>
    </row>
    <row r="16" spans="1:52" ht="14.25" customHeight="1" x14ac:dyDescent="0.35">
      <c r="A16" s="15">
        <f>IF(A15&lt;'Project Information'!B$11,A15+1,"")</f>
        <v>2036</v>
      </c>
      <c r="B16" s="252">
        <v>0</v>
      </c>
      <c r="E16" s="159"/>
      <c r="AZ16" s="160"/>
    </row>
    <row r="17" spans="1:52" ht="14.25" customHeight="1" x14ac:dyDescent="0.35">
      <c r="A17" s="15">
        <f>IF(A16&lt;'Project Information'!B$11,A16+1,"")</f>
        <v>2037</v>
      </c>
      <c r="B17" s="252">
        <v>0</v>
      </c>
      <c r="E17" s="159"/>
      <c r="AZ17" s="160"/>
    </row>
    <row r="18" spans="1:52" ht="14.25" customHeight="1" x14ac:dyDescent="0.35">
      <c r="A18" s="15">
        <f>IF(A17&lt;'Project Information'!B$11,A17+1,"")</f>
        <v>2038</v>
      </c>
      <c r="B18" s="252">
        <v>0</v>
      </c>
      <c r="E18" s="159"/>
      <c r="AZ18" s="160"/>
    </row>
    <row r="19" spans="1:52" ht="14.25" customHeight="1" x14ac:dyDescent="0.35">
      <c r="A19" s="15">
        <f>IF(A18&lt;'Project Information'!B$11,A18+1,"")</f>
        <v>2039</v>
      </c>
      <c r="B19" s="252">
        <v>0</v>
      </c>
      <c r="E19" s="159"/>
      <c r="AZ19" s="160"/>
    </row>
    <row r="20" spans="1:52" ht="14.25" customHeight="1" x14ac:dyDescent="0.35">
      <c r="A20" s="15">
        <f>IF(A19&lt;'Project Information'!B$11,A19+1,"")</f>
        <v>2040</v>
      </c>
      <c r="B20" s="252">
        <v>0</v>
      </c>
      <c r="E20" s="159"/>
      <c r="AZ20" s="160"/>
    </row>
    <row r="21" spans="1:52" ht="14.25" customHeight="1" x14ac:dyDescent="0.35">
      <c r="A21" s="15">
        <f>IF(A20&lt;'Project Information'!B$11,A20+1,"")</f>
        <v>2041</v>
      </c>
      <c r="B21" s="252">
        <v>0</v>
      </c>
      <c r="E21" s="159"/>
      <c r="AZ21" s="160"/>
    </row>
    <row r="22" spans="1:52" ht="14.25" customHeight="1" x14ac:dyDescent="0.35">
      <c r="A22" s="15">
        <f>IF(A21&lt;'Project Information'!B$11,A21+1,"")</f>
        <v>2042</v>
      </c>
      <c r="B22" s="252">
        <v>0</v>
      </c>
      <c r="E22" s="159"/>
      <c r="AZ22" s="160"/>
    </row>
    <row r="23" spans="1:52" ht="14.25" customHeight="1" x14ac:dyDescent="0.35">
      <c r="A23" s="15">
        <f>IF(A22&lt;'Project Information'!B$11,A22+1,"")</f>
        <v>2043</v>
      </c>
      <c r="B23" s="252">
        <v>0</v>
      </c>
      <c r="E23" s="159"/>
      <c r="AZ23" s="160"/>
    </row>
    <row r="24" spans="1:52" ht="14.25" customHeight="1" x14ac:dyDescent="0.35">
      <c r="A24" s="15">
        <f>IF(A23&lt;'Project Information'!B$11,A23+1,"")</f>
        <v>2044</v>
      </c>
      <c r="B24" s="252">
        <v>0</v>
      </c>
      <c r="E24" s="159"/>
      <c r="AZ24" s="160"/>
    </row>
    <row r="25" spans="1:52" ht="14.25" customHeight="1" x14ac:dyDescent="0.35">
      <c r="A25" s="15">
        <f>IF(A24&lt;'Project Information'!B$11,A24+1,"")</f>
        <v>2045</v>
      </c>
      <c r="B25" s="252">
        <v>0</v>
      </c>
      <c r="E25" s="159"/>
      <c r="AZ25" s="160"/>
    </row>
    <row r="26" spans="1:52" ht="14.25" customHeight="1" x14ac:dyDescent="0.35">
      <c r="A26" s="15">
        <f>IF(A25&lt;'Project Information'!B$11,A25+1,"")</f>
        <v>2046</v>
      </c>
      <c r="B26" s="252">
        <v>0</v>
      </c>
      <c r="E26" s="159"/>
      <c r="AZ26" s="160"/>
    </row>
    <row r="27" spans="1:52" ht="14.25" customHeight="1" x14ac:dyDescent="0.35">
      <c r="A27" s="15">
        <f>IF(A26&lt;'Project Information'!B$11,A26+1,"")</f>
        <v>2047</v>
      </c>
      <c r="B27" s="252">
        <v>0</v>
      </c>
      <c r="E27" s="159"/>
      <c r="AZ27" s="160"/>
    </row>
    <row r="28" spans="1:52" ht="14.25" customHeight="1" x14ac:dyDescent="0.35">
      <c r="A28" s="15">
        <f>IF(A27&lt;'Project Information'!B$11,A27+1,"")</f>
        <v>2048</v>
      </c>
      <c r="B28" s="252">
        <v>0</v>
      </c>
      <c r="E28" s="159"/>
      <c r="AZ28" s="160"/>
    </row>
    <row r="29" spans="1:52" ht="14.25" customHeight="1" x14ac:dyDescent="0.35">
      <c r="A29" s="15">
        <f>IF(A28&lt;'Project Information'!B$11,A28+1,"")</f>
        <v>2049</v>
      </c>
      <c r="B29" s="252">
        <v>0</v>
      </c>
      <c r="E29" s="159"/>
      <c r="AZ29" s="160"/>
    </row>
    <row r="30" spans="1:52" ht="14.25" customHeight="1" x14ac:dyDescent="0.35">
      <c r="A30" s="15">
        <f>IF(A29&lt;'Project Information'!B$11,A29+1,"")</f>
        <v>2050</v>
      </c>
      <c r="B30" s="252">
        <v>0</v>
      </c>
      <c r="E30" s="159"/>
      <c r="AZ30" s="160"/>
    </row>
    <row r="31" spans="1:52" ht="14.25" customHeight="1" x14ac:dyDescent="0.35">
      <c r="A31" s="15">
        <f>IF(A30&lt;'Project Information'!B$11,A30+1,"")</f>
        <v>2051</v>
      </c>
      <c r="B31" s="252">
        <v>0</v>
      </c>
      <c r="E31" s="159"/>
      <c r="AZ31" s="160"/>
    </row>
    <row r="32" spans="1:52" ht="14.25" customHeight="1" x14ac:dyDescent="0.35">
      <c r="A32" s="15">
        <f>IF(A31&lt;'Project Information'!B$11,A31+1,"")</f>
        <v>2052</v>
      </c>
      <c r="B32" s="252">
        <v>0</v>
      </c>
      <c r="E32" s="159"/>
      <c r="AZ32" s="160"/>
    </row>
    <row r="33" spans="1:52" ht="14.25" customHeight="1" x14ac:dyDescent="0.35">
      <c r="A33" s="15">
        <f>IF(A32&lt;'Project Information'!B$11,A32+1,"")</f>
        <v>2053</v>
      </c>
      <c r="B33" s="252">
        <v>0</v>
      </c>
      <c r="E33" s="159"/>
      <c r="AZ33" s="160"/>
    </row>
    <row r="34" spans="1:52" ht="14.25" customHeight="1" x14ac:dyDescent="0.35">
      <c r="A34" s="15">
        <f>IF(A33&lt;'Project Information'!B$11,A33+1,"")</f>
        <v>2054</v>
      </c>
      <c r="B34" s="252">
        <v>0</v>
      </c>
      <c r="E34" s="159"/>
      <c r="AZ34" s="160"/>
    </row>
    <row r="35" spans="1:52" ht="14.25" customHeight="1" x14ac:dyDescent="0.35">
      <c r="A35" s="15">
        <f>IF(A34&lt;'Project Information'!B$11,A34+1,"")</f>
        <v>2055</v>
      </c>
      <c r="B35" s="252">
        <v>0</v>
      </c>
      <c r="E35" s="159"/>
      <c r="AZ35" s="160"/>
    </row>
    <row r="36" spans="1:52" ht="14.25" customHeight="1" x14ac:dyDescent="0.35">
      <c r="A36" s="15">
        <f>IF(A35&lt;'Project Information'!B$11,A35+1,"")</f>
        <v>2056</v>
      </c>
      <c r="B36" s="252">
        <v>0</v>
      </c>
      <c r="E36" s="159"/>
      <c r="AZ36" s="160"/>
    </row>
    <row r="37" spans="1:52" ht="14.25" customHeight="1" x14ac:dyDescent="0.35">
      <c r="A37" s="15">
        <f>IF(A36&lt;'Project Information'!B$11,A36+1,"")</f>
        <v>2057</v>
      </c>
      <c r="B37" s="252">
        <v>0</v>
      </c>
      <c r="E37" s="159"/>
      <c r="AZ37" s="160"/>
    </row>
    <row r="38" spans="1:52" ht="14.25" customHeight="1" x14ac:dyDescent="0.35">
      <c r="A38" s="15">
        <f>IF(A37&lt;'Project Information'!B$11,A37+1,"")</f>
        <v>2058</v>
      </c>
      <c r="B38" s="252">
        <v>0</v>
      </c>
      <c r="E38" s="159"/>
      <c r="AZ38" s="160"/>
    </row>
    <row r="39" spans="1:52" ht="14.25" customHeight="1" x14ac:dyDescent="0.35">
      <c r="A39" s="15">
        <f>IF(A38&lt;'Project Information'!B$11,A38+1,"")</f>
        <v>2059</v>
      </c>
      <c r="B39" s="252">
        <v>0</v>
      </c>
      <c r="E39" s="159"/>
      <c r="AZ39" s="160"/>
    </row>
    <row r="40" spans="1:52" ht="14.25" customHeight="1" x14ac:dyDescent="0.35">
      <c r="A40" s="89">
        <f>IF(A39&lt;'Project Information'!B$11,A39+1,"")</f>
        <v>2060</v>
      </c>
      <c r="B40" s="170">
        <v>0</v>
      </c>
      <c r="E40" s="159"/>
      <c r="AZ40" s="160"/>
    </row>
    <row r="41" spans="1:52" ht="14.25" customHeight="1" x14ac:dyDescent="0.35">
      <c r="E41" s="159"/>
      <c r="AZ41" s="160"/>
    </row>
    <row r="42" spans="1:52" ht="14.25" customHeight="1" x14ac:dyDescent="0.35">
      <c r="E42" s="159"/>
      <c r="AZ42" s="160"/>
    </row>
    <row r="43" spans="1:52" ht="14.25" customHeight="1" x14ac:dyDescent="0.35">
      <c r="E43" s="159"/>
      <c r="AZ43" s="160"/>
    </row>
    <row r="44" spans="1:52" ht="14.25" customHeight="1" x14ac:dyDescent="0.35">
      <c r="E44" s="159"/>
      <c r="AZ44" s="160"/>
    </row>
    <row r="45" spans="1:52" ht="14.25" customHeight="1" x14ac:dyDescent="0.35">
      <c r="E45" s="159"/>
      <c r="AZ45" s="160"/>
    </row>
    <row r="46" spans="1:52" ht="14.25" customHeight="1" x14ac:dyDescent="0.35">
      <c r="E46" s="159"/>
      <c r="AZ46" s="160"/>
    </row>
    <row r="47" spans="1:52" ht="14.25" customHeight="1" x14ac:dyDescent="0.35">
      <c r="E47" s="159"/>
      <c r="AZ47" s="160"/>
    </row>
    <row r="48" spans="1:52" ht="14.25" customHeight="1" x14ac:dyDescent="0.35">
      <c r="E48" s="159"/>
      <c r="AZ48" s="160"/>
    </row>
    <row r="49" spans="5:52" ht="14.25" customHeight="1" x14ac:dyDescent="0.35">
      <c r="E49" s="159"/>
      <c r="AZ49" s="160"/>
    </row>
    <row r="50" spans="5:52" ht="14.25" customHeight="1" x14ac:dyDescent="0.35">
      <c r="E50" s="159"/>
      <c r="AZ50" s="160"/>
    </row>
    <row r="51" spans="5:52" ht="14.25" customHeight="1" x14ac:dyDescent="0.35">
      <c r="E51" s="159"/>
      <c r="AZ51" s="160"/>
    </row>
    <row r="52" spans="5:52" ht="14.25" customHeight="1" x14ac:dyDescent="0.35">
      <c r="E52" s="159"/>
      <c r="AZ52" s="160"/>
    </row>
    <row r="53" spans="5:52" ht="14.25" customHeight="1" x14ac:dyDescent="0.35">
      <c r="E53" s="159"/>
      <c r="AZ53" s="160"/>
    </row>
    <row r="54" spans="5:52" ht="14.25" customHeight="1" x14ac:dyDescent="0.35">
      <c r="E54" s="159"/>
      <c r="AZ54" s="160"/>
    </row>
    <row r="55" spans="5:52" ht="14.25" customHeight="1" x14ac:dyDescent="0.35">
      <c r="E55" s="159"/>
      <c r="AZ55" s="160"/>
    </row>
    <row r="56" spans="5:52" ht="14.25" customHeight="1" x14ac:dyDescent="0.35">
      <c r="E56" s="159"/>
      <c r="AZ56" s="160"/>
    </row>
    <row r="57" spans="5:52" ht="14.25" customHeight="1" x14ac:dyDescent="0.35">
      <c r="E57" s="159"/>
      <c r="AZ57" s="160"/>
    </row>
    <row r="58" spans="5:52" ht="14.25" customHeight="1" x14ac:dyDescent="0.35">
      <c r="E58" s="159"/>
      <c r="AZ58" s="160"/>
    </row>
    <row r="59" spans="5:52" ht="14.25" customHeight="1" x14ac:dyDescent="0.35">
      <c r="E59" s="159"/>
      <c r="AZ59" s="160"/>
    </row>
    <row r="60" spans="5:52" ht="14.25" customHeight="1" x14ac:dyDescent="0.35">
      <c r="E60" s="159"/>
      <c r="AZ60" s="160"/>
    </row>
    <row r="61" spans="5:52" ht="14.25" customHeight="1" x14ac:dyDescent="0.35">
      <c r="E61" s="159"/>
      <c r="AZ61" s="160"/>
    </row>
    <row r="62" spans="5:52" ht="14.25" customHeight="1" x14ac:dyDescent="0.35">
      <c r="E62" s="159"/>
      <c r="AZ62" s="160"/>
    </row>
    <row r="63" spans="5:52" ht="14.25" customHeight="1" x14ac:dyDescent="0.35">
      <c r="E63" s="159"/>
      <c r="AZ63" s="160"/>
    </row>
    <row r="64" spans="5: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4.25" customHeight="1" x14ac:dyDescent="0.35">
      <c r="E87" s="159"/>
      <c r="AZ87" s="160"/>
    </row>
    <row r="88" spans="5:52" ht="14.25" customHeight="1" x14ac:dyDescent="0.35">
      <c r="E88" s="159"/>
      <c r="AZ88" s="160"/>
    </row>
    <row r="89" spans="5:52" ht="14.25" customHeight="1" x14ac:dyDescent="0.35">
      <c r="E89" s="159"/>
      <c r="AZ89" s="160"/>
    </row>
    <row r="90" spans="5:52" ht="15" customHeight="1" x14ac:dyDescent="0.35">
      <c r="E90" s="178"/>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179"/>
      <c r="AX90" s="179"/>
      <c r="AY90" s="179"/>
      <c r="AZ90" s="180"/>
    </row>
  </sheetData>
  <conditionalFormatting sqref="B11:B40">
    <cfRule type="expression" dxfId="5" priority="2">
      <formula>A11=""</formula>
    </cfRule>
  </conditionalFormatting>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A9D18E"/>
  </sheetPr>
  <dimension ref="A1:AZ94"/>
  <sheetViews>
    <sheetView workbookViewId="0"/>
  </sheetViews>
  <sheetFormatPr defaultColWidth="9.1796875" defaultRowHeight="14.5" x14ac:dyDescent="0.35"/>
  <cols>
    <col min="1" max="1" width="27.26953125" style="3" customWidth="1"/>
    <col min="2" max="2" width="40.7265625" style="3" customWidth="1"/>
    <col min="3" max="3" width="24.453125" style="3" customWidth="1"/>
    <col min="4" max="16384" width="9.1796875" style="3"/>
  </cols>
  <sheetData>
    <row r="1" spans="1:52" ht="19.5" customHeight="1" x14ac:dyDescent="0.45">
      <c r="A1" s="4" t="s">
        <v>12</v>
      </c>
    </row>
    <row r="2" spans="1:52" ht="15" customHeight="1" x14ac:dyDescent="0.35">
      <c r="A2" s="5" t="s">
        <v>469</v>
      </c>
      <c r="B2" s="5"/>
      <c r="C2" s="5"/>
      <c r="D2" s="5"/>
      <c r="E2" s="5"/>
      <c r="F2" s="5"/>
      <c r="G2" s="5"/>
      <c r="H2" s="5"/>
    </row>
    <row r="3" spans="1:52" ht="14.25" customHeight="1" x14ac:dyDescent="0.35">
      <c r="A3" s="3" t="s">
        <v>2</v>
      </c>
    </row>
    <row r="4" spans="1:52" ht="14.25" customHeight="1" x14ac:dyDescent="0.35">
      <c r="A4" s="167" t="s">
        <v>463</v>
      </c>
      <c r="B4" s="5"/>
      <c r="C4" s="5"/>
      <c r="D4" s="5"/>
      <c r="E4" s="5"/>
      <c r="F4" s="5"/>
      <c r="G4" s="5"/>
      <c r="H4" s="5"/>
      <c r="I4" s="5"/>
      <c r="J4" s="5"/>
      <c r="K4" s="5"/>
    </row>
    <row r="5" spans="1:52" ht="14.25" customHeight="1" x14ac:dyDescent="0.35">
      <c r="A5" s="168" t="s">
        <v>2</v>
      </c>
    </row>
    <row r="6" spans="1:52" ht="14.25" customHeight="1" x14ac:dyDescent="0.35">
      <c r="A6" s="6" t="s">
        <v>470</v>
      </c>
    </row>
    <row r="7" spans="1:52" ht="28.5" customHeight="1" x14ac:dyDescent="0.35">
      <c r="A7" s="245" t="s">
        <v>412</v>
      </c>
      <c r="B7" s="245" t="s">
        <v>531</v>
      </c>
      <c r="C7" s="253" t="s">
        <v>532</v>
      </c>
    </row>
    <row r="8" spans="1:52" ht="14.25" customHeight="1" x14ac:dyDescent="0.35">
      <c r="A8" s="93" t="s">
        <v>533</v>
      </c>
      <c r="B8" s="93" t="str">
        <f>'Parameter Values'!B220</f>
        <v>Ages 20-74</v>
      </c>
      <c r="C8" s="251">
        <f>'Parameter Values'!C220</f>
        <v>8.36</v>
      </c>
    </row>
    <row r="9" spans="1:52" ht="14.25" customHeight="1" x14ac:dyDescent="0.35">
      <c r="A9" s="93" t="s">
        <v>534</v>
      </c>
      <c r="B9" s="93" t="str">
        <f>'Parameter Values'!B221</f>
        <v>Ages 20-64</v>
      </c>
      <c r="C9" s="251">
        <f>'Parameter Values'!C221</f>
        <v>7.45</v>
      </c>
    </row>
    <row r="10" spans="1:52" ht="14.25" customHeight="1" x14ac:dyDescent="0.35">
      <c r="A10" s="5" t="str">
        <f>RIGHT('Parameter Values'!A225,LEN('Parameter Values'!A225)-5)</f>
        <v>Absent more localized data on the proportion of the expected users falling into the age ranges above, applicants may apply a general assumption of 68% and 59% of overall induced trips falling into the walking and cycling age ranges, respectively, assuming a distribution matching the national average.</v>
      </c>
      <c r="B10" s="5"/>
      <c r="C10" s="5"/>
      <c r="D10" s="5"/>
      <c r="E10" s="5"/>
      <c r="F10" s="5"/>
      <c r="G10" s="5"/>
      <c r="H10" s="5"/>
      <c r="I10" s="5"/>
      <c r="J10" s="5"/>
      <c r="K10" s="5"/>
      <c r="L10" s="5"/>
      <c r="M10" s="5"/>
      <c r="N10" s="5"/>
      <c r="O10" s="5"/>
      <c r="P10" s="5"/>
      <c r="Q10" s="5"/>
      <c r="R10" s="5"/>
      <c r="S10" s="5"/>
      <c r="T10" s="5"/>
      <c r="U10" s="5"/>
      <c r="V10" s="5"/>
      <c r="W10" s="5"/>
    </row>
    <row r="11" spans="1:52" ht="14.25" customHeight="1" x14ac:dyDescent="0.35">
      <c r="A11" s="5" t="str">
        <f>RIGHT('Parameter Values'!A226,LEN('Parameter Values'!A226)-5)</f>
        <v xml:space="preserve">Applicants should ensure these monetization values are only applied to trips induced from non-active transportation modes within the relevant age ranges for each mode. Absent more localized data on the proportion of induced trips coming from non-active transportation modes, applicants may apply a general assumption of 89% of induced trips falling into that category, assuming a distribution matching the national average travel pattern. </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52" ht="14.25" customHeight="1" x14ac:dyDescent="0.35">
      <c r="A12" s="168" t="s">
        <v>2</v>
      </c>
    </row>
    <row r="13" spans="1:52" ht="15" customHeight="1" x14ac:dyDescent="0.35">
      <c r="A13" s="6" t="s">
        <v>535</v>
      </c>
    </row>
    <row r="14" spans="1:52" ht="14.25" customHeight="1" x14ac:dyDescent="0.35">
      <c r="A14" s="9" t="s">
        <v>4</v>
      </c>
      <c r="B14" s="23" t="s">
        <v>12</v>
      </c>
      <c r="E14" s="154" t="s">
        <v>453</v>
      </c>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6"/>
    </row>
    <row r="15" spans="1:52" ht="14.25" customHeight="1" x14ac:dyDescent="0.35">
      <c r="A15" s="10">
        <f>'Project Information'!$B$9</f>
        <v>2031</v>
      </c>
      <c r="B15" s="252">
        <v>0</v>
      </c>
      <c r="E15" s="159"/>
      <c r="AZ15" s="160"/>
    </row>
    <row r="16" spans="1:52" ht="14.25" customHeight="1" x14ac:dyDescent="0.35">
      <c r="A16" s="15">
        <f>IF(A15&lt;'Project Information'!B$11,A15+1,"")</f>
        <v>2032</v>
      </c>
      <c r="B16" s="252">
        <v>0</v>
      </c>
      <c r="E16" s="159"/>
      <c r="AZ16" s="160"/>
    </row>
    <row r="17" spans="1:52" ht="14.25" customHeight="1" x14ac:dyDescent="0.35">
      <c r="A17" s="15">
        <f>IF(A16&lt;'Project Information'!B$11,A16+1,"")</f>
        <v>2033</v>
      </c>
      <c r="B17" s="252">
        <v>0</v>
      </c>
      <c r="E17" s="159"/>
      <c r="AZ17" s="160"/>
    </row>
    <row r="18" spans="1:52" ht="14.25" customHeight="1" x14ac:dyDescent="0.35">
      <c r="A18" s="15">
        <f>IF(A17&lt;'Project Information'!B$11,A17+1,"")</f>
        <v>2034</v>
      </c>
      <c r="B18" s="252">
        <v>0</v>
      </c>
      <c r="E18" s="159"/>
      <c r="AZ18" s="160"/>
    </row>
    <row r="19" spans="1:52" ht="14.25" customHeight="1" x14ac:dyDescent="0.35">
      <c r="A19" s="15">
        <f>IF(A18&lt;'Project Information'!B$11,A18+1,"")</f>
        <v>2035</v>
      </c>
      <c r="B19" s="252">
        <v>0</v>
      </c>
      <c r="E19" s="159"/>
      <c r="AZ19" s="160"/>
    </row>
    <row r="20" spans="1:52" ht="14.25" customHeight="1" x14ac:dyDescent="0.35">
      <c r="A20" s="15">
        <f>IF(A19&lt;'Project Information'!B$11,A19+1,"")</f>
        <v>2036</v>
      </c>
      <c r="B20" s="252">
        <v>0</v>
      </c>
      <c r="E20" s="159"/>
      <c r="AZ20" s="160"/>
    </row>
    <row r="21" spans="1:52" ht="14.25" customHeight="1" x14ac:dyDescent="0.35">
      <c r="A21" s="15">
        <f>IF(A20&lt;'Project Information'!B$11,A20+1,"")</f>
        <v>2037</v>
      </c>
      <c r="B21" s="252">
        <v>0</v>
      </c>
      <c r="E21" s="159"/>
      <c r="AZ21" s="160"/>
    </row>
    <row r="22" spans="1:52" ht="14.25" customHeight="1" x14ac:dyDescent="0.35">
      <c r="A22" s="15">
        <f>IF(A21&lt;'Project Information'!B$11,A21+1,"")</f>
        <v>2038</v>
      </c>
      <c r="B22" s="252">
        <v>0</v>
      </c>
      <c r="E22" s="159"/>
      <c r="AZ22" s="160"/>
    </row>
    <row r="23" spans="1:52" ht="14.25" customHeight="1" x14ac:dyDescent="0.35">
      <c r="A23" s="15">
        <f>IF(A22&lt;'Project Information'!B$11,A22+1,"")</f>
        <v>2039</v>
      </c>
      <c r="B23" s="252">
        <v>0</v>
      </c>
      <c r="E23" s="159"/>
      <c r="AZ23" s="160"/>
    </row>
    <row r="24" spans="1:52" ht="14.25" customHeight="1" x14ac:dyDescent="0.35">
      <c r="A24" s="15">
        <f>IF(A23&lt;'Project Information'!B$11,A23+1,"")</f>
        <v>2040</v>
      </c>
      <c r="B24" s="252">
        <v>0</v>
      </c>
      <c r="E24" s="159"/>
      <c r="AZ24" s="160"/>
    </row>
    <row r="25" spans="1:52" ht="14.25" customHeight="1" x14ac:dyDescent="0.35">
      <c r="A25" s="15">
        <f>IF(A24&lt;'Project Information'!B$11,A24+1,"")</f>
        <v>2041</v>
      </c>
      <c r="B25" s="252">
        <v>0</v>
      </c>
      <c r="E25" s="159"/>
      <c r="AZ25" s="160"/>
    </row>
    <row r="26" spans="1:52" ht="14.25" customHeight="1" x14ac:dyDescent="0.35">
      <c r="A26" s="15">
        <f>IF(A25&lt;'Project Information'!B$11,A25+1,"")</f>
        <v>2042</v>
      </c>
      <c r="B26" s="252">
        <v>0</v>
      </c>
      <c r="E26" s="159"/>
      <c r="AZ26" s="160"/>
    </row>
    <row r="27" spans="1:52" ht="14.25" customHeight="1" x14ac:dyDescent="0.35">
      <c r="A27" s="15">
        <f>IF(A26&lt;'Project Information'!B$11,A26+1,"")</f>
        <v>2043</v>
      </c>
      <c r="B27" s="252">
        <v>0</v>
      </c>
      <c r="E27" s="159"/>
      <c r="AZ27" s="160"/>
    </row>
    <row r="28" spans="1:52" ht="14.25" customHeight="1" x14ac:dyDescent="0.35">
      <c r="A28" s="15">
        <f>IF(A27&lt;'Project Information'!B$11,A27+1,"")</f>
        <v>2044</v>
      </c>
      <c r="B28" s="252">
        <v>0</v>
      </c>
      <c r="E28" s="159"/>
      <c r="AZ28" s="160"/>
    </row>
    <row r="29" spans="1:52" ht="14.25" customHeight="1" x14ac:dyDescent="0.35">
      <c r="A29" s="15">
        <f>IF(A28&lt;'Project Information'!B$11,A28+1,"")</f>
        <v>2045</v>
      </c>
      <c r="B29" s="252">
        <v>0</v>
      </c>
      <c r="E29" s="159"/>
      <c r="AZ29" s="160"/>
    </row>
    <row r="30" spans="1:52" ht="14.25" customHeight="1" x14ac:dyDescent="0.35">
      <c r="A30" s="15">
        <f>IF(A29&lt;'Project Information'!B$11,A29+1,"")</f>
        <v>2046</v>
      </c>
      <c r="B30" s="252">
        <v>0</v>
      </c>
      <c r="E30" s="159"/>
      <c r="AZ30" s="160"/>
    </row>
    <row r="31" spans="1:52" ht="14.25" customHeight="1" x14ac:dyDescent="0.35">
      <c r="A31" s="15">
        <f>IF(A30&lt;'Project Information'!B$11,A30+1,"")</f>
        <v>2047</v>
      </c>
      <c r="B31" s="252">
        <v>0</v>
      </c>
      <c r="E31" s="159"/>
      <c r="AZ31" s="160"/>
    </row>
    <row r="32" spans="1:52" ht="14.25" customHeight="1" x14ac:dyDescent="0.35">
      <c r="A32" s="15">
        <f>IF(A31&lt;'Project Information'!B$11,A31+1,"")</f>
        <v>2048</v>
      </c>
      <c r="B32" s="252">
        <v>0</v>
      </c>
      <c r="E32" s="159"/>
      <c r="AZ32" s="160"/>
    </row>
    <row r="33" spans="1:52" ht="14.25" customHeight="1" x14ac:dyDescent="0.35">
      <c r="A33" s="15">
        <f>IF(A32&lt;'Project Information'!B$11,A32+1,"")</f>
        <v>2049</v>
      </c>
      <c r="B33" s="252">
        <v>0</v>
      </c>
      <c r="E33" s="159"/>
      <c r="AZ33" s="160"/>
    </row>
    <row r="34" spans="1:52" ht="14.25" customHeight="1" x14ac:dyDescent="0.35">
      <c r="A34" s="15">
        <f>IF(A33&lt;'Project Information'!B$11,A33+1,"")</f>
        <v>2050</v>
      </c>
      <c r="B34" s="252">
        <v>0</v>
      </c>
      <c r="E34" s="159"/>
      <c r="AZ34" s="160"/>
    </row>
    <row r="35" spans="1:52" ht="14.25" customHeight="1" x14ac:dyDescent="0.35">
      <c r="A35" s="15">
        <f>IF(A34&lt;'Project Information'!B$11,A34+1,"")</f>
        <v>2051</v>
      </c>
      <c r="B35" s="252">
        <v>0</v>
      </c>
      <c r="E35" s="159"/>
      <c r="AZ35" s="160"/>
    </row>
    <row r="36" spans="1:52" ht="14.25" customHeight="1" x14ac:dyDescent="0.35">
      <c r="A36" s="15">
        <f>IF(A35&lt;'Project Information'!B$11,A35+1,"")</f>
        <v>2052</v>
      </c>
      <c r="B36" s="252">
        <v>0</v>
      </c>
      <c r="E36" s="159"/>
      <c r="AZ36" s="160"/>
    </row>
    <row r="37" spans="1:52" ht="14.25" customHeight="1" x14ac:dyDescent="0.35">
      <c r="A37" s="15">
        <f>IF(A36&lt;'Project Information'!B$11,A36+1,"")</f>
        <v>2053</v>
      </c>
      <c r="B37" s="252">
        <v>0</v>
      </c>
      <c r="E37" s="159"/>
      <c r="AZ37" s="160"/>
    </row>
    <row r="38" spans="1:52" ht="14.25" customHeight="1" x14ac:dyDescent="0.35">
      <c r="A38" s="15">
        <f>IF(A37&lt;'Project Information'!B$11,A37+1,"")</f>
        <v>2054</v>
      </c>
      <c r="B38" s="252">
        <v>0</v>
      </c>
      <c r="E38" s="159"/>
      <c r="AZ38" s="160"/>
    </row>
    <row r="39" spans="1:52" ht="14.25" customHeight="1" x14ac:dyDescent="0.35">
      <c r="A39" s="15">
        <f>IF(A38&lt;'Project Information'!B$11,A38+1,"")</f>
        <v>2055</v>
      </c>
      <c r="B39" s="252">
        <v>0</v>
      </c>
      <c r="E39" s="159"/>
      <c r="AZ39" s="160"/>
    </row>
    <row r="40" spans="1:52" ht="14.25" customHeight="1" x14ac:dyDescent="0.35">
      <c r="A40" s="15">
        <f>IF(A39&lt;'Project Information'!B$11,A39+1,"")</f>
        <v>2056</v>
      </c>
      <c r="B40" s="252">
        <v>0</v>
      </c>
      <c r="E40" s="159"/>
      <c r="AZ40" s="160"/>
    </row>
    <row r="41" spans="1:52" ht="14.25" customHeight="1" x14ac:dyDescent="0.35">
      <c r="A41" s="15">
        <f>IF(A40&lt;'Project Information'!B$11,A40+1,"")</f>
        <v>2057</v>
      </c>
      <c r="B41" s="252">
        <v>0</v>
      </c>
      <c r="E41" s="159"/>
      <c r="AZ41" s="160"/>
    </row>
    <row r="42" spans="1:52" ht="14.25" customHeight="1" x14ac:dyDescent="0.35">
      <c r="A42" s="15">
        <f>IF(A41&lt;'Project Information'!B$11,A41+1,"")</f>
        <v>2058</v>
      </c>
      <c r="B42" s="252">
        <v>0</v>
      </c>
      <c r="E42" s="159"/>
      <c r="AZ42" s="160"/>
    </row>
    <row r="43" spans="1:52" ht="14.25" customHeight="1" x14ac:dyDescent="0.35">
      <c r="A43" s="15">
        <f>IF(A42&lt;'Project Information'!B$11,A42+1,"")</f>
        <v>2059</v>
      </c>
      <c r="B43" s="252">
        <v>0</v>
      </c>
      <c r="E43" s="159"/>
      <c r="AZ43" s="160"/>
    </row>
    <row r="44" spans="1:52" ht="14.25" customHeight="1" x14ac:dyDescent="0.35">
      <c r="A44" s="89">
        <f>IF(A43&lt;'Project Information'!B$11,A43+1,"")</f>
        <v>2060</v>
      </c>
      <c r="B44" s="170">
        <v>0</v>
      </c>
      <c r="E44" s="159"/>
      <c r="AZ44" s="160"/>
    </row>
    <row r="45" spans="1:52" ht="14.25" customHeight="1" x14ac:dyDescent="0.35">
      <c r="E45" s="159"/>
      <c r="AZ45" s="160"/>
    </row>
    <row r="46" spans="1:52" ht="14.25" customHeight="1" x14ac:dyDescent="0.35">
      <c r="E46" s="159"/>
      <c r="AZ46" s="160"/>
    </row>
    <row r="47" spans="1:52" ht="14.25" customHeight="1" x14ac:dyDescent="0.35">
      <c r="E47" s="159"/>
      <c r="AZ47" s="160"/>
    </row>
    <row r="48" spans="1:52" ht="14.25" customHeight="1" x14ac:dyDescent="0.35">
      <c r="E48" s="159"/>
      <c r="AZ48" s="160"/>
    </row>
    <row r="49" spans="5:52" ht="14.25" customHeight="1" x14ac:dyDescent="0.35">
      <c r="E49" s="159"/>
      <c r="AZ49" s="160"/>
    </row>
    <row r="50" spans="5:52" ht="14.25" customHeight="1" x14ac:dyDescent="0.35">
      <c r="E50" s="159"/>
      <c r="AZ50" s="160"/>
    </row>
    <row r="51" spans="5:52" ht="14.25" customHeight="1" x14ac:dyDescent="0.35">
      <c r="E51" s="159"/>
      <c r="AZ51" s="160"/>
    </row>
    <row r="52" spans="5:52" ht="14.25" customHeight="1" x14ac:dyDescent="0.35">
      <c r="E52" s="159"/>
      <c r="AZ52" s="160"/>
    </row>
    <row r="53" spans="5:52" ht="14.25" customHeight="1" x14ac:dyDescent="0.35">
      <c r="E53" s="159"/>
      <c r="AZ53" s="160"/>
    </row>
    <row r="54" spans="5:52" ht="14.25" customHeight="1" x14ac:dyDescent="0.35">
      <c r="E54" s="159"/>
      <c r="AZ54" s="160"/>
    </row>
    <row r="55" spans="5:52" ht="14.25" customHeight="1" x14ac:dyDescent="0.35">
      <c r="E55" s="159"/>
      <c r="AZ55" s="160"/>
    </row>
    <row r="56" spans="5:52" ht="14.25" customHeight="1" x14ac:dyDescent="0.35">
      <c r="E56" s="159"/>
      <c r="AZ56" s="160"/>
    </row>
    <row r="57" spans="5:52" ht="14.25" customHeight="1" x14ac:dyDescent="0.35">
      <c r="E57" s="159"/>
      <c r="AZ57" s="160"/>
    </row>
    <row r="58" spans="5:52" ht="14.25" customHeight="1" x14ac:dyDescent="0.35">
      <c r="E58" s="159"/>
      <c r="AZ58" s="160"/>
    </row>
    <row r="59" spans="5:52" ht="14.25" customHeight="1" x14ac:dyDescent="0.35">
      <c r="E59" s="159"/>
      <c r="AZ59" s="160"/>
    </row>
    <row r="60" spans="5:52" ht="14.25" customHeight="1" x14ac:dyDescent="0.35">
      <c r="E60" s="159"/>
      <c r="AZ60" s="160"/>
    </row>
    <row r="61" spans="5:52" ht="14.25" customHeight="1" x14ac:dyDescent="0.35">
      <c r="E61" s="159"/>
      <c r="AZ61" s="160"/>
    </row>
    <row r="62" spans="5:52" ht="14.25" customHeight="1" x14ac:dyDescent="0.35">
      <c r="E62" s="159"/>
      <c r="AZ62" s="160"/>
    </row>
    <row r="63" spans="5:52" ht="14.25" customHeight="1" x14ac:dyDescent="0.35">
      <c r="E63" s="159"/>
      <c r="AZ63" s="160"/>
    </row>
    <row r="64" spans="5: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4.25" customHeight="1" x14ac:dyDescent="0.35">
      <c r="E87" s="159"/>
      <c r="AZ87" s="160"/>
    </row>
    <row r="88" spans="5:52" ht="14.25" customHeight="1" x14ac:dyDescent="0.35">
      <c r="E88" s="159"/>
      <c r="AZ88" s="160"/>
    </row>
    <row r="89" spans="5:52" ht="14.25" customHeight="1" x14ac:dyDescent="0.35">
      <c r="E89" s="159"/>
      <c r="AZ89" s="160"/>
    </row>
    <row r="90" spans="5:52" ht="14.25" customHeight="1" x14ac:dyDescent="0.35">
      <c r="E90" s="159"/>
      <c r="AZ90" s="160"/>
    </row>
    <row r="91" spans="5:52" ht="14.25" customHeight="1" x14ac:dyDescent="0.35">
      <c r="E91" s="159"/>
      <c r="AZ91" s="160"/>
    </row>
    <row r="92" spans="5:52" ht="14.25" customHeight="1" x14ac:dyDescent="0.35">
      <c r="E92" s="159"/>
      <c r="AZ92" s="160"/>
    </row>
    <row r="93" spans="5:52" ht="14.25" customHeight="1" x14ac:dyDescent="0.35">
      <c r="E93" s="159"/>
      <c r="AZ93" s="160"/>
    </row>
    <row r="94" spans="5:52" ht="15" customHeight="1" x14ac:dyDescent="0.35">
      <c r="E94" s="178"/>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80"/>
    </row>
  </sheetData>
  <conditionalFormatting sqref="B15:B44">
    <cfRule type="expression" dxfId="4" priority="2">
      <formula>A15=""</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FBFBF"/>
  </sheetPr>
  <dimension ref="A1:C8"/>
  <sheetViews>
    <sheetView workbookViewId="0"/>
  </sheetViews>
  <sheetFormatPr defaultColWidth="8.7265625" defaultRowHeight="14.5" x14ac:dyDescent="0.35"/>
  <cols>
    <col min="1" max="1" width="41.26953125" style="3" customWidth="1"/>
    <col min="2" max="2" width="31.453125" style="3" customWidth="1"/>
    <col min="3" max="16384" width="8.7265625" style="3"/>
  </cols>
  <sheetData>
    <row r="1" spans="1:3" ht="19.5" customHeight="1" x14ac:dyDescent="0.45">
      <c r="A1" s="4" t="s">
        <v>22</v>
      </c>
    </row>
    <row r="2" spans="1:3" ht="18.75" customHeight="1" x14ac:dyDescent="0.35">
      <c r="A2" s="30" t="s">
        <v>2</v>
      </c>
    </row>
    <row r="3" spans="1:3" ht="14.25" customHeight="1" x14ac:dyDescent="0.35">
      <c r="A3" s="6" t="s">
        <v>23</v>
      </c>
    </row>
    <row r="4" spans="1:3" ht="14.25" customHeight="1" x14ac:dyDescent="0.35">
      <c r="A4" s="31" t="s">
        <v>24</v>
      </c>
      <c r="B4" s="31" t="s">
        <v>25</v>
      </c>
    </row>
    <row r="5" spans="1:3" ht="14.25" customHeight="1" x14ac:dyDescent="0.35">
      <c r="A5" s="32" t="s">
        <v>15</v>
      </c>
      <c r="B5" s="33">
        <f>Summary!Q37</f>
        <v>175089759.05302098</v>
      </c>
    </row>
    <row r="6" spans="1:3" ht="14.25" customHeight="1" x14ac:dyDescent="0.35">
      <c r="A6" s="32" t="s">
        <v>26</v>
      </c>
      <c r="B6" s="33">
        <f>Summary!C56</f>
        <v>29258760.046785671</v>
      </c>
    </row>
    <row r="7" spans="1:3" ht="14.25" customHeight="1" x14ac:dyDescent="0.35">
      <c r="A7" s="32" t="s">
        <v>27</v>
      </c>
      <c r="B7" s="33">
        <f>B5-B6</f>
        <v>145830999.0062353</v>
      </c>
    </row>
    <row r="8" spans="1:3" ht="14.25" customHeight="1" x14ac:dyDescent="0.35">
      <c r="A8" s="32" t="s">
        <v>28</v>
      </c>
      <c r="B8" s="34">
        <f>IFERROR(B5/B6, "Enter Costs in 'Capital Cost' sheet")</f>
        <v>5.9841824729772206</v>
      </c>
      <c r="C8" s="3" t="s">
        <v>29</v>
      </c>
    </row>
  </sheetData>
  <conditionalFormatting sqref="A4:B4">
    <cfRule type="expression" dxfId="19" priority="2">
      <formula>ISNUMBER(SEARCH("_sns",A$4))</formula>
    </cfRule>
  </conditionalFormatting>
  <pageMargins left="0.7" right="0.7" top="0.75" bottom="0.75"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A9D18E"/>
  </sheetPr>
  <dimension ref="A1:AZ102"/>
  <sheetViews>
    <sheetView workbookViewId="0"/>
  </sheetViews>
  <sheetFormatPr defaultColWidth="9.1796875" defaultRowHeight="14.5" x14ac:dyDescent="0.35"/>
  <cols>
    <col min="1" max="1" width="33.54296875" style="3" customWidth="1"/>
    <col min="2" max="2" width="30" style="3" customWidth="1"/>
    <col min="3" max="3" width="21.81640625" style="3" customWidth="1"/>
    <col min="4" max="4" width="17.81640625" style="3" customWidth="1"/>
    <col min="5" max="16384" width="9.1796875" style="3"/>
  </cols>
  <sheetData>
    <row r="1" spans="1:11" ht="19.5" customHeight="1" x14ac:dyDescent="0.45">
      <c r="A1" s="4" t="s">
        <v>13</v>
      </c>
    </row>
    <row r="2" spans="1:11" ht="15" customHeight="1" x14ac:dyDescent="0.35">
      <c r="A2" s="5" t="s">
        <v>469</v>
      </c>
      <c r="B2" s="5"/>
      <c r="C2" s="5"/>
      <c r="D2" s="5"/>
      <c r="E2" s="5"/>
      <c r="F2" s="5"/>
      <c r="G2" s="5"/>
      <c r="H2" s="5"/>
    </row>
    <row r="3" spans="1:11" ht="14.25" customHeight="1" x14ac:dyDescent="0.35">
      <c r="A3" s="3" t="s">
        <v>2</v>
      </c>
    </row>
    <row r="4" spans="1:11" ht="14.25" customHeight="1" x14ac:dyDescent="0.35">
      <c r="A4" s="167" t="s">
        <v>463</v>
      </c>
      <c r="B4" s="5"/>
      <c r="C4" s="5"/>
      <c r="D4" s="5"/>
      <c r="E4" s="5"/>
      <c r="F4" s="5"/>
      <c r="G4" s="5"/>
      <c r="H4" s="5"/>
      <c r="I4" s="5"/>
      <c r="J4" s="5"/>
      <c r="K4" s="5"/>
    </row>
    <row r="5" spans="1:11" ht="14.25" customHeight="1" x14ac:dyDescent="0.35">
      <c r="A5" s="3" t="s">
        <v>2</v>
      </c>
    </row>
    <row r="6" spans="1:11" ht="14.25" customHeight="1" x14ac:dyDescent="0.35">
      <c r="A6" s="167" t="s">
        <v>536</v>
      </c>
      <c r="B6" s="5"/>
      <c r="C6" s="5"/>
      <c r="D6" s="5"/>
      <c r="E6" s="5"/>
      <c r="F6" s="5"/>
    </row>
    <row r="7" spans="1:11" ht="14.25" customHeight="1" x14ac:dyDescent="0.35">
      <c r="A7" s="167" t="s">
        <v>537</v>
      </c>
      <c r="B7" s="5"/>
      <c r="C7" s="5"/>
      <c r="D7" s="5"/>
      <c r="E7" s="5"/>
      <c r="F7" s="5"/>
      <c r="G7" s="5"/>
      <c r="H7" s="5"/>
      <c r="I7" s="5"/>
    </row>
    <row r="8" spans="1:11" ht="14.25" customHeight="1" x14ac:dyDescent="0.35">
      <c r="A8" s="167" t="s">
        <v>538</v>
      </c>
      <c r="B8" s="5"/>
      <c r="C8" s="5"/>
      <c r="D8" s="5"/>
      <c r="E8" s="5"/>
      <c r="F8" s="5"/>
    </row>
    <row r="9" spans="1:11" ht="14.25" customHeight="1" x14ac:dyDescent="0.35">
      <c r="A9" s="6" t="s">
        <v>539</v>
      </c>
    </row>
    <row r="10" spans="1:11" ht="14.25" customHeight="1" x14ac:dyDescent="0.35">
      <c r="A10" s="245" t="s">
        <v>540</v>
      </c>
      <c r="B10" s="9" t="s">
        <v>541</v>
      </c>
      <c r="C10" s="9" t="s">
        <v>542</v>
      </c>
      <c r="D10" s="9" t="s">
        <v>13</v>
      </c>
    </row>
    <row r="11" spans="1:11" ht="14.25" customHeight="1" x14ac:dyDescent="0.35">
      <c r="A11" s="254" t="s">
        <v>543</v>
      </c>
      <c r="B11" s="255">
        <f>SUM('Capital Costs'!C9:C23)+'Capital Costs'!A5</f>
        <v>40259178.290799834</v>
      </c>
      <c r="C11" s="94">
        <v>20</v>
      </c>
      <c r="D11" s="33">
        <f>IF(C11&gt;'Project Information'!$B$10,IFERROR(B11*((C11-'Project Information'!$B$10)/C11),0),0)</f>
        <v>0</v>
      </c>
    </row>
    <row r="12" spans="1:11" ht="14.25" customHeight="1" x14ac:dyDescent="0.35">
      <c r="A12" s="254" t="s">
        <v>544</v>
      </c>
      <c r="B12" s="256">
        <v>0</v>
      </c>
      <c r="C12" s="94">
        <v>0</v>
      </c>
      <c r="D12" s="33">
        <f>IF(C12&gt;'Project Information'!$B$10,IFERROR(B12*((C12-'Project Information'!$B$10)/C12),0),0)</f>
        <v>0</v>
      </c>
    </row>
    <row r="13" spans="1:11" ht="14.25" customHeight="1" x14ac:dyDescent="0.35">
      <c r="A13" s="254" t="s">
        <v>544</v>
      </c>
      <c r="B13" s="256">
        <v>0</v>
      </c>
      <c r="C13" s="94">
        <v>0</v>
      </c>
      <c r="D13" s="33">
        <f>IF(C13&gt;'Project Information'!$B$10,IFERROR(B13*((C13-'Project Information'!$B$10)/C13),0),0)</f>
        <v>0</v>
      </c>
    </row>
    <row r="14" spans="1:11" ht="14.25" customHeight="1" x14ac:dyDescent="0.35">
      <c r="A14" s="254" t="s">
        <v>544</v>
      </c>
      <c r="B14" s="256">
        <v>0</v>
      </c>
      <c r="C14" s="94">
        <v>0</v>
      </c>
      <c r="D14" s="33">
        <f>IF(C14&gt;'Project Information'!$B$10,IFERROR(B14*((C14-'Project Information'!$B$10)/C14),0),0)</f>
        <v>0</v>
      </c>
    </row>
    <row r="15" spans="1:11" ht="14.25" customHeight="1" x14ac:dyDescent="0.35">
      <c r="A15" s="254" t="s">
        <v>544</v>
      </c>
      <c r="B15" s="256">
        <v>0</v>
      </c>
      <c r="C15" s="94">
        <v>0</v>
      </c>
      <c r="D15" s="33">
        <f>IF(C15&gt;'Project Information'!$B$10,IFERROR(B15*((C15-'Project Information'!$B$10)/C15),0),0)</f>
        <v>0</v>
      </c>
    </row>
    <row r="16" spans="1:11" ht="14.25" customHeight="1" x14ac:dyDescent="0.35">
      <c r="A16" s="254" t="s">
        <v>544</v>
      </c>
      <c r="B16" s="256">
        <v>0</v>
      </c>
      <c r="C16" s="94">
        <v>0</v>
      </c>
      <c r="D16" s="33">
        <f>IF(C16&gt;'Project Information'!$B$10,IFERROR(B16*((C16-'Project Information'!$B$10)/C16),0),0)</f>
        <v>0</v>
      </c>
    </row>
    <row r="17" spans="1:52" ht="14.25" customHeight="1" x14ac:dyDescent="0.35">
      <c r="A17" s="16" t="s">
        <v>545</v>
      </c>
      <c r="B17" s="257"/>
      <c r="C17" s="258"/>
      <c r="D17" s="33">
        <f>SUM(D11:D16)</f>
        <v>0</v>
      </c>
    </row>
    <row r="18" spans="1:52" ht="14.25" customHeight="1" x14ac:dyDescent="0.35">
      <c r="A18" s="3" t="s">
        <v>2</v>
      </c>
    </row>
    <row r="19" spans="1:52" ht="14.25" customHeight="1" x14ac:dyDescent="0.35">
      <c r="A19" s="167" t="s">
        <v>546</v>
      </c>
      <c r="B19" s="167"/>
      <c r="C19" s="167"/>
      <c r="D19" s="167"/>
      <c r="E19" s="167"/>
      <c r="F19" s="167"/>
      <c r="G19" s="167"/>
    </row>
    <row r="20" spans="1:52" ht="14.25" customHeight="1" x14ac:dyDescent="0.35">
      <c r="A20" s="167" t="s">
        <v>547</v>
      </c>
      <c r="B20" s="167"/>
      <c r="C20" s="167"/>
      <c r="D20" s="167"/>
    </row>
    <row r="21" spans="1:52" ht="15" customHeight="1" x14ac:dyDescent="0.35">
      <c r="A21" s="6" t="s">
        <v>548</v>
      </c>
    </row>
    <row r="22" spans="1:52" ht="14.25" customHeight="1" x14ac:dyDescent="0.35">
      <c r="A22" s="9" t="s">
        <v>4</v>
      </c>
      <c r="B22" s="23" t="s">
        <v>13</v>
      </c>
      <c r="E22" s="154" t="s">
        <v>453</v>
      </c>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6"/>
    </row>
    <row r="23" spans="1:52" ht="14.25" customHeight="1" x14ac:dyDescent="0.35">
      <c r="A23" s="10">
        <f>'Project Information'!$B$9</f>
        <v>2031</v>
      </c>
      <c r="B23" s="181">
        <f>IF(A23='Project Information'!$B$6+'Project Information'!$B$8+'Project Information'!$B$10+('Project Information'!$B$7-'Project Information'!$B$6-1),$D$17,0)</f>
        <v>0</v>
      </c>
      <c r="E23" s="159"/>
      <c r="AZ23" s="160"/>
    </row>
    <row r="24" spans="1:52" ht="14.25" customHeight="1" x14ac:dyDescent="0.35">
      <c r="A24" s="15">
        <f>IF(A23&lt;'Project Information'!B$11,A23+1,"")</f>
        <v>2032</v>
      </c>
      <c r="B24" s="181">
        <f>IF(A24='Project Information'!$B$6+'Project Information'!$B$8+'Project Information'!$B$10+('Project Information'!$B$7-'Project Information'!$B$6-1),$D$17,0)</f>
        <v>0</v>
      </c>
      <c r="E24" s="159"/>
      <c r="AZ24" s="160"/>
    </row>
    <row r="25" spans="1:52" ht="14.25" customHeight="1" x14ac:dyDescent="0.35">
      <c r="A25" s="15">
        <f>IF(A24&lt;'Project Information'!B$11,A24+1,"")</f>
        <v>2033</v>
      </c>
      <c r="B25" s="181">
        <f>IF(A25='Project Information'!$B$6+'Project Information'!$B$8+'Project Information'!$B$10+('Project Information'!$B$7-'Project Information'!$B$6-1),$D$17,0)</f>
        <v>0</v>
      </c>
      <c r="E25" s="159"/>
      <c r="AZ25" s="160"/>
    </row>
    <row r="26" spans="1:52" ht="14.25" customHeight="1" x14ac:dyDescent="0.35">
      <c r="A26" s="15">
        <f>IF(A25&lt;'Project Information'!B$11,A25+1,"")</f>
        <v>2034</v>
      </c>
      <c r="B26" s="181">
        <f>IF(A26='Project Information'!$B$6+'Project Information'!$B$8+'Project Information'!$B$10+('Project Information'!$B$7-'Project Information'!$B$6-1),$D$17,0)</f>
        <v>0</v>
      </c>
      <c r="E26" s="159"/>
      <c r="AZ26" s="160"/>
    </row>
    <row r="27" spans="1:52" ht="14.25" customHeight="1" x14ac:dyDescent="0.35">
      <c r="A27" s="15">
        <f>IF(A26&lt;'Project Information'!B$11,A26+1,"")</f>
        <v>2035</v>
      </c>
      <c r="B27" s="181">
        <f>IF(A27='Project Information'!$B$6+'Project Information'!$B$8+'Project Information'!$B$10+('Project Information'!$B$7-'Project Information'!$B$6-1),$D$17,0)</f>
        <v>0</v>
      </c>
      <c r="E27" s="159"/>
      <c r="AZ27" s="160"/>
    </row>
    <row r="28" spans="1:52" ht="14.25" customHeight="1" x14ac:dyDescent="0.35">
      <c r="A28" s="15">
        <f>IF(A27&lt;'Project Information'!B$11,A27+1,"")</f>
        <v>2036</v>
      </c>
      <c r="B28" s="181">
        <f>IF(A28='Project Information'!$B$6+'Project Information'!$B$8+'Project Information'!$B$10+('Project Information'!$B$7-'Project Information'!$B$6-1),$D$17,0)</f>
        <v>0</v>
      </c>
      <c r="E28" s="159"/>
      <c r="AZ28" s="160"/>
    </row>
    <row r="29" spans="1:52" ht="14.25" customHeight="1" x14ac:dyDescent="0.35">
      <c r="A29" s="15">
        <f>IF(A28&lt;'Project Information'!B$11,A28+1,"")</f>
        <v>2037</v>
      </c>
      <c r="B29" s="181">
        <f>IF(A29='Project Information'!$B$6+'Project Information'!$B$8+'Project Information'!$B$10+('Project Information'!$B$7-'Project Information'!$B$6-1),$D$17,0)</f>
        <v>0</v>
      </c>
      <c r="E29" s="159"/>
      <c r="AZ29" s="160"/>
    </row>
    <row r="30" spans="1:52" ht="14.25" customHeight="1" x14ac:dyDescent="0.35">
      <c r="A30" s="15">
        <f>IF(A29&lt;'Project Information'!B$11,A29+1,"")</f>
        <v>2038</v>
      </c>
      <c r="B30" s="181">
        <f>IF(A30='Project Information'!$B$6+'Project Information'!$B$8+'Project Information'!$B$10+('Project Information'!$B$7-'Project Information'!$B$6-1),$D$17,0)</f>
        <v>0</v>
      </c>
      <c r="E30" s="159"/>
      <c r="AZ30" s="160"/>
    </row>
    <row r="31" spans="1:52" ht="14.25" customHeight="1" x14ac:dyDescent="0.35">
      <c r="A31" s="15">
        <f>IF(A30&lt;'Project Information'!B$11,A30+1,"")</f>
        <v>2039</v>
      </c>
      <c r="B31" s="181">
        <f>IF(A31='Project Information'!$B$6+'Project Information'!$B$8+'Project Information'!$B$10+('Project Information'!$B$7-'Project Information'!$B$6-1),$D$17,0)</f>
        <v>0</v>
      </c>
      <c r="E31" s="159"/>
      <c r="AZ31" s="160"/>
    </row>
    <row r="32" spans="1:52" ht="14.25" customHeight="1" x14ac:dyDescent="0.35">
      <c r="A32" s="15">
        <f>IF(A31&lt;'Project Information'!B$11,A31+1,"")</f>
        <v>2040</v>
      </c>
      <c r="B32" s="181">
        <f>IF(A32='Project Information'!$B$6+'Project Information'!$B$8+'Project Information'!$B$10+('Project Information'!$B$7-'Project Information'!$B$6-1),$D$17,0)</f>
        <v>0</v>
      </c>
      <c r="E32" s="159"/>
      <c r="AZ32" s="160"/>
    </row>
    <row r="33" spans="1:52" ht="14.25" customHeight="1" x14ac:dyDescent="0.35">
      <c r="A33" s="15">
        <f>IF(A32&lt;'Project Information'!B$11,A32+1,"")</f>
        <v>2041</v>
      </c>
      <c r="B33" s="181">
        <f>IF(A33='Project Information'!$B$6+'Project Information'!$B$8+'Project Information'!$B$10+('Project Information'!$B$7-'Project Information'!$B$6-1),$D$17,0)</f>
        <v>0</v>
      </c>
      <c r="E33" s="159"/>
      <c r="AZ33" s="160"/>
    </row>
    <row r="34" spans="1:52" ht="14.25" customHeight="1" x14ac:dyDescent="0.35">
      <c r="A34" s="15">
        <f>IF(A33&lt;'Project Information'!B$11,A33+1,"")</f>
        <v>2042</v>
      </c>
      <c r="B34" s="181">
        <f>IF(A34='Project Information'!$B$6+'Project Information'!$B$8+'Project Information'!$B$10+('Project Information'!$B$7-'Project Information'!$B$6-1),$D$17,0)</f>
        <v>0</v>
      </c>
      <c r="E34" s="159"/>
      <c r="AZ34" s="160"/>
    </row>
    <row r="35" spans="1:52" ht="14.25" customHeight="1" x14ac:dyDescent="0.35">
      <c r="A35" s="15">
        <f>IF(A34&lt;'Project Information'!B$11,A34+1,"")</f>
        <v>2043</v>
      </c>
      <c r="B35" s="181">
        <f>IF(A35='Project Information'!$B$6+'Project Information'!$B$8+'Project Information'!$B$10+('Project Information'!$B$7-'Project Information'!$B$6-1),$D$17,0)</f>
        <v>0</v>
      </c>
      <c r="E35" s="159"/>
      <c r="AZ35" s="160"/>
    </row>
    <row r="36" spans="1:52" ht="14.25" customHeight="1" x14ac:dyDescent="0.35">
      <c r="A36" s="15">
        <f>IF(A35&lt;'Project Information'!B$11,A35+1,"")</f>
        <v>2044</v>
      </c>
      <c r="B36" s="181">
        <f>IF(A36='Project Information'!$B$6+'Project Information'!$B$8+'Project Information'!$B$10+('Project Information'!$B$7-'Project Information'!$B$6-1),$D$17,0)</f>
        <v>0</v>
      </c>
      <c r="E36" s="159"/>
      <c r="AZ36" s="160"/>
    </row>
    <row r="37" spans="1:52" ht="14.25" customHeight="1" x14ac:dyDescent="0.35">
      <c r="A37" s="15">
        <f>IF(A36&lt;'Project Information'!B$11,A36+1,"")</f>
        <v>2045</v>
      </c>
      <c r="B37" s="181">
        <f>IF(A37='Project Information'!$B$6+'Project Information'!$B$8+'Project Information'!$B$10+('Project Information'!$B$7-'Project Information'!$B$6-1),$D$17,0)</f>
        <v>0</v>
      </c>
      <c r="E37" s="159"/>
      <c r="AZ37" s="160"/>
    </row>
    <row r="38" spans="1:52" ht="14.25" customHeight="1" x14ac:dyDescent="0.35">
      <c r="A38" s="15">
        <f>IF(A37&lt;'Project Information'!B$11,A37+1,"")</f>
        <v>2046</v>
      </c>
      <c r="B38" s="181">
        <f>IF(A38='Project Information'!$B$6+'Project Information'!$B$8+'Project Information'!$B$10+('Project Information'!$B$7-'Project Information'!$B$6-1),$D$17,0)</f>
        <v>0</v>
      </c>
      <c r="E38" s="159"/>
      <c r="AZ38" s="160"/>
    </row>
    <row r="39" spans="1:52" ht="14.25" customHeight="1" x14ac:dyDescent="0.35">
      <c r="A39" s="15">
        <f>IF(A38&lt;'Project Information'!B$11,A38+1,"")</f>
        <v>2047</v>
      </c>
      <c r="B39" s="181">
        <f>IF(A39='Project Information'!$B$6+'Project Information'!$B$8+'Project Information'!$B$10+('Project Information'!$B$7-'Project Information'!$B$6-1),$D$17,0)</f>
        <v>0</v>
      </c>
      <c r="E39" s="159"/>
      <c r="AZ39" s="160"/>
    </row>
    <row r="40" spans="1:52" ht="14.25" customHeight="1" x14ac:dyDescent="0.35">
      <c r="A40" s="15">
        <f>IF(A39&lt;'Project Information'!B$11,A39+1,"")</f>
        <v>2048</v>
      </c>
      <c r="B40" s="181">
        <f>IF(A40='Project Information'!$B$6+'Project Information'!$B$8+'Project Information'!$B$10+('Project Information'!$B$7-'Project Information'!$B$6-1),$D$17,0)</f>
        <v>0</v>
      </c>
      <c r="E40" s="159"/>
      <c r="AZ40" s="160"/>
    </row>
    <row r="41" spans="1:52" ht="14.25" customHeight="1" x14ac:dyDescent="0.35">
      <c r="A41" s="15">
        <f>IF(A40&lt;'Project Information'!B$11,A40+1,"")</f>
        <v>2049</v>
      </c>
      <c r="B41" s="181">
        <f>IF(A41='Project Information'!$B$6+'Project Information'!$B$8+'Project Information'!$B$10+('Project Information'!$B$7-'Project Information'!$B$6-1),$D$17,0)</f>
        <v>0</v>
      </c>
      <c r="E41" s="159"/>
      <c r="AZ41" s="160"/>
    </row>
    <row r="42" spans="1:52" ht="14.25" customHeight="1" x14ac:dyDescent="0.35">
      <c r="A42" s="15">
        <f>IF(A41&lt;'Project Information'!B$11,A41+1,"")</f>
        <v>2050</v>
      </c>
      <c r="B42" s="181">
        <f>IF(A42='Project Information'!$B$6+'Project Information'!$B$8+'Project Information'!$B$10+('Project Information'!$B$7-'Project Information'!$B$6-1),$D$17,0)</f>
        <v>0</v>
      </c>
      <c r="E42" s="159"/>
      <c r="AZ42" s="160"/>
    </row>
    <row r="43" spans="1:52" ht="14.25" customHeight="1" x14ac:dyDescent="0.35">
      <c r="A43" s="15">
        <f>IF(A42&lt;'Project Information'!B$11,A42+1,"")</f>
        <v>2051</v>
      </c>
      <c r="B43" s="181">
        <f>IF(A43='Project Information'!$B$6+'Project Information'!$B$8+'Project Information'!$B$10+('Project Information'!$B$7-'Project Information'!$B$6-1),$D$17,0)</f>
        <v>0</v>
      </c>
      <c r="E43" s="159"/>
      <c r="AZ43" s="160"/>
    </row>
    <row r="44" spans="1:52" ht="14.25" customHeight="1" x14ac:dyDescent="0.35">
      <c r="A44" s="15">
        <f>IF(A43&lt;'Project Information'!B$11,A43+1,"")</f>
        <v>2052</v>
      </c>
      <c r="B44" s="181">
        <f>IF(A44='Project Information'!$B$6+'Project Information'!$B$8+'Project Information'!$B$10+('Project Information'!$B$7-'Project Information'!$B$6-1),$D$17,0)</f>
        <v>0</v>
      </c>
      <c r="E44" s="159"/>
      <c r="AZ44" s="160"/>
    </row>
    <row r="45" spans="1:52" ht="14.25" customHeight="1" x14ac:dyDescent="0.35">
      <c r="A45" s="15">
        <f>IF(A44&lt;'Project Information'!B$11,A44+1,"")</f>
        <v>2053</v>
      </c>
      <c r="B45" s="181">
        <f>IF(A45='Project Information'!$B$6+'Project Information'!$B$8+'Project Information'!$B$10+('Project Information'!$B$7-'Project Information'!$B$6-1),$D$17,0)</f>
        <v>0</v>
      </c>
      <c r="E45" s="159"/>
      <c r="AZ45" s="160"/>
    </row>
    <row r="46" spans="1:52" ht="14.25" customHeight="1" x14ac:dyDescent="0.35">
      <c r="A46" s="15">
        <f>IF(A45&lt;'Project Information'!B$11,A45+1,"")</f>
        <v>2054</v>
      </c>
      <c r="B46" s="181">
        <f>IF(A46='Project Information'!$B$6+'Project Information'!$B$8+'Project Information'!$B$10+('Project Information'!$B$7-'Project Information'!$B$6-1),$D$17,0)</f>
        <v>0</v>
      </c>
      <c r="E46" s="159"/>
      <c r="AZ46" s="160"/>
    </row>
    <row r="47" spans="1:52" ht="14.25" customHeight="1" x14ac:dyDescent="0.35">
      <c r="A47" s="15">
        <f>IF(A46&lt;'Project Information'!B$11,A46+1,"")</f>
        <v>2055</v>
      </c>
      <c r="B47" s="181">
        <f>IF(A47='Project Information'!$B$6+'Project Information'!$B$8+'Project Information'!$B$10+('Project Information'!$B$7-'Project Information'!$B$6-1),$D$17,0)</f>
        <v>0</v>
      </c>
      <c r="E47" s="159"/>
      <c r="AZ47" s="160"/>
    </row>
    <row r="48" spans="1:52" ht="14.25" customHeight="1" x14ac:dyDescent="0.35">
      <c r="A48" s="15">
        <f>IF(A47&lt;'Project Information'!B$11,A47+1,"")</f>
        <v>2056</v>
      </c>
      <c r="B48" s="181">
        <f>IF(A48='Project Information'!$B$6+'Project Information'!$B$8+'Project Information'!$B$10+('Project Information'!$B$7-'Project Information'!$B$6-1),$D$17,0)</f>
        <v>0</v>
      </c>
      <c r="E48" s="159"/>
      <c r="AZ48" s="160"/>
    </row>
    <row r="49" spans="1:52" ht="14.25" customHeight="1" x14ac:dyDescent="0.35">
      <c r="A49" s="15">
        <f>IF(A48&lt;'Project Information'!B$11,A48+1,"")</f>
        <v>2057</v>
      </c>
      <c r="B49" s="181">
        <f>IF(A49='Project Information'!$B$6+'Project Information'!$B$8+'Project Information'!$B$10+('Project Information'!$B$7-'Project Information'!$B$6-1),$D$17,0)</f>
        <v>0</v>
      </c>
      <c r="E49" s="159"/>
      <c r="AZ49" s="160"/>
    </row>
    <row r="50" spans="1:52" ht="14.25" customHeight="1" x14ac:dyDescent="0.35">
      <c r="A50" s="15">
        <f>IF(A49&lt;'Project Information'!B$11,A49+1,"")</f>
        <v>2058</v>
      </c>
      <c r="B50" s="181">
        <f>IF(A50='Project Information'!$B$6+'Project Information'!$B$8+'Project Information'!$B$10+('Project Information'!$B$7-'Project Information'!$B$6-1),$D$17,0)</f>
        <v>0</v>
      </c>
      <c r="E50" s="159"/>
      <c r="AZ50" s="160"/>
    </row>
    <row r="51" spans="1:52" ht="14.25" customHeight="1" x14ac:dyDescent="0.35">
      <c r="A51" s="15">
        <f>IF(A50&lt;'Project Information'!B$11,A50+1,"")</f>
        <v>2059</v>
      </c>
      <c r="B51" s="181">
        <f>IF(A51='Project Information'!$B$6+'Project Information'!$B$8+'Project Information'!$B$10+('Project Information'!$B$7-'Project Information'!$B$6-1),$D$17,0)</f>
        <v>0</v>
      </c>
      <c r="E51" s="159"/>
      <c r="AZ51" s="160"/>
    </row>
    <row r="52" spans="1:52" ht="14.25" customHeight="1" x14ac:dyDescent="0.35">
      <c r="A52" s="89">
        <f>IF(A51&lt;'Project Information'!B$11,A51+1,"")</f>
        <v>2060</v>
      </c>
      <c r="B52" s="20">
        <f>IF(A52='Project Information'!$B$6+'Project Information'!$B$8+'Project Information'!$B$10+('Project Information'!$B$7-'Project Information'!$B$6-1),$D$17,0)</f>
        <v>0</v>
      </c>
      <c r="E52" s="159"/>
      <c r="AZ52" s="160"/>
    </row>
    <row r="53" spans="1:52" ht="14.25" customHeight="1" x14ac:dyDescent="0.35">
      <c r="E53" s="159"/>
      <c r="AZ53" s="160"/>
    </row>
    <row r="54" spans="1:52" ht="14.25" customHeight="1" x14ac:dyDescent="0.35">
      <c r="E54" s="159"/>
      <c r="AZ54" s="160"/>
    </row>
    <row r="55" spans="1:52" ht="14.25" customHeight="1" x14ac:dyDescent="0.35">
      <c r="E55" s="159"/>
      <c r="AZ55" s="160"/>
    </row>
    <row r="56" spans="1:52" ht="14.25" customHeight="1" x14ac:dyDescent="0.35">
      <c r="E56" s="159"/>
      <c r="AZ56" s="160"/>
    </row>
    <row r="57" spans="1:52" ht="14.25" customHeight="1" x14ac:dyDescent="0.35">
      <c r="E57" s="159"/>
      <c r="AZ57" s="160"/>
    </row>
    <row r="58" spans="1:52" ht="14.25" customHeight="1" x14ac:dyDescent="0.35">
      <c r="E58" s="159"/>
      <c r="AZ58" s="160"/>
    </row>
    <row r="59" spans="1:52" ht="14.25" customHeight="1" x14ac:dyDescent="0.35">
      <c r="E59" s="159"/>
      <c r="AZ59" s="160"/>
    </row>
    <row r="60" spans="1:52" ht="14.25" customHeight="1" x14ac:dyDescent="0.35">
      <c r="E60" s="159"/>
      <c r="AZ60" s="160"/>
    </row>
    <row r="61" spans="1:52" ht="14.25" customHeight="1" x14ac:dyDescent="0.35">
      <c r="E61" s="159"/>
      <c r="AZ61" s="160"/>
    </row>
    <row r="62" spans="1:52" ht="14.25" customHeight="1" x14ac:dyDescent="0.35">
      <c r="E62" s="159"/>
      <c r="AZ62" s="160"/>
    </row>
    <row r="63" spans="1:52" ht="14.25" customHeight="1" x14ac:dyDescent="0.35">
      <c r="E63" s="159"/>
      <c r="AZ63" s="160"/>
    </row>
    <row r="64" spans="1: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4.25" customHeight="1" x14ac:dyDescent="0.35">
      <c r="E87" s="159"/>
      <c r="AZ87" s="160"/>
    </row>
    <row r="88" spans="5:52" ht="14.25" customHeight="1" x14ac:dyDescent="0.35">
      <c r="E88" s="159"/>
      <c r="AZ88" s="160"/>
    </row>
    <row r="89" spans="5:52" ht="14.25" customHeight="1" x14ac:dyDescent="0.35">
      <c r="E89" s="159"/>
      <c r="AZ89" s="160"/>
    </row>
    <row r="90" spans="5:52" ht="14.25" customHeight="1" x14ac:dyDescent="0.35">
      <c r="E90" s="159"/>
      <c r="AZ90" s="160"/>
    </row>
    <row r="91" spans="5:52" ht="14.25" customHeight="1" x14ac:dyDescent="0.35">
      <c r="E91" s="159"/>
      <c r="AZ91" s="160"/>
    </row>
    <row r="92" spans="5:52" ht="14.25" customHeight="1" x14ac:dyDescent="0.35">
      <c r="E92" s="159"/>
      <c r="AZ92" s="160"/>
    </row>
    <row r="93" spans="5:52" ht="14.25" customHeight="1" x14ac:dyDescent="0.35">
      <c r="E93" s="159"/>
      <c r="AZ93" s="160"/>
    </row>
    <row r="94" spans="5:52" ht="14.25" customHeight="1" x14ac:dyDescent="0.35">
      <c r="E94" s="159"/>
      <c r="AZ94" s="160"/>
    </row>
    <row r="95" spans="5:52" ht="14.25" customHeight="1" x14ac:dyDescent="0.35">
      <c r="E95" s="159"/>
      <c r="AZ95" s="160"/>
    </row>
    <row r="96" spans="5:52" ht="14.25" customHeight="1" x14ac:dyDescent="0.35">
      <c r="E96" s="159"/>
      <c r="AZ96" s="160"/>
    </row>
    <row r="97" spans="5:52" ht="14.25" customHeight="1" x14ac:dyDescent="0.35">
      <c r="E97" s="159"/>
      <c r="AZ97" s="160"/>
    </row>
    <row r="98" spans="5:52" ht="14.25" customHeight="1" x14ac:dyDescent="0.35">
      <c r="E98" s="159"/>
      <c r="AZ98" s="160"/>
    </row>
    <row r="99" spans="5:52" ht="14.25" customHeight="1" x14ac:dyDescent="0.35">
      <c r="E99" s="159"/>
      <c r="AZ99" s="160"/>
    </row>
    <row r="100" spans="5:52" ht="14.25" customHeight="1" x14ac:dyDescent="0.35">
      <c r="E100" s="159"/>
      <c r="AZ100" s="160"/>
    </row>
    <row r="101" spans="5:52" ht="14.25" customHeight="1" x14ac:dyDescent="0.35">
      <c r="E101" s="159"/>
      <c r="AZ101" s="160"/>
    </row>
    <row r="102" spans="5:52" ht="15" customHeight="1" x14ac:dyDescent="0.35">
      <c r="E102" s="178"/>
      <c r="F102" s="179"/>
      <c r="G102" s="179"/>
      <c r="H102" s="179"/>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79"/>
      <c r="AY102" s="179"/>
      <c r="AZ102" s="180"/>
    </row>
  </sheetData>
  <pageMargins left="0.7" right="0.7" top="0.75" bottom="0.75" header="0.511811023622047" footer="0.511811023622047"/>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A9D18E"/>
  </sheetPr>
  <dimension ref="A1:AZ87"/>
  <sheetViews>
    <sheetView workbookViewId="0"/>
  </sheetViews>
  <sheetFormatPr defaultColWidth="9.1796875" defaultRowHeight="14.5" x14ac:dyDescent="0.35"/>
  <cols>
    <col min="1" max="1" width="26.1796875" style="3" customWidth="1"/>
    <col min="2" max="2" width="40.7265625" style="3" customWidth="1"/>
    <col min="3" max="16384" width="9.1796875" style="3"/>
  </cols>
  <sheetData>
    <row r="1" spans="1:52" ht="19.5" customHeight="1" x14ac:dyDescent="0.45">
      <c r="A1" s="4" t="s">
        <v>549</v>
      </c>
    </row>
    <row r="2" spans="1:52" ht="15" customHeight="1" x14ac:dyDescent="0.35">
      <c r="A2" s="5" t="s">
        <v>550</v>
      </c>
      <c r="B2" s="5"/>
      <c r="C2" s="5"/>
      <c r="D2" s="5"/>
    </row>
    <row r="3" spans="1:52" ht="14.25" customHeight="1" x14ac:dyDescent="0.35">
      <c r="A3" s="3" t="s">
        <v>2</v>
      </c>
    </row>
    <row r="4" spans="1:52" ht="14.25" customHeight="1" x14ac:dyDescent="0.35">
      <c r="A4" s="167" t="s">
        <v>463</v>
      </c>
      <c r="B4" s="5"/>
      <c r="C4" s="5"/>
      <c r="D4" s="5"/>
      <c r="E4" s="5"/>
      <c r="F4" s="5"/>
      <c r="G4" s="5"/>
      <c r="H4" s="5"/>
      <c r="I4" s="5"/>
      <c r="J4" s="5"/>
      <c r="K4" s="5"/>
      <c r="L4" s="5"/>
      <c r="M4" s="5"/>
    </row>
    <row r="5" spans="1:52" ht="14.25" customHeight="1" x14ac:dyDescent="0.35">
      <c r="A5" s="3" t="s">
        <v>2</v>
      </c>
    </row>
    <row r="6" spans="1:52" ht="15" customHeight="1" x14ac:dyDescent="0.35">
      <c r="A6" s="6" t="s">
        <v>551</v>
      </c>
    </row>
    <row r="7" spans="1:52" ht="14.25" customHeight="1" x14ac:dyDescent="0.35">
      <c r="A7" s="9" t="s">
        <v>4</v>
      </c>
      <c r="B7" s="259" t="s">
        <v>549</v>
      </c>
      <c r="C7" s="3" t="s">
        <v>552</v>
      </c>
      <c r="E7" s="154" t="s">
        <v>453</v>
      </c>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6"/>
    </row>
    <row r="8" spans="1:52" ht="14.25" customHeight="1" x14ac:dyDescent="0.35">
      <c r="A8" s="10">
        <f>'Project Information'!$B$9</f>
        <v>2031</v>
      </c>
      <c r="B8" s="252">
        <v>0</v>
      </c>
      <c r="E8" s="159"/>
      <c r="AZ8" s="160"/>
    </row>
    <row r="9" spans="1:52" ht="14.25" customHeight="1" x14ac:dyDescent="0.35">
      <c r="A9" s="15">
        <f>IF(A8&lt;'Project Information'!B$11,A8+1,"")</f>
        <v>2032</v>
      </c>
      <c r="B9" s="252">
        <v>0</v>
      </c>
      <c r="E9" s="159"/>
      <c r="AZ9" s="160"/>
    </row>
    <row r="10" spans="1:52" ht="14.25" customHeight="1" x14ac:dyDescent="0.35">
      <c r="A10" s="15">
        <f>IF(A9&lt;'Project Information'!B$11,A9+1,"")</f>
        <v>2033</v>
      </c>
      <c r="B10" s="252">
        <v>0</v>
      </c>
      <c r="E10" s="159"/>
      <c r="AZ10" s="160"/>
    </row>
    <row r="11" spans="1:52" ht="14.25" customHeight="1" x14ac:dyDescent="0.35">
      <c r="A11" s="15">
        <f>IF(A10&lt;'Project Information'!B$11,A10+1,"")</f>
        <v>2034</v>
      </c>
      <c r="B11" s="252">
        <v>0</v>
      </c>
      <c r="E11" s="159"/>
      <c r="AZ11" s="160"/>
    </row>
    <row r="12" spans="1:52" ht="14.25" customHeight="1" x14ac:dyDescent="0.35">
      <c r="A12" s="15">
        <f>IF(A11&lt;'Project Information'!B$11,A11+1,"")</f>
        <v>2035</v>
      </c>
      <c r="B12" s="252">
        <v>0</v>
      </c>
      <c r="E12" s="159"/>
      <c r="AZ12" s="160"/>
    </row>
    <row r="13" spans="1:52" ht="14.25" customHeight="1" x14ac:dyDescent="0.35">
      <c r="A13" s="15">
        <f>IF(A12&lt;'Project Information'!B$11,A12+1,"")</f>
        <v>2036</v>
      </c>
      <c r="B13" s="252">
        <v>0</v>
      </c>
      <c r="E13" s="159"/>
      <c r="AZ13" s="160"/>
    </row>
    <row r="14" spans="1:52" ht="14.25" customHeight="1" x14ac:dyDescent="0.35">
      <c r="A14" s="15">
        <f>IF(A13&lt;'Project Information'!B$11,A13+1,"")</f>
        <v>2037</v>
      </c>
      <c r="B14" s="252">
        <v>0</v>
      </c>
      <c r="E14" s="159"/>
      <c r="AZ14" s="160"/>
    </row>
    <row r="15" spans="1:52" ht="14.25" customHeight="1" x14ac:dyDescent="0.35">
      <c r="A15" s="15">
        <f>IF(A14&lt;'Project Information'!B$11,A14+1,"")</f>
        <v>2038</v>
      </c>
      <c r="B15" s="252">
        <v>0</v>
      </c>
      <c r="E15" s="159"/>
      <c r="AZ15" s="160"/>
    </row>
    <row r="16" spans="1:52" ht="14.25" customHeight="1" x14ac:dyDescent="0.35">
      <c r="A16" s="15">
        <f>IF(A15&lt;'Project Information'!B$11,A15+1,"")</f>
        <v>2039</v>
      </c>
      <c r="B16" s="252">
        <v>0</v>
      </c>
      <c r="E16" s="159"/>
      <c r="AZ16" s="160"/>
    </row>
    <row r="17" spans="1:52" ht="14.25" customHeight="1" x14ac:dyDescent="0.35">
      <c r="A17" s="15">
        <f>IF(A16&lt;'Project Information'!B$11,A16+1,"")</f>
        <v>2040</v>
      </c>
      <c r="B17" s="252">
        <v>0</v>
      </c>
      <c r="E17" s="159"/>
      <c r="AZ17" s="160"/>
    </row>
    <row r="18" spans="1:52" ht="14.25" customHeight="1" x14ac:dyDescent="0.35">
      <c r="A18" s="15">
        <f>IF(A17&lt;'Project Information'!B$11,A17+1,"")</f>
        <v>2041</v>
      </c>
      <c r="B18" s="252">
        <v>0</v>
      </c>
      <c r="E18" s="159"/>
      <c r="AZ18" s="160"/>
    </row>
    <row r="19" spans="1:52" ht="14.25" customHeight="1" x14ac:dyDescent="0.35">
      <c r="A19" s="15">
        <f>IF(A18&lt;'Project Information'!B$11,A18+1,"")</f>
        <v>2042</v>
      </c>
      <c r="B19" s="252">
        <v>0</v>
      </c>
      <c r="E19" s="159"/>
      <c r="AZ19" s="160"/>
    </row>
    <row r="20" spans="1:52" ht="14.25" customHeight="1" x14ac:dyDescent="0.35">
      <c r="A20" s="15">
        <f>IF(A19&lt;'Project Information'!B$11,A19+1,"")</f>
        <v>2043</v>
      </c>
      <c r="B20" s="252">
        <v>0</v>
      </c>
      <c r="E20" s="159"/>
      <c r="AZ20" s="160"/>
    </row>
    <row r="21" spans="1:52" ht="14.25" customHeight="1" x14ac:dyDescent="0.35">
      <c r="A21" s="15">
        <f>IF(A20&lt;'Project Information'!B$11,A20+1,"")</f>
        <v>2044</v>
      </c>
      <c r="B21" s="252">
        <v>0</v>
      </c>
      <c r="E21" s="159"/>
      <c r="AZ21" s="160"/>
    </row>
    <row r="22" spans="1:52" ht="14.25" customHeight="1" x14ac:dyDescent="0.35">
      <c r="A22" s="15">
        <f>IF(A21&lt;'Project Information'!B$11,A21+1,"")</f>
        <v>2045</v>
      </c>
      <c r="B22" s="252">
        <v>0</v>
      </c>
      <c r="E22" s="159"/>
      <c r="AZ22" s="160"/>
    </row>
    <row r="23" spans="1:52" ht="14.25" customHeight="1" x14ac:dyDescent="0.35">
      <c r="A23" s="15">
        <f>IF(A22&lt;'Project Information'!B$11,A22+1,"")</f>
        <v>2046</v>
      </c>
      <c r="B23" s="252">
        <v>0</v>
      </c>
      <c r="E23" s="159"/>
      <c r="AZ23" s="160"/>
    </row>
    <row r="24" spans="1:52" ht="14.25" customHeight="1" x14ac:dyDescent="0.35">
      <c r="A24" s="15">
        <f>IF(A23&lt;'Project Information'!B$11,A23+1,"")</f>
        <v>2047</v>
      </c>
      <c r="B24" s="252">
        <v>0</v>
      </c>
      <c r="E24" s="159"/>
      <c r="AZ24" s="160"/>
    </row>
    <row r="25" spans="1:52" ht="14.25" customHeight="1" x14ac:dyDescent="0.35">
      <c r="A25" s="15">
        <f>IF(A24&lt;'Project Information'!B$11,A24+1,"")</f>
        <v>2048</v>
      </c>
      <c r="B25" s="252">
        <v>0</v>
      </c>
      <c r="E25" s="159"/>
      <c r="AZ25" s="160"/>
    </row>
    <row r="26" spans="1:52" ht="14.25" customHeight="1" x14ac:dyDescent="0.35">
      <c r="A26" s="15">
        <f>IF(A25&lt;'Project Information'!B$11,A25+1,"")</f>
        <v>2049</v>
      </c>
      <c r="B26" s="252">
        <v>0</v>
      </c>
      <c r="E26" s="159"/>
      <c r="AZ26" s="160"/>
    </row>
    <row r="27" spans="1:52" ht="14.25" customHeight="1" x14ac:dyDescent="0.35">
      <c r="A27" s="15">
        <f>IF(A26&lt;'Project Information'!B$11,A26+1,"")</f>
        <v>2050</v>
      </c>
      <c r="B27" s="252">
        <v>0</v>
      </c>
      <c r="E27" s="159"/>
      <c r="AZ27" s="160"/>
    </row>
    <row r="28" spans="1:52" ht="14.25" customHeight="1" x14ac:dyDescent="0.35">
      <c r="A28" s="15">
        <f>IF(A27&lt;'Project Information'!B$11,A27+1,"")</f>
        <v>2051</v>
      </c>
      <c r="B28" s="252">
        <v>0</v>
      </c>
      <c r="E28" s="159"/>
      <c r="AZ28" s="160"/>
    </row>
    <row r="29" spans="1:52" ht="14.25" customHeight="1" x14ac:dyDescent="0.35">
      <c r="A29" s="15">
        <f>IF(A28&lt;'Project Information'!B$11,A28+1,"")</f>
        <v>2052</v>
      </c>
      <c r="B29" s="252">
        <v>0</v>
      </c>
      <c r="E29" s="159"/>
      <c r="AZ29" s="160"/>
    </row>
    <row r="30" spans="1:52" ht="14.25" customHeight="1" x14ac:dyDescent="0.35">
      <c r="A30" s="15">
        <f>IF(A29&lt;'Project Information'!B$11,A29+1,"")</f>
        <v>2053</v>
      </c>
      <c r="B30" s="252">
        <v>0</v>
      </c>
      <c r="E30" s="159"/>
      <c r="AZ30" s="160"/>
    </row>
    <row r="31" spans="1:52" ht="14.25" customHeight="1" x14ac:dyDescent="0.35">
      <c r="A31" s="15">
        <f>IF(A30&lt;'Project Information'!B$11,A30+1,"")</f>
        <v>2054</v>
      </c>
      <c r="B31" s="252">
        <v>0</v>
      </c>
      <c r="E31" s="159"/>
      <c r="AZ31" s="160"/>
    </row>
    <row r="32" spans="1:52" ht="14.25" customHeight="1" x14ac:dyDescent="0.35">
      <c r="A32" s="15">
        <f>IF(A31&lt;'Project Information'!B$11,A31+1,"")</f>
        <v>2055</v>
      </c>
      <c r="B32" s="252">
        <v>0</v>
      </c>
      <c r="E32" s="159"/>
      <c r="AZ32" s="160"/>
    </row>
    <row r="33" spans="1:52" ht="14.25" customHeight="1" x14ac:dyDescent="0.35">
      <c r="A33" s="15">
        <f>IF(A32&lt;'Project Information'!B$11,A32+1,"")</f>
        <v>2056</v>
      </c>
      <c r="B33" s="252">
        <v>0</v>
      </c>
      <c r="E33" s="159"/>
      <c r="AZ33" s="160"/>
    </row>
    <row r="34" spans="1:52" ht="14.25" customHeight="1" x14ac:dyDescent="0.35">
      <c r="A34" s="15">
        <f>IF(A33&lt;'Project Information'!B$11,A33+1,"")</f>
        <v>2057</v>
      </c>
      <c r="B34" s="252">
        <v>0</v>
      </c>
      <c r="E34" s="159"/>
      <c r="AZ34" s="160"/>
    </row>
    <row r="35" spans="1:52" ht="14.25" customHeight="1" x14ac:dyDescent="0.35">
      <c r="A35" s="15">
        <f>IF(A34&lt;'Project Information'!B$11,A34+1,"")</f>
        <v>2058</v>
      </c>
      <c r="B35" s="252">
        <v>0</v>
      </c>
      <c r="E35" s="159"/>
      <c r="AZ35" s="160"/>
    </row>
    <row r="36" spans="1:52" ht="14.25" customHeight="1" x14ac:dyDescent="0.35">
      <c r="A36" s="15">
        <f>IF(A35&lt;'Project Information'!B$11,A35+1,"")</f>
        <v>2059</v>
      </c>
      <c r="B36" s="252">
        <v>0</v>
      </c>
      <c r="E36" s="159"/>
      <c r="AZ36" s="160"/>
    </row>
    <row r="37" spans="1:52" ht="14.25" customHeight="1" x14ac:dyDescent="0.35">
      <c r="A37" s="89">
        <f>IF(A36&lt;'Project Information'!B$11,A36+1,"")</f>
        <v>2060</v>
      </c>
      <c r="B37" s="170">
        <v>0</v>
      </c>
      <c r="E37" s="159"/>
      <c r="AZ37" s="160"/>
    </row>
    <row r="38" spans="1:52" ht="14.25" customHeight="1" x14ac:dyDescent="0.35">
      <c r="E38" s="159"/>
      <c r="AZ38" s="160"/>
    </row>
    <row r="39" spans="1:52" ht="14.25" customHeight="1" x14ac:dyDescent="0.35">
      <c r="E39" s="159"/>
      <c r="AZ39" s="160"/>
    </row>
    <row r="40" spans="1:52" ht="14.25" customHeight="1" x14ac:dyDescent="0.35">
      <c r="E40" s="159"/>
      <c r="AZ40" s="160"/>
    </row>
    <row r="41" spans="1:52" ht="14.25" customHeight="1" x14ac:dyDescent="0.35">
      <c r="E41" s="159"/>
      <c r="AZ41" s="160"/>
    </row>
    <row r="42" spans="1:52" ht="14.25" customHeight="1" x14ac:dyDescent="0.35">
      <c r="E42" s="159"/>
      <c r="AZ42" s="160"/>
    </row>
    <row r="43" spans="1:52" ht="14.25" customHeight="1" x14ac:dyDescent="0.35">
      <c r="E43" s="159"/>
      <c r="AZ43" s="160"/>
    </row>
    <row r="44" spans="1:52" ht="14.25" customHeight="1" x14ac:dyDescent="0.35">
      <c r="E44" s="159"/>
      <c r="AZ44" s="160"/>
    </row>
    <row r="45" spans="1:52" ht="14.25" customHeight="1" x14ac:dyDescent="0.35">
      <c r="E45" s="159"/>
      <c r="AZ45" s="160"/>
    </row>
    <row r="46" spans="1:52" ht="14.25" customHeight="1" x14ac:dyDescent="0.35">
      <c r="E46" s="159"/>
      <c r="AZ46" s="160"/>
    </row>
    <row r="47" spans="1:52" ht="14.25" customHeight="1" x14ac:dyDescent="0.35">
      <c r="E47" s="159"/>
      <c r="AZ47" s="160"/>
    </row>
    <row r="48" spans="1:52" ht="14.25" customHeight="1" x14ac:dyDescent="0.35">
      <c r="E48" s="159"/>
      <c r="AZ48" s="160"/>
    </row>
    <row r="49" spans="5:52" ht="14.25" customHeight="1" x14ac:dyDescent="0.35">
      <c r="E49" s="159"/>
      <c r="AZ49" s="160"/>
    </row>
    <row r="50" spans="5:52" ht="14.25" customHeight="1" x14ac:dyDescent="0.35">
      <c r="E50" s="159"/>
      <c r="AZ50" s="160"/>
    </row>
    <row r="51" spans="5:52" ht="14.25" customHeight="1" x14ac:dyDescent="0.35">
      <c r="E51" s="159"/>
      <c r="AZ51" s="160"/>
    </row>
    <row r="52" spans="5:52" ht="14.25" customHeight="1" x14ac:dyDescent="0.35">
      <c r="E52" s="159"/>
      <c r="AZ52" s="160"/>
    </row>
    <row r="53" spans="5:52" ht="14.25" customHeight="1" x14ac:dyDescent="0.35">
      <c r="E53" s="159"/>
      <c r="AZ53" s="160"/>
    </row>
    <row r="54" spans="5:52" ht="14.25" customHeight="1" x14ac:dyDescent="0.35">
      <c r="E54" s="159"/>
      <c r="AZ54" s="160"/>
    </row>
    <row r="55" spans="5:52" ht="14.25" customHeight="1" x14ac:dyDescent="0.35">
      <c r="E55" s="159"/>
      <c r="AZ55" s="160"/>
    </row>
    <row r="56" spans="5:52" ht="14.25" customHeight="1" x14ac:dyDescent="0.35">
      <c r="E56" s="159"/>
      <c r="AZ56" s="160"/>
    </row>
    <row r="57" spans="5:52" ht="14.25" customHeight="1" x14ac:dyDescent="0.35">
      <c r="E57" s="159"/>
      <c r="AZ57" s="160"/>
    </row>
    <row r="58" spans="5:52" ht="14.25" customHeight="1" x14ac:dyDescent="0.35">
      <c r="E58" s="159"/>
      <c r="AZ58" s="160"/>
    </row>
    <row r="59" spans="5:52" ht="14.25" customHeight="1" x14ac:dyDescent="0.35">
      <c r="E59" s="159"/>
      <c r="AZ59" s="160"/>
    </row>
    <row r="60" spans="5:52" ht="14.25" customHeight="1" x14ac:dyDescent="0.35">
      <c r="E60" s="159"/>
      <c r="AZ60" s="160"/>
    </row>
    <row r="61" spans="5:52" ht="14.25" customHeight="1" x14ac:dyDescent="0.35">
      <c r="E61" s="159"/>
      <c r="AZ61" s="160"/>
    </row>
    <row r="62" spans="5:52" ht="14.25" customHeight="1" x14ac:dyDescent="0.35">
      <c r="E62" s="159"/>
      <c r="AZ62" s="160"/>
    </row>
    <row r="63" spans="5:52" ht="14.25" customHeight="1" x14ac:dyDescent="0.35">
      <c r="E63" s="159"/>
      <c r="AZ63" s="160"/>
    </row>
    <row r="64" spans="5: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5" customHeight="1" x14ac:dyDescent="0.35">
      <c r="E87" s="178"/>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80"/>
    </row>
  </sheetData>
  <conditionalFormatting sqref="B8:B37">
    <cfRule type="expression" dxfId="3" priority="2">
      <formula>A8=""</formula>
    </cfRule>
  </conditionalFormatting>
  <pageMargins left="0.7" right="0.7" top="0.75" bottom="0.7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A9D18E"/>
  </sheetPr>
  <dimension ref="A1:AZ87"/>
  <sheetViews>
    <sheetView workbookViewId="0"/>
  </sheetViews>
  <sheetFormatPr defaultColWidth="9.1796875" defaultRowHeight="14.5" x14ac:dyDescent="0.35"/>
  <cols>
    <col min="1" max="1" width="26" style="3" customWidth="1"/>
    <col min="2" max="2" width="40.7265625" style="3" customWidth="1"/>
    <col min="3" max="16384" width="9.1796875" style="3"/>
  </cols>
  <sheetData>
    <row r="1" spans="1:52" ht="19.5" customHeight="1" x14ac:dyDescent="0.45">
      <c r="A1" s="4" t="s">
        <v>553</v>
      </c>
    </row>
    <row r="2" spans="1:52" ht="15" customHeight="1" x14ac:dyDescent="0.35">
      <c r="A2" s="5" t="s">
        <v>550</v>
      </c>
      <c r="B2" s="5"/>
      <c r="C2" s="5"/>
    </row>
    <row r="3" spans="1:52" ht="14.25" customHeight="1" x14ac:dyDescent="0.35">
      <c r="A3" s="3" t="s">
        <v>2</v>
      </c>
    </row>
    <row r="4" spans="1:52" ht="14.25" customHeight="1" x14ac:dyDescent="0.35">
      <c r="A4" s="167" t="s">
        <v>463</v>
      </c>
      <c r="B4" s="5"/>
      <c r="C4" s="5"/>
      <c r="D4" s="5"/>
      <c r="E4" s="5"/>
      <c r="F4" s="5"/>
      <c r="G4" s="5"/>
      <c r="H4" s="5"/>
      <c r="I4" s="5"/>
      <c r="J4" s="5"/>
      <c r="K4" s="5"/>
      <c r="L4" s="5"/>
    </row>
    <row r="5" spans="1:52" ht="14.25" customHeight="1" x14ac:dyDescent="0.35">
      <c r="A5" s="3" t="s">
        <v>2</v>
      </c>
    </row>
    <row r="6" spans="1:52" ht="15" customHeight="1" x14ac:dyDescent="0.35">
      <c r="A6" s="6" t="s">
        <v>551</v>
      </c>
    </row>
    <row r="7" spans="1:52" ht="14.25" customHeight="1" x14ac:dyDescent="0.35">
      <c r="A7" s="9" t="s">
        <v>4</v>
      </c>
      <c r="B7" s="259" t="s">
        <v>553</v>
      </c>
      <c r="C7" s="3" t="s">
        <v>552</v>
      </c>
      <c r="E7" s="154" t="s">
        <v>453</v>
      </c>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6"/>
    </row>
    <row r="8" spans="1:52" ht="14.25" customHeight="1" x14ac:dyDescent="0.35">
      <c r="A8" s="10">
        <f>'Project Information'!$B$9</f>
        <v>2031</v>
      </c>
      <c r="B8" s="252">
        <v>0</v>
      </c>
      <c r="E8" s="159"/>
      <c r="AZ8" s="160"/>
    </row>
    <row r="9" spans="1:52" ht="14.25" customHeight="1" x14ac:dyDescent="0.35">
      <c r="A9" s="15">
        <f>IF(A8&lt;'Project Information'!B$11,A8+1,"")</f>
        <v>2032</v>
      </c>
      <c r="B9" s="252">
        <v>0</v>
      </c>
      <c r="E9" s="159"/>
      <c r="AZ9" s="160"/>
    </row>
    <row r="10" spans="1:52" ht="14.25" customHeight="1" x14ac:dyDescent="0.35">
      <c r="A10" s="15">
        <f>IF(A9&lt;'Project Information'!B$11,A9+1,"")</f>
        <v>2033</v>
      </c>
      <c r="B10" s="252">
        <v>0</v>
      </c>
      <c r="E10" s="159"/>
      <c r="AZ10" s="160"/>
    </row>
    <row r="11" spans="1:52" ht="14.25" customHeight="1" x14ac:dyDescent="0.35">
      <c r="A11" s="15">
        <f>IF(A10&lt;'Project Information'!B$11,A10+1,"")</f>
        <v>2034</v>
      </c>
      <c r="B11" s="252">
        <v>0</v>
      </c>
      <c r="E11" s="159"/>
      <c r="AZ11" s="160"/>
    </row>
    <row r="12" spans="1:52" ht="14.25" customHeight="1" x14ac:dyDescent="0.35">
      <c r="A12" s="15">
        <f>IF(A11&lt;'Project Information'!B$11,A11+1,"")</f>
        <v>2035</v>
      </c>
      <c r="B12" s="252">
        <v>0</v>
      </c>
      <c r="E12" s="159"/>
      <c r="AZ12" s="160"/>
    </row>
    <row r="13" spans="1:52" ht="14.25" customHeight="1" x14ac:dyDescent="0.35">
      <c r="A13" s="15">
        <f>IF(A12&lt;'Project Information'!B$11,A12+1,"")</f>
        <v>2036</v>
      </c>
      <c r="B13" s="252">
        <v>0</v>
      </c>
      <c r="E13" s="159"/>
      <c r="AZ13" s="160"/>
    </row>
    <row r="14" spans="1:52" ht="14.25" customHeight="1" x14ac:dyDescent="0.35">
      <c r="A14" s="15">
        <f>IF(A13&lt;'Project Information'!B$11,A13+1,"")</f>
        <v>2037</v>
      </c>
      <c r="B14" s="252">
        <v>0</v>
      </c>
      <c r="E14" s="159"/>
      <c r="AZ14" s="160"/>
    </row>
    <row r="15" spans="1:52" ht="14.25" customHeight="1" x14ac:dyDescent="0.35">
      <c r="A15" s="15">
        <f>IF(A14&lt;'Project Information'!B$11,A14+1,"")</f>
        <v>2038</v>
      </c>
      <c r="B15" s="252">
        <v>0</v>
      </c>
      <c r="E15" s="159"/>
      <c r="AZ15" s="160"/>
    </row>
    <row r="16" spans="1:52" ht="14.25" customHeight="1" x14ac:dyDescent="0.35">
      <c r="A16" s="15">
        <f>IF(A15&lt;'Project Information'!B$11,A15+1,"")</f>
        <v>2039</v>
      </c>
      <c r="B16" s="252">
        <v>0</v>
      </c>
      <c r="E16" s="159"/>
      <c r="AZ16" s="160"/>
    </row>
    <row r="17" spans="1:52" ht="14.25" customHeight="1" x14ac:dyDescent="0.35">
      <c r="A17" s="15">
        <f>IF(A16&lt;'Project Information'!B$11,A16+1,"")</f>
        <v>2040</v>
      </c>
      <c r="B17" s="252">
        <v>0</v>
      </c>
      <c r="E17" s="159"/>
      <c r="AZ17" s="160"/>
    </row>
    <row r="18" spans="1:52" ht="14.25" customHeight="1" x14ac:dyDescent="0.35">
      <c r="A18" s="15">
        <f>IF(A17&lt;'Project Information'!B$11,A17+1,"")</f>
        <v>2041</v>
      </c>
      <c r="B18" s="252">
        <v>0</v>
      </c>
      <c r="E18" s="159"/>
      <c r="AZ18" s="160"/>
    </row>
    <row r="19" spans="1:52" ht="14.25" customHeight="1" x14ac:dyDescent="0.35">
      <c r="A19" s="15">
        <f>IF(A18&lt;'Project Information'!B$11,A18+1,"")</f>
        <v>2042</v>
      </c>
      <c r="B19" s="252">
        <v>0</v>
      </c>
      <c r="E19" s="159"/>
      <c r="AZ19" s="160"/>
    </row>
    <row r="20" spans="1:52" ht="14.25" customHeight="1" x14ac:dyDescent="0.35">
      <c r="A20" s="15">
        <f>IF(A19&lt;'Project Information'!B$11,A19+1,"")</f>
        <v>2043</v>
      </c>
      <c r="B20" s="252">
        <v>0</v>
      </c>
      <c r="E20" s="159"/>
      <c r="AZ20" s="160"/>
    </row>
    <row r="21" spans="1:52" ht="14.25" customHeight="1" x14ac:dyDescent="0.35">
      <c r="A21" s="15">
        <f>IF(A20&lt;'Project Information'!B$11,A20+1,"")</f>
        <v>2044</v>
      </c>
      <c r="B21" s="252">
        <v>0</v>
      </c>
      <c r="E21" s="159"/>
      <c r="AZ21" s="160"/>
    </row>
    <row r="22" spans="1:52" ht="14.25" customHeight="1" x14ac:dyDescent="0.35">
      <c r="A22" s="15">
        <f>IF(A21&lt;'Project Information'!B$11,A21+1,"")</f>
        <v>2045</v>
      </c>
      <c r="B22" s="252">
        <v>0</v>
      </c>
      <c r="E22" s="159"/>
      <c r="AZ22" s="160"/>
    </row>
    <row r="23" spans="1:52" ht="14.25" customHeight="1" x14ac:dyDescent="0.35">
      <c r="A23" s="15">
        <f>IF(A22&lt;'Project Information'!B$11,A22+1,"")</f>
        <v>2046</v>
      </c>
      <c r="B23" s="252">
        <v>0</v>
      </c>
      <c r="E23" s="159"/>
      <c r="AZ23" s="160"/>
    </row>
    <row r="24" spans="1:52" ht="14.25" customHeight="1" x14ac:dyDescent="0.35">
      <c r="A24" s="15">
        <f>IF(A23&lt;'Project Information'!B$11,A23+1,"")</f>
        <v>2047</v>
      </c>
      <c r="B24" s="252">
        <v>0</v>
      </c>
      <c r="E24" s="159"/>
      <c r="AZ24" s="160"/>
    </row>
    <row r="25" spans="1:52" ht="14.25" customHeight="1" x14ac:dyDescent="0.35">
      <c r="A25" s="15">
        <f>IF(A24&lt;'Project Information'!B$11,A24+1,"")</f>
        <v>2048</v>
      </c>
      <c r="B25" s="252">
        <v>0</v>
      </c>
      <c r="E25" s="159"/>
      <c r="AZ25" s="160"/>
    </row>
    <row r="26" spans="1:52" ht="14.25" customHeight="1" x14ac:dyDescent="0.35">
      <c r="A26" s="15">
        <f>IF(A25&lt;'Project Information'!B$11,A25+1,"")</f>
        <v>2049</v>
      </c>
      <c r="B26" s="252">
        <v>0</v>
      </c>
      <c r="E26" s="159"/>
      <c r="AZ26" s="160"/>
    </row>
    <row r="27" spans="1:52" ht="14.25" customHeight="1" x14ac:dyDescent="0.35">
      <c r="A27" s="15">
        <f>IF(A26&lt;'Project Information'!B$11,A26+1,"")</f>
        <v>2050</v>
      </c>
      <c r="B27" s="252">
        <v>0</v>
      </c>
      <c r="E27" s="159"/>
      <c r="AZ27" s="160"/>
    </row>
    <row r="28" spans="1:52" ht="14.25" customHeight="1" x14ac:dyDescent="0.35">
      <c r="A28" s="15">
        <f>IF(A27&lt;'Project Information'!B$11,A27+1,"")</f>
        <v>2051</v>
      </c>
      <c r="B28" s="252">
        <v>0</v>
      </c>
      <c r="E28" s="159"/>
      <c r="AZ28" s="160"/>
    </row>
    <row r="29" spans="1:52" ht="14.25" customHeight="1" x14ac:dyDescent="0.35">
      <c r="A29" s="15">
        <f>IF(A28&lt;'Project Information'!B$11,A28+1,"")</f>
        <v>2052</v>
      </c>
      <c r="B29" s="252">
        <v>0</v>
      </c>
      <c r="E29" s="159"/>
      <c r="AZ29" s="160"/>
    </row>
    <row r="30" spans="1:52" ht="14.25" customHeight="1" x14ac:dyDescent="0.35">
      <c r="A30" s="15">
        <f>IF(A29&lt;'Project Information'!B$11,A29+1,"")</f>
        <v>2053</v>
      </c>
      <c r="B30" s="252">
        <v>0</v>
      </c>
      <c r="E30" s="159"/>
      <c r="AZ30" s="160"/>
    </row>
    <row r="31" spans="1:52" ht="14.25" customHeight="1" x14ac:dyDescent="0.35">
      <c r="A31" s="15">
        <f>IF(A30&lt;'Project Information'!B$11,A30+1,"")</f>
        <v>2054</v>
      </c>
      <c r="B31" s="252">
        <v>0</v>
      </c>
      <c r="E31" s="159"/>
      <c r="AZ31" s="160"/>
    </row>
    <row r="32" spans="1:52" ht="14.25" customHeight="1" x14ac:dyDescent="0.35">
      <c r="A32" s="15">
        <f>IF(A31&lt;'Project Information'!B$11,A31+1,"")</f>
        <v>2055</v>
      </c>
      <c r="B32" s="252">
        <v>0</v>
      </c>
      <c r="E32" s="159"/>
      <c r="AZ32" s="160"/>
    </row>
    <row r="33" spans="1:52" ht="14.25" customHeight="1" x14ac:dyDescent="0.35">
      <c r="A33" s="15">
        <f>IF(A32&lt;'Project Information'!B$11,A32+1,"")</f>
        <v>2056</v>
      </c>
      <c r="B33" s="252">
        <v>0</v>
      </c>
      <c r="E33" s="159"/>
      <c r="AZ33" s="160"/>
    </row>
    <row r="34" spans="1:52" ht="14.25" customHeight="1" x14ac:dyDescent="0.35">
      <c r="A34" s="15">
        <f>IF(A33&lt;'Project Information'!B$11,A33+1,"")</f>
        <v>2057</v>
      </c>
      <c r="B34" s="252">
        <v>0</v>
      </c>
      <c r="E34" s="159"/>
      <c r="AZ34" s="160"/>
    </row>
    <row r="35" spans="1:52" ht="14.25" customHeight="1" x14ac:dyDescent="0.35">
      <c r="A35" s="15">
        <f>IF(A34&lt;'Project Information'!B$11,A34+1,"")</f>
        <v>2058</v>
      </c>
      <c r="B35" s="252">
        <v>0</v>
      </c>
      <c r="E35" s="159"/>
      <c r="AZ35" s="160"/>
    </row>
    <row r="36" spans="1:52" ht="14.25" customHeight="1" x14ac:dyDescent="0.35">
      <c r="A36" s="15">
        <f>IF(A35&lt;'Project Information'!B$11,A35+1,"")</f>
        <v>2059</v>
      </c>
      <c r="B36" s="252">
        <v>0</v>
      </c>
      <c r="E36" s="159"/>
      <c r="AZ36" s="160"/>
    </row>
    <row r="37" spans="1:52" ht="14.25" customHeight="1" x14ac:dyDescent="0.35">
      <c r="A37" s="89">
        <f>IF(A36&lt;'Project Information'!B$11,A36+1,"")</f>
        <v>2060</v>
      </c>
      <c r="B37" s="170">
        <v>0</v>
      </c>
      <c r="E37" s="159"/>
      <c r="AZ37" s="160"/>
    </row>
    <row r="38" spans="1:52" ht="14.25" customHeight="1" x14ac:dyDescent="0.35">
      <c r="E38" s="159"/>
      <c r="AZ38" s="160"/>
    </row>
    <row r="39" spans="1:52" ht="14.25" customHeight="1" x14ac:dyDescent="0.35">
      <c r="E39" s="159"/>
      <c r="AZ39" s="160"/>
    </row>
    <row r="40" spans="1:52" ht="14.25" customHeight="1" x14ac:dyDescent="0.35">
      <c r="E40" s="159"/>
      <c r="AZ40" s="160"/>
    </row>
    <row r="41" spans="1:52" ht="14.25" customHeight="1" x14ac:dyDescent="0.35">
      <c r="E41" s="159"/>
      <c r="AZ41" s="160"/>
    </row>
    <row r="42" spans="1:52" ht="14.25" customHeight="1" x14ac:dyDescent="0.35">
      <c r="E42" s="159"/>
      <c r="AZ42" s="160"/>
    </row>
    <row r="43" spans="1:52" ht="14.25" customHeight="1" x14ac:dyDescent="0.35">
      <c r="E43" s="159"/>
      <c r="AZ43" s="160"/>
    </row>
    <row r="44" spans="1:52" ht="14.25" customHeight="1" x14ac:dyDescent="0.35">
      <c r="E44" s="159"/>
      <c r="AZ44" s="160"/>
    </row>
    <row r="45" spans="1:52" ht="14.25" customHeight="1" x14ac:dyDescent="0.35">
      <c r="E45" s="159"/>
      <c r="AZ45" s="160"/>
    </row>
    <row r="46" spans="1:52" ht="14.25" customHeight="1" x14ac:dyDescent="0.35">
      <c r="E46" s="159"/>
      <c r="AZ46" s="160"/>
    </row>
    <row r="47" spans="1:52" ht="14.25" customHeight="1" x14ac:dyDescent="0.35">
      <c r="E47" s="159"/>
      <c r="AZ47" s="160"/>
    </row>
    <row r="48" spans="1:52" ht="14.25" customHeight="1" x14ac:dyDescent="0.35">
      <c r="E48" s="159"/>
      <c r="AZ48" s="160"/>
    </row>
    <row r="49" spans="5:52" ht="14.25" customHeight="1" x14ac:dyDescent="0.35">
      <c r="E49" s="159"/>
      <c r="AZ49" s="160"/>
    </row>
    <row r="50" spans="5:52" ht="14.25" customHeight="1" x14ac:dyDescent="0.35">
      <c r="E50" s="159"/>
      <c r="AZ50" s="160"/>
    </row>
    <row r="51" spans="5:52" ht="14.25" customHeight="1" x14ac:dyDescent="0.35">
      <c r="E51" s="159"/>
      <c r="AZ51" s="160"/>
    </row>
    <row r="52" spans="5:52" ht="14.25" customHeight="1" x14ac:dyDescent="0.35">
      <c r="E52" s="159"/>
      <c r="AZ52" s="160"/>
    </row>
    <row r="53" spans="5:52" ht="14.25" customHeight="1" x14ac:dyDescent="0.35">
      <c r="E53" s="159"/>
      <c r="AZ53" s="160"/>
    </row>
    <row r="54" spans="5:52" ht="14.25" customHeight="1" x14ac:dyDescent="0.35">
      <c r="E54" s="159"/>
      <c r="AZ54" s="160"/>
    </row>
    <row r="55" spans="5:52" ht="14.25" customHeight="1" x14ac:dyDescent="0.35">
      <c r="E55" s="159"/>
      <c r="AZ55" s="160"/>
    </row>
    <row r="56" spans="5:52" ht="14.25" customHeight="1" x14ac:dyDescent="0.35">
      <c r="E56" s="159"/>
      <c r="AZ56" s="160"/>
    </row>
    <row r="57" spans="5:52" ht="14.25" customHeight="1" x14ac:dyDescent="0.35">
      <c r="E57" s="159"/>
      <c r="AZ57" s="160"/>
    </row>
    <row r="58" spans="5:52" ht="14.25" customHeight="1" x14ac:dyDescent="0.35">
      <c r="E58" s="159"/>
      <c r="AZ58" s="160"/>
    </row>
    <row r="59" spans="5:52" ht="14.25" customHeight="1" x14ac:dyDescent="0.35">
      <c r="E59" s="159"/>
      <c r="AZ59" s="160"/>
    </row>
    <row r="60" spans="5:52" ht="14.25" customHeight="1" x14ac:dyDescent="0.35">
      <c r="E60" s="159"/>
      <c r="AZ60" s="160"/>
    </row>
    <row r="61" spans="5:52" ht="14.25" customHeight="1" x14ac:dyDescent="0.35">
      <c r="E61" s="159"/>
      <c r="AZ61" s="160"/>
    </row>
    <row r="62" spans="5:52" ht="14.25" customHeight="1" x14ac:dyDescent="0.35">
      <c r="E62" s="159"/>
      <c r="AZ62" s="160"/>
    </row>
    <row r="63" spans="5:52" ht="14.25" customHeight="1" x14ac:dyDescent="0.35">
      <c r="E63" s="159"/>
      <c r="AZ63" s="160"/>
    </row>
    <row r="64" spans="5: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5" customHeight="1" x14ac:dyDescent="0.35">
      <c r="E87" s="178"/>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80"/>
    </row>
  </sheetData>
  <conditionalFormatting sqref="B8:B37">
    <cfRule type="expression" dxfId="2" priority="2">
      <formula>A8=""</formula>
    </cfRule>
  </conditionalFormatting>
  <pageMargins left="0.7" right="0.7" top="0.75" bottom="0.7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A9D18E"/>
  </sheetPr>
  <dimension ref="A1:AZ87"/>
  <sheetViews>
    <sheetView workbookViewId="0"/>
  </sheetViews>
  <sheetFormatPr defaultColWidth="9.1796875" defaultRowHeight="14.5" x14ac:dyDescent="0.35"/>
  <cols>
    <col min="1" max="1" width="25.81640625" style="3" customWidth="1"/>
    <col min="2" max="2" width="40.7265625" style="3" customWidth="1"/>
    <col min="3" max="16384" width="9.1796875" style="3"/>
  </cols>
  <sheetData>
    <row r="1" spans="1:52" ht="19.5" customHeight="1" x14ac:dyDescent="0.45">
      <c r="A1" s="4" t="s">
        <v>554</v>
      </c>
    </row>
    <row r="2" spans="1:52" ht="15" customHeight="1" x14ac:dyDescent="0.35">
      <c r="A2" s="5" t="s">
        <v>550</v>
      </c>
      <c r="B2" s="5"/>
      <c r="C2" s="5"/>
    </row>
    <row r="3" spans="1:52" ht="14.25" customHeight="1" x14ac:dyDescent="0.35">
      <c r="A3" s="3" t="s">
        <v>2</v>
      </c>
    </row>
    <row r="4" spans="1:52" ht="14.25" customHeight="1" x14ac:dyDescent="0.35">
      <c r="A4" s="167" t="s">
        <v>463</v>
      </c>
      <c r="B4" s="5"/>
      <c r="C4" s="5"/>
      <c r="D4" s="5"/>
      <c r="E4" s="5"/>
      <c r="F4" s="5"/>
      <c r="G4" s="5"/>
      <c r="H4" s="5"/>
      <c r="I4" s="5"/>
      <c r="J4" s="5"/>
      <c r="K4" s="5"/>
      <c r="L4" s="5"/>
    </row>
    <row r="5" spans="1:52" ht="14.25" customHeight="1" x14ac:dyDescent="0.35">
      <c r="A5" s="3" t="s">
        <v>2</v>
      </c>
    </row>
    <row r="6" spans="1:52" ht="15" customHeight="1" x14ac:dyDescent="0.35">
      <c r="A6" s="6" t="s">
        <v>551</v>
      </c>
    </row>
    <row r="7" spans="1:52" ht="14.25" customHeight="1" x14ac:dyDescent="0.35">
      <c r="A7" s="9" t="s">
        <v>4</v>
      </c>
      <c r="B7" s="259" t="s">
        <v>554</v>
      </c>
      <c r="C7" s="3" t="s">
        <v>552</v>
      </c>
      <c r="E7" s="154" t="s">
        <v>453</v>
      </c>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6"/>
    </row>
    <row r="8" spans="1:52" ht="14.25" customHeight="1" x14ac:dyDescent="0.35">
      <c r="A8" s="10">
        <f>'Project Information'!$B$9</f>
        <v>2031</v>
      </c>
      <c r="B8" s="252">
        <v>0</v>
      </c>
      <c r="E8" s="159"/>
      <c r="AZ8" s="160"/>
    </row>
    <row r="9" spans="1:52" ht="14.25" customHeight="1" x14ac:dyDescent="0.35">
      <c r="A9" s="15">
        <f>IF(A8&lt;'Project Information'!B$11,A8+1,"")</f>
        <v>2032</v>
      </c>
      <c r="B9" s="252">
        <v>0</v>
      </c>
      <c r="E9" s="159"/>
      <c r="AZ9" s="160"/>
    </row>
    <row r="10" spans="1:52" ht="14.25" customHeight="1" x14ac:dyDescent="0.35">
      <c r="A10" s="15">
        <f>IF(A9&lt;'Project Information'!B$11,A9+1,"")</f>
        <v>2033</v>
      </c>
      <c r="B10" s="252">
        <v>0</v>
      </c>
      <c r="E10" s="159"/>
      <c r="AZ10" s="160"/>
    </row>
    <row r="11" spans="1:52" ht="14.25" customHeight="1" x14ac:dyDescent="0.35">
      <c r="A11" s="15">
        <f>IF(A10&lt;'Project Information'!B$11,A10+1,"")</f>
        <v>2034</v>
      </c>
      <c r="B11" s="252">
        <v>0</v>
      </c>
      <c r="E11" s="159"/>
      <c r="AZ11" s="160"/>
    </row>
    <row r="12" spans="1:52" ht="14.25" customHeight="1" x14ac:dyDescent="0.35">
      <c r="A12" s="15">
        <f>IF(A11&lt;'Project Information'!B$11,A11+1,"")</f>
        <v>2035</v>
      </c>
      <c r="B12" s="252">
        <v>0</v>
      </c>
      <c r="E12" s="159"/>
      <c r="AZ12" s="160"/>
    </row>
    <row r="13" spans="1:52" ht="14.25" customHeight="1" x14ac:dyDescent="0.35">
      <c r="A13" s="15">
        <f>IF(A12&lt;'Project Information'!B$11,A12+1,"")</f>
        <v>2036</v>
      </c>
      <c r="B13" s="252">
        <v>0</v>
      </c>
      <c r="E13" s="159"/>
      <c r="AZ13" s="160"/>
    </row>
    <row r="14" spans="1:52" ht="14.25" customHeight="1" x14ac:dyDescent="0.35">
      <c r="A14" s="15">
        <f>IF(A13&lt;'Project Information'!B$11,A13+1,"")</f>
        <v>2037</v>
      </c>
      <c r="B14" s="252">
        <v>0</v>
      </c>
      <c r="E14" s="159"/>
      <c r="AZ14" s="160"/>
    </row>
    <row r="15" spans="1:52" ht="14.25" customHeight="1" x14ac:dyDescent="0.35">
      <c r="A15" s="15">
        <f>IF(A14&lt;'Project Information'!B$11,A14+1,"")</f>
        <v>2038</v>
      </c>
      <c r="B15" s="252">
        <v>0</v>
      </c>
      <c r="E15" s="159"/>
      <c r="AZ15" s="160"/>
    </row>
    <row r="16" spans="1:52" ht="14.25" customHeight="1" x14ac:dyDescent="0.35">
      <c r="A16" s="15">
        <f>IF(A15&lt;'Project Information'!B$11,A15+1,"")</f>
        <v>2039</v>
      </c>
      <c r="B16" s="252">
        <v>0</v>
      </c>
      <c r="E16" s="159"/>
      <c r="AZ16" s="160"/>
    </row>
    <row r="17" spans="1:52" ht="14.25" customHeight="1" x14ac:dyDescent="0.35">
      <c r="A17" s="15">
        <f>IF(A16&lt;'Project Information'!B$11,A16+1,"")</f>
        <v>2040</v>
      </c>
      <c r="B17" s="252">
        <v>0</v>
      </c>
      <c r="E17" s="159"/>
      <c r="AZ17" s="160"/>
    </row>
    <row r="18" spans="1:52" ht="14.25" customHeight="1" x14ac:dyDescent="0.35">
      <c r="A18" s="15">
        <f>IF(A17&lt;'Project Information'!B$11,A17+1,"")</f>
        <v>2041</v>
      </c>
      <c r="B18" s="252">
        <v>0</v>
      </c>
      <c r="E18" s="159"/>
      <c r="AZ18" s="160"/>
    </row>
    <row r="19" spans="1:52" ht="14.25" customHeight="1" x14ac:dyDescent="0.35">
      <c r="A19" s="15">
        <f>IF(A18&lt;'Project Information'!B$11,A18+1,"")</f>
        <v>2042</v>
      </c>
      <c r="B19" s="252">
        <v>0</v>
      </c>
      <c r="E19" s="159"/>
      <c r="AZ19" s="160"/>
    </row>
    <row r="20" spans="1:52" ht="14.25" customHeight="1" x14ac:dyDescent="0.35">
      <c r="A20" s="15">
        <f>IF(A19&lt;'Project Information'!B$11,A19+1,"")</f>
        <v>2043</v>
      </c>
      <c r="B20" s="252">
        <v>0</v>
      </c>
      <c r="E20" s="159"/>
      <c r="AZ20" s="160"/>
    </row>
    <row r="21" spans="1:52" ht="14.25" customHeight="1" x14ac:dyDescent="0.35">
      <c r="A21" s="15">
        <f>IF(A20&lt;'Project Information'!B$11,A20+1,"")</f>
        <v>2044</v>
      </c>
      <c r="B21" s="252">
        <v>0</v>
      </c>
      <c r="E21" s="159"/>
      <c r="AZ21" s="160"/>
    </row>
    <row r="22" spans="1:52" ht="14.25" customHeight="1" x14ac:dyDescent="0.35">
      <c r="A22" s="15">
        <f>IF(A21&lt;'Project Information'!B$11,A21+1,"")</f>
        <v>2045</v>
      </c>
      <c r="B22" s="252">
        <v>0</v>
      </c>
      <c r="E22" s="159"/>
      <c r="AZ22" s="160"/>
    </row>
    <row r="23" spans="1:52" ht="14.25" customHeight="1" x14ac:dyDescent="0.35">
      <c r="A23" s="15">
        <f>IF(A22&lt;'Project Information'!B$11,A22+1,"")</f>
        <v>2046</v>
      </c>
      <c r="B23" s="252">
        <v>0</v>
      </c>
      <c r="E23" s="159"/>
      <c r="AZ23" s="160"/>
    </row>
    <row r="24" spans="1:52" ht="14.25" customHeight="1" x14ac:dyDescent="0.35">
      <c r="A24" s="15">
        <f>IF(A23&lt;'Project Information'!B$11,A23+1,"")</f>
        <v>2047</v>
      </c>
      <c r="B24" s="252">
        <v>0</v>
      </c>
      <c r="E24" s="159"/>
      <c r="AZ24" s="160"/>
    </row>
    <row r="25" spans="1:52" ht="14.25" customHeight="1" x14ac:dyDescent="0.35">
      <c r="A25" s="15">
        <f>IF(A24&lt;'Project Information'!B$11,A24+1,"")</f>
        <v>2048</v>
      </c>
      <c r="B25" s="252">
        <v>0</v>
      </c>
      <c r="E25" s="159"/>
      <c r="AZ25" s="160"/>
    </row>
    <row r="26" spans="1:52" ht="14.25" customHeight="1" x14ac:dyDescent="0.35">
      <c r="A26" s="15">
        <f>IF(A25&lt;'Project Information'!B$11,A25+1,"")</f>
        <v>2049</v>
      </c>
      <c r="B26" s="252">
        <v>0</v>
      </c>
      <c r="E26" s="159"/>
      <c r="AZ26" s="160"/>
    </row>
    <row r="27" spans="1:52" ht="14.25" customHeight="1" x14ac:dyDescent="0.35">
      <c r="A27" s="15">
        <f>IF(A26&lt;'Project Information'!B$11,A26+1,"")</f>
        <v>2050</v>
      </c>
      <c r="B27" s="252">
        <v>0</v>
      </c>
      <c r="E27" s="159"/>
      <c r="AZ27" s="160"/>
    </row>
    <row r="28" spans="1:52" ht="14.25" customHeight="1" x14ac:dyDescent="0.35">
      <c r="A28" s="15">
        <f>IF(A27&lt;'Project Information'!B$11,A27+1,"")</f>
        <v>2051</v>
      </c>
      <c r="B28" s="252">
        <v>0</v>
      </c>
      <c r="E28" s="159"/>
      <c r="AZ28" s="160"/>
    </row>
    <row r="29" spans="1:52" ht="14.25" customHeight="1" x14ac:dyDescent="0.35">
      <c r="A29" s="15">
        <f>IF(A28&lt;'Project Information'!B$11,A28+1,"")</f>
        <v>2052</v>
      </c>
      <c r="B29" s="252">
        <v>0</v>
      </c>
      <c r="E29" s="159"/>
      <c r="AZ29" s="160"/>
    </row>
    <row r="30" spans="1:52" ht="14.25" customHeight="1" x14ac:dyDescent="0.35">
      <c r="A30" s="15">
        <f>IF(A29&lt;'Project Information'!B$11,A29+1,"")</f>
        <v>2053</v>
      </c>
      <c r="B30" s="252">
        <v>0</v>
      </c>
      <c r="E30" s="159"/>
      <c r="AZ30" s="160"/>
    </row>
    <row r="31" spans="1:52" ht="14.25" customHeight="1" x14ac:dyDescent="0.35">
      <c r="A31" s="15">
        <f>IF(A30&lt;'Project Information'!B$11,A30+1,"")</f>
        <v>2054</v>
      </c>
      <c r="B31" s="252">
        <v>0</v>
      </c>
      <c r="E31" s="159"/>
      <c r="AZ31" s="160"/>
    </row>
    <row r="32" spans="1:52" ht="14.25" customHeight="1" x14ac:dyDescent="0.35">
      <c r="A32" s="15">
        <f>IF(A31&lt;'Project Information'!B$11,A31+1,"")</f>
        <v>2055</v>
      </c>
      <c r="B32" s="252">
        <v>0</v>
      </c>
      <c r="E32" s="159"/>
      <c r="AZ32" s="160"/>
    </row>
    <row r="33" spans="1:52" ht="14.25" customHeight="1" x14ac:dyDescent="0.35">
      <c r="A33" s="15">
        <f>IF(A32&lt;'Project Information'!B$11,A32+1,"")</f>
        <v>2056</v>
      </c>
      <c r="B33" s="252">
        <v>0</v>
      </c>
      <c r="E33" s="159"/>
      <c r="AZ33" s="160"/>
    </row>
    <row r="34" spans="1:52" ht="14.25" customHeight="1" x14ac:dyDescent="0.35">
      <c r="A34" s="15">
        <f>IF(A33&lt;'Project Information'!B$11,A33+1,"")</f>
        <v>2057</v>
      </c>
      <c r="B34" s="252">
        <v>0</v>
      </c>
      <c r="E34" s="159"/>
      <c r="AZ34" s="160"/>
    </row>
    <row r="35" spans="1:52" ht="14.25" customHeight="1" x14ac:dyDescent="0.35">
      <c r="A35" s="15">
        <f>IF(A34&lt;'Project Information'!B$11,A34+1,"")</f>
        <v>2058</v>
      </c>
      <c r="B35" s="252">
        <v>0</v>
      </c>
      <c r="E35" s="159"/>
      <c r="AZ35" s="160"/>
    </row>
    <row r="36" spans="1:52" ht="14.25" customHeight="1" x14ac:dyDescent="0.35">
      <c r="A36" s="15">
        <f>IF(A35&lt;'Project Information'!B$11,A35+1,"")</f>
        <v>2059</v>
      </c>
      <c r="B36" s="252">
        <v>0</v>
      </c>
      <c r="E36" s="159"/>
      <c r="AZ36" s="160"/>
    </row>
    <row r="37" spans="1:52" ht="14.25" customHeight="1" x14ac:dyDescent="0.35">
      <c r="A37" s="89">
        <f>IF(A36&lt;'Project Information'!B$11,A36+1,"")</f>
        <v>2060</v>
      </c>
      <c r="B37" s="170">
        <v>0</v>
      </c>
      <c r="E37" s="159"/>
      <c r="AZ37" s="160"/>
    </row>
    <row r="38" spans="1:52" ht="14.25" customHeight="1" x14ac:dyDescent="0.35">
      <c r="E38" s="159"/>
      <c r="AZ38" s="160"/>
    </row>
    <row r="39" spans="1:52" ht="14.25" customHeight="1" x14ac:dyDescent="0.35">
      <c r="E39" s="159"/>
      <c r="AZ39" s="160"/>
    </row>
    <row r="40" spans="1:52" ht="14.25" customHeight="1" x14ac:dyDescent="0.35">
      <c r="E40" s="159"/>
      <c r="AZ40" s="160"/>
    </row>
    <row r="41" spans="1:52" ht="14.25" customHeight="1" x14ac:dyDescent="0.35">
      <c r="E41" s="159"/>
      <c r="AZ41" s="160"/>
    </row>
    <row r="42" spans="1:52" ht="14.25" customHeight="1" x14ac:dyDescent="0.35">
      <c r="E42" s="159"/>
      <c r="AZ42" s="160"/>
    </row>
    <row r="43" spans="1:52" ht="14.25" customHeight="1" x14ac:dyDescent="0.35">
      <c r="E43" s="159"/>
      <c r="AZ43" s="160"/>
    </row>
    <row r="44" spans="1:52" ht="14.25" customHeight="1" x14ac:dyDescent="0.35">
      <c r="E44" s="159"/>
      <c r="AZ44" s="160"/>
    </row>
    <row r="45" spans="1:52" ht="14.25" customHeight="1" x14ac:dyDescent="0.35">
      <c r="E45" s="159"/>
      <c r="AZ45" s="160"/>
    </row>
    <row r="46" spans="1:52" ht="14.25" customHeight="1" x14ac:dyDescent="0.35">
      <c r="E46" s="159"/>
      <c r="AZ46" s="160"/>
    </row>
    <row r="47" spans="1:52" ht="14.25" customHeight="1" x14ac:dyDescent="0.35">
      <c r="E47" s="159"/>
      <c r="AZ47" s="160"/>
    </row>
    <row r="48" spans="1:52" ht="14.25" customHeight="1" x14ac:dyDescent="0.35">
      <c r="E48" s="159"/>
      <c r="AZ48" s="160"/>
    </row>
    <row r="49" spans="5:52" ht="14.25" customHeight="1" x14ac:dyDescent="0.35">
      <c r="E49" s="159"/>
      <c r="AZ49" s="160"/>
    </row>
    <row r="50" spans="5:52" ht="14.25" customHeight="1" x14ac:dyDescent="0.35">
      <c r="E50" s="159"/>
      <c r="AZ50" s="160"/>
    </row>
    <row r="51" spans="5:52" ht="14.25" customHeight="1" x14ac:dyDescent="0.35">
      <c r="E51" s="159"/>
      <c r="AZ51" s="160"/>
    </row>
    <row r="52" spans="5:52" ht="14.25" customHeight="1" x14ac:dyDescent="0.35">
      <c r="E52" s="159"/>
      <c r="AZ52" s="160"/>
    </row>
    <row r="53" spans="5:52" ht="14.25" customHeight="1" x14ac:dyDescent="0.35">
      <c r="E53" s="159"/>
      <c r="AZ53" s="160"/>
    </row>
    <row r="54" spans="5:52" ht="14.25" customHeight="1" x14ac:dyDescent="0.35">
      <c r="E54" s="159"/>
      <c r="AZ54" s="160"/>
    </row>
    <row r="55" spans="5:52" ht="14.25" customHeight="1" x14ac:dyDescent="0.35">
      <c r="E55" s="159"/>
      <c r="AZ55" s="160"/>
    </row>
    <row r="56" spans="5:52" ht="14.25" customHeight="1" x14ac:dyDescent="0.35">
      <c r="E56" s="159"/>
      <c r="AZ56" s="160"/>
    </row>
    <row r="57" spans="5:52" ht="14.25" customHeight="1" x14ac:dyDescent="0.35">
      <c r="E57" s="159"/>
      <c r="AZ57" s="160"/>
    </row>
    <row r="58" spans="5:52" ht="14.25" customHeight="1" x14ac:dyDescent="0.35">
      <c r="E58" s="159"/>
      <c r="AZ58" s="160"/>
    </row>
    <row r="59" spans="5:52" ht="14.25" customHeight="1" x14ac:dyDescent="0.35">
      <c r="E59" s="159"/>
      <c r="AZ59" s="160"/>
    </row>
    <row r="60" spans="5:52" ht="14.25" customHeight="1" x14ac:dyDescent="0.35">
      <c r="E60" s="159"/>
      <c r="AZ60" s="160"/>
    </row>
    <row r="61" spans="5:52" ht="14.25" customHeight="1" x14ac:dyDescent="0.35">
      <c r="E61" s="159"/>
      <c r="AZ61" s="160"/>
    </row>
    <row r="62" spans="5:52" ht="14.25" customHeight="1" x14ac:dyDescent="0.35">
      <c r="E62" s="159"/>
      <c r="AZ62" s="160"/>
    </row>
    <row r="63" spans="5:52" ht="14.25" customHeight="1" x14ac:dyDescent="0.35">
      <c r="E63" s="159"/>
      <c r="AZ63" s="160"/>
    </row>
    <row r="64" spans="5: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5" customHeight="1" x14ac:dyDescent="0.35">
      <c r="E87" s="178"/>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c r="AS87" s="179"/>
      <c r="AT87" s="179"/>
      <c r="AU87" s="179"/>
      <c r="AV87" s="179"/>
      <c r="AW87" s="179"/>
      <c r="AX87" s="179"/>
      <c r="AY87" s="179"/>
      <c r="AZ87" s="180"/>
    </row>
  </sheetData>
  <conditionalFormatting sqref="B8:B37">
    <cfRule type="expression" dxfId="1" priority="2">
      <formula>A8=""</formula>
    </cfRule>
  </conditionalFormatting>
  <pageMargins left="0.7" right="0.7" top="0.75" bottom="0.75" header="0.511811023622047" footer="0.511811023622047"/>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A9D18E"/>
  </sheetPr>
  <dimension ref="A1:AZ91"/>
  <sheetViews>
    <sheetView workbookViewId="0"/>
  </sheetViews>
  <sheetFormatPr defaultColWidth="9.1796875" defaultRowHeight="14.5" x14ac:dyDescent="0.35"/>
  <cols>
    <col min="1" max="1" width="40.81640625" style="3" customWidth="1"/>
    <col min="2" max="2" width="40.7265625" style="3" customWidth="1"/>
    <col min="3" max="16384" width="9.1796875" style="3"/>
  </cols>
  <sheetData>
    <row r="1" spans="1:52" ht="19.5" customHeight="1" x14ac:dyDescent="0.45">
      <c r="A1" s="4" t="s">
        <v>555</v>
      </c>
    </row>
    <row r="2" spans="1:52" ht="15" customHeight="1" x14ac:dyDescent="0.35">
      <c r="A2" s="5" t="s">
        <v>556</v>
      </c>
      <c r="B2" s="5"/>
      <c r="C2" s="5"/>
      <c r="D2" s="5"/>
      <c r="E2" s="5"/>
      <c r="F2" s="5"/>
      <c r="G2" s="5"/>
    </row>
    <row r="3" spans="1:52" ht="14.25" customHeight="1" x14ac:dyDescent="0.35">
      <c r="A3" s="5" t="s">
        <v>557</v>
      </c>
      <c r="B3" s="5"/>
      <c r="C3" s="5"/>
    </row>
    <row r="4" spans="1:52" ht="14.25" customHeight="1" x14ac:dyDescent="0.35">
      <c r="A4" s="5" t="s">
        <v>558</v>
      </c>
      <c r="B4" s="5"/>
      <c r="C4" s="5"/>
      <c r="D4" s="5"/>
      <c r="E4" s="5"/>
      <c r="F4" s="5"/>
    </row>
    <row r="5" spans="1:52" ht="14.25" customHeight="1" x14ac:dyDescent="0.35">
      <c r="A5" s="3" t="s">
        <v>2</v>
      </c>
    </row>
    <row r="6" spans="1:52" ht="14.25" customHeight="1" x14ac:dyDescent="0.35">
      <c r="A6" s="5" t="s">
        <v>550</v>
      </c>
      <c r="B6" s="5"/>
    </row>
    <row r="7" spans="1:52" ht="14.25" customHeight="1" x14ac:dyDescent="0.35">
      <c r="A7" s="3" t="s">
        <v>2</v>
      </c>
    </row>
    <row r="8" spans="1:52" ht="14.25" customHeight="1" x14ac:dyDescent="0.35">
      <c r="A8" s="167" t="s">
        <v>463</v>
      </c>
      <c r="B8" s="5"/>
      <c r="C8" s="5"/>
      <c r="D8" s="5"/>
      <c r="E8" s="5"/>
      <c r="F8" s="5"/>
      <c r="G8" s="5"/>
      <c r="H8" s="5"/>
      <c r="I8" s="5"/>
      <c r="J8" s="5"/>
      <c r="K8" s="5"/>
    </row>
    <row r="9" spans="1:52" ht="14.25" customHeight="1" x14ac:dyDescent="0.35">
      <c r="A9" s="168" t="s">
        <v>2</v>
      </c>
    </row>
    <row r="10" spans="1:52" ht="15" customHeight="1" x14ac:dyDescent="0.35">
      <c r="A10" s="6" t="s">
        <v>551</v>
      </c>
    </row>
    <row r="11" spans="1:52" ht="14.25" customHeight="1" x14ac:dyDescent="0.35">
      <c r="A11" s="260" t="s">
        <v>4</v>
      </c>
      <c r="B11" s="259" t="s">
        <v>555</v>
      </c>
      <c r="C11" s="3" t="s">
        <v>552</v>
      </c>
      <c r="E11" s="154" t="s">
        <v>453</v>
      </c>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6"/>
    </row>
    <row r="12" spans="1:52" ht="14.25" customHeight="1" x14ac:dyDescent="0.35">
      <c r="A12" s="10">
        <f>'Project Information'!$B$9</f>
        <v>2031</v>
      </c>
      <c r="B12" s="252">
        <v>0</v>
      </c>
      <c r="E12" s="159"/>
      <c r="AZ12" s="160"/>
    </row>
    <row r="13" spans="1:52" ht="14.25" customHeight="1" x14ac:dyDescent="0.35">
      <c r="A13" s="15">
        <f>IF(A12&lt;'Project Information'!B$11,A12+1,"")</f>
        <v>2032</v>
      </c>
      <c r="B13" s="252">
        <v>0</v>
      </c>
      <c r="E13" s="159"/>
      <c r="AZ13" s="160"/>
    </row>
    <row r="14" spans="1:52" ht="14.25" customHeight="1" x14ac:dyDescent="0.35">
      <c r="A14" s="15">
        <f>IF(A13&lt;'Project Information'!B$11,A13+1,"")</f>
        <v>2033</v>
      </c>
      <c r="B14" s="252">
        <v>0</v>
      </c>
      <c r="E14" s="159"/>
      <c r="AZ14" s="160"/>
    </row>
    <row r="15" spans="1:52" ht="14.25" customHeight="1" x14ac:dyDescent="0.35">
      <c r="A15" s="15">
        <f>IF(A14&lt;'Project Information'!B$11,A14+1,"")</f>
        <v>2034</v>
      </c>
      <c r="B15" s="252">
        <v>0</v>
      </c>
      <c r="E15" s="159"/>
      <c r="AZ15" s="160"/>
    </row>
    <row r="16" spans="1:52" ht="14.25" customHeight="1" x14ac:dyDescent="0.35">
      <c r="A16" s="15">
        <f>IF(A15&lt;'Project Information'!B$11,A15+1,"")</f>
        <v>2035</v>
      </c>
      <c r="B16" s="252">
        <v>0</v>
      </c>
      <c r="E16" s="159"/>
      <c r="AZ16" s="160"/>
    </row>
    <row r="17" spans="1:52" ht="14.25" customHeight="1" x14ac:dyDescent="0.35">
      <c r="A17" s="15">
        <f>IF(A16&lt;'Project Information'!B$11,A16+1,"")</f>
        <v>2036</v>
      </c>
      <c r="B17" s="252">
        <v>0</v>
      </c>
      <c r="E17" s="159"/>
      <c r="AZ17" s="160"/>
    </row>
    <row r="18" spans="1:52" ht="14.25" customHeight="1" x14ac:dyDescent="0.35">
      <c r="A18" s="15">
        <f>IF(A17&lt;'Project Information'!B$11,A17+1,"")</f>
        <v>2037</v>
      </c>
      <c r="B18" s="252">
        <v>0</v>
      </c>
      <c r="E18" s="159"/>
      <c r="AZ18" s="160"/>
    </row>
    <row r="19" spans="1:52" ht="14.25" customHeight="1" x14ac:dyDescent="0.35">
      <c r="A19" s="15">
        <f>IF(A18&lt;'Project Information'!B$11,A18+1,"")</f>
        <v>2038</v>
      </c>
      <c r="B19" s="252">
        <v>0</v>
      </c>
      <c r="E19" s="159"/>
      <c r="AZ19" s="160"/>
    </row>
    <row r="20" spans="1:52" ht="14.25" customHeight="1" x14ac:dyDescent="0.35">
      <c r="A20" s="15">
        <f>IF(A19&lt;'Project Information'!B$11,A19+1,"")</f>
        <v>2039</v>
      </c>
      <c r="B20" s="252">
        <v>0</v>
      </c>
      <c r="E20" s="159"/>
      <c r="AZ20" s="160"/>
    </row>
    <row r="21" spans="1:52" ht="14.25" customHeight="1" x14ac:dyDescent="0.35">
      <c r="A21" s="15">
        <f>IF(A20&lt;'Project Information'!B$11,A20+1,"")</f>
        <v>2040</v>
      </c>
      <c r="B21" s="252">
        <v>0</v>
      </c>
      <c r="E21" s="159"/>
      <c r="AZ21" s="160"/>
    </row>
    <row r="22" spans="1:52" ht="14.25" customHeight="1" x14ac:dyDescent="0.35">
      <c r="A22" s="15">
        <f>IF(A21&lt;'Project Information'!B$11,A21+1,"")</f>
        <v>2041</v>
      </c>
      <c r="B22" s="252">
        <v>0</v>
      </c>
      <c r="E22" s="159"/>
      <c r="AZ22" s="160"/>
    </row>
    <row r="23" spans="1:52" ht="14.25" customHeight="1" x14ac:dyDescent="0.35">
      <c r="A23" s="15">
        <f>IF(A22&lt;'Project Information'!B$11,A22+1,"")</f>
        <v>2042</v>
      </c>
      <c r="B23" s="252">
        <v>0</v>
      </c>
      <c r="E23" s="159"/>
      <c r="AZ23" s="160"/>
    </row>
    <row r="24" spans="1:52" ht="14.25" customHeight="1" x14ac:dyDescent="0.35">
      <c r="A24" s="15">
        <f>IF(A23&lt;'Project Information'!B$11,A23+1,"")</f>
        <v>2043</v>
      </c>
      <c r="B24" s="252">
        <v>0</v>
      </c>
      <c r="E24" s="159"/>
      <c r="AZ24" s="160"/>
    </row>
    <row r="25" spans="1:52" ht="14.25" customHeight="1" x14ac:dyDescent="0.35">
      <c r="A25" s="15">
        <f>IF(A24&lt;'Project Information'!B$11,A24+1,"")</f>
        <v>2044</v>
      </c>
      <c r="B25" s="252">
        <v>0</v>
      </c>
      <c r="E25" s="159"/>
      <c r="AZ25" s="160"/>
    </row>
    <row r="26" spans="1:52" ht="14.25" customHeight="1" x14ac:dyDescent="0.35">
      <c r="A26" s="15">
        <f>IF(A25&lt;'Project Information'!B$11,A25+1,"")</f>
        <v>2045</v>
      </c>
      <c r="B26" s="252">
        <v>0</v>
      </c>
      <c r="E26" s="159"/>
      <c r="AZ26" s="160"/>
    </row>
    <row r="27" spans="1:52" ht="14.25" customHeight="1" x14ac:dyDescent="0.35">
      <c r="A27" s="15">
        <f>IF(A26&lt;'Project Information'!B$11,A26+1,"")</f>
        <v>2046</v>
      </c>
      <c r="B27" s="252">
        <v>0</v>
      </c>
      <c r="E27" s="159"/>
      <c r="AZ27" s="160"/>
    </row>
    <row r="28" spans="1:52" ht="14.25" customHeight="1" x14ac:dyDescent="0.35">
      <c r="A28" s="15">
        <f>IF(A27&lt;'Project Information'!B$11,A27+1,"")</f>
        <v>2047</v>
      </c>
      <c r="B28" s="252">
        <v>0</v>
      </c>
      <c r="E28" s="159"/>
      <c r="AZ28" s="160"/>
    </row>
    <row r="29" spans="1:52" ht="14.25" customHeight="1" x14ac:dyDescent="0.35">
      <c r="A29" s="15">
        <f>IF(A28&lt;'Project Information'!B$11,A28+1,"")</f>
        <v>2048</v>
      </c>
      <c r="B29" s="252">
        <v>0</v>
      </c>
      <c r="E29" s="159"/>
      <c r="AZ29" s="160"/>
    </row>
    <row r="30" spans="1:52" ht="14.25" customHeight="1" x14ac:dyDescent="0.35">
      <c r="A30" s="15">
        <f>IF(A29&lt;'Project Information'!B$11,A29+1,"")</f>
        <v>2049</v>
      </c>
      <c r="B30" s="252">
        <v>0</v>
      </c>
      <c r="E30" s="159"/>
      <c r="AZ30" s="160"/>
    </row>
    <row r="31" spans="1:52" ht="14.25" customHeight="1" x14ac:dyDescent="0.35">
      <c r="A31" s="15">
        <f>IF(A30&lt;'Project Information'!B$11,A30+1,"")</f>
        <v>2050</v>
      </c>
      <c r="B31" s="252">
        <v>0</v>
      </c>
      <c r="E31" s="159"/>
      <c r="AZ31" s="160"/>
    </row>
    <row r="32" spans="1:52" ht="14.25" customHeight="1" x14ac:dyDescent="0.35">
      <c r="A32" s="15">
        <f>IF(A31&lt;'Project Information'!B$11,A31+1,"")</f>
        <v>2051</v>
      </c>
      <c r="B32" s="252">
        <v>0</v>
      </c>
      <c r="E32" s="159"/>
      <c r="AZ32" s="160"/>
    </row>
    <row r="33" spans="1:52" ht="14.25" customHeight="1" x14ac:dyDescent="0.35">
      <c r="A33" s="15">
        <f>IF(A32&lt;'Project Information'!B$11,A32+1,"")</f>
        <v>2052</v>
      </c>
      <c r="B33" s="252">
        <v>0</v>
      </c>
      <c r="E33" s="159"/>
      <c r="AZ33" s="160"/>
    </row>
    <row r="34" spans="1:52" ht="14.25" customHeight="1" x14ac:dyDescent="0.35">
      <c r="A34" s="15">
        <f>IF(A33&lt;'Project Information'!B$11,A33+1,"")</f>
        <v>2053</v>
      </c>
      <c r="B34" s="252">
        <v>0</v>
      </c>
      <c r="E34" s="159"/>
      <c r="AZ34" s="160"/>
    </row>
    <row r="35" spans="1:52" ht="14.25" customHeight="1" x14ac:dyDescent="0.35">
      <c r="A35" s="15">
        <f>IF(A34&lt;'Project Information'!B$11,A34+1,"")</f>
        <v>2054</v>
      </c>
      <c r="B35" s="252">
        <v>0</v>
      </c>
      <c r="E35" s="159"/>
      <c r="AZ35" s="160"/>
    </row>
    <row r="36" spans="1:52" ht="14.25" customHeight="1" x14ac:dyDescent="0.35">
      <c r="A36" s="15">
        <f>IF(A35&lt;'Project Information'!B$11,A35+1,"")</f>
        <v>2055</v>
      </c>
      <c r="B36" s="252">
        <v>0</v>
      </c>
      <c r="E36" s="159"/>
      <c r="AZ36" s="160"/>
    </row>
    <row r="37" spans="1:52" ht="14.25" customHeight="1" x14ac:dyDescent="0.35">
      <c r="A37" s="15">
        <f>IF(A36&lt;'Project Information'!B$11,A36+1,"")</f>
        <v>2056</v>
      </c>
      <c r="B37" s="252">
        <v>0</v>
      </c>
      <c r="E37" s="159"/>
      <c r="AZ37" s="160"/>
    </row>
    <row r="38" spans="1:52" ht="14.25" customHeight="1" x14ac:dyDescent="0.35">
      <c r="A38" s="15">
        <f>IF(A37&lt;'Project Information'!B$11,A37+1,"")</f>
        <v>2057</v>
      </c>
      <c r="B38" s="252">
        <v>0</v>
      </c>
      <c r="E38" s="159"/>
      <c r="AZ38" s="160"/>
    </row>
    <row r="39" spans="1:52" ht="14.25" customHeight="1" x14ac:dyDescent="0.35">
      <c r="A39" s="15">
        <f>IF(A38&lt;'Project Information'!B$11,A38+1,"")</f>
        <v>2058</v>
      </c>
      <c r="B39" s="252">
        <v>0</v>
      </c>
      <c r="E39" s="159"/>
      <c r="AZ39" s="160"/>
    </row>
    <row r="40" spans="1:52" ht="14.25" customHeight="1" x14ac:dyDescent="0.35">
      <c r="A40" s="15">
        <f>IF(A39&lt;'Project Information'!B$11,A39+1,"")</f>
        <v>2059</v>
      </c>
      <c r="B40" s="252">
        <v>0</v>
      </c>
      <c r="E40" s="159"/>
      <c r="AZ40" s="160"/>
    </row>
    <row r="41" spans="1:52" ht="14.25" customHeight="1" x14ac:dyDescent="0.35">
      <c r="A41" s="89">
        <f>IF(A40&lt;'Project Information'!B$11,A40+1,"")</f>
        <v>2060</v>
      </c>
      <c r="B41" s="170">
        <v>0</v>
      </c>
      <c r="E41" s="159"/>
      <c r="AZ41" s="160"/>
    </row>
    <row r="42" spans="1:52" ht="14.25" customHeight="1" x14ac:dyDescent="0.35">
      <c r="E42" s="159"/>
      <c r="AZ42" s="160"/>
    </row>
    <row r="43" spans="1:52" ht="14.25" customHeight="1" x14ac:dyDescent="0.35">
      <c r="E43" s="159"/>
      <c r="AZ43" s="160"/>
    </row>
    <row r="44" spans="1:52" ht="14.25" customHeight="1" x14ac:dyDescent="0.35">
      <c r="E44" s="159"/>
      <c r="AZ44" s="160"/>
    </row>
    <row r="45" spans="1:52" ht="14.25" customHeight="1" x14ac:dyDescent="0.35">
      <c r="E45" s="159"/>
      <c r="AZ45" s="160"/>
    </row>
    <row r="46" spans="1:52" ht="14.25" customHeight="1" x14ac:dyDescent="0.35">
      <c r="E46" s="159"/>
      <c r="AZ46" s="160"/>
    </row>
    <row r="47" spans="1:52" ht="14.25" customHeight="1" x14ac:dyDescent="0.35">
      <c r="E47" s="159"/>
      <c r="AZ47" s="160"/>
    </row>
    <row r="48" spans="1:52" ht="14.25" customHeight="1" x14ac:dyDescent="0.35">
      <c r="E48" s="159"/>
      <c r="AZ48" s="160"/>
    </row>
    <row r="49" spans="5:52" ht="14.25" customHeight="1" x14ac:dyDescent="0.35">
      <c r="E49" s="159"/>
      <c r="AZ49" s="160"/>
    </row>
    <row r="50" spans="5:52" ht="14.25" customHeight="1" x14ac:dyDescent="0.35">
      <c r="E50" s="159"/>
      <c r="AZ50" s="160"/>
    </row>
    <row r="51" spans="5:52" ht="14.25" customHeight="1" x14ac:dyDescent="0.35">
      <c r="E51" s="159"/>
      <c r="AZ51" s="160"/>
    </row>
    <row r="52" spans="5:52" ht="14.25" customHeight="1" x14ac:dyDescent="0.35">
      <c r="E52" s="159"/>
      <c r="AZ52" s="160"/>
    </row>
    <row r="53" spans="5:52" ht="14.25" customHeight="1" x14ac:dyDescent="0.35">
      <c r="E53" s="159"/>
      <c r="AZ53" s="160"/>
    </row>
    <row r="54" spans="5:52" ht="14.25" customHeight="1" x14ac:dyDescent="0.35">
      <c r="E54" s="159"/>
      <c r="AZ54" s="160"/>
    </row>
    <row r="55" spans="5:52" ht="14.25" customHeight="1" x14ac:dyDescent="0.35">
      <c r="E55" s="159"/>
      <c r="AZ55" s="160"/>
    </row>
    <row r="56" spans="5:52" ht="14.25" customHeight="1" x14ac:dyDescent="0.35">
      <c r="E56" s="159"/>
      <c r="AZ56" s="160"/>
    </row>
    <row r="57" spans="5:52" ht="14.25" customHeight="1" x14ac:dyDescent="0.35">
      <c r="E57" s="159"/>
      <c r="AZ57" s="160"/>
    </row>
    <row r="58" spans="5:52" ht="14.25" customHeight="1" x14ac:dyDescent="0.35">
      <c r="E58" s="159"/>
      <c r="AZ58" s="160"/>
    </row>
    <row r="59" spans="5:52" ht="14.25" customHeight="1" x14ac:dyDescent="0.35">
      <c r="E59" s="159"/>
      <c r="AZ59" s="160"/>
    </row>
    <row r="60" spans="5:52" ht="14.25" customHeight="1" x14ac:dyDescent="0.35">
      <c r="E60" s="159"/>
      <c r="AZ60" s="160"/>
    </row>
    <row r="61" spans="5:52" ht="14.25" customHeight="1" x14ac:dyDescent="0.35">
      <c r="E61" s="159"/>
      <c r="AZ61" s="160"/>
    </row>
    <row r="62" spans="5:52" ht="14.25" customHeight="1" x14ac:dyDescent="0.35">
      <c r="E62" s="159"/>
      <c r="AZ62" s="160"/>
    </row>
    <row r="63" spans="5:52" ht="14.25" customHeight="1" x14ac:dyDescent="0.35">
      <c r="E63" s="159"/>
      <c r="AZ63" s="160"/>
    </row>
    <row r="64" spans="5:52" ht="14.25" customHeight="1" x14ac:dyDescent="0.35">
      <c r="E64" s="159"/>
      <c r="AZ64" s="160"/>
    </row>
    <row r="65" spans="5:52" ht="14.25" customHeight="1" x14ac:dyDescent="0.35">
      <c r="E65" s="159"/>
      <c r="AZ65" s="160"/>
    </row>
    <row r="66" spans="5:52" ht="14.25" customHeight="1" x14ac:dyDescent="0.35">
      <c r="E66" s="159"/>
      <c r="AZ66" s="160"/>
    </row>
    <row r="67" spans="5:52" ht="14.25" customHeight="1" x14ac:dyDescent="0.35">
      <c r="E67" s="159"/>
      <c r="AZ67" s="160"/>
    </row>
    <row r="68" spans="5:52" ht="14.25" customHeight="1" x14ac:dyDescent="0.35">
      <c r="E68" s="159"/>
      <c r="AZ68" s="160"/>
    </row>
    <row r="69" spans="5:52" ht="14.25" customHeight="1" x14ac:dyDescent="0.35">
      <c r="E69" s="159"/>
      <c r="AZ69" s="160"/>
    </row>
    <row r="70" spans="5:52" ht="14.25" customHeight="1" x14ac:dyDescent="0.35">
      <c r="E70" s="159"/>
      <c r="AZ70" s="160"/>
    </row>
    <row r="71" spans="5:52" ht="14.25" customHeight="1" x14ac:dyDescent="0.35">
      <c r="E71" s="159"/>
      <c r="AZ71" s="160"/>
    </row>
    <row r="72" spans="5:52" ht="14.25" customHeight="1" x14ac:dyDescent="0.35">
      <c r="E72" s="159"/>
      <c r="AZ72" s="160"/>
    </row>
    <row r="73" spans="5:52" ht="14.25" customHeight="1" x14ac:dyDescent="0.35">
      <c r="E73" s="159"/>
      <c r="AZ73" s="160"/>
    </row>
    <row r="74" spans="5:52" ht="14.25" customHeight="1" x14ac:dyDescent="0.35">
      <c r="E74" s="159"/>
      <c r="AZ74" s="160"/>
    </row>
    <row r="75" spans="5:52" ht="14.25" customHeight="1" x14ac:dyDescent="0.35">
      <c r="E75" s="159"/>
      <c r="AZ75" s="160"/>
    </row>
    <row r="76" spans="5:52" ht="14.25" customHeight="1" x14ac:dyDescent="0.35">
      <c r="E76" s="159"/>
      <c r="AZ76" s="160"/>
    </row>
    <row r="77" spans="5:52" ht="14.25" customHeight="1" x14ac:dyDescent="0.35">
      <c r="E77" s="159"/>
      <c r="AZ77" s="160"/>
    </row>
    <row r="78" spans="5:52" ht="14.25" customHeight="1" x14ac:dyDescent="0.35">
      <c r="E78" s="159"/>
      <c r="AZ78" s="160"/>
    </row>
    <row r="79" spans="5:52" ht="14.25" customHeight="1" x14ac:dyDescent="0.35">
      <c r="E79" s="159"/>
      <c r="AZ79" s="160"/>
    </row>
    <row r="80" spans="5:52" ht="14.25" customHeight="1" x14ac:dyDescent="0.35">
      <c r="E80" s="159"/>
      <c r="AZ80" s="160"/>
    </row>
    <row r="81" spans="5:52" ht="14.25" customHeight="1" x14ac:dyDescent="0.35">
      <c r="E81" s="159"/>
      <c r="AZ81" s="160"/>
    </row>
    <row r="82" spans="5:52" ht="14.25" customHeight="1" x14ac:dyDescent="0.35">
      <c r="E82" s="159"/>
      <c r="AZ82" s="160"/>
    </row>
    <row r="83" spans="5:52" ht="14.25" customHeight="1" x14ac:dyDescent="0.35">
      <c r="E83" s="159"/>
      <c r="AZ83" s="160"/>
    </row>
    <row r="84" spans="5:52" ht="14.25" customHeight="1" x14ac:dyDescent="0.35">
      <c r="E84" s="159"/>
      <c r="AZ84" s="160"/>
    </row>
    <row r="85" spans="5:52" ht="14.25" customHeight="1" x14ac:dyDescent="0.35">
      <c r="E85" s="159"/>
      <c r="AZ85" s="160"/>
    </row>
    <row r="86" spans="5:52" ht="14.25" customHeight="1" x14ac:dyDescent="0.35">
      <c r="E86" s="159"/>
      <c r="AZ86" s="160"/>
    </row>
    <row r="87" spans="5:52" ht="14.25" customHeight="1" x14ac:dyDescent="0.35">
      <c r="E87" s="159"/>
      <c r="AZ87" s="160"/>
    </row>
    <row r="88" spans="5:52" ht="14.25" customHeight="1" x14ac:dyDescent="0.35">
      <c r="E88" s="159"/>
      <c r="AZ88" s="160"/>
    </row>
    <row r="89" spans="5:52" ht="14.25" customHeight="1" x14ac:dyDescent="0.35">
      <c r="E89" s="159"/>
      <c r="AZ89" s="160"/>
    </row>
    <row r="90" spans="5:52" ht="14.25" customHeight="1" x14ac:dyDescent="0.35">
      <c r="E90" s="159"/>
      <c r="AZ90" s="160"/>
    </row>
    <row r="91" spans="5:52" ht="15" customHeight="1" x14ac:dyDescent="0.35">
      <c r="E91" s="178"/>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c r="AZ91" s="180"/>
    </row>
  </sheetData>
  <conditionalFormatting sqref="B12:B41">
    <cfRule type="expression" dxfId="0" priority="2">
      <formula>A12=""</formula>
    </cfRule>
  </conditionalFormatting>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B2:G13"/>
  <sheetViews>
    <sheetView showGridLines="0" workbookViewId="0"/>
  </sheetViews>
  <sheetFormatPr defaultColWidth="8.7265625" defaultRowHeight="14.5" outlineLevelRow="1" x14ac:dyDescent="0.35"/>
  <cols>
    <col min="2" max="2" width="26.453125" customWidth="1"/>
    <col min="3" max="3" width="14" customWidth="1"/>
    <col min="4" max="4" width="12.54296875" customWidth="1"/>
    <col min="5" max="5" width="12.1796875" customWidth="1"/>
    <col min="7" max="7" width="26.26953125" customWidth="1"/>
  </cols>
  <sheetData>
    <row r="2" spans="2:7" ht="14.25" customHeight="1" x14ac:dyDescent="0.35">
      <c r="B2" s="35"/>
      <c r="C2" s="36"/>
      <c r="D2" s="375" t="s">
        <v>30</v>
      </c>
      <c r="E2" s="375"/>
    </row>
    <row r="3" spans="2:7" ht="36.75" customHeight="1" x14ac:dyDescent="0.35">
      <c r="B3" s="37"/>
      <c r="C3" s="38" t="s">
        <v>31</v>
      </c>
      <c r="D3" s="39" t="s">
        <v>32</v>
      </c>
      <c r="E3" s="40" t="s">
        <v>33</v>
      </c>
      <c r="G3" s="41" t="s">
        <v>34</v>
      </c>
    </row>
    <row r="4" spans="2:7" ht="14.25" customHeight="1" x14ac:dyDescent="0.35">
      <c r="B4" s="42" t="s">
        <v>19</v>
      </c>
      <c r="C4" s="43"/>
      <c r="E4" s="44">
        <f>-Summary!$C$56</f>
        <v>-29258760.046785671</v>
      </c>
      <c r="G4" s="45"/>
    </row>
    <row r="5" spans="2:7" ht="14.25" hidden="1" customHeight="1" outlineLevel="1" x14ac:dyDescent="0.35">
      <c r="B5" s="42" t="s">
        <v>35</v>
      </c>
      <c r="C5" s="47">
        <f>-Summary!$B$36</f>
        <v>0</v>
      </c>
      <c r="D5" s="47">
        <f>-Summary!$B$37</f>
        <v>0</v>
      </c>
      <c r="E5" s="48"/>
      <c r="G5" s="46">
        <f t="shared" ref="G5:G10" si="0">IFERROR(D5/$D$10,0)</f>
        <v>0</v>
      </c>
    </row>
    <row r="6" spans="2:7" ht="14.25" customHeight="1" collapsed="1" x14ac:dyDescent="0.35">
      <c r="B6" s="42" t="s">
        <v>6</v>
      </c>
      <c r="C6" s="47">
        <f>Summary!$C$36</f>
        <v>17321655.564591285</v>
      </c>
      <c r="D6" s="47">
        <f>Summary!$C$37</f>
        <v>3199626.5510117998</v>
      </c>
      <c r="E6" s="48"/>
      <c r="G6" s="46">
        <f t="shared" si="0"/>
        <v>1.8274207288405075E-2</v>
      </c>
    </row>
    <row r="7" spans="2:7" ht="14.25" customHeight="1" x14ac:dyDescent="0.35">
      <c r="B7" s="42" t="s">
        <v>7</v>
      </c>
      <c r="C7" s="47">
        <f>Summary!$D$36</f>
        <v>51498720.000000007</v>
      </c>
      <c r="D7" s="47">
        <f>Summary!$D$37</f>
        <v>14194194.104456864</v>
      </c>
      <c r="E7" s="48"/>
      <c r="G7" s="46">
        <f t="shared" si="0"/>
        <v>8.1068100048950167E-2</v>
      </c>
    </row>
    <row r="8" spans="2:7" ht="14.25" customHeight="1" x14ac:dyDescent="0.35">
      <c r="B8" s="42" t="s">
        <v>8</v>
      </c>
      <c r="C8" s="47">
        <f>Summary!$E$36</f>
        <v>836304622.97596884</v>
      </c>
      <c r="D8" s="47">
        <f>Summary!$E$37</f>
        <v>152409598.87848911</v>
      </c>
      <c r="E8" s="48"/>
      <c r="G8" s="46">
        <f t="shared" si="0"/>
        <v>0.87046552409919287</v>
      </c>
    </row>
    <row r="9" spans="2:7" ht="15" customHeight="1" x14ac:dyDescent="0.35">
      <c r="B9" s="42" t="s">
        <v>36</v>
      </c>
      <c r="C9" s="47">
        <f>Summary!$F$36</f>
        <v>28618387.454542119</v>
      </c>
      <c r="D9" s="47">
        <f>Summary!$F$37</f>
        <v>5286339.5190629745</v>
      </c>
      <c r="E9" s="48"/>
      <c r="G9" s="46">
        <f t="shared" si="0"/>
        <v>3.0192168563451863E-2</v>
      </c>
    </row>
    <row r="10" spans="2:7" ht="15" customHeight="1" x14ac:dyDescent="0.35">
      <c r="B10" s="49" t="s">
        <v>21</v>
      </c>
      <c r="C10" s="50">
        <f>SUM(C4:C9)</f>
        <v>933743385.99510229</v>
      </c>
      <c r="D10" s="50">
        <f>SUM(D4:D9)</f>
        <v>175089759.05302075</v>
      </c>
      <c r="E10" s="50">
        <f>SUM(E4:E9)</f>
        <v>-29258760.046785671</v>
      </c>
      <c r="G10" s="51">
        <f t="shared" si="0"/>
        <v>1</v>
      </c>
    </row>
    <row r="11" spans="2:7" ht="15" customHeight="1" x14ac:dyDescent="0.35">
      <c r="B11" s="52"/>
      <c r="C11" s="53"/>
      <c r="D11" s="53"/>
      <c r="E11" s="53"/>
    </row>
    <row r="12" spans="2:7" ht="14.25" customHeight="1" x14ac:dyDescent="0.35">
      <c r="B12" s="54" t="s">
        <v>27</v>
      </c>
      <c r="C12" s="376">
        <f>'Final Results'!B7</f>
        <v>145830999.0062353</v>
      </c>
      <c r="D12" s="376"/>
      <c r="E12" s="376"/>
    </row>
    <row r="13" spans="2:7" ht="15" customHeight="1" x14ac:dyDescent="0.35">
      <c r="B13" s="55" t="s">
        <v>37</v>
      </c>
      <c r="C13" s="377">
        <f>'Final Results'!$B$8</f>
        <v>5.9841824729772206</v>
      </c>
      <c r="D13" s="377"/>
      <c r="E13" s="377"/>
    </row>
  </sheetData>
  <mergeCells count="3">
    <mergeCell ref="D2:E2"/>
    <mergeCell ref="C12:E12"/>
    <mergeCell ref="C13:E13"/>
  </mergeCell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B1:F60"/>
  <sheetViews>
    <sheetView workbookViewId="0"/>
  </sheetViews>
  <sheetFormatPr defaultColWidth="8.6328125" defaultRowHeight="14.5" outlineLevelRow="1" x14ac:dyDescent="0.35"/>
  <cols>
    <col min="1" max="1" width="3" customWidth="1"/>
    <col min="2" max="2" width="48" customWidth="1"/>
    <col min="3" max="4" width="16" customWidth="1"/>
    <col min="5" max="5" width="2" customWidth="1"/>
    <col min="6" max="6" width="70" customWidth="1"/>
  </cols>
  <sheetData>
    <row r="1" spans="2:6" ht="18" customHeight="1" x14ac:dyDescent="0.35"/>
    <row r="2" spans="2:6" ht="13.5" customHeight="1" x14ac:dyDescent="0.35">
      <c r="B2" s="309" t="s">
        <v>38</v>
      </c>
      <c r="C2" s="310" t="s">
        <v>39</v>
      </c>
      <c r="D2" s="310" t="s">
        <v>40</v>
      </c>
      <c r="E2" s="310"/>
      <c r="F2" s="311" t="s">
        <v>41</v>
      </c>
    </row>
    <row r="3" spans="2:6" ht="15.75" customHeight="1" x14ac:dyDescent="0.35">
      <c r="B3" s="378" t="s">
        <v>42</v>
      </c>
      <c r="C3" s="379"/>
      <c r="D3" s="379"/>
      <c r="E3" s="379"/>
      <c r="F3" s="380"/>
    </row>
    <row r="4" spans="2:6" ht="13.5" customHeight="1" outlineLevel="1" x14ac:dyDescent="0.35">
      <c r="B4" s="312" t="s">
        <v>43</v>
      </c>
      <c r="C4" s="313" t="s">
        <v>44</v>
      </c>
      <c r="D4" s="56">
        <v>2028</v>
      </c>
      <c r="F4" s="314"/>
    </row>
    <row r="5" spans="2:6" ht="13.5" customHeight="1" outlineLevel="1" x14ac:dyDescent="0.35">
      <c r="B5" s="312" t="s">
        <v>45</v>
      </c>
      <c r="C5" s="313" t="s">
        <v>44</v>
      </c>
      <c r="D5" s="56">
        <v>2030</v>
      </c>
      <c r="F5" s="314"/>
    </row>
    <row r="6" spans="2:6" ht="13.5" customHeight="1" outlineLevel="1" x14ac:dyDescent="0.35">
      <c r="B6" s="312" t="s">
        <v>46</v>
      </c>
      <c r="C6" s="313" t="s">
        <v>44</v>
      </c>
      <c r="D6" s="56">
        <v>3</v>
      </c>
      <c r="F6" s="314" t="s">
        <v>566</v>
      </c>
    </row>
    <row r="7" spans="2:6" ht="13.5" customHeight="1" outlineLevel="1" x14ac:dyDescent="0.35">
      <c r="B7" s="312" t="s">
        <v>47</v>
      </c>
      <c r="C7" s="313" t="s">
        <v>44</v>
      </c>
      <c r="D7" s="56">
        <v>2031</v>
      </c>
      <c r="F7" s="314" t="s">
        <v>48</v>
      </c>
    </row>
    <row r="8" spans="2:6" ht="13.5" customHeight="1" outlineLevel="1" x14ac:dyDescent="0.35">
      <c r="B8" s="312" t="s">
        <v>49</v>
      </c>
      <c r="C8" s="313" t="s">
        <v>44</v>
      </c>
      <c r="D8" s="56">
        <v>30</v>
      </c>
      <c r="F8" s="314" t="s">
        <v>50</v>
      </c>
    </row>
    <row r="9" spans="2:6" ht="13.5" customHeight="1" outlineLevel="1" x14ac:dyDescent="0.35">
      <c r="B9" s="315" t="s">
        <v>51</v>
      </c>
      <c r="C9" s="313" t="s">
        <v>44</v>
      </c>
      <c r="D9" s="316">
        <f>D7+D8-1</f>
        <v>2060</v>
      </c>
      <c r="F9" s="314"/>
    </row>
    <row r="10" spans="2:6" ht="13.5" customHeight="1" outlineLevel="1" x14ac:dyDescent="0.35">
      <c r="B10" s="312" t="s">
        <v>52</v>
      </c>
      <c r="C10" s="313" t="s">
        <v>44</v>
      </c>
      <c r="D10" s="56">
        <v>2024</v>
      </c>
      <c r="F10" s="314" t="s">
        <v>53</v>
      </c>
    </row>
    <row r="11" spans="2:6" ht="13.5" customHeight="1" outlineLevel="1" x14ac:dyDescent="0.35">
      <c r="B11" s="312" t="s">
        <v>54</v>
      </c>
      <c r="C11" s="57">
        <v>0.03</v>
      </c>
      <c r="D11" s="57">
        <v>0.03</v>
      </c>
      <c r="F11" s="314" t="s">
        <v>55</v>
      </c>
    </row>
    <row r="12" spans="2:6" ht="13.5" customHeight="1" outlineLevel="1" x14ac:dyDescent="0.35">
      <c r="B12" s="312" t="s">
        <v>56</v>
      </c>
      <c r="C12" s="57">
        <v>7.0000000000000007E-2</v>
      </c>
      <c r="D12" s="57">
        <v>7.0000000000000007E-2</v>
      </c>
      <c r="F12" s="314" t="s">
        <v>57</v>
      </c>
    </row>
    <row r="13" spans="2:6" ht="15.75" customHeight="1" x14ac:dyDescent="0.35">
      <c r="B13" s="378" t="s">
        <v>58</v>
      </c>
      <c r="C13" s="379"/>
      <c r="D13" s="379"/>
      <c r="E13" s="379"/>
      <c r="F13" s="380"/>
    </row>
    <row r="14" spans="2:6" ht="13.5" customHeight="1" outlineLevel="1" x14ac:dyDescent="0.35">
      <c r="B14" s="312" t="s">
        <v>59</v>
      </c>
      <c r="C14" s="313" t="s">
        <v>44</v>
      </c>
      <c r="D14" s="56">
        <v>70</v>
      </c>
      <c r="F14" s="314" t="s">
        <v>567</v>
      </c>
    </row>
    <row r="15" spans="2:6" ht="13.5" customHeight="1" outlineLevel="1" x14ac:dyDescent="0.35">
      <c r="B15" s="312" t="s">
        <v>60</v>
      </c>
      <c r="C15" s="313" t="s">
        <v>44</v>
      </c>
      <c r="D15" s="56">
        <v>24</v>
      </c>
      <c r="F15" s="314" t="s">
        <v>568</v>
      </c>
    </row>
    <row r="16" spans="2:6" ht="13.5" customHeight="1" outlineLevel="1" x14ac:dyDescent="0.35">
      <c r="B16" s="315" t="s">
        <v>61</v>
      </c>
      <c r="C16" s="313" t="s">
        <v>44</v>
      </c>
      <c r="D16" s="316">
        <f>D14+D15</f>
        <v>94</v>
      </c>
      <c r="F16" s="314"/>
    </row>
    <row r="17" spans="2:6" ht="13.5" customHeight="1" outlineLevel="1" x14ac:dyDescent="0.35">
      <c r="B17" s="312" t="s">
        <v>62</v>
      </c>
      <c r="C17" s="56">
        <v>10</v>
      </c>
      <c r="D17" s="313" t="s">
        <v>44</v>
      </c>
      <c r="F17" s="314" t="s">
        <v>569</v>
      </c>
    </row>
    <row r="18" spans="2:6" ht="13.5" customHeight="1" outlineLevel="1" x14ac:dyDescent="0.35">
      <c r="B18" s="312" t="s">
        <v>63</v>
      </c>
      <c r="C18" s="313" t="s">
        <v>44</v>
      </c>
      <c r="D18" s="56">
        <v>25</v>
      </c>
      <c r="F18" s="314" t="s">
        <v>570</v>
      </c>
    </row>
    <row r="19" spans="2:6" ht="15.75" customHeight="1" x14ac:dyDescent="0.35">
      <c r="B19" s="378" t="s">
        <v>64</v>
      </c>
      <c r="C19" s="379"/>
      <c r="D19" s="379"/>
      <c r="E19" s="379"/>
      <c r="F19" s="380"/>
    </row>
    <row r="20" spans="2:6" ht="12.75" customHeight="1" outlineLevel="1" x14ac:dyDescent="0.35">
      <c r="B20" s="317" t="s">
        <v>65</v>
      </c>
      <c r="C20" s="318" t="s">
        <v>39</v>
      </c>
      <c r="D20" s="318" t="s">
        <v>40</v>
      </c>
      <c r="E20" s="318"/>
      <c r="F20" s="319"/>
    </row>
    <row r="21" spans="2:6" ht="13.5" customHeight="1" outlineLevel="1" x14ac:dyDescent="0.35">
      <c r="B21" s="312" t="s">
        <v>66</v>
      </c>
      <c r="C21" s="56">
        <v>2</v>
      </c>
      <c r="D21" s="56">
        <v>2</v>
      </c>
      <c r="F21" s="314" t="s">
        <v>571</v>
      </c>
    </row>
    <row r="22" spans="2:6" ht="13.5" customHeight="1" outlineLevel="1" x14ac:dyDescent="0.35">
      <c r="B22" s="312" t="s">
        <v>67</v>
      </c>
      <c r="C22" s="56">
        <v>52</v>
      </c>
      <c r="D22" s="56">
        <v>52</v>
      </c>
      <c r="F22" s="314" t="s">
        <v>68</v>
      </c>
    </row>
    <row r="23" spans="2:6" ht="13.5" customHeight="1" outlineLevel="1" x14ac:dyDescent="0.35">
      <c r="B23" s="320" t="s">
        <v>69</v>
      </c>
      <c r="C23" s="321" t="s">
        <v>44</v>
      </c>
      <c r="D23" s="322">
        <v>5</v>
      </c>
      <c r="E23" s="323"/>
      <c r="F23" s="324" t="s">
        <v>572</v>
      </c>
    </row>
    <row r="24" spans="2:6" ht="13.5" customHeight="1" outlineLevel="1" x14ac:dyDescent="0.35">
      <c r="B24" s="320" t="s">
        <v>70</v>
      </c>
      <c r="C24" s="325" t="s">
        <v>44</v>
      </c>
      <c r="D24" s="326">
        <v>24</v>
      </c>
      <c r="E24" s="327"/>
      <c r="F24" s="328" t="s">
        <v>573</v>
      </c>
    </row>
    <row r="25" spans="2:6" ht="13.5" customHeight="1" outlineLevel="1" x14ac:dyDescent="0.35">
      <c r="B25" s="315" t="s">
        <v>71</v>
      </c>
      <c r="C25" s="313" t="s">
        <v>44</v>
      </c>
      <c r="D25" s="291">
        <f>D23*D22*D21</f>
        <v>520</v>
      </c>
      <c r="F25" s="314" t="s">
        <v>72</v>
      </c>
    </row>
    <row r="26" spans="2:6" ht="13.5" customHeight="1" outlineLevel="1" x14ac:dyDescent="0.35">
      <c r="B26" s="315" t="s">
        <v>73</v>
      </c>
      <c r="C26" s="313" t="s">
        <v>44</v>
      </c>
      <c r="D26" s="329">
        <f>D24/C17</f>
        <v>2.4</v>
      </c>
      <c r="F26" s="314" t="s">
        <v>74</v>
      </c>
    </row>
    <row r="27" spans="2:6" ht="13.5" customHeight="1" outlineLevel="1" x14ac:dyDescent="0.35">
      <c r="B27" s="315" t="s">
        <v>75</v>
      </c>
      <c r="C27" s="313" t="s">
        <v>44</v>
      </c>
      <c r="D27" s="329">
        <f>D24/D18</f>
        <v>0.96</v>
      </c>
      <c r="F27" s="314" t="s">
        <v>76</v>
      </c>
    </row>
    <row r="28" spans="2:6" ht="13.5" customHeight="1" outlineLevel="1" x14ac:dyDescent="0.35">
      <c r="B28" s="315" t="s">
        <v>77</v>
      </c>
      <c r="C28" s="313" t="s">
        <v>44</v>
      </c>
      <c r="D28" s="330">
        <f>(D26-D27)*D25</f>
        <v>748.8</v>
      </c>
      <c r="F28" s="314" t="s">
        <v>78</v>
      </c>
    </row>
    <row r="29" spans="2:6" ht="13.5" customHeight="1" outlineLevel="1" x14ac:dyDescent="0.35">
      <c r="B29" s="320" t="s">
        <v>79</v>
      </c>
      <c r="C29" s="325" t="s">
        <v>44</v>
      </c>
      <c r="D29" s="326">
        <v>6</v>
      </c>
      <c r="E29" s="327"/>
      <c r="F29" s="328" t="s">
        <v>574</v>
      </c>
    </row>
    <row r="30" spans="2:6" ht="13.5" customHeight="1" outlineLevel="1" x14ac:dyDescent="0.35">
      <c r="B30" s="320" t="s">
        <v>80</v>
      </c>
      <c r="C30" s="325" t="s">
        <v>44</v>
      </c>
      <c r="D30" s="326">
        <v>32</v>
      </c>
      <c r="E30" s="327"/>
      <c r="F30" s="328" t="s">
        <v>575</v>
      </c>
    </row>
    <row r="31" spans="2:6" ht="13.5" customHeight="1" outlineLevel="1" x14ac:dyDescent="0.35">
      <c r="B31" s="315" t="s">
        <v>81</v>
      </c>
      <c r="C31" s="313" t="s">
        <v>44</v>
      </c>
      <c r="D31" s="291">
        <f>D29*D22*D21</f>
        <v>624</v>
      </c>
      <c r="F31" s="314" t="s">
        <v>82</v>
      </c>
    </row>
    <row r="32" spans="2:6" ht="13.5" customHeight="1" outlineLevel="1" x14ac:dyDescent="0.35">
      <c r="B32" s="315" t="s">
        <v>83</v>
      </c>
      <c r="C32" s="313" t="s">
        <v>44</v>
      </c>
      <c r="D32" s="329">
        <f>D30/C17</f>
        <v>3.2</v>
      </c>
      <c r="F32" s="314" t="s">
        <v>74</v>
      </c>
    </row>
    <row r="33" spans="2:6" ht="13.5" customHeight="1" outlineLevel="1" x14ac:dyDescent="0.35">
      <c r="B33" s="315" t="s">
        <v>84</v>
      </c>
      <c r="C33" s="313" t="s">
        <v>44</v>
      </c>
      <c r="D33" s="329">
        <f>D30/D18</f>
        <v>1.28</v>
      </c>
      <c r="F33" s="314" t="s">
        <v>76</v>
      </c>
    </row>
    <row r="34" spans="2:6" ht="13.5" customHeight="1" outlineLevel="1" x14ac:dyDescent="0.35">
      <c r="B34" s="315" t="s">
        <v>85</v>
      </c>
      <c r="C34" s="313" t="s">
        <v>44</v>
      </c>
      <c r="D34" s="330">
        <f>(D32-D33)*D31</f>
        <v>1198.0800000000002</v>
      </c>
      <c r="F34" s="314" t="s">
        <v>78</v>
      </c>
    </row>
    <row r="35" spans="2:6" ht="13.5" customHeight="1" outlineLevel="1" x14ac:dyDescent="0.35">
      <c r="B35" s="320" t="s">
        <v>86</v>
      </c>
      <c r="C35" s="325" t="s">
        <v>44</v>
      </c>
      <c r="D35" s="326">
        <v>6</v>
      </c>
      <c r="E35" s="327"/>
      <c r="F35" s="328" t="s">
        <v>576</v>
      </c>
    </row>
    <row r="36" spans="2:6" ht="13.5" customHeight="1" outlineLevel="1" x14ac:dyDescent="0.35">
      <c r="B36" s="320" t="s">
        <v>87</v>
      </c>
      <c r="C36" s="325" t="s">
        <v>44</v>
      </c>
      <c r="D36" s="326">
        <v>18</v>
      </c>
      <c r="E36" s="327"/>
      <c r="F36" s="328" t="s">
        <v>577</v>
      </c>
    </row>
    <row r="37" spans="2:6" ht="13.5" customHeight="1" outlineLevel="1" x14ac:dyDescent="0.35">
      <c r="B37" s="315" t="s">
        <v>88</v>
      </c>
      <c r="C37" s="313" t="s">
        <v>44</v>
      </c>
      <c r="D37" s="291">
        <f>D35*D22*D21</f>
        <v>624</v>
      </c>
      <c r="F37" s="314" t="s">
        <v>82</v>
      </c>
    </row>
    <row r="38" spans="2:6" ht="13.5" customHeight="1" outlineLevel="1" x14ac:dyDescent="0.35">
      <c r="B38" s="315" t="s">
        <v>89</v>
      </c>
      <c r="C38" s="313" t="s">
        <v>44</v>
      </c>
      <c r="D38" s="329">
        <f>D36/C17</f>
        <v>1.8</v>
      </c>
      <c r="F38" s="314" t="s">
        <v>74</v>
      </c>
    </row>
    <row r="39" spans="2:6" ht="13.5" customHeight="1" outlineLevel="1" x14ac:dyDescent="0.35">
      <c r="B39" s="315" t="s">
        <v>90</v>
      </c>
      <c r="C39" s="313" t="s">
        <v>44</v>
      </c>
      <c r="D39" s="329">
        <f>D36/D18</f>
        <v>0.72</v>
      </c>
      <c r="F39" s="314" t="s">
        <v>76</v>
      </c>
    </row>
    <row r="40" spans="2:6" ht="13.5" customHeight="1" outlineLevel="1" x14ac:dyDescent="0.35">
      <c r="B40" s="315" t="s">
        <v>91</v>
      </c>
      <c r="C40" s="313" t="s">
        <v>44</v>
      </c>
      <c r="D40" s="330">
        <f>(D38-D39)*D37</f>
        <v>673.92000000000007</v>
      </c>
      <c r="F40" s="314" t="s">
        <v>78</v>
      </c>
    </row>
    <row r="41" spans="2:6" ht="13.5" customHeight="1" outlineLevel="1" x14ac:dyDescent="0.35">
      <c r="B41" s="331" t="s">
        <v>92</v>
      </c>
      <c r="C41" s="313" t="s">
        <v>44</v>
      </c>
      <c r="D41" s="291">
        <f>D25+D31+D37</f>
        <v>1768</v>
      </c>
      <c r="F41" s="314" t="s">
        <v>93</v>
      </c>
    </row>
    <row r="42" spans="2:6" ht="13.5" customHeight="1" outlineLevel="1" x14ac:dyDescent="0.35">
      <c r="B42" s="332" t="s">
        <v>94</v>
      </c>
      <c r="C42" s="58" t="s">
        <v>44</v>
      </c>
      <c r="D42" s="292">
        <f>D28+D34+D40</f>
        <v>2620.8000000000002</v>
      </c>
      <c r="E42" s="59"/>
      <c r="F42" s="333"/>
    </row>
    <row r="43" spans="2:6" ht="15.75" customHeight="1" x14ac:dyDescent="0.35">
      <c r="B43" s="378" t="s">
        <v>95</v>
      </c>
      <c r="C43" s="379"/>
      <c r="D43" s="379"/>
      <c r="E43" s="379"/>
      <c r="F43" s="380"/>
    </row>
    <row r="44" spans="2:6" ht="13.5" customHeight="1" outlineLevel="1" x14ac:dyDescent="0.35">
      <c r="B44" s="312" t="s">
        <v>96</v>
      </c>
      <c r="C44" s="313" t="s">
        <v>44</v>
      </c>
      <c r="D44" s="334">
        <f>'Travel Time Savings'!B16</f>
        <v>54.2</v>
      </c>
      <c r="F44" s="314" t="s">
        <v>578</v>
      </c>
    </row>
    <row r="45" spans="2:6" ht="13.5" customHeight="1" outlineLevel="1" x14ac:dyDescent="0.35">
      <c r="B45" s="312" t="s">
        <v>97</v>
      </c>
      <c r="C45" s="313" t="s">
        <v>44</v>
      </c>
      <c r="D45" s="335">
        <f>'Vehicle Operating Cost Savings'!B17</f>
        <v>655</v>
      </c>
      <c r="F45" s="314" t="s">
        <v>98</v>
      </c>
    </row>
    <row r="46" spans="2:6" ht="13.5" customHeight="1" outlineLevel="1" x14ac:dyDescent="0.35">
      <c r="B46" s="312" t="s">
        <v>99</v>
      </c>
      <c r="C46" s="313" t="s">
        <v>44</v>
      </c>
      <c r="D46" s="56">
        <v>2</v>
      </c>
      <c r="F46" s="314" t="s">
        <v>579</v>
      </c>
    </row>
    <row r="47" spans="2:6" ht="13.5" customHeight="1" outlineLevel="1" x14ac:dyDescent="0.35">
      <c r="B47" s="315" t="s">
        <v>100</v>
      </c>
      <c r="C47" s="313" t="s">
        <v>44</v>
      </c>
      <c r="D47" s="336">
        <f>D45*D42</f>
        <v>1716624.0000000002</v>
      </c>
      <c r="F47" s="314" t="s">
        <v>101</v>
      </c>
    </row>
    <row r="48" spans="2:6" ht="13.5" customHeight="1" outlineLevel="1" x14ac:dyDescent="0.35">
      <c r="B48" s="332" t="s">
        <v>102</v>
      </c>
      <c r="C48" s="58" t="s">
        <v>44</v>
      </c>
      <c r="D48" s="293">
        <f>D47</f>
        <v>1716624.0000000002</v>
      </c>
      <c r="E48" s="59"/>
      <c r="F48" s="337"/>
    </row>
    <row r="49" spans="2:6" ht="13.5" customHeight="1" outlineLevel="1" x14ac:dyDescent="0.35">
      <c r="B49" s="312" t="s">
        <v>103</v>
      </c>
      <c r="C49" s="338">
        <v>1.23</v>
      </c>
      <c r="D49" s="313" t="s">
        <v>44</v>
      </c>
      <c r="F49" s="314" t="s">
        <v>580</v>
      </c>
    </row>
    <row r="50" spans="2:6" ht="13.5" customHeight="1" outlineLevel="1" x14ac:dyDescent="0.35">
      <c r="B50" s="312" t="s">
        <v>104</v>
      </c>
      <c r="C50" s="339">
        <v>3.7999999999999999E-2</v>
      </c>
      <c r="D50" s="313" t="s">
        <v>44</v>
      </c>
      <c r="F50" s="314" t="s">
        <v>105</v>
      </c>
    </row>
    <row r="51" spans="2:6" ht="15.75" customHeight="1" x14ac:dyDescent="0.35">
      <c r="B51" s="378" t="s">
        <v>106</v>
      </c>
      <c r="C51" s="379"/>
      <c r="D51" s="379"/>
      <c r="E51" s="379"/>
      <c r="F51" s="380"/>
    </row>
    <row r="52" spans="2:6" ht="13.5" customHeight="1" outlineLevel="1" x14ac:dyDescent="0.35">
      <c r="B52" s="312" t="s">
        <v>107</v>
      </c>
      <c r="C52" s="56">
        <v>4</v>
      </c>
      <c r="D52" s="313" t="s">
        <v>44</v>
      </c>
      <c r="F52" s="314"/>
    </row>
    <row r="53" spans="2:6" ht="13.5" customHeight="1" outlineLevel="1" x14ac:dyDescent="0.35">
      <c r="B53" s="312" t="s">
        <v>108</v>
      </c>
      <c r="C53" s="56">
        <v>3</v>
      </c>
      <c r="D53" s="313" t="s">
        <v>44</v>
      </c>
      <c r="F53" s="314"/>
    </row>
    <row r="54" spans="2:6" ht="13.5" customHeight="1" outlineLevel="1" x14ac:dyDescent="0.35">
      <c r="B54" s="312" t="s">
        <v>109</v>
      </c>
      <c r="C54" s="56">
        <v>3</v>
      </c>
      <c r="D54" s="313" t="s">
        <v>44</v>
      </c>
      <c r="F54" s="314"/>
    </row>
    <row r="55" spans="2:6" ht="13.5" customHeight="1" outlineLevel="1" x14ac:dyDescent="0.35">
      <c r="B55" s="312" t="s">
        <v>110</v>
      </c>
      <c r="C55" s="56">
        <v>4</v>
      </c>
      <c r="D55" s="313" t="s">
        <v>44</v>
      </c>
      <c r="F55" s="314"/>
    </row>
    <row r="56" spans="2:6" ht="15.75" customHeight="1" x14ac:dyDescent="0.35">
      <c r="B56" s="378" t="s">
        <v>111</v>
      </c>
      <c r="C56" s="379"/>
      <c r="D56" s="379"/>
      <c r="E56" s="379"/>
      <c r="F56" s="380"/>
    </row>
    <row r="57" spans="2:6" ht="13.5" customHeight="1" outlineLevel="1" x14ac:dyDescent="0.35">
      <c r="B57" s="312" t="s">
        <v>112</v>
      </c>
      <c r="C57" s="313" t="s">
        <v>44</v>
      </c>
      <c r="D57" s="340">
        <v>13723805</v>
      </c>
      <c r="F57" s="314" t="s">
        <v>113</v>
      </c>
    </row>
    <row r="58" spans="2:6" ht="13.5" customHeight="1" outlineLevel="1" x14ac:dyDescent="0.35">
      <c r="B58" s="312" t="s">
        <v>114</v>
      </c>
      <c r="C58" s="313" t="s">
        <v>44</v>
      </c>
      <c r="D58" s="340">
        <v>31192819</v>
      </c>
      <c r="F58" s="314" t="s">
        <v>115</v>
      </c>
    </row>
    <row r="59" spans="2:6" ht="13.5" customHeight="1" outlineLevel="1" x14ac:dyDescent="0.35">
      <c r="B59" s="312" t="s">
        <v>116</v>
      </c>
      <c r="C59" s="313" t="s">
        <v>44</v>
      </c>
      <c r="D59" s="340">
        <v>1383376</v>
      </c>
      <c r="F59" s="314" t="s">
        <v>117</v>
      </c>
    </row>
    <row r="60" spans="2:6" ht="13.5" customHeight="1" outlineLevel="1" x14ac:dyDescent="0.35">
      <c r="B60" s="341" t="s">
        <v>118</v>
      </c>
      <c r="C60" s="342" t="s">
        <v>44</v>
      </c>
      <c r="D60" s="343">
        <f>D57+D58+D59</f>
        <v>46300000</v>
      </c>
      <c r="E60" s="286"/>
      <c r="F60" s="344" t="s">
        <v>119</v>
      </c>
    </row>
  </sheetData>
  <mergeCells count="6">
    <mergeCell ref="B51:F51"/>
    <mergeCell ref="B56:F56"/>
    <mergeCell ref="B3:F3"/>
    <mergeCell ref="B13:F13"/>
    <mergeCell ref="B19:F19"/>
    <mergeCell ref="B43:F43"/>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EW69"/>
  <sheetViews>
    <sheetView showGridLines="0" workbookViewId="0"/>
  </sheetViews>
  <sheetFormatPr defaultColWidth="8.6328125" defaultRowHeight="14.5" outlineLevelRow="1" outlineLevelCol="1" x14ac:dyDescent="0.35"/>
  <cols>
    <col min="1" max="1" width="10" customWidth="1"/>
    <col min="2" max="2" width="23.6328125" customWidth="1"/>
    <col min="3" max="3" width="32" customWidth="1"/>
    <col min="4" max="4" width="5" customWidth="1"/>
    <col min="5" max="5" width="5" customWidth="1" outlineLevel="1"/>
    <col min="6" max="7" width="8" customWidth="1" outlineLevel="1"/>
    <col min="8" max="8" width="12" customWidth="1" outlineLevel="1"/>
    <col min="9" max="9" width="16" customWidth="1" outlineLevel="1"/>
    <col min="10" max="10" width="42.36328125" customWidth="1" outlineLevel="1"/>
    <col min="11" max="14" width="7" customWidth="1" outlineLevel="1"/>
    <col min="15" max="15" width="20.6328125" customWidth="1"/>
    <col min="16" max="31" width="8" hidden="1" customWidth="1" outlineLevel="1"/>
    <col min="32" max="32" width="9.7265625" hidden="1" customWidth="1" outlineLevel="1"/>
    <col min="33" max="33" width="8.7265625" hidden="1" customWidth="1" outlineLevel="1"/>
    <col min="34" max="50" width="8" hidden="1" customWidth="1" outlineLevel="1"/>
    <col min="51" max="51" width="25.6328125" customWidth="1" collapsed="1"/>
    <col min="52" max="86" width="8" customWidth="1" outlineLevel="1"/>
    <col min="87" max="87" width="30.6328125" customWidth="1"/>
    <col min="88" max="117" width="8" hidden="1" customWidth="1" outlineLevel="1"/>
    <col min="118" max="118" width="30.6328125" customWidth="1" collapsed="1"/>
    <col min="119" max="119" width="20.90625" hidden="1" customWidth="1" outlineLevel="1"/>
    <col min="120" max="124" width="8" hidden="1" customWidth="1" outlineLevel="1"/>
    <col min="125" max="148" width="9" hidden="1" customWidth="1" outlineLevel="1"/>
    <col min="149" max="149" width="15.81640625" bestFit="1" customWidth="1" collapsed="1"/>
    <col min="150" max="150" width="11.1796875" hidden="1" customWidth="1" outlineLevel="1"/>
    <col min="151" max="151" width="10.90625" hidden="1" customWidth="1" outlineLevel="1"/>
    <col min="152" max="152" width="55" hidden="1" customWidth="1" outlineLevel="1"/>
    <col min="153" max="153" width="8.6328125" collapsed="1"/>
  </cols>
  <sheetData>
    <row r="1" spans="1:152" ht="15.75" customHeight="1" x14ac:dyDescent="0.35">
      <c r="O1" s="307" t="s">
        <v>585</v>
      </c>
      <c r="AY1" s="307" t="s">
        <v>598</v>
      </c>
      <c r="CI1" s="307" t="s">
        <v>599</v>
      </c>
      <c r="DN1" s="307" t="s">
        <v>600</v>
      </c>
    </row>
    <row r="2" spans="1:152" ht="12.75" customHeight="1" x14ac:dyDescent="0.35">
      <c r="A2" s="2" t="s">
        <v>120</v>
      </c>
      <c r="B2" s="2"/>
      <c r="C2" s="2"/>
      <c r="D2" s="2"/>
      <c r="E2" s="2"/>
      <c r="F2" s="2"/>
      <c r="G2" s="2"/>
      <c r="H2" s="2"/>
      <c r="I2" s="2"/>
      <c r="J2" s="2"/>
      <c r="K2" s="2" t="s">
        <v>121</v>
      </c>
      <c r="L2" s="2"/>
      <c r="M2" s="2"/>
      <c r="N2" s="2"/>
      <c r="O2" s="283"/>
      <c r="P2" s="263" t="s">
        <v>581</v>
      </c>
      <c r="Q2" s="263" t="s">
        <v>581</v>
      </c>
      <c r="R2" s="263" t="s">
        <v>581</v>
      </c>
      <c r="S2" s="263" t="s">
        <v>581</v>
      </c>
      <c r="T2" s="263" t="s">
        <v>581</v>
      </c>
      <c r="U2" s="263" t="s">
        <v>581</v>
      </c>
      <c r="V2" s="263" t="s">
        <v>581</v>
      </c>
      <c r="W2" s="263" t="s">
        <v>581</v>
      </c>
      <c r="X2" s="263" t="s">
        <v>581</v>
      </c>
      <c r="Y2" s="263" t="s">
        <v>581</v>
      </c>
      <c r="Z2" s="263" t="s">
        <v>581</v>
      </c>
      <c r="AA2" s="263" t="s">
        <v>581</v>
      </c>
      <c r="AB2" s="263" t="s">
        <v>581</v>
      </c>
      <c r="AC2" s="263" t="s">
        <v>581</v>
      </c>
      <c r="AD2" s="263" t="s">
        <v>581</v>
      </c>
      <c r="AE2" s="263" t="s">
        <v>581</v>
      </c>
      <c r="AF2" s="263" t="s">
        <v>581</v>
      </c>
      <c r="AG2" s="263" t="s">
        <v>581</v>
      </c>
      <c r="AH2" s="263" t="s">
        <v>581</v>
      </c>
      <c r="AI2" s="263" t="s">
        <v>581</v>
      </c>
      <c r="AJ2" s="263" t="s">
        <v>581</v>
      </c>
      <c r="AK2" s="263" t="s">
        <v>581</v>
      </c>
      <c r="AL2" s="263" t="s">
        <v>581</v>
      </c>
      <c r="AM2" s="263" t="s">
        <v>581</v>
      </c>
      <c r="AN2" s="263" t="s">
        <v>581</v>
      </c>
      <c r="AO2" s="263" t="s">
        <v>581</v>
      </c>
      <c r="AP2" s="263" t="s">
        <v>581</v>
      </c>
      <c r="AQ2" s="263" t="s">
        <v>581</v>
      </c>
      <c r="AR2" s="263" t="s">
        <v>581</v>
      </c>
      <c r="AS2" s="263" t="s">
        <v>581</v>
      </c>
      <c r="AT2" s="263" t="s">
        <v>581</v>
      </c>
      <c r="AU2" s="263" t="s">
        <v>581</v>
      </c>
      <c r="AV2" s="263" t="s">
        <v>581</v>
      </c>
      <c r="AW2" s="263" t="s">
        <v>581</v>
      </c>
      <c r="AX2" s="263" t="s">
        <v>581</v>
      </c>
      <c r="AZ2" s="265" t="s">
        <v>582</v>
      </c>
      <c r="BA2" s="265" t="s">
        <v>582</v>
      </c>
      <c r="BB2" s="265" t="s">
        <v>582</v>
      </c>
      <c r="BC2" s="265" t="s">
        <v>582</v>
      </c>
      <c r="BD2" s="265" t="s">
        <v>582</v>
      </c>
      <c r="BE2" s="265" t="s">
        <v>582</v>
      </c>
      <c r="BF2" s="265" t="s">
        <v>582</v>
      </c>
      <c r="BG2" s="265" t="s">
        <v>582</v>
      </c>
      <c r="BH2" s="265" t="s">
        <v>582</v>
      </c>
      <c r="BI2" s="265" t="s">
        <v>582</v>
      </c>
      <c r="BJ2" s="265" t="s">
        <v>582</v>
      </c>
      <c r="BK2" s="265" t="s">
        <v>582</v>
      </c>
      <c r="BL2" s="265" t="s">
        <v>582</v>
      </c>
      <c r="BM2" s="265" t="s">
        <v>582</v>
      </c>
      <c r="BN2" s="265" t="s">
        <v>582</v>
      </c>
      <c r="BO2" s="265" t="s">
        <v>582</v>
      </c>
      <c r="BP2" s="265" t="s">
        <v>582</v>
      </c>
      <c r="BQ2" s="265" t="s">
        <v>582</v>
      </c>
      <c r="BR2" s="265" t="s">
        <v>582</v>
      </c>
      <c r="BS2" s="265" t="s">
        <v>582</v>
      </c>
      <c r="BT2" s="265" t="s">
        <v>582</v>
      </c>
      <c r="BU2" s="265" t="s">
        <v>582</v>
      </c>
      <c r="BV2" s="265" t="s">
        <v>582</v>
      </c>
      <c r="BW2" s="265" t="s">
        <v>582</v>
      </c>
      <c r="BX2" s="265" t="s">
        <v>582</v>
      </c>
      <c r="BY2" s="265" t="s">
        <v>582</v>
      </c>
      <c r="BZ2" s="265" t="s">
        <v>582</v>
      </c>
      <c r="CA2" s="265" t="s">
        <v>582</v>
      </c>
      <c r="CB2" s="265" t="s">
        <v>582</v>
      </c>
      <c r="CC2" s="265" t="s">
        <v>582</v>
      </c>
      <c r="CD2" s="265" t="s">
        <v>582</v>
      </c>
      <c r="CE2" s="265" t="s">
        <v>582</v>
      </c>
      <c r="CF2" s="265" t="s">
        <v>582</v>
      </c>
      <c r="CG2" s="265" t="s">
        <v>582</v>
      </c>
      <c r="CH2" s="265" t="s">
        <v>582</v>
      </c>
      <c r="CJ2" s="267" t="s">
        <v>560</v>
      </c>
      <c r="CK2" s="267" t="s">
        <v>560</v>
      </c>
      <c r="CL2" s="267" t="s">
        <v>560</v>
      </c>
      <c r="CM2" s="267" t="s">
        <v>560</v>
      </c>
      <c r="CN2" s="267" t="s">
        <v>560</v>
      </c>
      <c r="CO2" s="267" t="s">
        <v>560</v>
      </c>
      <c r="CP2" s="267" t="s">
        <v>560</v>
      </c>
      <c r="CQ2" s="267" t="s">
        <v>560</v>
      </c>
      <c r="CR2" s="267" t="s">
        <v>560</v>
      </c>
      <c r="CS2" s="267" t="s">
        <v>560</v>
      </c>
      <c r="CT2" s="267" t="s">
        <v>560</v>
      </c>
      <c r="CU2" s="267" t="s">
        <v>560</v>
      </c>
      <c r="CV2" s="267" t="s">
        <v>560</v>
      </c>
      <c r="CW2" s="267" t="s">
        <v>560</v>
      </c>
      <c r="CX2" s="267" t="s">
        <v>560</v>
      </c>
      <c r="CY2" s="267" t="s">
        <v>560</v>
      </c>
      <c r="CZ2" s="267" t="s">
        <v>560</v>
      </c>
      <c r="DA2" s="267" t="s">
        <v>560</v>
      </c>
      <c r="DB2" s="267" t="s">
        <v>560</v>
      </c>
      <c r="DC2" s="267" t="s">
        <v>560</v>
      </c>
      <c r="DD2" s="267" t="s">
        <v>560</v>
      </c>
      <c r="DE2" s="267" t="s">
        <v>560</v>
      </c>
      <c r="DF2" s="267" t="s">
        <v>560</v>
      </c>
      <c r="DG2" s="267" t="s">
        <v>560</v>
      </c>
      <c r="DH2" s="267" t="s">
        <v>560</v>
      </c>
      <c r="DI2" s="267" t="s">
        <v>560</v>
      </c>
      <c r="DJ2" s="267" t="s">
        <v>560</v>
      </c>
      <c r="DK2" s="267" t="s">
        <v>560</v>
      </c>
      <c r="DL2" s="267" t="s">
        <v>560</v>
      </c>
      <c r="DM2" s="267" t="s">
        <v>560</v>
      </c>
      <c r="DO2" s="268" t="s">
        <v>561</v>
      </c>
      <c r="DP2" s="268" t="s">
        <v>561</v>
      </c>
      <c r="DQ2" s="268" t="s">
        <v>561</v>
      </c>
      <c r="DR2" s="268" t="s">
        <v>561</v>
      </c>
      <c r="DS2" s="268" t="s">
        <v>561</v>
      </c>
      <c r="DT2" s="268" t="s">
        <v>561</v>
      </c>
      <c r="DU2" s="268" t="s">
        <v>561</v>
      </c>
      <c r="DV2" s="268" t="s">
        <v>561</v>
      </c>
      <c r="DW2" s="268" t="s">
        <v>561</v>
      </c>
      <c r="DX2" s="268" t="s">
        <v>561</v>
      </c>
      <c r="DY2" s="268" t="s">
        <v>561</v>
      </c>
      <c r="DZ2" s="268" t="s">
        <v>561</v>
      </c>
      <c r="EA2" s="268" t="s">
        <v>561</v>
      </c>
      <c r="EB2" s="268" t="s">
        <v>561</v>
      </c>
      <c r="EC2" s="268" t="s">
        <v>561</v>
      </c>
      <c r="ED2" s="268" t="s">
        <v>561</v>
      </c>
      <c r="EE2" s="268" t="s">
        <v>561</v>
      </c>
      <c r="EF2" s="268" t="s">
        <v>561</v>
      </c>
      <c r="EG2" s="268" t="s">
        <v>561</v>
      </c>
      <c r="EH2" s="268" t="s">
        <v>561</v>
      </c>
      <c r="EI2" s="268" t="s">
        <v>561</v>
      </c>
      <c r="EJ2" s="268" t="s">
        <v>561</v>
      </c>
      <c r="EK2" s="268" t="s">
        <v>561</v>
      </c>
      <c r="EL2" s="268" t="s">
        <v>561</v>
      </c>
      <c r="EM2" s="268" t="s">
        <v>561</v>
      </c>
      <c r="EN2" s="268" t="s">
        <v>561</v>
      </c>
      <c r="EO2" s="268" t="s">
        <v>561</v>
      </c>
      <c r="EP2" s="268" t="s">
        <v>561</v>
      </c>
      <c r="EQ2" s="268" t="s">
        <v>561</v>
      </c>
      <c r="ER2" s="268" t="s">
        <v>561</v>
      </c>
      <c r="ET2" s="2" t="s">
        <v>601</v>
      </c>
      <c r="EU2" s="2"/>
      <c r="EV2" s="2" t="s">
        <v>122</v>
      </c>
    </row>
    <row r="3" spans="1:152" ht="25" customHeight="1" x14ac:dyDescent="0.35">
      <c r="A3" s="60" t="s">
        <v>123</v>
      </c>
      <c r="B3" s="60" t="s">
        <v>124</v>
      </c>
      <c r="C3" s="60" t="s">
        <v>125</v>
      </c>
      <c r="D3" s="60" t="s">
        <v>126</v>
      </c>
      <c r="E3" s="60" t="s">
        <v>127</v>
      </c>
      <c r="F3" s="60" t="s">
        <v>128</v>
      </c>
      <c r="G3" s="60" t="s">
        <v>129</v>
      </c>
      <c r="H3" s="60" t="s">
        <v>130</v>
      </c>
      <c r="I3" s="60" t="s">
        <v>131</v>
      </c>
      <c r="J3" s="60" t="s">
        <v>132</v>
      </c>
      <c r="K3" s="60" t="s">
        <v>133</v>
      </c>
      <c r="L3" s="60" t="s">
        <v>134</v>
      </c>
      <c r="M3" s="60" t="s">
        <v>135</v>
      </c>
      <c r="N3" s="60" t="s">
        <v>136</v>
      </c>
      <c r="O3" s="284"/>
      <c r="P3" s="262" t="s">
        <v>137</v>
      </c>
      <c r="Q3" s="262" t="s">
        <v>138</v>
      </c>
      <c r="R3" s="262" t="s">
        <v>139</v>
      </c>
      <c r="S3" s="262" t="s">
        <v>140</v>
      </c>
      <c r="T3" s="262" t="s">
        <v>141</v>
      </c>
      <c r="U3" s="262">
        <v>2031</v>
      </c>
      <c r="V3" s="262">
        <f>U3+1</f>
        <v>2032</v>
      </c>
      <c r="W3" s="262">
        <f t="shared" ref="W3:AX3" si="0">V3+1</f>
        <v>2033</v>
      </c>
      <c r="X3" s="262">
        <f t="shared" si="0"/>
        <v>2034</v>
      </c>
      <c r="Y3" s="262">
        <f t="shared" si="0"/>
        <v>2035</v>
      </c>
      <c r="Z3" s="262">
        <f t="shared" si="0"/>
        <v>2036</v>
      </c>
      <c r="AA3" s="262">
        <f t="shared" si="0"/>
        <v>2037</v>
      </c>
      <c r="AB3" s="262">
        <f t="shared" si="0"/>
        <v>2038</v>
      </c>
      <c r="AC3" s="262">
        <f t="shared" si="0"/>
        <v>2039</v>
      </c>
      <c r="AD3" s="262">
        <f t="shared" si="0"/>
        <v>2040</v>
      </c>
      <c r="AE3" s="262">
        <f t="shared" si="0"/>
        <v>2041</v>
      </c>
      <c r="AF3" s="262">
        <f t="shared" si="0"/>
        <v>2042</v>
      </c>
      <c r="AG3" s="262">
        <f t="shared" si="0"/>
        <v>2043</v>
      </c>
      <c r="AH3" s="262">
        <f t="shared" si="0"/>
        <v>2044</v>
      </c>
      <c r="AI3" s="262">
        <f t="shared" si="0"/>
        <v>2045</v>
      </c>
      <c r="AJ3" s="262">
        <f t="shared" si="0"/>
        <v>2046</v>
      </c>
      <c r="AK3" s="262">
        <f t="shared" si="0"/>
        <v>2047</v>
      </c>
      <c r="AL3" s="262">
        <f t="shared" si="0"/>
        <v>2048</v>
      </c>
      <c r="AM3" s="262">
        <f t="shared" si="0"/>
        <v>2049</v>
      </c>
      <c r="AN3" s="262">
        <f t="shared" si="0"/>
        <v>2050</v>
      </c>
      <c r="AO3" s="262">
        <f t="shared" si="0"/>
        <v>2051</v>
      </c>
      <c r="AP3" s="262">
        <f t="shared" si="0"/>
        <v>2052</v>
      </c>
      <c r="AQ3" s="262">
        <f t="shared" si="0"/>
        <v>2053</v>
      </c>
      <c r="AR3" s="262">
        <f t="shared" si="0"/>
        <v>2054</v>
      </c>
      <c r="AS3" s="262">
        <f t="shared" si="0"/>
        <v>2055</v>
      </c>
      <c r="AT3" s="262">
        <f t="shared" si="0"/>
        <v>2056</v>
      </c>
      <c r="AU3" s="262">
        <f t="shared" si="0"/>
        <v>2057</v>
      </c>
      <c r="AV3" s="262">
        <f t="shared" si="0"/>
        <v>2058</v>
      </c>
      <c r="AW3" s="262">
        <f t="shared" si="0"/>
        <v>2059</v>
      </c>
      <c r="AX3" s="262">
        <f t="shared" si="0"/>
        <v>2060</v>
      </c>
      <c r="AZ3" s="264">
        <v>2026</v>
      </c>
      <c r="BA3" s="264">
        <f>AZ3+1</f>
        <v>2027</v>
      </c>
      <c r="BB3" s="264">
        <f>BA3+1</f>
        <v>2028</v>
      </c>
      <c r="BC3" s="264">
        <f>BB3+1</f>
        <v>2029</v>
      </c>
      <c r="BD3" s="264">
        <f>BC3+1</f>
        <v>2030</v>
      </c>
      <c r="BE3" s="264">
        <f>BD3+1</f>
        <v>2031</v>
      </c>
      <c r="BF3" s="264">
        <f t="shared" ref="BF3:CH3" si="1">BE3+1</f>
        <v>2032</v>
      </c>
      <c r="BG3" s="264">
        <f t="shared" si="1"/>
        <v>2033</v>
      </c>
      <c r="BH3" s="264">
        <f t="shared" si="1"/>
        <v>2034</v>
      </c>
      <c r="BI3" s="264">
        <f t="shared" si="1"/>
        <v>2035</v>
      </c>
      <c r="BJ3" s="264">
        <f t="shared" si="1"/>
        <v>2036</v>
      </c>
      <c r="BK3" s="264">
        <f t="shared" si="1"/>
        <v>2037</v>
      </c>
      <c r="BL3" s="264">
        <f t="shared" si="1"/>
        <v>2038</v>
      </c>
      <c r="BM3" s="264">
        <f t="shared" si="1"/>
        <v>2039</v>
      </c>
      <c r="BN3" s="264">
        <f t="shared" si="1"/>
        <v>2040</v>
      </c>
      <c r="BO3" s="264">
        <f t="shared" si="1"/>
        <v>2041</v>
      </c>
      <c r="BP3" s="264">
        <f t="shared" si="1"/>
        <v>2042</v>
      </c>
      <c r="BQ3" s="264">
        <f t="shared" si="1"/>
        <v>2043</v>
      </c>
      <c r="BR3" s="264">
        <f t="shared" si="1"/>
        <v>2044</v>
      </c>
      <c r="BS3" s="264">
        <f t="shared" si="1"/>
        <v>2045</v>
      </c>
      <c r="BT3" s="264">
        <f t="shared" si="1"/>
        <v>2046</v>
      </c>
      <c r="BU3" s="264">
        <f t="shared" si="1"/>
        <v>2047</v>
      </c>
      <c r="BV3" s="264">
        <f t="shared" si="1"/>
        <v>2048</v>
      </c>
      <c r="BW3" s="264">
        <f t="shared" si="1"/>
        <v>2049</v>
      </c>
      <c r="BX3" s="264">
        <f t="shared" si="1"/>
        <v>2050</v>
      </c>
      <c r="BY3" s="264">
        <f t="shared" si="1"/>
        <v>2051</v>
      </c>
      <c r="BZ3" s="264">
        <f t="shared" si="1"/>
        <v>2052</v>
      </c>
      <c r="CA3" s="264">
        <f t="shared" si="1"/>
        <v>2053</v>
      </c>
      <c r="CB3" s="264">
        <f t="shared" si="1"/>
        <v>2054</v>
      </c>
      <c r="CC3" s="264">
        <f t="shared" si="1"/>
        <v>2055</v>
      </c>
      <c r="CD3" s="264">
        <f t="shared" si="1"/>
        <v>2056</v>
      </c>
      <c r="CE3" s="264">
        <f t="shared" si="1"/>
        <v>2057</v>
      </c>
      <c r="CF3" s="264">
        <f t="shared" si="1"/>
        <v>2058</v>
      </c>
      <c r="CG3" s="264">
        <f t="shared" si="1"/>
        <v>2059</v>
      </c>
      <c r="CH3" s="264">
        <f t="shared" si="1"/>
        <v>2060</v>
      </c>
      <c r="CJ3" s="266">
        <v>2031</v>
      </c>
      <c r="CK3" s="266">
        <f>CJ3+1</f>
        <v>2032</v>
      </c>
      <c r="CL3" s="266">
        <f t="shared" ref="CL3:DM3" si="2">CK3+1</f>
        <v>2033</v>
      </c>
      <c r="CM3" s="266">
        <f t="shared" si="2"/>
        <v>2034</v>
      </c>
      <c r="CN3" s="266">
        <f t="shared" si="2"/>
        <v>2035</v>
      </c>
      <c r="CO3" s="266">
        <f t="shared" si="2"/>
        <v>2036</v>
      </c>
      <c r="CP3" s="266">
        <f t="shared" si="2"/>
        <v>2037</v>
      </c>
      <c r="CQ3" s="266">
        <f t="shared" si="2"/>
        <v>2038</v>
      </c>
      <c r="CR3" s="266">
        <f t="shared" si="2"/>
        <v>2039</v>
      </c>
      <c r="CS3" s="266">
        <f t="shared" si="2"/>
        <v>2040</v>
      </c>
      <c r="CT3" s="266">
        <f t="shared" si="2"/>
        <v>2041</v>
      </c>
      <c r="CU3" s="266">
        <f t="shared" si="2"/>
        <v>2042</v>
      </c>
      <c r="CV3" s="266">
        <f t="shared" si="2"/>
        <v>2043</v>
      </c>
      <c r="CW3" s="266">
        <f t="shared" si="2"/>
        <v>2044</v>
      </c>
      <c r="CX3" s="266">
        <f t="shared" si="2"/>
        <v>2045</v>
      </c>
      <c r="CY3" s="266">
        <f t="shared" si="2"/>
        <v>2046</v>
      </c>
      <c r="CZ3" s="266">
        <f t="shared" si="2"/>
        <v>2047</v>
      </c>
      <c r="DA3" s="266">
        <f t="shared" si="2"/>
        <v>2048</v>
      </c>
      <c r="DB3" s="266">
        <f t="shared" si="2"/>
        <v>2049</v>
      </c>
      <c r="DC3" s="266">
        <f t="shared" si="2"/>
        <v>2050</v>
      </c>
      <c r="DD3" s="266">
        <f t="shared" si="2"/>
        <v>2051</v>
      </c>
      <c r="DE3" s="266">
        <f t="shared" si="2"/>
        <v>2052</v>
      </c>
      <c r="DF3" s="266">
        <f t="shared" si="2"/>
        <v>2053</v>
      </c>
      <c r="DG3" s="266">
        <f t="shared" si="2"/>
        <v>2054</v>
      </c>
      <c r="DH3" s="266">
        <f t="shared" si="2"/>
        <v>2055</v>
      </c>
      <c r="DI3" s="266">
        <f t="shared" si="2"/>
        <v>2056</v>
      </c>
      <c r="DJ3" s="266">
        <f t="shared" si="2"/>
        <v>2057</v>
      </c>
      <c r="DK3" s="266">
        <f t="shared" si="2"/>
        <v>2058</v>
      </c>
      <c r="DL3" s="266">
        <f t="shared" si="2"/>
        <v>2059</v>
      </c>
      <c r="DM3" s="266">
        <f t="shared" si="2"/>
        <v>2060</v>
      </c>
      <c r="DO3" s="269">
        <v>2030</v>
      </c>
      <c r="DP3" s="269">
        <f>DO3+1</f>
        <v>2031</v>
      </c>
      <c r="DQ3" s="269">
        <f t="shared" ref="DQ3:ER3" si="3">DP3+1</f>
        <v>2032</v>
      </c>
      <c r="DR3" s="269">
        <f t="shared" si="3"/>
        <v>2033</v>
      </c>
      <c r="DS3" s="269">
        <f t="shared" si="3"/>
        <v>2034</v>
      </c>
      <c r="DT3" s="269">
        <f t="shared" si="3"/>
        <v>2035</v>
      </c>
      <c r="DU3" s="269">
        <f t="shared" si="3"/>
        <v>2036</v>
      </c>
      <c r="DV3" s="269">
        <f t="shared" si="3"/>
        <v>2037</v>
      </c>
      <c r="DW3" s="269">
        <f t="shared" si="3"/>
        <v>2038</v>
      </c>
      <c r="DX3" s="269">
        <f t="shared" si="3"/>
        <v>2039</v>
      </c>
      <c r="DY3" s="269">
        <f t="shared" si="3"/>
        <v>2040</v>
      </c>
      <c r="DZ3" s="269">
        <f t="shared" si="3"/>
        <v>2041</v>
      </c>
      <c r="EA3" s="269">
        <f t="shared" si="3"/>
        <v>2042</v>
      </c>
      <c r="EB3" s="269">
        <f t="shared" si="3"/>
        <v>2043</v>
      </c>
      <c r="EC3" s="269">
        <f t="shared" si="3"/>
        <v>2044</v>
      </c>
      <c r="ED3" s="269">
        <f t="shared" si="3"/>
        <v>2045</v>
      </c>
      <c r="EE3" s="269">
        <f t="shared" si="3"/>
        <v>2046</v>
      </c>
      <c r="EF3" s="269">
        <f t="shared" si="3"/>
        <v>2047</v>
      </c>
      <c r="EG3" s="269">
        <f t="shared" si="3"/>
        <v>2048</v>
      </c>
      <c r="EH3" s="269">
        <f t="shared" si="3"/>
        <v>2049</v>
      </c>
      <c r="EI3" s="269">
        <f t="shared" si="3"/>
        <v>2050</v>
      </c>
      <c r="EJ3" s="269">
        <f t="shared" si="3"/>
        <v>2051</v>
      </c>
      <c r="EK3" s="269">
        <f t="shared" si="3"/>
        <v>2052</v>
      </c>
      <c r="EL3" s="269">
        <f t="shared" si="3"/>
        <v>2053</v>
      </c>
      <c r="EM3" s="269">
        <f t="shared" si="3"/>
        <v>2054</v>
      </c>
      <c r="EN3" s="269">
        <f t="shared" si="3"/>
        <v>2055</v>
      </c>
      <c r="EO3" s="269">
        <f t="shared" si="3"/>
        <v>2056</v>
      </c>
      <c r="EP3" s="269">
        <f t="shared" si="3"/>
        <v>2057</v>
      </c>
      <c r="EQ3" s="269">
        <f t="shared" si="3"/>
        <v>2058</v>
      </c>
      <c r="ER3" s="269">
        <f t="shared" si="3"/>
        <v>2059</v>
      </c>
      <c r="ES3" s="308"/>
      <c r="ET3" s="60" t="s">
        <v>142</v>
      </c>
      <c r="EU3" s="60" t="s">
        <v>143</v>
      </c>
      <c r="EV3" s="60" t="s">
        <v>41</v>
      </c>
    </row>
    <row r="4" spans="1:152" ht="27.75" hidden="1" customHeight="1" outlineLevel="1" x14ac:dyDescent="0.35">
      <c r="A4" s="62" t="s">
        <v>144</v>
      </c>
      <c r="B4" s="62" t="s">
        <v>145</v>
      </c>
      <c r="C4" s="294" t="s">
        <v>146</v>
      </c>
      <c r="D4" s="63" t="s">
        <v>147</v>
      </c>
      <c r="E4" s="63" t="s">
        <v>147</v>
      </c>
      <c r="F4" s="63" t="s">
        <v>148</v>
      </c>
      <c r="G4" s="63">
        <v>4</v>
      </c>
      <c r="H4" s="64">
        <v>4</v>
      </c>
      <c r="I4" s="64">
        <v>164</v>
      </c>
      <c r="J4" s="61" t="s">
        <v>586</v>
      </c>
      <c r="K4" s="64">
        <v>428</v>
      </c>
      <c r="L4" s="64">
        <v>495</v>
      </c>
      <c r="M4" s="64">
        <v>499</v>
      </c>
      <c r="N4" s="64">
        <v>542</v>
      </c>
      <c r="O4" s="64"/>
      <c r="P4" s="64">
        <v>550</v>
      </c>
      <c r="Q4" s="64">
        <v>600</v>
      </c>
      <c r="R4" s="64">
        <v>610</v>
      </c>
      <c r="S4" s="64">
        <v>620</v>
      </c>
      <c r="T4" s="64">
        <v>630</v>
      </c>
      <c r="U4" s="291">
        <f t="shared" ref="U4:AX4" si="4">T4*(1+$EU4)</f>
        <v>630</v>
      </c>
      <c r="V4" s="291">
        <f t="shared" si="4"/>
        <v>630</v>
      </c>
      <c r="W4" s="291">
        <f t="shared" si="4"/>
        <v>630</v>
      </c>
      <c r="X4" s="291">
        <f t="shared" si="4"/>
        <v>630</v>
      </c>
      <c r="Y4" s="291">
        <f t="shared" si="4"/>
        <v>630</v>
      </c>
      <c r="Z4" s="291">
        <f t="shared" si="4"/>
        <v>630</v>
      </c>
      <c r="AA4" s="291">
        <f t="shared" si="4"/>
        <v>630</v>
      </c>
      <c r="AB4" s="291">
        <f t="shared" si="4"/>
        <v>630</v>
      </c>
      <c r="AC4" s="291">
        <f t="shared" si="4"/>
        <v>630</v>
      </c>
      <c r="AD4" s="291">
        <f t="shared" si="4"/>
        <v>630</v>
      </c>
      <c r="AE4" s="291">
        <f t="shared" si="4"/>
        <v>630</v>
      </c>
      <c r="AF4" s="291">
        <f t="shared" si="4"/>
        <v>630</v>
      </c>
      <c r="AG4" s="291">
        <f t="shared" si="4"/>
        <v>630</v>
      </c>
      <c r="AH4" s="291">
        <f t="shared" si="4"/>
        <v>630</v>
      </c>
      <c r="AI4" s="291">
        <f t="shared" si="4"/>
        <v>630</v>
      </c>
      <c r="AJ4" s="291">
        <f t="shared" si="4"/>
        <v>630</v>
      </c>
      <c r="AK4" s="291">
        <f t="shared" si="4"/>
        <v>630</v>
      </c>
      <c r="AL4" s="291">
        <f t="shared" si="4"/>
        <v>630</v>
      </c>
      <c r="AM4" s="291">
        <f t="shared" si="4"/>
        <v>630</v>
      </c>
      <c r="AN4" s="291">
        <f t="shared" si="4"/>
        <v>630</v>
      </c>
      <c r="AO4" s="291">
        <f t="shared" si="4"/>
        <v>630</v>
      </c>
      <c r="AP4" s="291">
        <f t="shared" si="4"/>
        <v>630</v>
      </c>
      <c r="AQ4" s="291">
        <f t="shared" si="4"/>
        <v>630</v>
      </c>
      <c r="AR4" s="291">
        <f t="shared" si="4"/>
        <v>630</v>
      </c>
      <c r="AS4" s="291">
        <f t="shared" si="4"/>
        <v>630</v>
      </c>
      <c r="AT4" s="291">
        <f t="shared" si="4"/>
        <v>630</v>
      </c>
      <c r="AU4" s="291">
        <f t="shared" si="4"/>
        <v>630</v>
      </c>
      <c r="AV4" s="291">
        <f t="shared" si="4"/>
        <v>630</v>
      </c>
      <c r="AW4" s="291">
        <f t="shared" si="4"/>
        <v>630</v>
      </c>
      <c r="AX4" s="291">
        <f t="shared" si="4"/>
        <v>630</v>
      </c>
      <c r="AZ4" s="64">
        <v>550</v>
      </c>
      <c r="BA4" s="64">
        <v>600</v>
      </c>
      <c r="BB4" s="64">
        <v>650</v>
      </c>
      <c r="BC4" s="64">
        <v>675</v>
      </c>
      <c r="BD4" s="64">
        <v>700</v>
      </c>
      <c r="BE4" s="64">
        <f t="shared" ref="BE4:CH4" si="5">BD4*(1+$ET4)</f>
        <v>735</v>
      </c>
      <c r="BF4" s="64">
        <f t="shared" si="5"/>
        <v>771.75</v>
      </c>
      <c r="BG4" s="64">
        <f t="shared" si="5"/>
        <v>810.33750000000009</v>
      </c>
      <c r="BH4" s="64">
        <f t="shared" si="5"/>
        <v>850.85437500000012</v>
      </c>
      <c r="BI4" s="64">
        <f t="shared" si="5"/>
        <v>893.39709375000018</v>
      </c>
      <c r="BJ4" s="64">
        <f t="shared" si="5"/>
        <v>938.06694843750017</v>
      </c>
      <c r="BK4" s="64">
        <f t="shared" si="5"/>
        <v>984.97029585937526</v>
      </c>
      <c r="BL4" s="64">
        <f t="shared" si="5"/>
        <v>1034.218810652344</v>
      </c>
      <c r="BM4" s="64">
        <f t="shared" si="5"/>
        <v>1085.9297511849613</v>
      </c>
      <c r="BN4" s="64">
        <f t="shared" si="5"/>
        <v>1140.2262387442095</v>
      </c>
      <c r="BO4" s="64">
        <f t="shared" si="5"/>
        <v>1197.2375506814201</v>
      </c>
      <c r="BP4" s="64">
        <f t="shared" si="5"/>
        <v>1257.0994282154911</v>
      </c>
      <c r="BQ4" s="64">
        <f t="shared" si="5"/>
        <v>1319.9543996262657</v>
      </c>
      <c r="BR4" s="64">
        <f t="shared" si="5"/>
        <v>1385.9521196075791</v>
      </c>
      <c r="BS4" s="64">
        <f t="shared" si="5"/>
        <v>1455.2497255879582</v>
      </c>
      <c r="BT4" s="64">
        <f t="shared" si="5"/>
        <v>1528.0122118673562</v>
      </c>
      <c r="BU4" s="64">
        <f t="shared" si="5"/>
        <v>1604.4128224607241</v>
      </c>
      <c r="BV4" s="64">
        <f t="shared" si="5"/>
        <v>1684.6334635837604</v>
      </c>
      <c r="BW4" s="64">
        <f t="shared" si="5"/>
        <v>1768.8651367629486</v>
      </c>
      <c r="BX4" s="64">
        <f t="shared" si="5"/>
        <v>1857.3083936010962</v>
      </c>
      <c r="BY4" s="64">
        <f t="shared" si="5"/>
        <v>1950.1738132811511</v>
      </c>
      <c r="BZ4" s="64">
        <f t="shared" si="5"/>
        <v>2047.6825039452087</v>
      </c>
      <c r="CA4" s="64">
        <f t="shared" si="5"/>
        <v>2150.0666291424691</v>
      </c>
      <c r="CB4" s="64">
        <f t="shared" si="5"/>
        <v>2257.5699605995928</v>
      </c>
      <c r="CC4" s="64">
        <f t="shared" si="5"/>
        <v>2370.4484586295725</v>
      </c>
      <c r="CD4" s="64">
        <f t="shared" si="5"/>
        <v>2488.9708815610511</v>
      </c>
      <c r="CE4" s="64">
        <f t="shared" si="5"/>
        <v>2613.4194256391038</v>
      </c>
      <c r="CF4" s="64">
        <f t="shared" si="5"/>
        <v>2744.090396921059</v>
      </c>
      <c r="CG4" s="64">
        <f t="shared" si="5"/>
        <v>2881.2949167671122</v>
      </c>
      <c r="CH4" s="64">
        <f t="shared" si="5"/>
        <v>3025.3596626054677</v>
      </c>
      <c r="CJ4" s="64">
        <f t="shared" ref="CJ4:CJ29" si="6">BE4-U4</f>
        <v>105</v>
      </c>
      <c r="CK4" s="64">
        <f t="shared" ref="CK4:CK29" si="7">BF4-V4</f>
        <v>141.75</v>
      </c>
      <c r="CL4" s="64">
        <f t="shared" ref="CL4:CL29" si="8">BG4-W4</f>
        <v>180.33750000000009</v>
      </c>
      <c r="CM4" s="64">
        <f t="shared" ref="CM4:CM29" si="9">BH4-X4</f>
        <v>220.85437500000012</v>
      </c>
      <c r="CN4" s="64">
        <f t="shared" ref="CN4:CN29" si="10">BI4-Y4</f>
        <v>263.39709375000018</v>
      </c>
      <c r="CO4" s="64">
        <f t="shared" ref="CO4:CO29" si="11">BJ4-Z4</f>
        <v>308.06694843750017</v>
      </c>
      <c r="CP4" s="64">
        <f t="shared" ref="CP4:CP29" si="12">BK4-AA4</f>
        <v>354.97029585937526</v>
      </c>
      <c r="CQ4" s="64">
        <f t="shared" ref="CQ4:CQ29" si="13">BL4-AB4</f>
        <v>404.21881065234402</v>
      </c>
      <c r="CR4" s="64">
        <f t="shared" ref="CR4:CR29" si="14">BM4-AC4</f>
        <v>455.92975118496133</v>
      </c>
      <c r="CS4" s="64">
        <f t="shared" ref="CS4:CS29" si="15">BN4-AD4</f>
        <v>510.22623874420947</v>
      </c>
      <c r="CT4" s="64">
        <f t="shared" ref="CT4:CT29" si="16">BO4-AE4</f>
        <v>567.23755068142009</v>
      </c>
      <c r="CU4" s="64">
        <f t="shared" ref="CU4:CU29" si="17">BP4-AF4</f>
        <v>627.09942821549112</v>
      </c>
      <c r="CV4" s="64">
        <f t="shared" ref="CV4:CV29" si="18">BQ4-AG4</f>
        <v>689.95439962626574</v>
      </c>
      <c r="CW4" s="64">
        <f t="shared" ref="CW4:CW29" si="19">BR4-AH4</f>
        <v>755.95211960757911</v>
      </c>
      <c r="CX4" s="64">
        <f t="shared" ref="CX4:CX29" si="20">BS4-AI4</f>
        <v>825.24972558795821</v>
      </c>
      <c r="CY4" s="64">
        <f t="shared" ref="CY4:CY29" si="21">BT4-AJ4</f>
        <v>898.0122118673562</v>
      </c>
      <c r="CZ4" s="64">
        <f t="shared" ref="CZ4:CZ29" si="22">BU4-AK4</f>
        <v>974.4128224607241</v>
      </c>
      <c r="DA4" s="64">
        <f t="shared" ref="DA4:DA29" si="23">BV4-AL4</f>
        <v>1054.6334635837604</v>
      </c>
      <c r="DB4" s="64">
        <f t="shared" ref="DB4:DB29" si="24">BW4-AM4</f>
        <v>1138.8651367629486</v>
      </c>
      <c r="DC4" s="64">
        <f t="shared" ref="DC4:DC29" si="25">BX4-AN4</f>
        <v>1227.3083936010962</v>
      </c>
      <c r="DD4" s="64">
        <f t="shared" ref="DD4:DD29" si="26">BY4-AO4</f>
        <v>1320.1738132811511</v>
      </c>
      <c r="DE4" s="64">
        <f t="shared" ref="DE4:DE29" si="27">BZ4-AP4</f>
        <v>1417.6825039452087</v>
      </c>
      <c r="DF4" s="64">
        <f t="shared" ref="DF4:DF29" si="28">CA4-AQ4</f>
        <v>1520.0666291424691</v>
      </c>
      <c r="DG4" s="64">
        <f t="shared" ref="DG4:DG29" si="29">CB4-AR4</f>
        <v>1627.5699605995928</v>
      </c>
      <c r="DH4" s="64">
        <f t="shared" ref="DH4:DH29" si="30">CC4-AS4</f>
        <v>1740.4484586295725</v>
      </c>
      <c r="DI4" s="64">
        <f t="shared" ref="DI4:DI29" si="31">CD4-AT4</f>
        <v>1858.9708815610511</v>
      </c>
      <c r="DJ4" s="64">
        <f t="shared" ref="DJ4:DJ29" si="32">CE4-AU4</f>
        <v>1983.4194256391038</v>
      </c>
      <c r="DK4" s="64">
        <f t="shared" ref="DK4:DK29" si="33">CF4-AV4</f>
        <v>2114.090396921059</v>
      </c>
      <c r="DL4" s="64">
        <f t="shared" ref="DL4:DL29" si="34">CG4-AW4</f>
        <v>2251.2949167671122</v>
      </c>
      <c r="DM4" s="64">
        <f t="shared" ref="DM4:DM29" si="35">CH4-AX4</f>
        <v>2395.3596626054677</v>
      </c>
      <c r="DO4" s="64">
        <f t="shared" ref="DO4:ER4" si="36">CJ4*$H4*$I4</f>
        <v>68880</v>
      </c>
      <c r="DP4" s="64">
        <f t="shared" si="36"/>
        <v>92988</v>
      </c>
      <c r="DQ4" s="64">
        <f t="shared" si="36"/>
        <v>118301.40000000005</v>
      </c>
      <c r="DR4" s="64">
        <f t="shared" si="36"/>
        <v>144880.47000000009</v>
      </c>
      <c r="DS4" s="64">
        <f t="shared" si="36"/>
        <v>172788.49350000013</v>
      </c>
      <c r="DT4" s="64">
        <f t="shared" si="36"/>
        <v>202091.91817500012</v>
      </c>
      <c r="DU4" s="64">
        <f t="shared" si="36"/>
        <v>232860.51408375017</v>
      </c>
      <c r="DV4" s="64">
        <f t="shared" si="36"/>
        <v>265167.53978793765</v>
      </c>
      <c r="DW4" s="64">
        <f t="shared" si="36"/>
        <v>299089.91677733464</v>
      </c>
      <c r="DX4" s="64">
        <f t="shared" si="36"/>
        <v>334708.41261620139</v>
      </c>
      <c r="DY4" s="64">
        <f t="shared" si="36"/>
        <v>372107.83324701159</v>
      </c>
      <c r="DZ4" s="64">
        <f t="shared" si="36"/>
        <v>411377.22490936215</v>
      </c>
      <c r="EA4" s="64">
        <f t="shared" si="36"/>
        <v>452610.08615483035</v>
      </c>
      <c r="EB4" s="64">
        <f t="shared" si="36"/>
        <v>495904.59046257188</v>
      </c>
      <c r="EC4" s="64">
        <f t="shared" si="36"/>
        <v>541363.81998570054</v>
      </c>
      <c r="ED4" s="64">
        <f t="shared" si="36"/>
        <v>589096.01098498562</v>
      </c>
      <c r="EE4" s="64">
        <f t="shared" si="36"/>
        <v>639214.81153423502</v>
      </c>
      <c r="EF4" s="64">
        <f t="shared" si="36"/>
        <v>691839.55211094685</v>
      </c>
      <c r="EG4" s="64">
        <f t="shared" si="36"/>
        <v>747095.52971649426</v>
      </c>
      <c r="EH4" s="64">
        <f t="shared" si="36"/>
        <v>805114.3062023191</v>
      </c>
      <c r="EI4" s="64">
        <f t="shared" si="36"/>
        <v>866034.02151243505</v>
      </c>
      <c r="EJ4" s="64">
        <f t="shared" si="36"/>
        <v>929999.72258805693</v>
      </c>
      <c r="EK4" s="64">
        <f t="shared" si="36"/>
        <v>997163.7087174597</v>
      </c>
      <c r="EL4" s="64">
        <f t="shared" si="36"/>
        <v>1067685.8941533328</v>
      </c>
      <c r="EM4" s="64">
        <f t="shared" si="36"/>
        <v>1141734.1888609997</v>
      </c>
      <c r="EN4" s="64">
        <f t="shared" si="36"/>
        <v>1219484.8983040496</v>
      </c>
      <c r="EO4" s="64">
        <f t="shared" si="36"/>
        <v>1301123.1432192521</v>
      </c>
      <c r="EP4" s="64">
        <f t="shared" si="36"/>
        <v>1386843.3003802146</v>
      </c>
      <c r="EQ4" s="64">
        <f t="shared" si="36"/>
        <v>1476849.4653992257</v>
      </c>
      <c r="ER4" s="64">
        <f t="shared" si="36"/>
        <v>1571355.9386691868</v>
      </c>
      <c r="ES4" s="64"/>
      <c r="ET4" s="57">
        <v>0.05</v>
      </c>
      <c r="EU4" s="57">
        <v>0</v>
      </c>
      <c r="EV4" s="61"/>
    </row>
    <row r="5" spans="1:152" ht="27.75" hidden="1" customHeight="1" outlineLevel="1" x14ac:dyDescent="0.35">
      <c r="A5" s="62" t="s">
        <v>144</v>
      </c>
      <c r="B5" s="62" t="s">
        <v>145</v>
      </c>
      <c r="C5" s="294" t="s">
        <v>149</v>
      </c>
      <c r="D5" s="63" t="s">
        <v>147</v>
      </c>
      <c r="E5" s="63" t="s">
        <v>147</v>
      </c>
      <c r="F5" s="63" t="s">
        <v>148</v>
      </c>
      <c r="G5" s="63">
        <v>4</v>
      </c>
      <c r="H5" s="64">
        <v>4</v>
      </c>
      <c r="I5" s="64">
        <v>164</v>
      </c>
      <c r="J5" s="61" t="s">
        <v>586</v>
      </c>
      <c r="K5" s="64">
        <v>252</v>
      </c>
      <c r="L5" s="64">
        <v>227</v>
      </c>
      <c r="M5" s="64">
        <v>194</v>
      </c>
      <c r="N5" s="64">
        <v>202</v>
      </c>
      <c r="O5" s="64"/>
      <c r="P5" s="64">
        <v>205</v>
      </c>
      <c r="Q5" s="64">
        <v>220</v>
      </c>
      <c r="R5" s="64">
        <v>225</v>
      </c>
      <c r="S5" s="64">
        <v>230</v>
      </c>
      <c r="T5" s="64">
        <v>235</v>
      </c>
      <c r="U5" s="291">
        <f t="shared" ref="U5:AX5" si="37">T5*(1+$EU5)</f>
        <v>235</v>
      </c>
      <c r="V5" s="291">
        <f t="shared" si="37"/>
        <v>235</v>
      </c>
      <c r="W5" s="291">
        <f t="shared" si="37"/>
        <v>235</v>
      </c>
      <c r="X5" s="291">
        <f t="shared" si="37"/>
        <v>235</v>
      </c>
      <c r="Y5" s="291">
        <f t="shared" si="37"/>
        <v>235</v>
      </c>
      <c r="Z5" s="291">
        <f t="shared" si="37"/>
        <v>235</v>
      </c>
      <c r="AA5" s="291">
        <f t="shared" si="37"/>
        <v>235</v>
      </c>
      <c r="AB5" s="291">
        <f t="shared" si="37"/>
        <v>235</v>
      </c>
      <c r="AC5" s="291">
        <f t="shared" si="37"/>
        <v>235</v>
      </c>
      <c r="AD5" s="291">
        <f t="shared" si="37"/>
        <v>235</v>
      </c>
      <c r="AE5" s="291">
        <f t="shared" si="37"/>
        <v>235</v>
      </c>
      <c r="AF5" s="291">
        <f t="shared" si="37"/>
        <v>235</v>
      </c>
      <c r="AG5" s="291">
        <f t="shared" si="37"/>
        <v>235</v>
      </c>
      <c r="AH5" s="291">
        <f t="shared" si="37"/>
        <v>235</v>
      </c>
      <c r="AI5" s="291">
        <f t="shared" si="37"/>
        <v>235</v>
      </c>
      <c r="AJ5" s="291">
        <f t="shared" si="37"/>
        <v>235</v>
      </c>
      <c r="AK5" s="291">
        <f t="shared" si="37"/>
        <v>235</v>
      </c>
      <c r="AL5" s="291">
        <f t="shared" si="37"/>
        <v>235</v>
      </c>
      <c r="AM5" s="291">
        <f t="shared" si="37"/>
        <v>235</v>
      </c>
      <c r="AN5" s="291">
        <f t="shared" si="37"/>
        <v>235</v>
      </c>
      <c r="AO5" s="291">
        <f t="shared" si="37"/>
        <v>235</v>
      </c>
      <c r="AP5" s="291">
        <f t="shared" si="37"/>
        <v>235</v>
      </c>
      <c r="AQ5" s="291">
        <f t="shared" si="37"/>
        <v>235</v>
      </c>
      <c r="AR5" s="291">
        <f t="shared" si="37"/>
        <v>235</v>
      </c>
      <c r="AS5" s="291">
        <f t="shared" si="37"/>
        <v>235</v>
      </c>
      <c r="AT5" s="291">
        <f t="shared" si="37"/>
        <v>235</v>
      </c>
      <c r="AU5" s="291">
        <f t="shared" si="37"/>
        <v>235</v>
      </c>
      <c r="AV5" s="291">
        <f t="shared" si="37"/>
        <v>235</v>
      </c>
      <c r="AW5" s="291">
        <f t="shared" si="37"/>
        <v>235</v>
      </c>
      <c r="AX5" s="291">
        <f t="shared" si="37"/>
        <v>235</v>
      </c>
      <c r="AZ5" s="64">
        <v>205</v>
      </c>
      <c r="BA5" s="64">
        <v>220</v>
      </c>
      <c r="BB5" s="64">
        <v>235</v>
      </c>
      <c r="BC5" s="64">
        <v>240</v>
      </c>
      <c r="BD5" s="64">
        <v>250</v>
      </c>
      <c r="BE5" s="64">
        <f t="shared" ref="BE5:CH5" si="38">BD5*(1+$ET5)</f>
        <v>262.5</v>
      </c>
      <c r="BF5" s="64">
        <f t="shared" si="38"/>
        <v>275.625</v>
      </c>
      <c r="BG5" s="64">
        <f t="shared" si="38"/>
        <v>289.40625</v>
      </c>
      <c r="BH5" s="64">
        <f t="shared" si="38"/>
        <v>303.87656250000003</v>
      </c>
      <c r="BI5" s="64">
        <f t="shared" si="38"/>
        <v>319.07039062500007</v>
      </c>
      <c r="BJ5" s="64">
        <f t="shared" si="38"/>
        <v>335.02391015625011</v>
      </c>
      <c r="BK5" s="64">
        <f t="shared" si="38"/>
        <v>351.77510566406261</v>
      </c>
      <c r="BL5" s="64">
        <f t="shared" si="38"/>
        <v>369.36386094726578</v>
      </c>
      <c r="BM5" s="64">
        <f t="shared" si="38"/>
        <v>387.83205399462906</v>
      </c>
      <c r="BN5" s="64">
        <f t="shared" si="38"/>
        <v>407.22365669436056</v>
      </c>
      <c r="BO5" s="64">
        <f t="shared" si="38"/>
        <v>427.58483952907858</v>
      </c>
      <c r="BP5" s="64">
        <f t="shared" si="38"/>
        <v>448.96408150553253</v>
      </c>
      <c r="BQ5" s="64">
        <f t="shared" si="38"/>
        <v>471.41228558080917</v>
      </c>
      <c r="BR5" s="64">
        <f t="shared" si="38"/>
        <v>494.98289985984962</v>
      </c>
      <c r="BS5" s="64">
        <f t="shared" si="38"/>
        <v>519.73204485284214</v>
      </c>
      <c r="BT5" s="64">
        <f t="shared" si="38"/>
        <v>545.71864709548424</v>
      </c>
      <c r="BU5" s="64">
        <f t="shared" si="38"/>
        <v>573.00457945025846</v>
      </c>
      <c r="BV5" s="64">
        <f t="shared" si="38"/>
        <v>601.65480842277145</v>
      </c>
      <c r="BW5" s="64">
        <f t="shared" si="38"/>
        <v>631.73754884391008</v>
      </c>
      <c r="BX5" s="64">
        <f t="shared" si="38"/>
        <v>663.32442628610556</v>
      </c>
      <c r="BY5" s="64">
        <f t="shared" si="38"/>
        <v>696.49064760041085</v>
      </c>
      <c r="BZ5" s="64">
        <f t="shared" si="38"/>
        <v>731.31517998043148</v>
      </c>
      <c r="CA5" s="64">
        <f t="shared" si="38"/>
        <v>767.88093897945305</v>
      </c>
      <c r="CB5" s="64">
        <f t="shared" si="38"/>
        <v>806.27498592842574</v>
      </c>
      <c r="CC5" s="64">
        <f t="shared" si="38"/>
        <v>846.58873522484703</v>
      </c>
      <c r="CD5" s="64">
        <f t="shared" si="38"/>
        <v>888.91817198608942</v>
      </c>
      <c r="CE5" s="64">
        <f t="shared" si="38"/>
        <v>933.36408058539394</v>
      </c>
      <c r="CF5" s="64">
        <f t="shared" si="38"/>
        <v>980.03228461466369</v>
      </c>
      <c r="CG5" s="64">
        <f t="shared" si="38"/>
        <v>1029.0338988453968</v>
      </c>
      <c r="CH5" s="64">
        <f t="shared" si="38"/>
        <v>1080.4855937876666</v>
      </c>
      <c r="CI5" s="64"/>
      <c r="CJ5" s="64">
        <f t="shared" si="6"/>
        <v>27.5</v>
      </c>
      <c r="CK5" s="64">
        <f t="shared" si="7"/>
        <v>40.625</v>
      </c>
      <c r="CL5" s="64">
        <f t="shared" si="8"/>
        <v>54.40625</v>
      </c>
      <c r="CM5" s="64">
        <f t="shared" si="9"/>
        <v>68.876562500000034</v>
      </c>
      <c r="CN5" s="64">
        <f t="shared" si="10"/>
        <v>84.070390625000073</v>
      </c>
      <c r="CO5" s="64">
        <f t="shared" si="11"/>
        <v>100.02391015625011</v>
      </c>
      <c r="CP5" s="64">
        <f t="shared" si="12"/>
        <v>116.77510566406261</v>
      </c>
      <c r="CQ5" s="64">
        <f t="shared" si="13"/>
        <v>134.36386094726578</v>
      </c>
      <c r="CR5" s="64">
        <f t="shared" si="14"/>
        <v>152.83205399462906</v>
      </c>
      <c r="CS5" s="64">
        <f t="shared" si="15"/>
        <v>172.22365669436056</v>
      </c>
      <c r="CT5" s="64">
        <f t="shared" si="16"/>
        <v>192.58483952907858</v>
      </c>
      <c r="CU5" s="64">
        <f t="shared" si="17"/>
        <v>213.96408150553253</v>
      </c>
      <c r="CV5" s="64">
        <f t="shared" si="18"/>
        <v>236.41228558080917</v>
      </c>
      <c r="CW5" s="64">
        <f t="shared" si="19"/>
        <v>259.98289985984962</v>
      </c>
      <c r="CX5" s="64">
        <f t="shared" si="20"/>
        <v>284.73204485284214</v>
      </c>
      <c r="CY5" s="64">
        <f t="shared" si="21"/>
        <v>310.71864709548424</v>
      </c>
      <c r="CZ5" s="64">
        <f t="shared" si="22"/>
        <v>338.00457945025846</v>
      </c>
      <c r="DA5" s="64">
        <f t="shared" si="23"/>
        <v>366.65480842277145</v>
      </c>
      <c r="DB5" s="64">
        <f t="shared" si="24"/>
        <v>396.73754884391008</v>
      </c>
      <c r="DC5" s="64">
        <f t="shared" si="25"/>
        <v>428.32442628610556</v>
      </c>
      <c r="DD5" s="64">
        <f t="shared" si="26"/>
        <v>461.49064760041085</v>
      </c>
      <c r="DE5" s="64">
        <f t="shared" si="27"/>
        <v>496.31517998043148</v>
      </c>
      <c r="DF5" s="64">
        <f t="shared" si="28"/>
        <v>532.88093897945305</v>
      </c>
      <c r="DG5" s="64">
        <f t="shared" si="29"/>
        <v>571.27498592842574</v>
      </c>
      <c r="DH5" s="64">
        <f t="shared" si="30"/>
        <v>611.58873522484703</v>
      </c>
      <c r="DI5" s="64">
        <f t="shared" si="31"/>
        <v>653.91817198608942</v>
      </c>
      <c r="DJ5" s="64">
        <f t="shared" si="32"/>
        <v>698.36408058539394</v>
      </c>
      <c r="DK5" s="64">
        <f t="shared" si="33"/>
        <v>745.03228461466369</v>
      </c>
      <c r="DL5" s="64">
        <f t="shared" si="34"/>
        <v>794.03389884539683</v>
      </c>
      <c r="DM5" s="64">
        <f t="shared" si="35"/>
        <v>845.48559378766663</v>
      </c>
      <c r="DO5" s="64">
        <f t="shared" ref="DO5:DO30" si="39">CJ5*$H5*$I5</f>
        <v>18040</v>
      </c>
      <c r="DP5" s="64">
        <f t="shared" ref="DP5:DP30" si="40">CK5*$H5*$I5</f>
        <v>26650</v>
      </c>
      <c r="DQ5" s="64">
        <f t="shared" ref="DQ5:DQ30" si="41">CL5*$H5*$I5</f>
        <v>35690.5</v>
      </c>
      <c r="DR5" s="64">
        <f t="shared" ref="DR5:DR30" si="42">CM5*$H5*$I5</f>
        <v>45183.025000000023</v>
      </c>
      <c r="DS5" s="64">
        <f t="shared" ref="DS5:DS30" si="43">CN5*$H5*$I5</f>
        <v>55150.176250000048</v>
      </c>
      <c r="DT5" s="64">
        <f t="shared" ref="DT5:DT30" si="44">CO5*$H5*$I5</f>
        <v>65615.685062500066</v>
      </c>
      <c r="DU5" s="64">
        <f t="shared" ref="DU5:DU30" si="45">CP5*$H5*$I5</f>
        <v>76604.469315625072</v>
      </c>
      <c r="DV5" s="64">
        <f t="shared" ref="DV5:DV30" si="46">CQ5*$H5*$I5</f>
        <v>88142.692781406353</v>
      </c>
      <c r="DW5" s="64">
        <f t="shared" ref="DW5:DW30" si="47">CR5*$H5*$I5</f>
        <v>100257.82742047666</v>
      </c>
      <c r="DX5" s="64">
        <f t="shared" ref="DX5:DX30" si="48">CS5*$H5*$I5</f>
        <v>112978.71879150052</v>
      </c>
      <c r="DY5" s="64">
        <f t="shared" ref="DY5:DY30" si="49">CT5*$H5*$I5</f>
        <v>126335.65473107554</v>
      </c>
      <c r="DZ5" s="64">
        <f t="shared" ref="DZ5:DZ30" si="50">CU5*$H5*$I5</f>
        <v>140360.43746762935</v>
      </c>
      <c r="EA5" s="64">
        <f t="shared" ref="EA5:EA30" si="51">CV5*$H5*$I5</f>
        <v>155086.45934101081</v>
      </c>
      <c r="EB5" s="64">
        <f t="shared" ref="EB5:EB30" si="52">CW5*$H5*$I5</f>
        <v>170548.78230806135</v>
      </c>
      <c r="EC5" s="64">
        <f t="shared" ref="EC5:EC30" si="53">CX5*$H5*$I5</f>
        <v>186784.22142346445</v>
      </c>
      <c r="ED5" s="64">
        <f t="shared" ref="ED5:ED30" si="54">CY5*$H5*$I5</f>
        <v>203831.43249463767</v>
      </c>
      <c r="EE5" s="64">
        <f t="shared" ref="EE5:EE30" si="55">CZ5*$H5*$I5</f>
        <v>221731.00411936955</v>
      </c>
      <c r="EF5" s="64">
        <f t="shared" ref="EF5:EF30" si="56">DA5*$H5*$I5</f>
        <v>240525.55432533807</v>
      </c>
      <c r="EG5" s="64">
        <f t="shared" ref="EG5:EG30" si="57">DB5*$H5*$I5</f>
        <v>260259.832041605</v>
      </c>
      <c r="EH5" s="64">
        <f t="shared" ref="EH5:EH30" si="58">DC5*$H5*$I5</f>
        <v>280980.82364368526</v>
      </c>
      <c r="EI5" s="64">
        <f t="shared" ref="EI5:EI30" si="59">DD5*$H5*$I5</f>
        <v>302737.8648258695</v>
      </c>
      <c r="EJ5" s="64">
        <f t="shared" ref="EJ5:EJ30" si="60">DE5*$H5*$I5</f>
        <v>325582.75806716306</v>
      </c>
      <c r="EK5" s="64">
        <f t="shared" ref="EK5:EK30" si="61">DF5*$H5*$I5</f>
        <v>349569.8959705212</v>
      </c>
      <c r="EL5" s="64">
        <f t="shared" ref="EL5:EL30" si="62">DG5*$H5*$I5</f>
        <v>374756.39076904726</v>
      </c>
      <c r="EM5" s="64">
        <f t="shared" ref="EM5:EM30" si="63">DH5*$H5*$I5</f>
        <v>401202.21030749963</v>
      </c>
      <c r="EN5" s="64">
        <f t="shared" ref="EN5:EN30" si="64">DI5*$H5*$I5</f>
        <v>428970.32082287467</v>
      </c>
      <c r="EO5" s="64">
        <f t="shared" ref="EO5:EO30" si="65">DJ5*$H5*$I5</f>
        <v>458126.83686401841</v>
      </c>
      <c r="EP5" s="64">
        <f t="shared" ref="EP5:EP30" si="66">DK5*$H5*$I5</f>
        <v>488741.17870721937</v>
      </c>
      <c r="EQ5" s="64">
        <f t="shared" ref="EQ5:EQ30" si="67">DL5*$H5*$I5</f>
        <v>520886.23764258029</v>
      </c>
      <c r="ER5" s="64">
        <f t="shared" ref="ER5:ER30" si="68">DM5*$H5*$I5</f>
        <v>554638.54952470935</v>
      </c>
      <c r="ES5" s="64"/>
      <c r="ET5" s="57">
        <v>0.05</v>
      </c>
      <c r="EU5" s="57">
        <v>0</v>
      </c>
      <c r="EV5" s="61"/>
    </row>
    <row r="6" spans="1:152" ht="27.75" hidden="1" customHeight="1" outlineLevel="1" x14ac:dyDescent="0.35">
      <c r="A6" s="62" t="s">
        <v>144</v>
      </c>
      <c r="B6" s="62" t="s">
        <v>150</v>
      </c>
      <c r="C6" s="62" t="s">
        <v>151</v>
      </c>
      <c r="D6" s="63" t="s">
        <v>152</v>
      </c>
      <c r="E6" s="63" t="s">
        <v>147</v>
      </c>
      <c r="F6" s="63" t="s">
        <v>153</v>
      </c>
      <c r="G6" s="63">
        <v>4</v>
      </c>
      <c r="H6" s="64">
        <v>4</v>
      </c>
      <c r="I6" s="64">
        <v>110</v>
      </c>
      <c r="J6" s="61" t="s">
        <v>587</v>
      </c>
      <c r="K6" s="64">
        <v>155</v>
      </c>
      <c r="L6" s="64">
        <v>151</v>
      </c>
      <c r="M6" s="64">
        <v>190</v>
      </c>
      <c r="N6" s="64">
        <v>367</v>
      </c>
      <c r="O6" s="64"/>
      <c r="P6" s="64">
        <v>350</v>
      </c>
      <c r="Q6" s="64">
        <v>375</v>
      </c>
      <c r="R6" s="64">
        <v>375</v>
      </c>
      <c r="S6" s="64">
        <v>375</v>
      </c>
      <c r="T6" s="64">
        <v>375</v>
      </c>
      <c r="U6" s="291">
        <f t="shared" ref="U6:AX6" si="69">T6*(1+$EU6)</f>
        <v>375</v>
      </c>
      <c r="V6" s="291">
        <f t="shared" si="69"/>
        <v>375</v>
      </c>
      <c r="W6" s="291">
        <f t="shared" si="69"/>
        <v>375</v>
      </c>
      <c r="X6" s="291">
        <f t="shared" si="69"/>
        <v>375</v>
      </c>
      <c r="Y6" s="291">
        <f t="shared" si="69"/>
        <v>375</v>
      </c>
      <c r="Z6" s="291">
        <f t="shared" si="69"/>
        <v>375</v>
      </c>
      <c r="AA6" s="291">
        <f t="shared" si="69"/>
        <v>375</v>
      </c>
      <c r="AB6" s="291">
        <f t="shared" si="69"/>
        <v>375</v>
      </c>
      <c r="AC6" s="291">
        <f t="shared" si="69"/>
        <v>375</v>
      </c>
      <c r="AD6" s="291">
        <f t="shared" si="69"/>
        <v>375</v>
      </c>
      <c r="AE6" s="291">
        <f t="shared" si="69"/>
        <v>375</v>
      </c>
      <c r="AF6" s="291">
        <f t="shared" si="69"/>
        <v>375</v>
      </c>
      <c r="AG6" s="291">
        <f t="shared" si="69"/>
        <v>375</v>
      </c>
      <c r="AH6" s="291">
        <f t="shared" si="69"/>
        <v>375</v>
      </c>
      <c r="AI6" s="291">
        <f t="shared" si="69"/>
        <v>375</v>
      </c>
      <c r="AJ6" s="291">
        <f t="shared" si="69"/>
        <v>375</v>
      </c>
      <c r="AK6" s="291">
        <f t="shared" si="69"/>
        <v>375</v>
      </c>
      <c r="AL6" s="291">
        <f t="shared" si="69"/>
        <v>375</v>
      </c>
      <c r="AM6" s="291">
        <f t="shared" si="69"/>
        <v>375</v>
      </c>
      <c r="AN6" s="291">
        <f t="shared" si="69"/>
        <v>375</v>
      </c>
      <c r="AO6" s="291">
        <f t="shared" si="69"/>
        <v>375</v>
      </c>
      <c r="AP6" s="291">
        <f t="shared" si="69"/>
        <v>375</v>
      </c>
      <c r="AQ6" s="291">
        <f t="shared" si="69"/>
        <v>375</v>
      </c>
      <c r="AR6" s="291">
        <f t="shared" si="69"/>
        <v>375</v>
      </c>
      <c r="AS6" s="291">
        <f t="shared" si="69"/>
        <v>375</v>
      </c>
      <c r="AT6" s="291">
        <f t="shared" si="69"/>
        <v>375</v>
      </c>
      <c r="AU6" s="291">
        <f t="shared" si="69"/>
        <v>375</v>
      </c>
      <c r="AV6" s="291">
        <f t="shared" si="69"/>
        <v>375</v>
      </c>
      <c r="AW6" s="291">
        <f t="shared" si="69"/>
        <v>375</v>
      </c>
      <c r="AX6" s="291">
        <f t="shared" si="69"/>
        <v>375</v>
      </c>
      <c r="AZ6" s="64">
        <v>350</v>
      </c>
      <c r="BA6" s="64">
        <v>375</v>
      </c>
      <c r="BB6" s="64">
        <v>400</v>
      </c>
      <c r="BC6" s="64">
        <v>420</v>
      </c>
      <c r="BD6" s="64">
        <v>450</v>
      </c>
      <c r="BE6" s="64">
        <f t="shared" ref="BE6:CH6" si="70">BD6*(1+$ET6)</f>
        <v>472.5</v>
      </c>
      <c r="BF6" s="64">
        <f t="shared" si="70"/>
        <v>496.125</v>
      </c>
      <c r="BG6" s="64">
        <f t="shared" si="70"/>
        <v>520.93124999999998</v>
      </c>
      <c r="BH6" s="64">
        <f t="shared" si="70"/>
        <v>546.97781250000003</v>
      </c>
      <c r="BI6" s="64">
        <f t="shared" si="70"/>
        <v>574.32670312500011</v>
      </c>
      <c r="BJ6" s="64">
        <f t="shared" si="70"/>
        <v>603.04303828125012</v>
      </c>
      <c r="BK6" s="64">
        <f t="shared" si="70"/>
        <v>633.19519019531265</v>
      </c>
      <c r="BL6" s="64">
        <f t="shared" si="70"/>
        <v>664.8549497050783</v>
      </c>
      <c r="BM6" s="64">
        <f t="shared" si="70"/>
        <v>698.09769719033227</v>
      </c>
      <c r="BN6" s="64">
        <f t="shared" si="70"/>
        <v>733.00258204984891</v>
      </c>
      <c r="BO6" s="64">
        <f t="shared" si="70"/>
        <v>769.65271115234134</v>
      </c>
      <c r="BP6" s="64">
        <f t="shared" si="70"/>
        <v>808.13534670995841</v>
      </c>
      <c r="BQ6" s="64">
        <f t="shared" si="70"/>
        <v>848.5421140454564</v>
      </c>
      <c r="BR6" s="64">
        <f t="shared" si="70"/>
        <v>890.96921974772931</v>
      </c>
      <c r="BS6" s="64">
        <f t="shared" si="70"/>
        <v>935.51768073511585</v>
      </c>
      <c r="BT6" s="64">
        <f t="shared" si="70"/>
        <v>982.29356477187173</v>
      </c>
      <c r="BU6" s="64">
        <f t="shared" si="70"/>
        <v>1031.4082430104654</v>
      </c>
      <c r="BV6" s="64">
        <f t="shared" si="70"/>
        <v>1082.9786551609886</v>
      </c>
      <c r="BW6" s="64">
        <f t="shared" si="70"/>
        <v>1137.1275879190382</v>
      </c>
      <c r="BX6" s="64">
        <f t="shared" si="70"/>
        <v>1193.9839673149902</v>
      </c>
      <c r="BY6" s="64">
        <f t="shared" si="70"/>
        <v>1253.6831656807396</v>
      </c>
      <c r="BZ6" s="64">
        <f t="shared" si="70"/>
        <v>1316.3673239647767</v>
      </c>
      <c r="CA6" s="64">
        <f t="shared" si="70"/>
        <v>1382.1856901630156</v>
      </c>
      <c r="CB6" s="64">
        <f t="shared" si="70"/>
        <v>1451.2949746711665</v>
      </c>
      <c r="CC6" s="64">
        <f t="shared" si="70"/>
        <v>1523.8597234047249</v>
      </c>
      <c r="CD6" s="64">
        <f t="shared" si="70"/>
        <v>1600.0527095749612</v>
      </c>
      <c r="CE6" s="64">
        <f t="shared" si="70"/>
        <v>1680.0553450537093</v>
      </c>
      <c r="CF6" s="64">
        <f t="shared" si="70"/>
        <v>1764.0581123063948</v>
      </c>
      <c r="CG6" s="64">
        <f t="shared" si="70"/>
        <v>1852.2610179217147</v>
      </c>
      <c r="CH6" s="64">
        <f t="shared" si="70"/>
        <v>1944.8740688178004</v>
      </c>
      <c r="CI6" s="64"/>
      <c r="CJ6" s="64">
        <f t="shared" si="6"/>
        <v>97.5</v>
      </c>
      <c r="CK6" s="64">
        <f t="shared" si="7"/>
        <v>121.125</v>
      </c>
      <c r="CL6" s="64">
        <f t="shared" si="8"/>
        <v>145.93124999999998</v>
      </c>
      <c r="CM6" s="64">
        <f t="shared" si="9"/>
        <v>171.97781250000003</v>
      </c>
      <c r="CN6" s="64">
        <f t="shared" si="10"/>
        <v>199.32670312500011</v>
      </c>
      <c r="CO6" s="64">
        <f t="shared" si="11"/>
        <v>228.04303828125012</v>
      </c>
      <c r="CP6" s="64">
        <f t="shared" si="12"/>
        <v>258.19519019531265</v>
      </c>
      <c r="CQ6" s="64">
        <f t="shared" si="13"/>
        <v>289.8549497050783</v>
      </c>
      <c r="CR6" s="64">
        <f t="shared" si="14"/>
        <v>323.09769719033227</v>
      </c>
      <c r="CS6" s="64">
        <f t="shared" si="15"/>
        <v>358.00258204984891</v>
      </c>
      <c r="CT6" s="64">
        <f t="shared" si="16"/>
        <v>394.65271115234134</v>
      </c>
      <c r="CU6" s="64">
        <f t="shared" si="17"/>
        <v>433.13534670995841</v>
      </c>
      <c r="CV6" s="64">
        <f t="shared" si="18"/>
        <v>473.5421140454564</v>
      </c>
      <c r="CW6" s="64">
        <f t="shared" si="19"/>
        <v>515.96921974772931</v>
      </c>
      <c r="CX6" s="64">
        <f t="shared" si="20"/>
        <v>560.51768073511585</v>
      </c>
      <c r="CY6" s="64">
        <f t="shared" si="21"/>
        <v>607.29356477187173</v>
      </c>
      <c r="CZ6" s="64">
        <f t="shared" si="22"/>
        <v>656.40824301046541</v>
      </c>
      <c r="DA6" s="64">
        <f t="shared" si="23"/>
        <v>707.97865516098864</v>
      </c>
      <c r="DB6" s="64">
        <f t="shared" si="24"/>
        <v>762.12758791903821</v>
      </c>
      <c r="DC6" s="64">
        <f t="shared" si="25"/>
        <v>818.9839673149902</v>
      </c>
      <c r="DD6" s="64">
        <f t="shared" si="26"/>
        <v>878.68316568073965</v>
      </c>
      <c r="DE6" s="64">
        <f t="shared" si="27"/>
        <v>941.36732396477669</v>
      </c>
      <c r="DF6" s="64">
        <f t="shared" si="28"/>
        <v>1007.1856901630156</v>
      </c>
      <c r="DG6" s="64">
        <f t="shared" si="29"/>
        <v>1076.2949746711665</v>
      </c>
      <c r="DH6" s="64">
        <f t="shared" si="30"/>
        <v>1148.8597234047249</v>
      </c>
      <c r="DI6" s="64">
        <f t="shared" si="31"/>
        <v>1225.0527095749612</v>
      </c>
      <c r="DJ6" s="64">
        <f t="shared" si="32"/>
        <v>1305.0553450537093</v>
      </c>
      <c r="DK6" s="64">
        <f t="shared" si="33"/>
        <v>1389.0581123063948</v>
      </c>
      <c r="DL6" s="64">
        <f t="shared" si="34"/>
        <v>1477.2610179217147</v>
      </c>
      <c r="DM6" s="64">
        <f t="shared" si="35"/>
        <v>1569.8740688178004</v>
      </c>
      <c r="DN6" s="64"/>
      <c r="DO6" s="64">
        <f t="shared" si="39"/>
        <v>42900</v>
      </c>
      <c r="DP6" s="64">
        <f t="shared" si="40"/>
        <v>53295</v>
      </c>
      <c r="DQ6" s="64">
        <f t="shared" si="41"/>
        <v>64209.749999999993</v>
      </c>
      <c r="DR6" s="64">
        <f t="shared" si="42"/>
        <v>75670.237500000017</v>
      </c>
      <c r="DS6" s="64">
        <f t="shared" si="43"/>
        <v>87703.749375000043</v>
      </c>
      <c r="DT6" s="64">
        <f t="shared" si="44"/>
        <v>100338.93684375005</v>
      </c>
      <c r="DU6" s="64">
        <f t="shared" si="45"/>
        <v>113605.88368593756</v>
      </c>
      <c r="DV6" s="64">
        <f t="shared" si="46"/>
        <v>127536.17787023445</v>
      </c>
      <c r="DW6" s="64">
        <f t="shared" si="47"/>
        <v>142162.98676374619</v>
      </c>
      <c r="DX6" s="64">
        <f t="shared" si="48"/>
        <v>157521.13610193352</v>
      </c>
      <c r="DY6" s="64">
        <f t="shared" si="49"/>
        <v>173647.1929070302</v>
      </c>
      <c r="DZ6" s="64">
        <f t="shared" si="50"/>
        <v>190579.55255238171</v>
      </c>
      <c r="EA6" s="64">
        <f t="shared" si="51"/>
        <v>208358.53018000082</v>
      </c>
      <c r="EB6" s="64">
        <f t="shared" si="52"/>
        <v>227026.45668900089</v>
      </c>
      <c r="EC6" s="64">
        <f t="shared" si="53"/>
        <v>246627.77952345097</v>
      </c>
      <c r="ED6" s="64">
        <f t="shared" si="54"/>
        <v>267209.16849962354</v>
      </c>
      <c r="EE6" s="64">
        <f t="shared" si="55"/>
        <v>288819.62692460476</v>
      </c>
      <c r="EF6" s="64">
        <f t="shared" si="56"/>
        <v>311510.60827083501</v>
      </c>
      <c r="EG6" s="64">
        <f t="shared" si="57"/>
        <v>335336.13868437678</v>
      </c>
      <c r="EH6" s="64">
        <f t="shared" si="58"/>
        <v>360352.9456185957</v>
      </c>
      <c r="EI6" s="64">
        <f t="shared" si="59"/>
        <v>386620.59289952542</v>
      </c>
      <c r="EJ6" s="64">
        <f t="shared" si="60"/>
        <v>414201.62254450173</v>
      </c>
      <c r="EK6" s="64">
        <f t="shared" si="61"/>
        <v>443161.70367172686</v>
      </c>
      <c r="EL6" s="64">
        <f t="shared" si="62"/>
        <v>473569.78885531327</v>
      </c>
      <c r="EM6" s="64">
        <f t="shared" si="63"/>
        <v>505498.27829807898</v>
      </c>
      <c r="EN6" s="64">
        <f t="shared" si="64"/>
        <v>539023.19221298292</v>
      </c>
      <c r="EO6" s="64">
        <f t="shared" si="65"/>
        <v>574224.35182363214</v>
      </c>
      <c r="EP6" s="64">
        <f t="shared" si="66"/>
        <v>611185.56941481377</v>
      </c>
      <c r="EQ6" s="64">
        <f t="shared" si="67"/>
        <v>649994.84788555442</v>
      </c>
      <c r="ER6" s="64">
        <f t="shared" si="68"/>
        <v>690744.59027983225</v>
      </c>
      <c r="ES6" s="64"/>
      <c r="ET6" s="57">
        <v>0.05</v>
      </c>
      <c r="EU6" s="57">
        <v>0</v>
      </c>
      <c r="EV6" s="61"/>
    </row>
    <row r="7" spans="1:152" ht="27.75" hidden="1" customHeight="1" outlineLevel="1" x14ac:dyDescent="0.35">
      <c r="A7" s="62" t="s">
        <v>144</v>
      </c>
      <c r="B7" s="62" t="s">
        <v>150</v>
      </c>
      <c r="C7" s="294" t="s">
        <v>154</v>
      </c>
      <c r="D7" s="63" t="s">
        <v>147</v>
      </c>
      <c r="E7" s="63" t="s">
        <v>147</v>
      </c>
      <c r="F7" s="63" t="s">
        <v>148</v>
      </c>
      <c r="G7" s="63">
        <v>4</v>
      </c>
      <c r="H7" s="64">
        <v>4</v>
      </c>
      <c r="I7" s="64">
        <v>170</v>
      </c>
      <c r="J7" s="61" t="s">
        <v>588</v>
      </c>
      <c r="K7" s="64">
        <v>40</v>
      </c>
      <c r="L7" s="64">
        <v>47</v>
      </c>
      <c r="M7" s="64">
        <v>40</v>
      </c>
      <c r="N7" s="64">
        <v>66</v>
      </c>
      <c r="O7" s="64"/>
      <c r="P7" s="64">
        <v>65</v>
      </c>
      <c r="Q7" s="64">
        <v>65</v>
      </c>
      <c r="R7" s="64">
        <v>65</v>
      </c>
      <c r="S7" s="64">
        <v>70</v>
      </c>
      <c r="T7" s="64">
        <v>70</v>
      </c>
      <c r="U7" s="291">
        <f t="shared" ref="U7:AX7" si="71">T7*(1+$EU7)</f>
        <v>71.400000000000006</v>
      </c>
      <c r="V7" s="291">
        <f t="shared" si="71"/>
        <v>72.828000000000003</v>
      </c>
      <c r="W7" s="291">
        <f t="shared" si="71"/>
        <v>74.284559999999999</v>
      </c>
      <c r="X7" s="291">
        <f t="shared" si="71"/>
        <v>75.770251200000004</v>
      </c>
      <c r="Y7" s="291">
        <f t="shared" si="71"/>
        <v>77.285656224000007</v>
      </c>
      <c r="Z7" s="291">
        <f t="shared" si="71"/>
        <v>78.83136934848001</v>
      </c>
      <c r="AA7" s="291">
        <f t="shared" si="71"/>
        <v>80.407996735449615</v>
      </c>
      <c r="AB7" s="291">
        <f t="shared" si="71"/>
        <v>82.016156670158608</v>
      </c>
      <c r="AC7" s="291">
        <f t="shared" si="71"/>
        <v>83.65647980356178</v>
      </c>
      <c r="AD7" s="291">
        <f t="shared" si="71"/>
        <v>85.329609399633014</v>
      </c>
      <c r="AE7" s="291">
        <f t="shared" si="71"/>
        <v>87.036201587625669</v>
      </c>
      <c r="AF7" s="291">
        <f t="shared" si="71"/>
        <v>88.77692561937819</v>
      </c>
      <c r="AG7" s="291">
        <f t="shared" si="71"/>
        <v>90.55246413176576</v>
      </c>
      <c r="AH7" s="291">
        <f t="shared" si="71"/>
        <v>92.363513414401083</v>
      </c>
      <c r="AI7" s="291">
        <f t="shared" si="71"/>
        <v>94.210783682689112</v>
      </c>
      <c r="AJ7" s="291">
        <f t="shared" si="71"/>
        <v>96.094999356342896</v>
      </c>
      <c r="AK7" s="291">
        <f t="shared" si="71"/>
        <v>98.01689934346976</v>
      </c>
      <c r="AL7" s="291">
        <f t="shared" si="71"/>
        <v>99.97723733033915</v>
      </c>
      <c r="AM7" s="291">
        <f t="shared" si="71"/>
        <v>101.97678207694594</v>
      </c>
      <c r="AN7" s="291">
        <f t="shared" si="71"/>
        <v>104.01631771848486</v>
      </c>
      <c r="AO7" s="291">
        <f t="shared" si="71"/>
        <v>106.09664407285456</v>
      </c>
      <c r="AP7" s="291">
        <f t="shared" si="71"/>
        <v>108.21857695431166</v>
      </c>
      <c r="AQ7" s="291">
        <f t="shared" si="71"/>
        <v>110.38294849339789</v>
      </c>
      <c r="AR7" s="291">
        <f t="shared" si="71"/>
        <v>112.59060746326585</v>
      </c>
      <c r="AS7" s="291">
        <f t="shared" si="71"/>
        <v>114.84241961253117</v>
      </c>
      <c r="AT7" s="291">
        <f t="shared" si="71"/>
        <v>117.1392680047818</v>
      </c>
      <c r="AU7" s="291">
        <f t="shared" si="71"/>
        <v>119.48205336487743</v>
      </c>
      <c r="AV7" s="291">
        <f t="shared" si="71"/>
        <v>121.87169443217498</v>
      </c>
      <c r="AW7" s="291">
        <f t="shared" si="71"/>
        <v>124.30912832081847</v>
      </c>
      <c r="AX7" s="291">
        <f t="shared" si="71"/>
        <v>126.79531088723485</v>
      </c>
      <c r="AZ7" s="64">
        <v>65</v>
      </c>
      <c r="BA7" s="64">
        <v>65</v>
      </c>
      <c r="BB7" s="64">
        <v>70</v>
      </c>
      <c r="BC7" s="64">
        <v>75</v>
      </c>
      <c r="BD7" s="64">
        <v>75</v>
      </c>
      <c r="BE7" s="64">
        <f t="shared" ref="BE7:CH7" si="72">BD7*(1+$ET7)</f>
        <v>78.75</v>
      </c>
      <c r="BF7" s="64">
        <f t="shared" si="72"/>
        <v>82.6875</v>
      </c>
      <c r="BG7" s="64">
        <f t="shared" si="72"/>
        <v>86.821875000000006</v>
      </c>
      <c r="BH7" s="64">
        <f t="shared" si="72"/>
        <v>91.162968750000005</v>
      </c>
      <c r="BI7" s="64">
        <f t="shared" si="72"/>
        <v>95.721117187500013</v>
      </c>
      <c r="BJ7" s="64">
        <f t="shared" si="72"/>
        <v>100.50717304687502</v>
      </c>
      <c r="BK7" s="64">
        <f t="shared" si="72"/>
        <v>105.53253169921878</v>
      </c>
      <c r="BL7" s="64">
        <f t="shared" si="72"/>
        <v>110.80915828417972</v>
      </c>
      <c r="BM7" s="64">
        <f t="shared" si="72"/>
        <v>116.3496161983887</v>
      </c>
      <c r="BN7" s="64">
        <f t="shared" si="72"/>
        <v>122.16709700830815</v>
      </c>
      <c r="BO7" s="64">
        <f t="shared" si="72"/>
        <v>128.27545185872356</v>
      </c>
      <c r="BP7" s="64">
        <f t="shared" si="72"/>
        <v>134.68922445165975</v>
      </c>
      <c r="BQ7" s="64">
        <f t="shared" si="72"/>
        <v>141.42368567424276</v>
      </c>
      <c r="BR7" s="64">
        <f t="shared" si="72"/>
        <v>148.4948699579549</v>
      </c>
      <c r="BS7" s="64">
        <f t="shared" si="72"/>
        <v>155.91961345585267</v>
      </c>
      <c r="BT7" s="64">
        <f t="shared" si="72"/>
        <v>163.71559412864531</v>
      </c>
      <c r="BU7" s="64">
        <f t="shared" si="72"/>
        <v>171.90137383507758</v>
      </c>
      <c r="BV7" s="64">
        <f t="shared" si="72"/>
        <v>180.49644252683146</v>
      </c>
      <c r="BW7" s="64">
        <f t="shared" si="72"/>
        <v>189.52126465317303</v>
      </c>
      <c r="BX7" s="64">
        <f t="shared" si="72"/>
        <v>198.99732788583168</v>
      </c>
      <c r="BY7" s="64">
        <f t="shared" si="72"/>
        <v>208.94719428012328</v>
      </c>
      <c r="BZ7" s="64">
        <f t="shared" si="72"/>
        <v>219.39455399412947</v>
      </c>
      <c r="CA7" s="64">
        <f t="shared" si="72"/>
        <v>230.36428169383595</v>
      </c>
      <c r="CB7" s="64">
        <f t="shared" si="72"/>
        <v>241.88249577852775</v>
      </c>
      <c r="CC7" s="64">
        <f t="shared" si="72"/>
        <v>253.97662056745415</v>
      </c>
      <c r="CD7" s="64">
        <f t="shared" si="72"/>
        <v>266.67545159582687</v>
      </c>
      <c r="CE7" s="64">
        <f t="shared" si="72"/>
        <v>280.00922417561821</v>
      </c>
      <c r="CF7" s="64">
        <f t="shared" si="72"/>
        <v>294.00968538439912</v>
      </c>
      <c r="CG7" s="64">
        <f t="shared" si="72"/>
        <v>308.71016965361906</v>
      </c>
      <c r="CH7" s="64">
        <f t="shared" si="72"/>
        <v>324.14567813630003</v>
      </c>
      <c r="CI7" s="64"/>
      <c r="CJ7" s="64">
        <f t="shared" si="6"/>
        <v>7.3499999999999943</v>
      </c>
      <c r="CK7" s="64">
        <f t="shared" si="7"/>
        <v>9.859499999999997</v>
      </c>
      <c r="CL7" s="64">
        <f t="shared" si="8"/>
        <v>12.537315000000007</v>
      </c>
      <c r="CM7" s="64">
        <f t="shared" si="9"/>
        <v>15.39271755</v>
      </c>
      <c r="CN7" s="64">
        <f t="shared" si="10"/>
        <v>18.435460963500006</v>
      </c>
      <c r="CO7" s="64">
        <f t="shared" si="11"/>
        <v>21.675803698395015</v>
      </c>
      <c r="CP7" s="64">
        <f t="shared" si="12"/>
        <v>25.124534963769165</v>
      </c>
      <c r="CQ7" s="64">
        <f t="shared" si="13"/>
        <v>28.793001614021108</v>
      </c>
      <c r="CR7" s="64">
        <f t="shared" si="14"/>
        <v>32.693136394826922</v>
      </c>
      <c r="CS7" s="64">
        <f t="shared" si="15"/>
        <v>36.837487608675133</v>
      </c>
      <c r="CT7" s="64">
        <f t="shared" si="16"/>
        <v>41.239250271097887</v>
      </c>
      <c r="CU7" s="64">
        <f t="shared" si="17"/>
        <v>45.912298832281564</v>
      </c>
      <c r="CV7" s="64">
        <f t="shared" si="18"/>
        <v>50.871221542477002</v>
      </c>
      <c r="CW7" s="64">
        <f t="shared" si="19"/>
        <v>56.131356543553821</v>
      </c>
      <c r="CX7" s="64">
        <f t="shared" si="20"/>
        <v>61.708829773163558</v>
      </c>
      <c r="CY7" s="64">
        <f t="shared" si="21"/>
        <v>67.620594772302411</v>
      </c>
      <c r="CZ7" s="64">
        <f t="shared" si="22"/>
        <v>73.884474491607818</v>
      </c>
      <c r="DA7" s="64">
        <f t="shared" si="23"/>
        <v>80.519205196492308</v>
      </c>
      <c r="DB7" s="64">
        <f t="shared" si="24"/>
        <v>87.544482576227097</v>
      </c>
      <c r="DC7" s="64">
        <f t="shared" si="25"/>
        <v>94.981010167346824</v>
      </c>
      <c r="DD7" s="64">
        <f t="shared" si="26"/>
        <v>102.85055020726872</v>
      </c>
      <c r="DE7" s="64">
        <f t="shared" si="27"/>
        <v>111.17597703981781</v>
      </c>
      <c r="DF7" s="64">
        <f t="shared" si="28"/>
        <v>119.98133320043806</v>
      </c>
      <c r="DG7" s="64">
        <f t="shared" si="29"/>
        <v>129.2918883152619</v>
      </c>
      <c r="DH7" s="64">
        <f t="shared" si="30"/>
        <v>139.13420095492296</v>
      </c>
      <c r="DI7" s="64">
        <f t="shared" si="31"/>
        <v>149.53618359104507</v>
      </c>
      <c r="DJ7" s="64">
        <f t="shared" si="32"/>
        <v>160.52717081074078</v>
      </c>
      <c r="DK7" s="64">
        <f t="shared" si="33"/>
        <v>172.13799095222413</v>
      </c>
      <c r="DL7" s="64">
        <f t="shared" si="34"/>
        <v>184.40104133280059</v>
      </c>
      <c r="DM7" s="64">
        <f t="shared" si="35"/>
        <v>197.35036724906519</v>
      </c>
      <c r="DN7" s="64"/>
      <c r="DO7" s="64">
        <f t="shared" si="39"/>
        <v>4997.9999999999964</v>
      </c>
      <c r="DP7" s="64">
        <f t="shared" si="40"/>
        <v>6704.4599999999982</v>
      </c>
      <c r="DQ7" s="64">
        <f t="shared" si="41"/>
        <v>8525.3742000000038</v>
      </c>
      <c r="DR7" s="64">
        <f t="shared" si="42"/>
        <v>10467.047934</v>
      </c>
      <c r="DS7" s="64">
        <f t="shared" si="43"/>
        <v>12536.113455180004</v>
      </c>
      <c r="DT7" s="64">
        <f t="shared" si="44"/>
        <v>14739.54651490861</v>
      </c>
      <c r="DU7" s="64">
        <f t="shared" si="45"/>
        <v>17084.683775363032</v>
      </c>
      <c r="DV7" s="64">
        <f t="shared" si="46"/>
        <v>19579.241097534352</v>
      </c>
      <c r="DW7" s="64">
        <f t="shared" si="47"/>
        <v>22231.332748482306</v>
      </c>
      <c r="DX7" s="64">
        <f t="shared" si="48"/>
        <v>25049.491573899089</v>
      </c>
      <c r="DY7" s="64">
        <f t="shared" si="49"/>
        <v>28042.690184346564</v>
      </c>
      <c r="DZ7" s="64">
        <f t="shared" si="50"/>
        <v>31220.363205951464</v>
      </c>
      <c r="EA7" s="64">
        <f t="shared" si="51"/>
        <v>34592.430648884365</v>
      </c>
      <c r="EB7" s="64">
        <f t="shared" si="52"/>
        <v>38169.3224496166</v>
      </c>
      <c r="EC7" s="64">
        <f t="shared" si="53"/>
        <v>41962.004245751217</v>
      </c>
      <c r="ED7" s="64">
        <f t="shared" si="54"/>
        <v>45982.004445165643</v>
      </c>
      <c r="EE7" s="64">
        <f t="shared" si="55"/>
        <v>50241.442654293314</v>
      </c>
      <c r="EF7" s="64">
        <f t="shared" si="56"/>
        <v>54753.059533614767</v>
      </c>
      <c r="EG7" s="64">
        <f t="shared" si="57"/>
        <v>59530.248151834428</v>
      </c>
      <c r="EH7" s="64">
        <f t="shared" si="58"/>
        <v>64587.086913795843</v>
      </c>
      <c r="EI7" s="64">
        <f t="shared" si="59"/>
        <v>69938.374140942731</v>
      </c>
      <c r="EJ7" s="64">
        <f t="shared" si="60"/>
        <v>75599.664387076104</v>
      </c>
      <c r="EK7" s="64">
        <f t="shared" si="61"/>
        <v>81587.30657629788</v>
      </c>
      <c r="EL7" s="64">
        <f t="shared" si="62"/>
        <v>87918.484054378088</v>
      </c>
      <c r="EM7" s="64">
        <f t="shared" si="63"/>
        <v>94611.256649347619</v>
      </c>
      <c r="EN7" s="64">
        <f t="shared" si="64"/>
        <v>101684.60484191065</v>
      </c>
      <c r="EO7" s="64">
        <f t="shared" si="65"/>
        <v>109158.47615130374</v>
      </c>
      <c r="EP7" s="64">
        <f t="shared" si="66"/>
        <v>117053.8338475124</v>
      </c>
      <c r="EQ7" s="64">
        <f t="shared" si="67"/>
        <v>125392.7081063044</v>
      </c>
      <c r="ER7" s="64">
        <f t="shared" si="68"/>
        <v>134198.24972936432</v>
      </c>
      <c r="ES7" s="64"/>
      <c r="ET7" s="57">
        <v>0.05</v>
      </c>
      <c r="EU7" s="57">
        <v>0.02</v>
      </c>
      <c r="EV7" s="61"/>
    </row>
    <row r="8" spans="1:152" ht="27.75" hidden="1" customHeight="1" outlineLevel="1" x14ac:dyDescent="0.35">
      <c r="A8" s="62" t="s">
        <v>144</v>
      </c>
      <c r="B8" s="62" t="s">
        <v>150</v>
      </c>
      <c r="C8" s="294" t="s">
        <v>155</v>
      </c>
      <c r="D8" s="63" t="s">
        <v>147</v>
      </c>
      <c r="E8" s="63" t="s">
        <v>147</v>
      </c>
      <c r="F8" s="63" t="s">
        <v>148</v>
      </c>
      <c r="G8" s="63">
        <v>4</v>
      </c>
      <c r="H8" s="64">
        <v>4</v>
      </c>
      <c r="I8" s="64">
        <v>170</v>
      </c>
      <c r="J8" s="61" t="s">
        <v>588</v>
      </c>
      <c r="K8" s="64">
        <v>16</v>
      </c>
      <c r="L8" s="64">
        <v>18</v>
      </c>
      <c r="M8" s="64">
        <v>20</v>
      </c>
      <c r="N8" s="64">
        <v>26</v>
      </c>
      <c r="O8" s="64"/>
      <c r="P8" s="64">
        <v>25</v>
      </c>
      <c r="Q8" s="64">
        <v>25</v>
      </c>
      <c r="R8" s="64">
        <v>25</v>
      </c>
      <c r="S8" s="64">
        <v>25</v>
      </c>
      <c r="T8" s="64">
        <v>25</v>
      </c>
      <c r="U8" s="291">
        <f t="shared" ref="U8:AX8" si="73">T8*(1+$EU8)</f>
        <v>25.5</v>
      </c>
      <c r="V8" s="291">
        <f t="shared" si="73"/>
        <v>26.01</v>
      </c>
      <c r="W8" s="291">
        <f t="shared" si="73"/>
        <v>26.530200000000001</v>
      </c>
      <c r="X8" s="291">
        <f t="shared" si="73"/>
        <v>27.060804000000001</v>
      </c>
      <c r="Y8" s="291">
        <f t="shared" si="73"/>
        <v>27.602020080000003</v>
      </c>
      <c r="Z8" s="291">
        <f t="shared" si="73"/>
        <v>28.154060481600002</v>
      </c>
      <c r="AA8" s="291">
        <f t="shared" si="73"/>
        <v>28.717141691232001</v>
      </c>
      <c r="AB8" s="291">
        <f t="shared" si="73"/>
        <v>29.291484525056642</v>
      </c>
      <c r="AC8" s="291">
        <f t="shared" si="73"/>
        <v>29.877314215557774</v>
      </c>
      <c r="AD8" s="291">
        <f t="shared" si="73"/>
        <v>30.474860499868932</v>
      </c>
      <c r="AE8" s="291">
        <f t="shared" si="73"/>
        <v>31.08435770986631</v>
      </c>
      <c r="AF8" s="291">
        <f t="shared" si="73"/>
        <v>31.706044864063639</v>
      </c>
      <c r="AG8" s="291">
        <f t="shared" si="73"/>
        <v>32.340165761344913</v>
      </c>
      <c r="AH8" s="291">
        <f t="shared" si="73"/>
        <v>32.98696907657181</v>
      </c>
      <c r="AI8" s="291">
        <f t="shared" si="73"/>
        <v>33.646708458103248</v>
      </c>
      <c r="AJ8" s="291">
        <f t="shared" si="73"/>
        <v>34.319642627265317</v>
      </c>
      <c r="AK8" s="291">
        <f t="shared" si="73"/>
        <v>35.006035479810627</v>
      </c>
      <c r="AL8" s="291">
        <f t="shared" si="73"/>
        <v>35.70615618940684</v>
      </c>
      <c r="AM8" s="291">
        <f t="shared" si="73"/>
        <v>36.420279313194975</v>
      </c>
      <c r="AN8" s="291">
        <f t="shared" si="73"/>
        <v>37.148684899458878</v>
      </c>
      <c r="AO8" s="291">
        <f t="shared" si="73"/>
        <v>37.891658597448057</v>
      </c>
      <c r="AP8" s="291">
        <f t="shared" si="73"/>
        <v>38.649491769397017</v>
      </c>
      <c r="AQ8" s="291">
        <f t="shared" si="73"/>
        <v>39.422481604784956</v>
      </c>
      <c r="AR8" s="291">
        <f t="shared" si="73"/>
        <v>40.210931236880654</v>
      </c>
      <c r="AS8" s="291">
        <f t="shared" si="73"/>
        <v>41.015149861618269</v>
      </c>
      <c r="AT8" s="291">
        <f t="shared" si="73"/>
        <v>41.835452858850637</v>
      </c>
      <c r="AU8" s="291">
        <f t="shared" si="73"/>
        <v>42.672161916027648</v>
      </c>
      <c r="AV8" s="291">
        <f t="shared" si="73"/>
        <v>43.525605154348199</v>
      </c>
      <c r="AW8" s="291">
        <f t="shared" si="73"/>
        <v>44.396117257435165</v>
      </c>
      <c r="AX8" s="291">
        <f t="shared" si="73"/>
        <v>45.284039602583867</v>
      </c>
      <c r="AZ8" s="64">
        <v>25</v>
      </c>
      <c r="BA8" s="64">
        <v>25</v>
      </c>
      <c r="BB8" s="64">
        <v>25</v>
      </c>
      <c r="BC8" s="64">
        <v>25</v>
      </c>
      <c r="BD8" s="64">
        <v>25</v>
      </c>
      <c r="BE8" s="64">
        <f t="shared" ref="BE8:CH8" si="74">BD8*(1+$ET8)</f>
        <v>26.25</v>
      </c>
      <c r="BF8" s="64">
        <f t="shared" si="74"/>
        <v>27.5625</v>
      </c>
      <c r="BG8" s="64">
        <f t="shared" si="74"/>
        <v>28.940625000000001</v>
      </c>
      <c r="BH8" s="64">
        <f t="shared" si="74"/>
        <v>30.387656250000003</v>
      </c>
      <c r="BI8" s="64">
        <f t="shared" si="74"/>
        <v>31.907039062500004</v>
      </c>
      <c r="BJ8" s="64">
        <f t="shared" si="74"/>
        <v>33.502391015625008</v>
      </c>
      <c r="BK8" s="64">
        <f t="shared" si="74"/>
        <v>35.177510566406262</v>
      </c>
      <c r="BL8" s="64">
        <f t="shared" si="74"/>
        <v>36.936386094726579</v>
      </c>
      <c r="BM8" s="64">
        <f t="shared" si="74"/>
        <v>38.783205399462908</v>
      </c>
      <c r="BN8" s="64">
        <f t="shared" si="74"/>
        <v>40.722365669436051</v>
      </c>
      <c r="BO8" s="64">
        <f t="shared" si="74"/>
        <v>42.758483952907859</v>
      </c>
      <c r="BP8" s="64">
        <f t="shared" si="74"/>
        <v>44.896408150553256</v>
      </c>
      <c r="BQ8" s="64">
        <f t="shared" si="74"/>
        <v>47.141228558080918</v>
      </c>
      <c r="BR8" s="64">
        <f t="shared" si="74"/>
        <v>49.498289985984968</v>
      </c>
      <c r="BS8" s="64">
        <f t="shared" si="74"/>
        <v>51.973204485284221</v>
      </c>
      <c r="BT8" s="64">
        <f t="shared" si="74"/>
        <v>54.571864709548436</v>
      </c>
      <c r="BU8" s="64">
        <f t="shared" si="74"/>
        <v>57.300457945025862</v>
      </c>
      <c r="BV8" s="64">
        <f t="shared" si="74"/>
        <v>60.165480842277155</v>
      </c>
      <c r="BW8" s="64">
        <f t="shared" si="74"/>
        <v>63.173754884391016</v>
      </c>
      <c r="BX8" s="64">
        <f t="shared" si="74"/>
        <v>66.332442628610565</v>
      </c>
      <c r="BY8" s="64">
        <f t="shared" si="74"/>
        <v>69.649064760041099</v>
      </c>
      <c r="BZ8" s="64">
        <f t="shared" si="74"/>
        <v>73.131517998043151</v>
      </c>
      <c r="CA8" s="64">
        <f t="shared" si="74"/>
        <v>76.788093897945316</v>
      </c>
      <c r="CB8" s="64">
        <f t="shared" si="74"/>
        <v>80.627498592842585</v>
      </c>
      <c r="CC8" s="64">
        <f t="shared" si="74"/>
        <v>84.658873522484711</v>
      </c>
      <c r="CD8" s="64">
        <f t="shared" si="74"/>
        <v>88.891817198608948</v>
      </c>
      <c r="CE8" s="64">
        <f t="shared" si="74"/>
        <v>93.336408058539405</v>
      </c>
      <c r="CF8" s="64">
        <f t="shared" si="74"/>
        <v>98.003228461466378</v>
      </c>
      <c r="CG8" s="64">
        <f t="shared" si="74"/>
        <v>102.90338988453971</v>
      </c>
      <c r="CH8" s="64">
        <f t="shared" si="74"/>
        <v>108.0485593787667</v>
      </c>
      <c r="CI8" s="64"/>
      <c r="CJ8" s="64">
        <f t="shared" si="6"/>
        <v>0.75</v>
      </c>
      <c r="CK8" s="64">
        <f t="shared" si="7"/>
        <v>1.5524999999999984</v>
      </c>
      <c r="CL8" s="64">
        <f t="shared" si="8"/>
        <v>2.410425</v>
      </c>
      <c r="CM8" s="64">
        <f t="shared" si="9"/>
        <v>3.3268522500000017</v>
      </c>
      <c r="CN8" s="64">
        <f t="shared" si="10"/>
        <v>4.3050189825000018</v>
      </c>
      <c r="CO8" s="64">
        <f t="shared" si="11"/>
        <v>5.3483305340250062</v>
      </c>
      <c r="CP8" s="64">
        <f t="shared" si="12"/>
        <v>6.4603688751742609</v>
      </c>
      <c r="CQ8" s="64">
        <f t="shared" si="13"/>
        <v>7.6449015696699369</v>
      </c>
      <c r="CR8" s="64">
        <f t="shared" si="14"/>
        <v>8.9058911839051333</v>
      </c>
      <c r="CS8" s="64">
        <f t="shared" si="15"/>
        <v>10.24750516956712</v>
      </c>
      <c r="CT8" s="64">
        <f t="shared" si="16"/>
        <v>11.674126243041549</v>
      </c>
      <c r="CU8" s="64">
        <f t="shared" si="17"/>
        <v>13.190363286489617</v>
      </c>
      <c r="CV8" s="64">
        <f t="shared" si="18"/>
        <v>14.801062796736005</v>
      </c>
      <c r="CW8" s="64">
        <f t="shared" si="19"/>
        <v>16.511320909413158</v>
      </c>
      <c r="CX8" s="64">
        <f t="shared" si="20"/>
        <v>18.326496027180973</v>
      </c>
      <c r="CY8" s="64">
        <f t="shared" si="21"/>
        <v>20.252222082283119</v>
      </c>
      <c r="CZ8" s="64">
        <f t="shared" si="22"/>
        <v>22.294422465215234</v>
      </c>
      <c r="DA8" s="64">
        <f t="shared" si="23"/>
        <v>24.459324652870315</v>
      </c>
      <c r="DB8" s="64">
        <f t="shared" si="24"/>
        <v>26.753475571196041</v>
      </c>
      <c r="DC8" s="64">
        <f t="shared" si="25"/>
        <v>29.183757729151687</v>
      </c>
      <c r="DD8" s="64">
        <f t="shared" si="26"/>
        <v>31.757406162593043</v>
      </c>
      <c r="DE8" s="64">
        <f t="shared" si="27"/>
        <v>34.482026228646134</v>
      </c>
      <c r="DF8" s="64">
        <f t="shared" si="28"/>
        <v>37.36561229316036</v>
      </c>
      <c r="DG8" s="64">
        <f t="shared" si="29"/>
        <v>40.416567355961931</v>
      </c>
      <c r="DH8" s="64">
        <f t="shared" si="30"/>
        <v>43.643723660866442</v>
      </c>
      <c r="DI8" s="64">
        <f t="shared" si="31"/>
        <v>47.056364339758311</v>
      </c>
      <c r="DJ8" s="64">
        <f t="shared" si="32"/>
        <v>50.664246142511757</v>
      </c>
      <c r="DK8" s="64">
        <f t="shared" si="33"/>
        <v>54.477623307118179</v>
      </c>
      <c r="DL8" s="64">
        <f t="shared" si="34"/>
        <v>58.507272627104541</v>
      </c>
      <c r="DM8" s="64">
        <f t="shared" si="35"/>
        <v>62.76451977618283</v>
      </c>
      <c r="DN8" s="64"/>
      <c r="DO8" s="64">
        <f t="shared" si="39"/>
        <v>510</v>
      </c>
      <c r="DP8" s="64">
        <f t="shared" si="40"/>
        <v>1055.6999999999989</v>
      </c>
      <c r="DQ8" s="64">
        <f t="shared" si="41"/>
        <v>1639.0889999999999</v>
      </c>
      <c r="DR8" s="64">
        <f t="shared" si="42"/>
        <v>2262.2595300000012</v>
      </c>
      <c r="DS8" s="64">
        <f t="shared" si="43"/>
        <v>2927.412908100001</v>
      </c>
      <c r="DT8" s="64">
        <f t="shared" si="44"/>
        <v>3636.864763137004</v>
      </c>
      <c r="DU8" s="64">
        <f t="shared" si="45"/>
        <v>4393.0508351184972</v>
      </c>
      <c r="DV8" s="64">
        <f t="shared" si="46"/>
        <v>5198.533067375557</v>
      </c>
      <c r="DW8" s="64">
        <f t="shared" si="47"/>
        <v>6056.0060050554903</v>
      </c>
      <c r="DX8" s="64">
        <f t="shared" si="48"/>
        <v>6968.3035153056417</v>
      </c>
      <c r="DY8" s="64">
        <f t="shared" si="49"/>
        <v>7938.405845268253</v>
      </c>
      <c r="DZ8" s="64">
        <f t="shared" si="50"/>
        <v>8969.4470348129398</v>
      </c>
      <c r="EA8" s="64">
        <f t="shared" si="51"/>
        <v>10064.722701780483</v>
      </c>
      <c r="EB8" s="64">
        <f t="shared" si="52"/>
        <v>11227.698218400947</v>
      </c>
      <c r="EC8" s="64">
        <f t="shared" si="53"/>
        <v>12462.017298483061</v>
      </c>
      <c r="ED8" s="64">
        <f t="shared" si="54"/>
        <v>13771.511015952521</v>
      </c>
      <c r="EE8" s="64">
        <f t="shared" si="55"/>
        <v>15160.207276346358</v>
      </c>
      <c r="EF8" s="64">
        <f t="shared" si="56"/>
        <v>16632.340763951815</v>
      </c>
      <c r="EG8" s="64">
        <f t="shared" si="57"/>
        <v>18192.363388413309</v>
      </c>
      <c r="EH8" s="64">
        <f t="shared" si="58"/>
        <v>19844.955255823148</v>
      </c>
      <c r="EI8" s="64">
        <f t="shared" si="59"/>
        <v>21595.036190563267</v>
      </c>
      <c r="EJ8" s="64">
        <f t="shared" si="60"/>
        <v>23447.77783547937</v>
      </c>
      <c r="EK8" s="64">
        <f t="shared" si="61"/>
        <v>25408.616359349046</v>
      </c>
      <c r="EL8" s="64">
        <f t="shared" si="62"/>
        <v>27483.265802054113</v>
      </c>
      <c r="EM8" s="64">
        <f t="shared" si="63"/>
        <v>29677.732089389181</v>
      </c>
      <c r="EN8" s="64">
        <f t="shared" si="64"/>
        <v>31998.327751035653</v>
      </c>
      <c r="EO8" s="64">
        <f t="shared" si="65"/>
        <v>34451.687376907998</v>
      </c>
      <c r="EP8" s="64">
        <f t="shared" si="66"/>
        <v>37044.783848840365</v>
      </c>
      <c r="EQ8" s="64">
        <f t="shared" si="67"/>
        <v>39784.945386431085</v>
      </c>
      <c r="ER8" s="64">
        <f t="shared" si="68"/>
        <v>42679.873447804326</v>
      </c>
      <c r="ES8" s="64"/>
      <c r="ET8" s="57">
        <v>0.05</v>
      </c>
      <c r="EU8" s="57">
        <v>0.02</v>
      </c>
      <c r="EV8" s="61"/>
    </row>
    <row r="9" spans="1:152" ht="27.75" hidden="1" customHeight="1" outlineLevel="1" x14ac:dyDescent="0.35">
      <c r="A9" s="62" t="s">
        <v>144</v>
      </c>
      <c r="B9" s="62" t="s">
        <v>150</v>
      </c>
      <c r="C9" s="62" t="s">
        <v>156</v>
      </c>
      <c r="D9" s="63" t="s">
        <v>152</v>
      </c>
      <c r="E9" s="63" t="s">
        <v>152</v>
      </c>
      <c r="F9" s="63" t="s">
        <v>157</v>
      </c>
      <c r="G9" s="63">
        <v>3</v>
      </c>
      <c r="H9" s="64">
        <v>3</v>
      </c>
      <c r="I9" s="64">
        <v>170</v>
      </c>
      <c r="J9" s="61" t="s">
        <v>589</v>
      </c>
      <c r="K9" s="64">
        <v>19</v>
      </c>
      <c r="L9" s="64">
        <v>51</v>
      </c>
      <c r="M9" s="64">
        <v>26</v>
      </c>
      <c r="N9" s="64">
        <v>38</v>
      </c>
      <c r="O9" s="64"/>
      <c r="P9" s="64">
        <v>40</v>
      </c>
      <c r="Q9" s="64">
        <v>40</v>
      </c>
      <c r="R9" s="64">
        <v>40</v>
      </c>
      <c r="S9" s="64">
        <v>40</v>
      </c>
      <c r="T9" s="64">
        <v>40</v>
      </c>
      <c r="U9" s="291">
        <f t="shared" ref="U9:AX9" si="75">T9*(1+$EU9)</f>
        <v>40.799999999999997</v>
      </c>
      <c r="V9" s="291">
        <f t="shared" si="75"/>
        <v>41.616</v>
      </c>
      <c r="W9" s="291">
        <f t="shared" si="75"/>
        <v>42.448320000000002</v>
      </c>
      <c r="X9" s="291">
        <f t="shared" si="75"/>
        <v>43.297286400000004</v>
      </c>
      <c r="Y9" s="291">
        <f t="shared" si="75"/>
        <v>44.163232128000004</v>
      </c>
      <c r="Z9" s="291">
        <f t="shared" si="75"/>
        <v>45.046496770560005</v>
      </c>
      <c r="AA9" s="291">
        <f t="shared" si="75"/>
        <v>45.947426705971203</v>
      </c>
      <c r="AB9" s="291">
        <f t="shared" si="75"/>
        <v>46.866375240090626</v>
      </c>
      <c r="AC9" s="291">
        <f t="shared" si="75"/>
        <v>47.803702744892441</v>
      </c>
      <c r="AD9" s="291">
        <f t="shared" si="75"/>
        <v>48.759776799790288</v>
      </c>
      <c r="AE9" s="291">
        <f t="shared" si="75"/>
        <v>49.734972335786097</v>
      </c>
      <c r="AF9" s="291">
        <f t="shared" si="75"/>
        <v>50.729671782501818</v>
      </c>
      <c r="AG9" s="291">
        <f t="shared" si="75"/>
        <v>51.744265218151853</v>
      </c>
      <c r="AH9" s="291">
        <f t="shared" si="75"/>
        <v>52.77915052251489</v>
      </c>
      <c r="AI9" s="291">
        <f t="shared" si="75"/>
        <v>53.834733532965188</v>
      </c>
      <c r="AJ9" s="291">
        <f t="shared" si="75"/>
        <v>54.911428203624496</v>
      </c>
      <c r="AK9" s="291">
        <f t="shared" si="75"/>
        <v>56.009656767696988</v>
      </c>
      <c r="AL9" s="291">
        <f t="shared" si="75"/>
        <v>57.129849903050932</v>
      </c>
      <c r="AM9" s="291">
        <f t="shared" si="75"/>
        <v>58.272446901111948</v>
      </c>
      <c r="AN9" s="291">
        <f t="shared" si="75"/>
        <v>59.437895839134185</v>
      </c>
      <c r="AO9" s="291">
        <f t="shared" si="75"/>
        <v>60.62665375591687</v>
      </c>
      <c r="AP9" s="291">
        <f t="shared" si="75"/>
        <v>61.839186831035207</v>
      </c>
      <c r="AQ9" s="291">
        <f t="shared" si="75"/>
        <v>63.075970567655915</v>
      </c>
      <c r="AR9" s="291">
        <f t="shared" si="75"/>
        <v>64.337489979009035</v>
      </c>
      <c r="AS9" s="291">
        <f t="shared" si="75"/>
        <v>65.624239778589214</v>
      </c>
      <c r="AT9" s="291">
        <f t="shared" si="75"/>
        <v>66.936724574161005</v>
      </c>
      <c r="AU9" s="291">
        <f t="shared" si="75"/>
        <v>68.275459065644228</v>
      </c>
      <c r="AV9" s="291">
        <f t="shared" si="75"/>
        <v>69.640968246957115</v>
      </c>
      <c r="AW9" s="291">
        <f t="shared" si="75"/>
        <v>71.033787611896258</v>
      </c>
      <c r="AX9" s="291">
        <f t="shared" si="75"/>
        <v>72.454463364134185</v>
      </c>
      <c r="AZ9" s="64">
        <v>40</v>
      </c>
      <c r="BA9" s="64">
        <v>40</v>
      </c>
      <c r="BB9" s="64">
        <v>40</v>
      </c>
      <c r="BC9" s="64">
        <v>40</v>
      </c>
      <c r="BD9" s="64">
        <v>40</v>
      </c>
      <c r="BE9" s="64">
        <f t="shared" ref="BE9:CH9" si="76">BD9*(1+$ET9)</f>
        <v>42</v>
      </c>
      <c r="BF9" s="64">
        <f t="shared" si="76"/>
        <v>44.1</v>
      </c>
      <c r="BG9" s="64">
        <f t="shared" si="76"/>
        <v>46.305000000000007</v>
      </c>
      <c r="BH9" s="64">
        <f t="shared" si="76"/>
        <v>48.620250000000006</v>
      </c>
      <c r="BI9" s="64">
        <f t="shared" si="76"/>
        <v>51.051262500000007</v>
      </c>
      <c r="BJ9" s="64">
        <f t="shared" si="76"/>
        <v>53.603825625000013</v>
      </c>
      <c r="BK9" s="64">
        <f t="shared" si="76"/>
        <v>56.284016906250017</v>
      </c>
      <c r="BL9" s="64">
        <f t="shared" si="76"/>
        <v>59.098217751562522</v>
      </c>
      <c r="BM9" s="64">
        <f t="shared" si="76"/>
        <v>62.053128639140652</v>
      </c>
      <c r="BN9" s="64">
        <f t="shared" si="76"/>
        <v>65.155785071097682</v>
      </c>
      <c r="BO9" s="64">
        <f t="shared" si="76"/>
        <v>68.413574324652572</v>
      </c>
      <c r="BP9" s="64">
        <f t="shared" si="76"/>
        <v>71.834253040885201</v>
      </c>
      <c r="BQ9" s="64">
        <f t="shared" si="76"/>
        <v>75.425965692929466</v>
      </c>
      <c r="BR9" s="64">
        <f t="shared" si="76"/>
        <v>79.197263977575943</v>
      </c>
      <c r="BS9" s="64">
        <f t="shared" si="76"/>
        <v>83.15712717645475</v>
      </c>
      <c r="BT9" s="64">
        <f t="shared" si="76"/>
        <v>87.314983535277491</v>
      </c>
      <c r="BU9" s="64">
        <f t="shared" si="76"/>
        <v>91.680732712041376</v>
      </c>
      <c r="BV9" s="64">
        <f t="shared" si="76"/>
        <v>96.264769347643451</v>
      </c>
      <c r="BW9" s="64">
        <f t="shared" si="76"/>
        <v>101.07800781502563</v>
      </c>
      <c r="BX9" s="64">
        <f t="shared" si="76"/>
        <v>106.13190820577691</v>
      </c>
      <c r="BY9" s="64">
        <f t="shared" si="76"/>
        <v>111.43850361606576</v>
      </c>
      <c r="BZ9" s="64">
        <f t="shared" si="76"/>
        <v>117.01042879686905</v>
      </c>
      <c r="CA9" s="64">
        <f t="shared" si="76"/>
        <v>122.86095023671251</v>
      </c>
      <c r="CB9" s="64">
        <f t="shared" si="76"/>
        <v>129.00399774854813</v>
      </c>
      <c r="CC9" s="64">
        <f t="shared" si="76"/>
        <v>135.45419763597553</v>
      </c>
      <c r="CD9" s="64">
        <f t="shared" si="76"/>
        <v>142.22690751777432</v>
      </c>
      <c r="CE9" s="64">
        <f t="shared" si="76"/>
        <v>149.33825289366305</v>
      </c>
      <c r="CF9" s="64">
        <f t="shared" si="76"/>
        <v>156.80516553834622</v>
      </c>
      <c r="CG9" s="64">
        <f t="shared" si="76"/>
        <v>164.64542381526354</v>
      </c>
      <c r="CH9" s="64">
        <f t="shared" si="76"/>
        <v>172.87769500602673</v>
      </c>
      <c r="CI9" s="64"/>
      <c r="CJ9" s="64">
        <f t="shared" si="6"/>
        <v>1.2000000000000028</v>
      </c>
      <c r="CK9" s="64">
        <f t="shared" si="7"/>
        <v>2.4840000000000018</v>
      </c>
      <c r="CL9" s="64">
        <f t="shared" si="8"/>
        <v>3.8566800000000043</v>
      </c>
      <c r="CM9" s="64">
        <f t="shared" si="9"/>
        <v>5.3229636000000013</v>
      </c>
      <c r="CN9" s="64">
        <f t="shared" si="10"/>
        <v>6.8880303720000029</v>
      </c>
      <c r="CO9" s="64">
        <f t="shared" si="11"/>
        <v>8.5573288544400086</v>
      </c>
      <c r="CP9" s="64">
        <f t="shared" si="12"/>
        <v>10.336590200278813</v>
      </c>
      <c r="CQ9" s="64">
        <f t="shared" si="13"/>
        <v>12.231842511471896</v>
      </c>
      <c r="CR9" s="64">
        <f t="shared" si="14"/>
        <v>14.249425894248212</v>
      </c>
      <c r="CS9" s="64">
        <f t="shared" si="15"/>
        <v>16.396008271307394</v>
      </c>
      <c r="CT9" s="64">
        <f t="shared" si="16"/>
        <v>18.678601988866475</v>
      </c>
      <c r="CU9" s="64">
        <f t="shared" si="17"/>
        <v>21.104581258383384</v>
      </c>
      <c r="CV9" s="64">
        <f t="shared" si="18"/>
        <v>23.681700474777614</v>
      </c>
      <c r="CW9" s="64">
        <f t="shared" si="19"/>
        <v>26.418113455061054</v>
      </c>
      <c r="CX9" s="64">
        <f t="shared" si="20"/>
        <v>29.322393643489562</v>
      </c>
      <c r="CY9" s="64">
        <f t="shared" si="21"/>
        <v>32.403555331652996</v>
      </c>
      <c r="CZ9" s="64">
        <f t="shared" si="22"/>
        <v>35.671075944344388</v>
      </c>
      <c r="DA9" s="64">
        <f t="shared" si="23"/>
        <v>39.134919444592519</v>
      </c>
      <c r="DB9" s="64">
        <f t="shared" si="24"/>
        <v>42.805560913913681</v>
      </c>
      <c r="DC9" s="64">
        <f t="shared" si="25"/>
        <v>46.694012366642724</v>
      </c>
      <c r="DD9" s="64">
        <f t="shared" si="26"/>
        <v>50.811849860148889</v>
      </c>
      <c r="DE9" s="64">
        <f t="shared" si="27"/>
        <v>55.171241965833843</v>
      </c>
      <c r="DF9" s="64">
        <f t="shared" si="28"/>
        <v>59.784979669056597</v>
      </c>
      <c r="DG9" s="64">
        <f t="shared" si="29"/>
        <v>64.666507769539095</v>
      </c>
      <c r="DH9" s="64">
        <f t="shared" si="30"/>
        <v>69.829957857386319</v>
      </c>
      <c r="DI9" s="64">
        <f t="shared" si="31"/>
        <v>75.290182943613317</v>
      </c>
      <c r="DJ9" s="64">
        <f t="shared" si="32"/>
        <v>81.062793828018826</v>
      </c>
      <c r="DK9" s="64">
        <f t="shared" si="33"/>
        <v>87.164197291389101</v>
      </c>
      <c r="DL9" s="64">
        <f t="shared" si="34"/>
        <v>93.611636203367283</v>
      </c>
      <c r="DM9" s="64">
        <f t="shared" si="35"/>
        <v>100.42323164189254</v>
      </c>
      <c r="DN9" s="64"/>
      <c r="DO9" s="64">
        <f t="shared" si="39"/>
        <v>612.00000000000148</v>
      </c>
      <c r="DP9" s="64">
        <f t="shared" si="40"/>
        <v>1266.8400000000008</v>
      </c>
      <c r="DQ9" s="64">
        <f t="shared" si="41"/>
        <v>1966.9068000000022</v>
      </c>
      <c r="DR9" s="64">
        <f t="shared" si="42"/>
        <v>2714.7114360000005</v>
      </c>
      <c r="DS9" s="64">
        <f t="shared" si="43"/>
        <v>3512.8954897200015</v>
      </c>
      <c r="DT9" s="64">
        <f t="shared" si="44"/>
        <v>4364.2377157644041</v>
      </c>
      <c r="DU9" s="64">
        <f t="shared" si="45"/>
        <v>5271.6610021421948</v>
      </c>
      <c r="DV9" s="64">
        <f t="shared" si="46"/>
        <v>6238.2396808506674</v>
      </c>
      <c r="DW9" s="64">
        <f t="shared" si="47"/>
        <v>7267.2072060665878</v>
      </c>
      <c r="DX9" s="64">
        <f t="shared" si="48"/>
        <v>8361.9642183667711</v>
      </c>
      <c r="DY9" s="64">
        <f t="shared" si="49"/>
        <v>9526.0870143219017</v>
      </c>
      <c r="DZ9" s="64">
        <f t="shared" si="50"/>
        <v>10763.336441775526</v>
      </c>
      <c r="EA9" s="64">
        <f t="shared" si="51"/>
        <v>12077.667242136584</v>
      </c>
      <c r="EB9" s="64">
        <f t="shared" si="52"/>
        <v>13473.237862081138</v>
      </c>
      <c r="EC9" s="64">
        <f t="shared" si="53"/>
        <v>14954.420758179676</v>
      </c>
      <c r="ED9" s="64">
        <f t="shared" si="54"/>
        <v>16525.813219143027</v>
      </c>
      <c r="EE9" s="64">
        <f t="shared" si="55"/>
        <v>18192.24873161564</v>
      </c>
      <c r="EF9" s="64">
        <f t="shared" si="56"/>
        <v>19958.808916742182</v>
      </c>
      <c r="EG9" s="64">
        <f t="shared" si="57"/>
        <v>21830.836066095981</v>
      </c>
      <c r="EH9" s="64">
        <f t="shared" si="58"/>
        <v>23813.946306987793</v>
      </c>
      <c r="EI9" s="64">
        <f t="shared" si="59"/>
        <v>25914.043428675934</v>
      </c>
      <c r="EJ9" s="64">
        <f t="shared" si="60"/>
        <v>28137.333402575259</v>
      </c>
      <c r="EK9" s="64">
        <f t="shared" si="61"/>
        <v>30490.339631218863</v>
      </c>
      <c r="EL9" s="64">
        <f t="shared" si="62"/>
        <v>32979.918962464937</v>
      </c>
      <c r="EM9" s="64">
        <f t="shared" si="63"/>
        <v>35613.278507267023</v>
      </c>
      <c r="EN9" s="64">
        <f t="shared" si="64"/>
        <v>38397.993301242786</v>
      </c>
      <c r="EO9" s="64">
        <f t="shared" si="65"/>
        <v>41342.024852289607</v>
      </c>
      <c r="EP9" s="64">
        <f t="shared" si="66"/>
        <v>44453.740618608441</v>
      </c>
      <c r="EQ9" s="64">
        <f t="shared" si="67"/>
        <v>47741.934463717313</v>
      </c>
      <c r="ER9" s="64">
        <f t="shared" si="68"/>
        <v>51215.848137365196</v>
      </c>
      <c r="ES9" s="64"/>
      <c r="ET9" s="57">
        <v>0.05</v>
      </c>
      <c r="EU9" s="57">
        <v>0.02</v>
      </c>
      <c r="EV9" s="61" t="s">
        <v>158</v>
      </c>
    </row>
    <row r="10" spans="1:152" ht="27.75" hidden="1" customHeight="1" outlineLevel="1" x14ac:dyDescent="0.35">
      <c r="A10" s="62" t="s">
        <v>144</v>
      </c>
      <c r="B10" s="62" t="s">
        <v>159</v>
      </c>
      <c r="C10" s="62" t="s">
        <v>160</v>
      </c>
      <c r="D10" s="63" t="s">
        <v>152</v>
      </c>
      <c r="E10" s="63" t="s">
        <v>152</v>
      </c>
      <c r="F10" s="63" t="s">
        <v>148</v>
      </c>
      <c r="G10" s="63">
        <v>4</v>
      </c>
      <c r="H10" s="64">
        <v>4</v>
      </c>
      <c r="I10" s="56"/>
      <c r="J10" s="61"/>
      <c r="K10" s="64">
        <v>21</v>
      </c>
      <c r="L10" s="64">
        <v>115</v>
      </c>
      <c r="M10" s="64">
        <v>150</v>
      </c>
      <c r="N10" s="64">
        <v>124</v>
      </c>
      <c r="O10" s="64"/>
      <c r="P10" s="64">
        <v>130</v>
      </c>
      <c r="Q10" s="64">
        <v>135</v>
      </c>
      <c r="R10" s="64">
        <v>135</v>
      </c>
      <c r="S10" s="64">
        <v>140</v>
      </c>
      <c r="T10" s="64">
        <v>140</v>
      </c>
      <c r="U10" s="291">
        <f t="shared" ref="U10:AX10" si="77">T10*(1+$EU10)</f>
        <v>142.80000000000001</v>
      </c>
      <c r="V10" s="291">
        <f t="shared" si="77"/>
        <v>145.65600000000001</v>
      </c>
      <c r="W10" s="291">
        <f t="shared" si="77"/>
        <v>148.56912</v>
      </c>
      <c r="X10" s="291">
        <f t="shared" si="77"/>
        <v>151.54050240000001</v>
      </c>
      <c r="Y10" s="291">
        <f t="shared" si="77"/>
        <v>154.57131244800001</v>
      </c>
      <c r="Z10" s="291">
        <f t="shared" si="77"/>
        <v>157.66273869696002</v>
      </c>
      <c r="AA10" s="291">
        <f t="shared" si="77"/>
        <v>160.81599347089923</v>
      </c>
      <c r="AB10" s="291">
        <f t="shared" si="77"/>
        <v>164.03231334031722</v>
      </c>
      <c r="AC10" s="291">
        <f t="shared" si="77"/>
        <v>167.31295960712356</v>
      </c>
      <c r="AD10" s="291">
        <f t="shared" si="77"/>
        <v>170.65921879926603</v>
      </c>
      <c r="AE10" s="291">
        <f t="shared" si="77"/>
        <v>174.07240317525134</v>
      </c>
      <c r="AF10" s="291">
        <f t="shared" si="77"/>
        <v>177.55385123875638</v>
      </c>
      <c r="AG10" s="291">
        <f t="shared" si="77"/>
        <v>181.10492826353152</v>
      </c>
      <c r="AH10" s="291">
        <f t="shared" si="77"/>
        <v>184.72702682880217</v>
      </c>
      <c r="AI10" s="291">
        <f t="shared" si="77"/>
        <v>188.42156736537822</v>
      </c>
      <c r="AJ10" s="291">
        <f t="shared" si="77"/>
        <v>192.18999871268579</v>
      </c>
      <c r="AK10" s="291">
        <f t="shared" si="77"/>
        <v>196.03379868693952</v>
      </c>
      <c r="AL10" s="291">
        <f t="shared" si="77"/>
        <v>199.9544746606783</v>
      </c>
      <c r="AM10" s="291">
        <f t="shared" si="77"/>
        <v>203.95356415389188</v>
      </c>
      <c r="AN10" s="291">
        <f t="shared" si="77"/>
        <v>208.03263543696971</v>
      </c>
      <c r="AO10" s="291">
        <f t="shared" si="77"/>
        <v>212.19328814570912</v>
      </c>
      <c r="AP10" s="291">
        <f t="shared" si="77"/>
        <v>216.43715390862332</v>
      </c>
      <c r="AQ10" s="291">
        <f t="shared" si="77"/>
        <v>220.76589698679578</v>
      </c>
      <c r="AR10" s="291">
        <f t="shared" si="77"/>
        <v>225.18121492653171</v>
      </c>
      <c r="AS10" s="291">
        <f t="shared" si="77"/>
        <v>229.68483922506235</v>
      </c>
      <c r="AT10" s="291">
        <f t="shared" si="77"/>
        <v>234.2785360095636</v>
      </c>
      <c r="AU10" s="291">
        <f t="shared" si="77"/>
        <v>238.96410672975486</v>
      </c>
      <c r="AV10" s="291">
        <f t="shared" si="77"/>
        <v>243.74338886434995</v>
      </c>
      <c r="AW10" s="291">
        <f t="shared" si="77"/>
        <v>248.61825664163695</v>
      </c>
      <c r="AX10" s="291">
        <f t="shared" si="77"/>
        <v>253.5906217744697</v>
      </c>
      <c r="AZ10" s="64">
        <v>130</v>
      </c>
      <c r="BA10" s="64">
        <v>135</v>
      </c>
      <c r="BB10" s="64">
        <v>150</v>
      </c>
      <c r="BC10" s="64">
        <v>160</v>
      </c>
      <c r="BD10" s="64">
        <v>170</v>
      </c>
      <c r="BE10" s="64">
        <f t="shared" ref="BE10:CH10" si="78">BD10*(1+$ET10)</f>
        <v>178.5</v>
      </c>
      <c r="BF10" s="64">
        <f t="shared" si="78"/>
        <v>187.42500000000001</v>
      </c>
      <c r="BG10" s="64">
        <f t="shared" si="78"/>
        <v>196.79625000000001</v>
      </c>
      <c r="BH10" s="64">
        <f t="shared" si="78"/>
        <v>206.63606250000004</v>
      </c>
      <c r="BI10" s="64">
        <f t="shared" si="78"/>
        <v>216.96786562500006</v>
      </c>
      <c r="BJ10" s="64">
        <f t="shared" si="78"/>
        <v>227.81625890625008</v>
      </c>
      <c r="BK10" s="64">
        <f t="shared" si="78"/>
        <v>239.2070718515626</v>
      </c>
      <c r="BL10" s="64">
        <f t="shared" si="78"/>
        <v>251.16742544414075</v>
      </c>
      <c r="BM10" s="64">
        <f t="shared" si="78"/>
        <v>263.72579671634782</v>
      </c>
      <c r="BN10" s="64">
        <f t="shared" si="78"/>
        <v>276.91208655216519</v>
      </c>
      <c r="BO10" s="64">
        <f t="shared" si="78"/>
        <v>290.75769087977346</v>
      </c>
      <c r="BP10" s="64">
        <f t="shared" si="78"/>
        <v>305.29557542376216</v>
      </c>
      <c r="BQ10" s="64">
        <f t="shared" si="78"/>
        <v>320.56035419495026</v>
      </c>
      <c r="BR10" s="64">
        <f t="shared" si="78"/>
        <v>336.58837190469779</v>
      </c>
      <c r="BS10" s="64">
        <f t="shared" si="78"/>
        <v>353.41779049993272</v>
      </c>
      <c r="BT10" s="64">
        <f t="shared" si="78"/>
        <v>371.08868002492937</v>
      </c>
      <c r="BU10" s="64">
        <f t="shared" si="78"/>
        <v>389.64311402617585</v>
      </c>
      <c r="BV10" s="64">
        <f t="shared" si="78"/>
        <v>409.12526972748464</v>
      </c>
      <c r="BW10" s="64">
        <f t="shared" si="78"/>
        <v>429.5815332138589</v>
      </c>
      <c r="BX10" s="64">
        <f t="shared" si="78"/>
        <v>451.06060987455186</v>
      </c>
      <c r="BY10" s="64">
        <f t="shared" si="78"/>
        <v>473.61364036827945</v>
      </c>
      <c r="BZ10" s="64">
        <f t="shared" si="78"/>
        <v>497.29432238669347</v>
      </c>
      <c r="CA10" s="64">
        <f t="shared" si="78"/>
        <v>522.1590385060282</v>
      </c>
      <c r="CB10" s="64">
        <f t="shared" si="78"/>
        <v>548.26699043132965</v>
      </c>
      <c r="CC10" s="64">
        <f t="shared" si="78"/>
        <v>575.68033995289613</v>
      </c>
      <c r="CD10" s="64">
        <f t="shared" si="78"/>
        <v>604.46435695054095</v>
      </c>
      <c r="CE10" s="64">
        <f t="shared" si="78"/>
        <v>634.687574798068</v>
      </c>
      <c r="CF10" s="64">
        <f t="shared" si="78"/>
        <v>666.42195353797138</v>
      </c>
      <c r="CG10" s="64">
        <f t="shared" si="78"/>
        <v>699.74305121486998</v>
      </c>
      <c r="CH10" s="64">
        <f t="shared" si="78"/>
        <v>734.73020377561352</v>
      </c>
      <c r="CI10" s="64"/>
      <c r="CJ10" s="64">
        <f t="shared" si="6"/>
        <v>35.699999999999989</v>
      </c>
      <c r="CK10" s="64">
        <f t="shared" si="7"/>
        <v>41.769000000000005</v>
      </c>
      <c r="CL10" s="64">
        <f t="shared" si="8"/>
        <v>48.227130000000017</v>
      </c>
      <c r="CM10" s="64">
        <f t="shared" si="9"/>
        <v>55.095560100000029</v>
      </c>
      <c r="CN10" s="64">
        <f t="shared" si="10"/>
        <v>62.396553177000044</v>
      </c>
      <c r="CO10" s="64">
        <f t="shared" si="11"/>
        <v>70.153520209290065</v>
      </c>
      <c r="CP10" s="64">
        <f t="shared" si="12"/>
        <v>78.391078380663373</v>
      </c>
      <c r="CQ10" s="64">
        <f t="shared" si="13"/>
        <v>87.135112103823531</v>
      </c>
      <c r="CR10" s="64">
        <f t="shared" si="14"/>
        <v>96.412837109224256</v>
      </c>
      <c r="CS10" s="64">
        <f t="shared" si="15"/>
        <v>106.25286775289916</v>
      </c>
      <c r="CT10" s="64">
        <f t="shared" si="16"/>
        <v>116.68528770452212</v>
      </c>
      <c r="CU10" s="64">
        <f t="shared" si="17"/>
        <v>127.74172418500578</v>
      </c>
      <c r="CV10" s="64">
        <f t="shared" si="18"/>
        <v>139.45542593141874</v>
      </c>
      <c r="CW10" s="64">
        <f t="shared" si="19"/>
        <v>151.86134507589563</v>
      </c>
      <c r="CX10" s="64">
        <f t="shared" si="20"/>
        <v>164.9962231345545</v>
      </c>
      <c r="CY10" s="64">
        <f t="shared" si="21"/>
        <v>178.89868131224358</v>
      </c>
      <c r="CZ10" s="64">
        <f t="shared" si="22"/>
        <v>193.60931533923633</v>
      </c>
      <c r="DA10" s="64">
        <f t="shared" si="23"/>
        <v>209.17079506680633</v>
      </c>
      <c r="DB10" s="64">
        <f t="shared" si="24"/>
        <v>225.62796905996703</v>
      </c>
      <c r="DC10" s="64">
        <f t="shared" si="25"/>
        <v>243.02797443758215</v>
      </c>
      <c r="DD10" s="64">
        <f t="shared" si="26"/>
        <v>261.42035222257033</v>
      </c>
      <c r="DE10" s="64">
        <f t="shared" si="27"/>
        <v>280.85716847807015</v>
      </c>
      <c r="DF10" s="64">
        <f t="shared" si="28"/>
        <v>301.39314151923242</v>
      </c>
      <c r="DG10" s="64">
        <f t="shared" si="29"/>
        <v>323.08577550479794</v>
      </c>
      <c r="DH10" s="64">
        <f t="shared" si="30"/>
        <v>345.99550072783381</v>
      </c>
      <c r="DI10" s="64">
        <f t="shared" si="31"/>
        <v>370.18582094097735</v>
      </c>
      <c r="DJ10" s="64">
        <f t="shared" si="32"/>
        <v>395.72346806831314</v>
      </c>
      <c r="DK10" s="64">
        <f t="shared" si="33"/>
        <v>422.67856467362139</v>
      </c>
      <c r="DL10" s="64">
        <f t="shared" si="34"/>
        <v>451.12479457323303</v>
      </c>
      <c r="DM10" s="64">
        <f t="shared" si="35"/>
        <v>481.13958200114382</v>
      </c>
      <c r="DN10" s="64"/>
      <c r="DO10" s="64">
        <f t="shared" si="39"/>
        <v>0</v>
      </c>
      <c r="DP10" s="64">
        <f t="shared" si="40"/>
        <v>0</v>
      </c>
      <c r="DQ10" s="64">
        <f t="shared" si="41"/>
        <v>0</v>
      </c>
      <c r="DR10" s="64">
        <f t="shared" si="42"/>
        <v>0</v>
      </c>
      <c r="DS10" s="64">
        <f t="shared" si="43"/>
        <v>0</v>
      </c>
      <c r="DT10" s="64">
        <f t="shared" si="44"/>
        <v>0</v>
      </c>
      <c r="DU10" s="64">
        <f t="shared" si="45"/>
        <v>0</v>
      </c>
      <c r="DV10" s="64">
        <f t="shared" si="46"/>
        <v>0</v>
      </c>
      <c r="DW10" s="64">
        <f t="shared" si="47"/>
        <v>0</v>
      </c>
      <c r="DX10" s="64">
        <f t="shared" si="48"/>
        <v>0</v>
      </c>
      <c r="DY10" s="64">
        <f t="shared" si="49"/>
        <v>0</v>
      </c>
      <c r="DZ10" s="64">
        <f t="shared" si="50"/>
        <v>0</v>
      </c>
      <c r="EA10" s="64">
        <f t="shared" si="51"/>
        <v>0</v>
      </c>
      <c r="EB10" s="64">
        <f t="shared" si="52"/>
        <v>0</v>
      </c>
      <c r="EC10" s="64">
        <f t="shared" si="53"/>
        <v>0</v>
      </c>
      <c r="ED10" s="64">
        <f t="shared" si="54"/>
        <v>0</v>
      </c>
      <c r="EE10" s="64">
        <f t="shared" si="55"/>
        <v>0</v>
      </c>
      <c r="EF10" s="64">
        <f t="shared" si="56"/>
        <v>0</v>
      </c>
      <c r="EG10" s="64">
        <f t="shared" si="57"/>
        <v>0</v>
      </c>
      <c r="EH10" s="64">
        <f t="shared" si="58"/>
        <v>0</v>
      </c>
      <c r="EI10" s="64">
        <f t="shared" si="59"/>
        <v>0</v>
      </c>
      <c r="EJ10" s="64">
        <f t="shared" si="60"/>
        <v>0</v>
      </c>
      <c r="EK10" s="64">
        <f t="shared" si="61"/>
        <v>0</v>
      </c>
      <c r="EL10" s="64">
        <f t="shared" si="62"/>
        <v>0</v>
      </c>
      <c r="EM10" s="64">
        <f t="shared" si="63"/>
        <v>0</v>
      </c>
      <c r="EN10" s="64">
        <f t="shared" si="64"/>
        <v>0</v>
      </c>
      <c r="EO10" s="64">
        <f t="shared" si="65"/>
        <v>0</v>
      </c>
      <c r="EP10" s="64">
        <f t="shared" si="66"/>
        <v>0</v>
      </c>
      <c r="EQ10" s="64">
        <f t="shared" si="67"/>
        <v>0</v>
      </c>
      <c r="ER10" s="64">
        <f t="shared" si="68"/>
        <v>0</v>
      </c>
      <c r="ES10" s="64"/>
      <c r="ET10" s="57">
        <v>0.05</v>
      </c>
      <c r="EU10" s="57">
        <v>0.02</v>
      </c>
      <c r="EV10" s="61" t="s">
        <v>161</v>
      </c>
    </row>
    <row r="11" spans="1:152" ht="27.75" hidden="1" customHeight="1" outlineLevel="1" x14ac:dyDescent="0.35">
      <c r="A11" s="62" t="s">
        <v>144</v>
      </c>
      <c r="B11" s="62" t="s">
        <v>159</v>
      </c>
      <c r="C11" s="62" t="s">
        <v>162</v>
      </c>
      <c r="D11" s="63" t="s">
        <v>152</v>
      </c>
      <c r="E11" s="63" t="s">
        <v>152</v>
      </c>
      <c r="F11" s="63" t="s">
        <v>148</v>
      </c>
      <c r="G11" s="63">
        <v>4</v>
      </c>
      <c r="H11" s="64">
        <v>4</v>
      </c>
      <c r="I11" s="56"/>
      <c r="J11" s="61"/>
      <c r="K11" s="64">
        <v>134</v>
      </c>
      <c r="L11" s="64">
        <v>129</v>
      </c>
      <c r="M11" s="64">
        <v>135</v>
      </c>
      <c r="N11" s="64">
        <v>128</v>
      </c>
      <c r="O11" s="64"/>
      <c r="P11" s="64">
        <v>130</v>
      </c>
      <c r="Q11" s="64">
        <v>135</v>
      </c>
      <c r="R11" s="64">
        <v>140</v>
      </c>
      <c r="S11" s="64">
        <v>140</v>
      </c>
      <c r="T11" s="64">
        <v>140</v>
      </c>
      <c r="U11" s="291">
        <f t="shared" ref="U11:AX11" si="79">T11*(1+$EU11)</f>
        <v>142.80000000000001</v>
      </c>
      <c r="V11" s="291">
        <f t="shared" si="79"/>
        <v>145.65600000000001</v>
      </c>
      <c r="W11" s="291">
        <f t="shared" si="79"/>
        <v>148.56912</v>
      </c>
      <c r="X11" s="291">
        <f t="shared" si="79"/>
        <v>151.54050240000001</v>
      </c>
      <c r="Y11" s="291">
        <f t="shared" si="79"/>
        <v>154.57131244800001</v>
      </c>
      <c r="Z11" s="291">
        <f t="shared" si="79"/>
        <v>157.66273869696002</v>
      </c>
      <c r="AA11" s="291">
        <f t="shared" si="79"/>
        <v>160.81599347089923</v>
      </c>
      <c r="AB11" s="291">
        <f t="shared" si="79"/>
        <v>164.03231334031722</v>
      </c>
      <c r="AC11" s="291">
        <f t="shared" si="79"/>
        <v>167.31295960712356</v>
      </c>
      <c r="AD11" s="291">
        <f t="shared" si="79"/>
        <v>170.65921879926603</v>
      </c>
      <c r="AE11" s="291">
        <f t="shared" si="79"/>
        <v>174.07240317525134</v>
      </c>
      <c r="AF11" s="291">
        <f t="shared" si="79"/>
        <v>177.55385123875638</v>
      </c>
      <c r="AG11" s="291">
        <f t="shared" si="79"/>
        <v>181.10492826353152</v>
      </c>
      <c r="AH11" s="291">
        <f t="shared" si="79"/>
        <v>184.72702682880217</v>
      </c>
      <c r="AI11" s="291">
        <f t="shared" si="79"/>
        <v>188.42156736537822</v>
      </c>
      <c r="AJ11" s="291">
        <f t="shared" si="79"/>
        <v>192.18999871268579</v>
      </c>
      <c r="AK11" s="291">
        <f t="shared" si="79"/>
        <v>196.03379868693952</v>
      </c>
      <c r="AL11" s="291">
        <f t="shared" si="79"/>
        <v>199.9544746606783</v>
      </c>
      <c r="AM11" s="291">
        <f t="shared" si="79"/>
        <v>203.95356415389188</v>
      </c>
      <c r="AN11" s="291">
        <f t="shared" si="79"/>
        <v>208.03263543696971</v>
      </c>
      <c r="AO11" s="291">
        <f t="shared" si="79"/>
        <v>212.19328814570912</v>
      </c>
      <c r="AP11" s="291">
        <f t="shared" si="79"/>
        <v>216.43715390862332</v>
      </c>
      <c r="AQ11" s="291">
        <f t="shared" si="79"/>
        <v>220.76589698679578</v>
      </c>
      <c r="AR11" s="291">
        <f t="shared" si="79"/>
        <v>225.18121492653171</v>
      </c>
      <c r="AS11" s="291">
        <f t="shared" si="79"/>
        <v>229.68483922506235</v>
      </c>
      <c r="AT11" s="291">
        <f t="shared" si="79"/>
        <v>234.2785360095636</v>
      </c>
      <c r="AU11" s="291">
        <f t="shared" si="79"/>
        <v>238.96410672975486</v>
      </c>
      <c r="AV11" s="291">
        <f t="shared" si="79"/>
        <v>243.74338886434995</v>
      </c>
      <c r="AW11" s="291">
        <f t="shared" si="79"/>
        <v>248.61825664163695</v>
      </c>
      <c r="AX11" s="291">
        <f t="shared" si="79"/>
        <v>253.5906217744697</v>
      </c>
      <c r="AZ11" s="64">
        <v>130</v>
      </c>
      <c r="BA11" s="64">
        <v>135</v>
      </c>
      <c r="BB11" s="64">
        <v>140</v>
      </c>
      <c r="BC11" s="64">
        <v>150</v>
      </c>
      <c r="BD11" s="64">
        <v>150</v>
      </c>
      <c r="BE11" s="64">
        <f t="shared" ref="BE11:CH11" si="80">BD11*(1+$ET11)</f>
        <v>157.5</v>
      </c>
      <c r="BF11" s="64">
        <f t="shared" si="80"/>
        <v>165.375</v>
      </c>
      <c r="BG11" s="64">
        <f t="shared" si="80"/>
        <v>173.64375000000001</v>
      </c>
      <c r="BH11" s="64">
        <f t="shared" si="80"/>
        <v>182.32593750000001</v>
      </c>
      <c r="BI11" s="64">
        <f t="shared" si="80"/>
        <v>191.44223437500003</v>
      </c>
      <c r="BJ11" s="64">
        <f t="shared" si="80"/>
        <v>201.01434609375005</v>
      </c>
      <c r="BK11" s="64">
        <f t="shared" si="80"/>
        <v>211.06506339843756</v>
      </c>
      <c r="BL11" s="64">
        <f t="shared" si="80"/>
        <v>221.61831656835943</v>
      </c>
      <c r="BM11" s="64">
        <f t="shared" si="80"/>
        <v>232.6992323967774</v>
      </c>
      <c r="BN11" s="64">
        <f t="shared" si="80"/>
        <v>244.33419401661629</v>
      </c>
      <c r="BO11" s="64">
        <f t="shared" si="80"/>
        <v>256.55090371744711</v>
      </c>
      <c r="BP11" s="64">
        <f t="shared" si="80"/>
        <v>269.37844890331951</v>
      </c>
      <c r="BQ11" s="64">
        <f t="shared" si="80"/>
        <v>282.84737134848552</v>
      </c>
      <c r="BR11" s="64">
        <f t="shared" si="80"/>
        <v>296.98973991590981</v>
      </c>
      <c r="BS11" s="64">
        <f t="shared" si="80"/>
        <v>311.83922691170534</v>
      </c>
      <c r="BT11" s="64">
        <f t="shared" si="80"/>
        <v>327.43118825729061</v>
      </c>
      <c r="BU11" s="64">
        <f t="shared" si="80"/>
        <v>343.80274767015516</v>
      </c>
      <c r="BV11" s="64">
        <f t="shared" si="80"/>
        <v>360.99288505366292</v>
      </c>
      <c r="BW11" s="64">
        <f t="shared" si="80"/>
        <v>379.04252930634607</v>
      </c>
      <c r="BX11" s="64">
        <f t="shared" si="80"/>
        <v>397.99465577166336</v>
      </c>
      <c r="BY11" s="64">
        <f t="shared" si="80"/>
        <v>417.89438856024657</v>
      </c>
      <c r="BZ11" s="64">
        <f t="shared" si="80"/>
        <v>438.78910798825893</v>
      </c>
      <c r="CA11" s="64">
        <f t="shared" si="80"/>
        <v>460.7285633876719</v>
      </c>
      <c r="CB11" s="64">
        <f t="shared" si="80"/>
        <v>483.76499155705551</v>
      </c>
      <c r="CC11" s="64">
        <f t="shared" si="80"/>
        <v>507.9532411349083</v>
      </c>
      <c r="CD11" s="64">
        <f t="shared" si="80"/>
        <v>533.35090319165374</v>
      </c>
      <c r="CE11" s="64">
        <f t="shared" si="80"/>
        <v>560.01844835123643</v>
      </c>
      <c r="CF11" s="64">
        <f t="shared" si="80"/>
        <v>588.01937076879824</v>
      </c>
      <c r="CG11" s="64">
        <f t="shared" si="80"/>
        <v>617.42033930723812</v>
      </c>
      <c r="CH11" s="64">
        <f t="shared" si="80"/>
        <v>648.29135627260007</v>
      </c>
      <c r="CI11" s="64"/>
      <c r="CJ11" s="64">
        <f t="shared" si="6"/>
        <v>14.699999999999989</v>
      </c>
      <c r="CK11" s="64">
        <f t="shared" si="7"/>
        <v>19.718999999999994</v>
      </c>
      <c r="CL11" s="64">
        <f t="shared" si="8"/>
        <v>25.074630000000013</v>
      </c>
      <c r="CM11" s="64">
        <f t="shared" si="9"/>
        <v>30.785435100000001</v>
      </c>
      <c r="CN11" s="64">
        <f t="shared" si="10"/>
        <v>36.870921927000012</v>
      </c>
      <c r="CO11" s="64">
        <f t="shared" si="11"/>
        <v>43.35160739679003</v>
      </c>
      <c r="CP11" s="64">
        <f t="shared" si="12"/>
        <v>50.249069927538329</v>
      </c>
      <c r="CQ11" s="64">
        <f t="shared" si="13"/>
        <v>57.586003228042216</v>
      </c>
      <c r="CR11" s="64">
        <f t="shared" si="14"/>
        <v>65.386272789653844</v>
      </c>
      <c r="CS11" s="64">
        <f t="shared" si="15"/>
        <v>73.674975217350266</v>
      </c>
      <c r="CT11" s="64">
        <f t="shared" si="16"/>
        <v>82.478500542195775</v>
      </c>
      <c r="CU11" s="64">
        <f t="shared" si="17"/>
        <v>91.824597664563129</v>
      </c>
      <c r="CV11" s="64">
        <f t="shared" si="18"/>
        <v>101.742443084954</v>
      </c>
      <c r="CW11" s="64">
        <f t="shared" si="19"/>
        <v>112.26271308710764</v>
      </c>
      <c r="CX11" s="64">
        <f t="shared" si="20"/>
        <v>123.41765954632712</v>
      </c>
      <c r="CY11" s="64">
        <f t="shared" si="21"/>
        <v>135.24118954460482</v>
      </c>
      <c r="CZ11" s="64">
        <f t="shared" si="22"/>
        <v>147.76894898321564</v>
      </c>
      <c r="DA11" s="64">
        <f t="shared" si="23"/>
        <v>161.03841039298462</v>
      </c>
      <c r="DB11" s="64">
        <f t="shared" si="24"/>
        <v>175.08896515245419</v>
      </c>
      <c r="DC11" s="64">
        <f t="shared" si="25"/>
        <v>189.96202033469365</v>
      </c>
      <c r="DD11" s="64">
        <f t="shared" si="26"/>
        <v>205.70110041453745</v>
      </c>
      <c r="DE11" s="64">
        <f t="shared" si="27"/>
        <v>222.35195407963562</v>
      </c>
      <c r="DF11" s="64">
        <f t="shared" si="28"/>
        <v>239.96266640087612</v>
      </c>
      <c r="DG11" s="64">
        <f t="shared" si="29"/>
        <v>258.5837766305238</v>
      </c>
      <c r="DH11" s="64">
        <f t="shared" si="30"/>
        <v>278.26840190984592</v>
      </c>
      <c r="DI11" s="64">
        <f t="shared" si="31"/>
        <v>299.07236718209015</v>
      </c>
      <c r="DJ11" s="64">
        <f t="shared" si="32"/>
        <v>321.05434162148157</v>
      </c>
      <c r="DK11" s="64">
        <f t="shared" si="33"/>
        <v>344.27598190444826</v>
      </c>
      <c r="DL11" s="64">
        <f t="shared" si="34"/>
        <v>368.80208266560118</v>
      </c>
      <c r="DM11" s="64">
        <f t="shared" si="35"/>
        <v>394.70073449813037</v>
      </c>
      <c r="DN11" s="64"/>
      <c r="DO11" s="64">
        <f t="shared" si="39"/>
        <v>0</v>
      </c>
      <c r="DP11" s="64">
        <f t="shared" si="40"/>
        <v>0</v>
      </c>
      <c r="DQ11" s="64">
        <f t="shared" si="41"/>
        <v>0</v>
      </c>
      <c r="DR11" s="64">
        <f t="shared" si="42"/>
        <v>0</v>
      </c>
      <c r="DS11" s="64">
        <f t="shared" si="43"/>
        <v>0</v>
      </c>
      <c r="DT11" s="64">
        <f t="shared" si="44"/>
        <v>0</v>
      </c>
      <c r="DU11" s="64">
        <f t="shared" si="45"/>
        <v>0</v>
      </c>
      <c r="DV11" s="64">
        <f t="shared" si="46"/>
        <v>0</v>
      </c>
      <c r="DW11" s="64">
        <f t="shared" si="47"/>
        <v>0</v>
      </c>
      <c r="DX11" s="64">
        <f t="shared" si="48"/>
        <v>0</v>
      </c>
      <c r="DY11" s="64">
        <f t="shared" si="49"/>
        <v>0</v>
      </c>
      <c r="DZ11" s="64">
        <f t="shared" si="50"/>
        <v>0</v>
      </c>
      <c r="EA11" s="64">
        <f t="shared" si="51"/>
        <v>0</v>
      </c>
      <c r="EB11" s="64">
        <f t="shared" si="52"/>
        <v>0</v>
      </c>
      <c r="EC11" s="64">
        <f t="shared" si="53"/>
        <v>0</v>
      </c>
      <c r="ED11" s="64">
        <f t="shared" si="54"/>
        <v>0</v>
      </c>
      <c r="EE11" s="64">
        <f t="shared" si="55"/>
        <v>0</v>
      </c>
      <c r="EF11" s="64">
        <f t="shared" si="56"/>
        <v>0</v>
      </c>
      <c r="EG11" s="64">
        <f t="shared" si="57"/>
        <v>0</v>
      </c>
      <c r="EH11" s="64">
        <f t="shared" si="58"/>
        <v>0</v>
      </c>
      <c r="EI11" s="64">
        <f t="shared" si="59"/>
        <v>0</v>
      </c>
      <c r="EJ11" s="64">
        <f t="shared" si="60"/>
        <v>0</v>
      </c>
      <c r="EK11" s="64">
        <f t="shared" si="61"/>
        <v>0</v>
      </c>
      <c r="EL11" s="64">
        <f t="shared" si="62"/>
        <v>0</v>
      </c>
      <c r="EM11" s="64">
        <f t="shared" si="63"/>
        <v>0</v>
      </c>
      <c r="EN11" s="64">
        <f t="shared" si="64"/>
        <v>0</v>
      </c>
      <c r="EO11" s="64">
        <f t="shared" si="65"/>
        <v>0</v>
      </c>
      <c r="EP11" s="64">
        <f t="shared" si="66"/>
        <v>0</v>
      </c>
      <c r="EQ11" s="64">
        <f t="shared" si="67"/>
        <v>0</v>
      </c>
      <c r="ER11" s="64">
        <f t="shared" si="68"/>
        <v>0</v>
      </c>
      <c r="ES11" s="64"/>
      <c r="ET11" s="57">
        <v>0.05</v>
      </c>
      <c r="EU11" s="57">
        <v>0.02</v>
      </c>
      <c r="EV11" s="61" t="s">
        <v>161</v>
      </c>
    </row>
    <row r="12" spans="1:152" ht="27.75" hidden="1" customHeight="1" outlineLevel="1" x14ac:dyDescent="0.35">
      <c r="A12" s="62" t="s">
        <v>144</v>
      </c>
      <c r="B12" s="62" t="s">
        <v>163</v>
      </c>
      <c r="C12" s="294" t="s">
        <v>164</v>
      </c>
      <c r="D12" s="63" t="s">
        <v>147</v>
      </c>
      <c r="E12" s="63" t="s">
        <v>165</v>
      </c>
      <c r="F12" s="63" t="s">
        <v>166</v>
      </c>
      <c r="G12" s="63">
        <v>4</v>
      </c>
      <c r="H12" s="64">
        <v>4</v>
      </c>
      <c r="I12" s="64">
        <v>235</v>
      </c>
      <c r="J12" s="61"/>
      <c r="K12" s="64">
        <v>22</v>
      </c>
      <c r="L12" s="64">
        <v>126</v>
      </c>
      <c r="M12" s="64">
        <v>103</v>
      </c>
      <c r="N12" s="64">
        <v>188</v>
      </c>
      <c r="O12" s="64"/>
      <c r="P12" s="64">
        <v>200</v>
      </c>
      <c r="Q12" s="64">
        <v>200</v>
      </c>
      <c r="R12" s="64">
        <v>210</v>
      </c>
      <c r="S12" s="64">
        <v>220</v>
      </c>
      <c r="T12" s="64">
        <v>220</v>
      </c>
      <c r="U12" s="291">
        <f t="shared" ref="U12:AX12" si="81">T12*(1+$EU12)</f>
        <v>224.4</v>
      </c>
      <c r="V12" s="291">
        <f t="shared" si="81"/>
        <v>228.88800000000001</v>
      </c>
      <c r="W12" s="291">
        <f t="shared" si="81"/>
        <v>233.46576000000002</v>
      </c>
      <c r="X12" s="291">
        <f t="shared" si="81"/>
        <v>238.13507520000002</v>
      </c>
      <c r="Y12" s="291">
        <f t="shared" si="81"/>
        <v>242.89777670400002</v>
      </c>
      <c r="Z12" s="291">
        <f t="shared" si="81"/>
        <v>247.75573223808001</v>
      </c>
      <c r="AA12" s="291">
        <f t="shared" si="81"/>
        <v>252.71084688284162</v>
      </c>
      <c r="AB12" s="291">
        <f t="shared" si="81"/>
        <v>257.76506382049848</v>
      </c>
      <c r="AC12" s="291">
        <f t="shared" si="81"/>
        <v>262.92036509690848</v>
      </c>
      <c r="AD12" s="291">
        <f t="shared" si="81"/>
        <v>268.17877239884666</v>
      </c>
      <c r="AE12" s="291">
        <f t="shared" si="81"/>
        <v>273.54234784682359</v>
      </c>
      <c r="AF12" s="291">
        <f t="shared" si="81"/>
        <v>279.01319480376009</v>
      </c>
      <c r="AG12" s="291">
        <f t="shared" si="81"/>
        <v>284.59345869983531</v>
      </c>
      <c r="AH12" s="291">
        <f t="shared" si="81"/>
        <v>290.28532787383205</v>
      </c>
      <c r="AI12" s="291">
        <f t="shared" si="81"/>
        <v>296.09103443130869</v>
      </c>
      <c r="AJ12" s="291">
        <f t="shared" si="81"/>
        <v>302.01285511993484</v>
      </c>
      <c r="AK12" s="291">
        <f t="shared" si="81"/>
        <v>308.05311222233354</v>
      </c>
      <c r="AL12" s="291">
        <f t="shared" si="81"/>
        <v>314.21417446678021</v>
      </c>
      <c r="AM12" s="291">
        <f t="shared" si="81"/>
        <v>320.49845795611583</v>
      </c>
      <c r="AN12" s="291">
        <f t="shared" si="81"/>
        <v>326.90842711523817</v>
      </c>
      <c r="AO12" s="291">
        <f t="shared" si="81"/>
        <v>333.44659565754296</v>
      </c>
      <c r="AP12" s="291">
        <f t="shared" si="81"/>
        <v>340.11552757069381</v>
      </c>
      <c r="AQ12" s="291">
        <f t="shared" si="81"/>
        <v>346.9178381221077</v>
      </c>
      <c r="AR12" s="291">
        <f t="shared" si="81"/>
        <v>353.85619488454984</v>
      </c>
      <c r="AS12" s="291">
        <f t="shared" si="81"/>
        <v>360.93331878224086</v>
      </c>
      <c r="AT12" s="291">
        <f t="shared" si="81"/>
        <v>368.15198515788569</v>
      </c>
      <c r="AU12" s="291">
        <f t="shared" si="81"/>
        <v>375.5150248610434</v>
      </c>
      <c r="AV12" s="291">
        <f t="shared" si="81"/>
        <v>383.0253253582643</v>
      </c>
      <c r="AW12" s="291">
        <f t="shared" si="81"/>
        <v>390.68583186542958</v>
      </c>
      <c r="AX12" s="291">
        <f t="shared" si="81"/>
        <v>398.49954850273815</v>
      </c>
      <c r="AZ12" s="64">
        <v>200</v>
      </c>
      <c r="BA12" s="64">
        <v>200</v>
      </c>
      <c r="BB12" s="64">
        <v>210</v>
      </c>
      <c r="BC12" s="64">
        <v>220</v>
      </c>
      <c r="BD12" s="64">
        <v>220</v>
      </c>
      <c r="BE12" s="64">
        <f t="shared" ref="BE12:CH12" si="82">BD12*(1+$ET12)</f>
        <v>231</v>
      </c>
      <c r="BF12" s="64">
        <f t="shared" si="82"/>
        <v>242.55</v>
      </c>
      <c r="BG12" s="64">
        <f t="shared" si="82"/>
        <v>254.67750000000001</v>
      </c>
      <c r="BH12" s="64">
        <f t="shared" si="82"/>
        <v>267.41137500000002</v>
      </c>
      <c r="BI12" s="64">
        <f t="shared" si="82"/>
        <v>280.78194375000004</v>
      </c>
      <c r="BJ12" s="64">
        <f t="shared" si="82"/>
        <v>294.82104093750007</v>
      </c>
      <c r="BK12" s="64">
        <f t="shared" si="82"/>
        <v>309.56209298437511</v>
      </c>
      <c r="BL12" s="64">
        <f t="shared" si="82"/>
        <v>325.04019763359389</v>
      </c>
      <c r="BM12" s="64">
        <f t="shared" si="82"/>
        <v>341.29220751527362</v>
      </c>
      <c r="BN12" s="64">
        <f t="shared" si="82"/>
        <v>358.35681789103734</v>
      </c>
      <c r="BO12" s="64">
        <f t="shared" si="82"/>
        <v>376.27465878558922</v>
      </c>
      <c r="BP12" s="64">
        <f t="shared" si="82"/>
        <v>395.0883917248687</v>
      </c>
      <c r="BQ12" s="64">
        <f t="shared" si="82"/>
        <v>414.84281131111214</v>
      </c>
      <c r="BR12" s="64">
        <f t="shared" si="82"/>
        <v>435.58495187666779</v>
      </c>
      <c r="BS12" s="64">
        <f t="shared" si="82"/>
        <v>457.36419947050121</v>
      </c>
      <c r="BT12" s="64">
        <f t="shared" si="82"/>
        <v>480.2324094440263</v>
      </c>
      <c r="BU12" s="64">
        <f t="shared" si="82"/>
        <v>504.24402991622765</v>
      </c>
      <c r="BV12" s="64">
        <f t="shared" si="82"/>
        <v>529.45623141203907</v>
      </c>
      <c r="BW12" s="64">
        <f t="shared" si="82"/>
        <v>555.92904298264102</v>
      </c>
      <c r="BX12" s="64">
        <f t="shared" si="82"/>
        <v>583.72549513177307</v>
      </c>
      <c r="BY12" s="64">
        <f t="shared" si="82"/>
        <v>612.91176988836173</v>
      </c>
      <c r="BZ12" s="64">
        <f t="shared" si="82"/>
        <v>643.55735838277985</v>
      </c>
      <c r="CA12" s="64">
        <f t="shared" si="82"/>
        <v>675.73522630191883</v>
      </c>
      <c r="CB12" s="64">
        <f t="shared" si="82"/>
        <v>709.52198761701482</v>
      </c>
      <c r="CC12" s="64">
        <f t="shared" si="82"/>
        <v>744.99808699786558</v>
      </c>
      <c r="CD12" s="64">
        <f t="shared" si="82"/>
        <v>782.2479913477589</v>
      </c>
      <c r="CE12" s="64">
        <f t="shared" si="82"/>
        <v>821.36039091514692</v>
      </c>
      <c r="CF12" s="64">
        <f t="shared" si="82"/>
        <v>862.42841046090427</v>
      </c>
      <c r="CG12" s="64">
        <f t="shared" si="82"/>
        <v>905.54983098394951</v>
      </c>
      <c r="CH12" s="64">
        <f t="shared" si="82"/>
        <v>950.82732253314703</v>
      </c>
      <c r="CI12" s="64"/>
      <c r="CJ12" s="64">
        <f t="shared" si="6"/>
        <v>6.5999999999999943</v>
      </c>
      <c r="CK12" s="64">
        <f t="shared" si="7"/>
        <v>13.662000000000006</v>
      </c>
      <c r="CL12" s="64">
        <f t="shared" si="8"/>
        <v>21.211739999999992</v>
      </c>
      <c r="CM12" s="64">
        <f t="shared" si="9"/>
        <v>29.276299800000004</v>
      </c>
      <c r="CN12" s="64">
        <f t="shared" si="10"/>
        <v>37.884167046000016</v>
      </c>
      <c r="CO12" s="64">
        <f t="shared" si="11"/>
        <v>47.065308699420058</v>
      </c>
      <c r="CP12" s="64">
        <f t="shared" si="12"/>
        <v>56.851246101533491</v>
      </c>
      <c r="CQ12" s="64">
        <f t="shared" si="13"/>
        <v>67.275133813095408</v>
      </c>
      <c r="CR12" s="64">
        <f t="shared" si="14"/>
        <v>78.371842418365134</v>
      </c>
      <c r="CS12" s="64">
        <f t="shared" si="15"/>
        <v>90.178045492190677</v>
      </c>
      <c r="CT12" s="64">
        <f t="shared" si="16"/>
        <v>102.73231093876564</v>
      </c>
      <c r="CU12" s="64">
        <f t="shared" si="17"/>
        <v>116.07519692110861</v>
      </c>
      <c r="CV12" s="64">
        <f t="shared" si="18"/>
        <v>130.24935261127683</v>
      </c>
      <c r="CW12" s="64">
        <f t="shared" si="19"/>
        <v>145.29962400283574</v>
      </c>
      <c r="CX12" s="64">
        <f t="shared" si="20"/>
        <v>161.27316503919252</v>
      </c>
      <c r="CY12" s="64">
        <f t="shared" si="21"/>
        <v>178.21955432409146</v>
      </c>
      <c r="CZ12" s="64">
        <f t="shared" si="22"/>
        <v>196.19091769389411</v>
      </c>
      <c r="DA12" s="64">
        <f t="shared" si="23"/>
        <v>215.24205694525887</v>
      </c>
      <c r="DB12" s="64">
        <f t="shared" si="24"/>
        <v>235.43058502652519</v>
      </c>
      <c r="DC12" s="64">
        <f t="shared" si="25"/>
        <v>256.8170680165349</v>
      </c>
      <c r="DD12" s="64">
        <f t="shared" si="26"/>
        <v>279.46517423081877</v>
      </c>
      <c r="DE12" s="64">
        <f t="shared" si="27"/>
        <v>303.44183081208604</v>
      </c>
      <c r="DF12" s="64">
        <f t="shared" si="28"/>
        <v>328.81738817981113</v>
      </c>
      <c r="DG12" s="64">
        <f t="shared" si="29"/>
        <v>355.66579273246498</v>
      </c>
      <c r="DH12" s="64">
        <f t="shared" si="30"/>
        <v>384.06476821562472</v>
      </c>
      <c r="DI12" s="64">
        <f t="shared" si="31"/>
        <v>414.09600618987321</v>
      </c>
      <c r="DJ12" s="64">
        <f t="shared" si="32"/>
        <v>445.84536605410352</v>
      </c>
      <c r="DK12" s="64">
        <f t="shared" si="33"/>
        <v>479.40308510263998</v>
      </c>
      <c r="DL12" s="64">
        <f t="shared" si="34"/>
        <v>514.86399911851993</v>
      </c>
      <c r="DM12" s="64">
        <f t="shared" si="35"/>
        <v>552.32777403040882</v>
      </c>
      <c r="DN12" s="64"/>
      <c r="DO12" s="64">
        <f t="shared" si="39"/>
        <v>6203.9999999999945</v>
      </c>
      <c r="DP12" s="64">
        <f t="shared" si="40"/>
        <v>12842.280000000006</v>
      </c>
      <c r="DQ12" s="64">
        <f t="shared" si="41"/>
        <v>19939.035599999992</v>
      </c>
      <c r="DR12" s="64">
        <f t="shared" si="42"/>
        <v>27519.721812000003</v>
      </c>
      <c r="DS12" s="64">
        <f t="shared" si="43"/>
        <v>35611.117023240018</v>
      </c>
      <c r="DT12" s="64">
        <f t="shared" si="44"/>
        <v>44241.390177454858</v>
      </c>
      <c r="DU12" s="64">
        <f t="shared" si="45"/>
        <v>53440.171335441482</v>
      </c>
      <c r="DV12" s="64">
        <f t="shared" si="46"/>
        <v>63238.625784309683</v>
      </c>
      <c r="DW12" s="64">
        <f t="shared" si="47"/>
        <v>73669.531873263229</v>
      </c>
      <c r="DX12" s="64">
        <f t="shared" si="48"/>
        <v>84767.362762659235</v>
      </c>
      <c r="DY12" s="64">
        <f t="shared" si="49"/>
        <v>96568.372282439697</v>
      </c>
      <c r="DZ12" s="64">
        <f t="shared" si="50"/>
        <v>109110.6851058421</v>
      </c>
      <c r="EA12" s="64">
        <f t="shared" si="51"/>
        <v>122434.39145460022</v>
      </c>
      <c r="EB12" s="64">
        <f t="shared" si="52"/>
        <v>136581.64656266558</v>
      </c>
      <c r="EC12" s="64">
        <f t="shared" si="53"/>
        <v>151596.77513684097</v>
      </c>
      <c r="ED12" s="64">
        <f t="shared" si="54"/>
        <v>167526.38106464598</v>
      </c>
      <c r="EE12" s="64">
        <f t="shared" si="55"/>
        <v>184419.46263226046</v>
      </c>
      <c r="EF12" s="64">
        <f t="shared" si="56"/>
        <v>202327.53352854334</v>
      </c>
      <c r="EG12" s="64">
        <f t="shared" si="57"/>
        <v>221304.74992493368</v>
      </c>
      <c r="EH12" s="64">
        <f t="shared" si="58"/>
        <v>241408.04393554281</v>
      </c>
      <c r="EI12" s="64">
        <f t="shared" si="59"/>
        <v>262697.26377696963</v>
      </c>
      <c r="EJ12" s="64">
        <f t="shared" si="60"/>
        <v>285235.32096336089</v>
      </c>
      <c r="EK12" s="64">
        <f t="shared" si="61"/>
        <v>309088.34488902247</v>
      </c>
      <c r="EL12" s="64">
        <f t="shared" si="62"/>
        <v>334325.84516851709</v>
      </c>
      <c r="EM12" s="64">
        <f t="shared" si="63"/>
        <v>361020.88212268724</v>
      </c>
      <c r="EN12" s="64">
        <f t="shared" si="64"/>
        <v>389250.24581848079</v>
      </c>
      <c r="EO12" s="64">
        <f t="shared" si="65"/>
        <v>419094.6440908573</v>
      </c>
      <c r="EP12" s="64">
        <f t="shared" si="66"/>
        <v>450638.8999964816</v>
      </c>
      <c r="EQ12" s="64">
        <f t="shared" si="67"/>
        <v>483972.15917140874</v>
      </c>
      <c r="ER12" s="64">
        <f t="shared" si="68"/>
        <v>519188.1075885843</v>
      </c>
      <c r="ES12" s="64"/>
      <c r="ET12" s="57">
        <v>0.05</v>
      </c>
      <c r="EU12" s="57">
        <v>0.02</v>
      </c>
      <c r="EV12" s="61" t="s">
        <v>559</v>
      </c>
    </row>
    <row r="13" spans="1:152" ht="27.75" hidden="1" customHeight="1" outlineLevel="1" x14ac:dyDescent="0.35">
      <c r="A13" s="62" t="s">
        <v>144</v>
      </c>
      <c r="B13" s="62" t="s">
        <v>167</v>
      </c>
      <c r="C13" s="62" t="s">
        <v>168</v>
      </c>
      <c r="D13" s="63" t="s">
        <v>152</v>
      </c>
      <c r="E13" s="63" t="s">
        <v>147</v>
      </c>
      <c r="F13" s="63" t="s">
        <v>157</v>
      </c>
      <c r="G13" s="63">
        <v>4</v>
      </c>
      <c r="H13" s="64">
        <v>4</v>
      </c>
      <c r="I13" s="64">
        <v>438</v>
      </c>
      <c r="J13" s="61" t="s">
        <v>590</v>
      </c>
      <c r="K13" s="64">
        <v>0</v>
      </c>
      <c r="L13" s="64">
        <v>105</v>
      </c>
      <c r="M13" s="64">
        <v>65</v>
      </c>
      <c r="N13" s="64">
        <v>143</v>
      </c>
      <c r="O13" s="64"/>
      <c r="P13" s="64">
        <v>150</v>
      </c>
      <c r="Q13" s="64">
        <v>160</v>
      </c>
      <c r="R13" s="64">
        <v>170</v>
      </c>
      <c r="S13" s="64">
        <v>170</v>
      </c>
      <c r="T13" s="64">
        <v>170</v>
      </c>
      <c r="U13" s="291">
        <f t="shared" ref="U13:AX13" si="83">T13*(1+$EU13)</f>
        <v>173.4</v>
      </c>
      <c r="V13" s="291">
        <f t="shared" si="83"/>
        <v>176.86799999999999</v>
      </c>
      <c r="W13" s="291">
        <f t="shared" si="83"/>
        <v>180.40536</v>
      </c>
      <c r="X13" s="291">
        <f t="shared" si="83"/>
        <v>184.01346720000001</v>
      </c>
      <c r="Y13" s="291">
        <f t="shared" si="83"/>
        <v>187.69373654400002</v>
      </c>
      <c r="Z13" s="291">
        <f t="shared" si="83"/>
        <v>191.44761127488002</v>
      </c>
      <c r="AA13" s="291">
        <f t="shared" si="83"/>
        <v>195.27656350037762</v>
      </c>
      <c r="AB13" s="291">
        <f t="shared" si="83"/>
        <v>199.18209477038516</v>
      </c>
      <c r="AC13" s="291">
        <f t="shared" si="83"/>
        <v>203.16573666579288</v>
      </c>
      <c r="AD13" s="291">
        <f t="shared" si="83"/>
        <v>207.22905139910873</v>
      </c>
      <c r="AE13" s="291">
        <f t="shared" si="83"/>
        <v>211.37363242709091</v>
      </c>
      <c r="AF13" s="291">
        <f t="shared" si="83"/>
        <v>215.60110507563274</v>
      </c>
      <c r="AG13" s="291">
        <f t="shared" si="83"/>
        <v>219.91312717714541</v>
      </c>
      <c r="AH13" s="291">
        <f t="shared" si="83"/>
        <v>224.31138972068831</v>
      </c>
      <c r="AI13" s="291">
        <f t="shared" si="83"/>
        <v>228.79761751510208</v>
      </c>
      <c r="AJ13" s="291">
        <f t="shared" si="83"/>
        <v>233.37356986540411</v>
      </c>
      <c r="AK13" s="291">
        <f t="shared" si="83"/>
        <v>238.04104126271218</v>
      </c>
      <c r="AL13" s="291">
        <f t="shared" si="83"/>
        <v>242.80186208796644</v>
      </c>
      <c r="AM13" s="291">
        <f t="shared" si="83"/>
        <v>247.65789932972578</v>
      </c>
      <c r="AN13" s="291">
        <f t="shared" si="83"/>
        <v>252.61105731632031</v>
      </c>
      <c r="AO13" s="291">
        <f t="shared" si="83"/>
        <v>257.6632784626467</v>
      </c>
      <c r="AP13" s="291">
        <f t="shared" si="83"/>
        <v>262.81654403189964</v>
      </c>
      <c r="AQ13" s="291">
        <f t="shared" si="83"/>
        <v>268.07287491253766</v>
      </c>
      <c r="AR13" s="291">
        <f t="shared" si="83"/>
        <v>273.43433241078844</v>
      </c>
      <c r="AS13" s="291">
        <f t="shared" si="83"/>
        <v>278.90301905900424</v>
      </c>
      <c r="AT13" s="291">
        <f t="shared" si="83"/>
        <v>284.48107944018432</v>
      </c>
      <c r="AU13" s="291">
        <f t="shared" si="83"/>
        <v>290.17070102898799</v>
      </c>
      <c r="AV13" s="291">
        <f t="shared" si="83"/>
        <v>295.97411504956773</v>
      </c>
      <c r="AW13" s="291">
        <f t="shared" si="83"/>
        <v>301.89359735055911</v>
      </c>
      <c r="AX13" s="291">
        <f t="shared" si="83"/>
        <v>307.93146929757029</v>
      </c>
      <c r="AZ13" s="64">
        <v>150</v>
      </c>
      <c r="BA13" s="64">
        <v>160</v>
      </c>
      <c r="BB13" s="64">
        <v>180</v>
      </c>
      <c r="BC13" s="64">
        <v>180</v>
      </c>
      <c r="BD13" s="64">
        <v>200</v>
      </c>
      <c r="BE13" s="64">
        <f t="shared" ref="BE13:CH13" si="84">BD13*(1+$ET13)</f>
        <v>210</v>
      </c>
      <c r="BF13" s="64">
        <f t="shared" si="84"/>
        <v>220.5</v>
      </c>
      <c r="BG13" s="64">
        <f t="shared" si="84"/>
        <v>231.52500000000001</v>
      </c>
      <c r="BH13" s="64">
        <f t="shared" si="84"/>
        <v>243.10125000000002</v>
      </c>
      <c r="BI13" s="64">
        <f t="shared" si="84"/>
        <v>255.25631250000004</v>
      </c>
      <c r="BJ13" s="64">
        <f t="shared" si="84"/>
        <v>268.01912812500007</v>
      </c>
      <c r="BK13" s="64">
        <f t="shared" si="84"/>
        <v>281.4200845312501</v>
      </c>
      <c r="BL13" s="64">
        <f t="shared" si="84"/>
        <v>295.49108875781263</v>
      </c>
      <c r="BM13" s="64">
        <f t="shared" si="84"/>
        <v>310.26564319570326</v>
      </c>
      <c r="BN13" s="64">
        <f t="shared" si="84"/>
        <v>325.77892535548841</v>
      </c>
      <c r="BO13" s="64">
        <f t="shared" si="84"/>
        <v>342.06787162326287</v>
      </c>
      <c r="BP13" s="64">
        <f t="shared" si="84"/>
        <v>359.17126520442605</v>
      </c>
      <c r="BQ13" s="64">
        <f t="shared" si="84"/>
        <v>377.12982846464735</v>
      </c>
      <c r="BR13" s="64">
        <f t="shared" si="84"/>
        <v>395.98631988787974</v>
      </c>
      <c r="BS13" s="64">
        <f t="shared" si="84"/>
        <v>415.78563588227377</v>
      </c>
      <c r="BT13" s="64">
        <f t="shared" si="84"/>
        <v>436.57491767638749</v>
      </c>
      <c r="BU13" s="64">
        <f t="shared" si="84"/>
        <v>458.40366356020689</v>
      </c>
      <c r="BV13" s="64">
        <f t="shared" si="84"/>
        <v>481.32384673821724</v>
      </c>
      <c r="BW13" s="64">
        <f t="shared" si="84"/>
        <v>505.39003907512813</v>
      </c>
      <c r="BX13" s="64">
        <f t="shared" si="84"/>
        <v>530.65954102888452</v>
      </c>
      <c r="BY13" s="64">
        <f t="shared" si="84"/>
        <v>557.1925180803288</v>
      </c>
      <c r="BZ13" s="64">
        <f t="shared" si="84"/>
        <v>585.05214398434521</v>
      </c>
      <c r="CA13" s="64">
        <f t="shared" si="84"/>
        <v>614.30475118356253</v>
      </c>
      <c r="CB13" s="64">
        <f t="shared" si="84"/>
        <v>645.01998874274068</v>
      </c>
      <c r="CC13" s="64">
        <f t="shared" si="84"/>
        <v>677.27098817987769</v>
      </c>
      <c r="CD13" s="64">
        <f t="shared" si="84"/>
        <v>711.13453758887158</v>
      </c>
      <c r="CE13" s="64">
        <f t="shared" si="84"/>
        <v>746.69126446831524</v>
      </c>
      <c r="CF13" s="64">
        <f t="shared" si="84"/>
        <v>784.02582769173102</v>
      </c>
      <c r="CG13" s="64">
        <f t="shared" si="84"/>
        <v>823.22711907631765</v>
      </c>
      <c r="CH13" s="64">
        <f t="shared" si="84"/>
        <v>864.38847503013358</v>
      </c>
      <c r="CI13" s="64"/>
      <c r="CJ13" s="64">
        <f t="shared" si="6"/>
        <v>36.599999999999994</v>
      </c>
      <c r="CK13" s="64">
        <f t="shared" si="7"/>
        <v>43.632000000000005</v>
      </c>
      <c r="CL13" s="64">
        <f t="shared" si="8"/>
        <v>51.119640000000004</v>
      </c>
      <c r="CM13" s="64">
        <f t="shared" si="9"/>
        <v>59.087782800000014</v>
      </c>
      <c r="CN13" s="64">
        <f t="shared" si="10"/>
        <v>67.562575956000018</v>
      </c>
      <c r="CO13" s="64">
        <f t="shared" si="11"/>
        <v>76.571516850120048</v>
      </c>
      <c r="CP13" s="64">
        <f t="shared" si="12"/>
        <v>86.143521030872478</v>
      </c>
      <c r="CQ13" s="64">
        <f t="shared" si="13"/>
        <v>96.308993987427471</v>
      </c>
      <c r="CR13" s="64">
        <f t="shared" si="14"/>
        <v>107.09990652991038</v>
      </c>
      <c r="CS13" s="64">
        <f t="shared" si="15"/>
        <v>118.54987395637968</v>
      </c>
      <c r="CT13" s="64">
        <f t="shared" si="16"/>
        <v>130.69423919617196</v>
      </c>
      <c r="CU13" s="64">
        <f t="shared" si="17"/>
        <v>143.5701601287933</v>
      </c>
      <c r="CV13" s="64">
        <f t="shared" si="18"/>
        <v>157.21670128750193</v>
      </c>
      <c r="CW13" s="64">
        <f t="shared" si="19"/>
        <v>171.67493016719143</v>
      </c>
      <c r="CX13" s="64">
        <f t="shared" si="20"/>
        <v>186.98801836717169</v>
      </c>
      <c r="CY13" s="64">
        <f t="shared" si="21"/>
        <v>203.20134781098338</v>
      </c>
      <c r="CZ13" s="64">
        <f t="shared" si="22"/>
        <v>220.36262229749471</v>
      </c>
      <c r="DA13" s="64">
        <f t="shared" si="23"/>
        <v>238.5219846502508</v>
      </c>
      <c r="DB13" s="64">
        <f t="shared" si="24"/>
        <v>257.73213974540238</v>
      </c>
      <c r="DC13" s="64">
        <f t="shared" si="25"/>
        <v>278.04848371256423</v>
      </c>
      <c r="DD13" s="64">
        <f t="shared" si="26"/>
        <v>299.52923961768209</v>
      </c>
      <c r="DE13" s="64">
        <f t="shared" si="27"/>
        <v>322.23559995244557</v>
      </c>
      <c r="DF13" s="64">
        <f t="shared" si="28"/>
        <v>346.23187627102487</v>
      </c>
      <c r="DG13" s="64">
        <f t="shared" si="29"/>
        <v>371.58565633195224</v>
      </c>
      <c r="DH13" s="64">
        <f t="shared" si="30"/>
        <v>398.36796912087345</v>
      </c>
      <c r="DI13" s="64">
        <f t="shared" si="31"/>
        <v>426.65345814868726</v>
      </c>
      <c r="DJ13" s="64">
        <f t="shared" si="32"/>
        <v>456.52056343932725</v>
      </c>
      <c r="DK13" s="64">
        <f t="shared" si="33"/>
        <v>488.0517126421633</v>
      </c>
      <c r="DL13" s="64">
        <f t="shared" si="34"/>
        <v>521.3335217257586</v>
      </c>
      <c r="DM13" s="64">
        <f t="shared" si="35"/>
        <v>556.45700573256329</v>
      </c>
      <c r="DN13" s="64"/>
      <c r="DO13" s="64">
        <f t="shared" si="39"/>
        <v>64123.19999999999</v>
      </c>
      <c r="DP13" s="64">
        <f t="shared" si="40"/>
        <v>76443.26400000001</v>
      </c>
      <c r="DQ13" s="64">
        <f t="shared" si="41"/>
        <v>89561.609280000004</v>
      </c>
      <c r="DR13" s="64">
        <f t="shared" si="42"/>
        <v>103521.79546560002</v>
      </c>
      <c r="DS13" s="64">
        <f t="shared" si="43"/>
        <v>118369.63307491202</v>
      </c>
      <c r="DT13" s="64">
        <f t="shared" si="44"/>
        <v>134153.29752141034</v>
      </c>
      <c r="DU13" s="64">
        <f t="shared" si="45"/>
        <v>150923.44884608858</v>
      </c>
      <c r="DV13" s="64">
        <f t="shared" si="46"/>
        <v>168733.35746597292</v>
      </c>
      <c r="DW13" s="64">
        <f t="shared" si="47"/>
        <v>187639.03624040299</v>
      </c>
      <c r="DX13" s="64">
        <f t="shared" si="48"/>
        <v>207699.37917157719</v>
      </c>
      <c r="DY13" s="64">
        <f t="shared" si="49"/>
        <v>228976.30707169327</v>
      </c>
      <c r="DZ13" s="64">
        <f t="shared" si="50"/>
        <v>251534.92054564587</v>
      </c>
      <c r="EA13" s="64">
        <f t="shared" si="51"/>
        <v>275443.6606557034</v>
      </c>
      <c r="EB13" s="64">
        <f t="shared" si="52"/>
        <v>300774.47765291942</v>
      </c>
      <c r="EC13" s="64">
        <f t="shared" si="53"/>
        <v>327603.00817928481</v>
      </c>
      <c r="ED13" s="64">
        <f t="shared" si="54"/>
        <v>356008.76136484288</v>
      </c>
      <c r="EE13" s="64">
        <f t="shared" si="55"/>
        <v>386075.31426521071</v>
      </c>
      <c r="EF13" s="64">
        <f t="shared" si="56"/>
        <v>417890.5171072394</v>
      </c>
      <c r="EG13" s="64">
        <f t="shared" si="57"/>
        <v>451546.70883394498</v>
      </c>
      <c r="EH13" s="64">
        <f t="shared" si="58"/>
        <v>487140.94346441253</v>
      </c>
      <c r="EI13" s="64">
        <f t="shared" si="59"/>
        <v>524775.227810179</v>
      </c>
      <c r="EJ13" s="64">
        <f t="shared" si="60"/>
        <v>564556.77111668466</v>
      </c>
      <c r="EK13" s="64">
        <f t="shared" si="61"/>
        <v>606598.24722683558</v>
      </c>
      <c r="EL13" s="64">
        <f t="shared" si="62"/>
        <v>651018.06989358028</v>
      </c>
      <c r="EM13" s="64">
        <f t="shared" si="63"/>
        <v>697940.68189977028</v>
      </c>
      <c r="EN13" s="64">
        <f t="shared" si="64"/>
        <v>747496.85867650004</v>
      </c>
      <c r="EO13" s="64">
        <f t="shared" si="65"/>
        <v>799824.02714570134</v>
      </c>
      <c r="EP13" s="64">
        <f t="shared" si="66"/>
        <v>855066.60054907005</v>
      </c>
      <c r="EQ13" s="64">
        <f t="shared" si="67"/>
        <v>913376.33006352908</v>
      </c>
      <c r="ER13" s="64">
        <f t="shared" si="68"/>
        <v>974912.67404345085</v>
      </c>
      <c r="ES13" s="64"/>
      <c r="ET13" s="57">
        <v>0.05</v>
      </c>
      <c r="EU13" s="57">
        <v>0.02</v>
      </c>
      <c r="EV13" s="61"/>
    </row>
    <row r="14" spans="1:152" ht="27.75" hidden="1" customHeight="1" outlineLevel="1" x14ac:dyDescent="0.35">
      <c r="A14" s="62" t="s">
        <v>144</v>
      </c>
      <c r="B14" s="62" t="s">
        <v>167</v>
      </c>
      <c r="C14" s="62" t="s">
        <v>169</v>
      </c>
      <c r="D14" s="63" t="s">
        <v>152</v>
      </c>
      <c r="E14" s="63" t="s">
        <v>147</v>
      </c>
      <c r="F14" s="63" t="s">
        <v>148</v>
      </c>
      <c r="G14" s="63">
        <v>3</v>
      </c>
      <c r="H14" s="64">
        <v>3</v>
      </c>
      <c r="I14" s="64">
        <v>438</v>
      </c>
      <c r="J14" s="61" t="s">
        <v>590</v>
      </c>
      <c r="K14" s="64">
        <v>107</v>
      </c>
      <c r="L14" s="64">
        <v>126</v>
      </c>
      <c r="M14" s="64">
        <v>100</v>
      </c>
      <c r="N14" s="64">
        <v>110</v>
      </c>
      <c r="O14" s="64"/>
      <c r="P14" s="64">
        <v>120</v>
      </c>
      <c r="Q14" s="64">
        <v>130</v>
      </c>
      <c r="R14" s="64">
        <v>140</v>
      </c>
      <c r="S14" s="64">
        <v>140</v>
      </c>
      <c r="T14" s="64">
        <v>140</v>
      </c>
      <c r="U14" s="291">
        <f t="shared" ref="U14:AX14" si="85">T14*(1+$EU14)</f>
        <v>142.80000000000001</v>
      </c>
      <c r="V14" s="291">
        <f t="shared" si="85"/>
        <v>145.65600000000001</v>
      </c>
      <c r="W14" s="291">
        <f t="shared" si="85"/>
        <v>148.56912</v>
      </c>
      <c r="X14" s="291">
        <f t="shared" si="85"/>
        <v>151.54050240000001</v>
      </c>
      <c r="Y14" s="291">
        <f t="shared" si="85"/>
        <v>154.57131244800001</v>
      </c>
      <c r="Z14" s="291">
        <f t="shared" si="85"/>
        <v>157.66273869696002</v>
      </c>
      <c r="AA14" s="291">
        <f t="shared" si="85"/>
        <v>160.81599347089923</v>
      </c>
      <c r="AB14" s="291">
        <f t="shared" si="85"/>
        <v>164.03231334031722</v>
      </c>
      <c r="AC14" s="291">
        <f t="shared" si="85"/>
        <v>167.31295960712356</v>
      </c>
      <c r="AD14" s="291">
        <f t="shared" si="85"/>
        <v>170.65921879926603</v>
      </c>
      <c r="AE14" s="291">
        <f t="shared" si="85"/>
        <v>174.07240317525134</v>
      </c>
      <c r="AF14" s="291">
        <f t="shared" si="85"/>
        <v>177.55385123875638</v>
      </c>
      <c r="AG14" s="291">
        <f t="shared" si="85"/>
        <v>181.10492826353152</v>
      </c>
      <c r="AH14" s="291">
        <f t="shared" si="85"/>
        <v>184.72702682880217</v>
      </c>
      <c r="AI14" s="291">
        <f t="shared" si="85"/>
        <v>188.42156736537822</v>
      </c>
      <c r="AJ14" s="291">
        <f t="shared" si="85"/>
        <v>192.18999871268579</v>
      </c>
      <c r="AK14" s="291">
        <f t="shared" si="85"/>
        <v>196.03379868693952</v>
      </c>
      <c r="AL14" s="291">
        <f t="shared" si="85"/>
        <v>199.9544746606783</v>
      </c>
      <c r="AM14" s="291">
        <f t="shared" si="85"/>
        <v>203.95356415389188</v>
      </c>
      <c r="AN14" s="291">
        <f t="shared" si="85"/>
        <v>208.03263543696971</v>
      </c>
      <c r="AO14" s="291">
        <f t="shared" si="85"/>
        <v>212.19328814570912</v>
      </c>
      <c r="AP14" s="291">
        <f t="shared" si="85"/>
        <v>216.43715390862332</v>
      </c>
      <c r="AQ14" s="291">
        <f t="shared" si="85"/>
        <v>220.76589698679578</v>
      </c>
      <c r="AR14" s="291">
        <f t="shared" si="85"/>
        <v>225.18121492653171</v>
      </c>
      <c r="AS14" s="291">
        <f t="shared" si="85"/>
        <v>229.68483922506235</v>
      </c>
      <c r="AT14" s="291">
        <f t="shared" si="85"/>
        <v>234.2785360095636</v>
      </c>
      <c r="AU14" s="291">
        <f t="shared" si="85"/>
        <v>238.96410672975486</v>
      </c>
      <c r="AV14" s="291">
        <f t="shared" si="85"/>
        <v>243.74338886434995</v>
      </c>
      <c r="AW14" s="291">
        <f t="shared" si="85"/>
        <v>248.61825664163695</v>
      </c>
      <c r="AX14" s="291">
        <f t="shared" si="85"/>
        <v>253.5906217744697</v>
      </c>
      <c r="AZ14" s="64">
        <v>120</v>
      </c>
      <c r="BA14" s="64">
        <v>130</v>
      </c>
      <c r="BB14" s="64">
        <v>135</v>
      </c>
      <c r="BC14" s="64">
        <v>140</v>
      </c>
      <c r="BD14" s="64">
        <v>140</v>
      </c>
      <c r="BE14" s="64">
        <f t="shared" ref="BE14:CH14" si="86">BD14*(1+$ET14)</f>
        <v>147</v>
      </c>
      <c r="BF14" s="64">
        <f t="shared" si="86"/>
        <v>154.35</v>
      </c>
      <c r="BG14" s="64">
        <f t="shared" si="86"/>
        <v>162.0675</v>
      </c>
      <c r="BH14" s="64">
        <f t="shared" si="86"/>
        <v>170.170875</v>
      </c>
      <c r="BI14" s="64">
        <f t="shared" si="86"/>
        <v>178.67941875</v>
      </c>
      <c r="BJ14" s="64">
        <f t="shared" si="86"/>
        <v>187.61338968750002</v>
      </c>
      <c r="BK14" s="64">
        <f t="shared" si="86"/>
        <v>196.99405917187502</v>
      </c>
      <c r="BL14" s="64">
        <f t="shared" si="86"/>
        <v>206.84376213046878</v>
      </c>
      <c r="BM14" s="64">
        <f t="shared" si="86"/>
        <v>217.18595023699223</v>
      </c>
      <c r="BN14" s="64">
        <f t="shared" si="86"/>
        <v>228.04524774884186</v>
      </c>
      <c r="BO14" s="64">
        <f t="shared" si="86"/>
        <v>239.44751013628397</v>
      </c>
      <c r="BP14" s="64">
        <f t="shared" si="86"/>
        <v>251.41988564309818</v>
      </c>
      <c r="BQ14" s="64">
        <f t="shared" si="86"/>
        <v>263.99087992525313</v>
      </c>
      <c r="BR14" s="64">
        <f t="shared" si="86"/>
        <v>277.19042392151579</v>
      </c>
      <c r="BS14" s="64">
        <f t="shared" si="86"/>
        <v>291.04994511759156</v>
      </c>
      <c r="BT14" s="64">
        <f t="shared" si="86"/>
        <v>305.60244237347115</v>
      </c>
      <c r="BU14" s="64">
        <f t="shared" si="86"/>
        <v>320.8825644921447</v>
      </c>
      <c r="BV14" s="64">
        <f t="shared" si="86"/>
        <v>336.92669271675197</v>
      </c>
      <c r="BW14" s="64">
        <f t="shared" si="86"/>
        <v>353.77302735258957</v>
      </c>
      <c r="BX14" s="64">
        <f t="shared" si="86"/>
        <v>371.46167872021908</v>
      </c>
      <c r="BY14" s="64">
        <f t="shared" si="86"/>
        <v>390.03476265623004</v>
      </c>
      <c r="BZ14" s="64">
        <f t="shared" si="86"/>
        <v>409.53650078904155</v>
      </c>
      <c r="CA14" s="64">
        <f t="shared" si="86"/>
        <v>430.01332582849363</v>
      </c>
      <c r="CB14" s="64">
        <f t="shared" si="86"/>
        <v>451.51399211991833</v>
      </c>
      <c r="CC14" s="64">
        <f t="shared" si="86"/>
        <v>474.08969172591429</v>
      </c>
      <c r="CD14" s="64">
        <f t="shared" si="86"/>
        <v>497.79417631221003</v>
      </c>
      <c r="CE14" s="64">
        <f t="shared" si="86"/>
        <v>522.68388512782053</v>
      </c>
      <c r="CF14" s="64">
        <f t="shared" si="86"/>
        <v>548.81807938421161</v>
      </c>
      <c r="CG14" s="64">
        <f t="shared" si="86"/>
        <v>576.2589833534222</v>
      </c>
      <c r="CH14" s="64">
        <f t="shared" si="86"/>
        <v>605.07193252109334</v>
      </c>
      <c r="CI14" s="64"/>
      <c r="CJ14" s="64">
        <f t="shared" si="6"/>
        <v>4.1999999999999886</v>
      </c>
      <c r="CK14" s="64">
        <f t="shared" si="7"/>
        <v>8.6939999999999884</v>
      </c>
      <c r="CL14" s="64">
        <f t="shared" si="8"/>
        <v>13.498379999999997</v>
      </c>
      <c r="CM14" s="64">
        <f t="shared" si="9"/>
        <v>18.630372599999987</v>
      </c>
      <c r="CN14" s="64">
        <f t="shared" si="10"/>
        <v>24.108106301999982</v>
      </c>
      <c r="CO14" s="64">
        <f t="shared" si="11"/>
        <v>29.950650990539998</v>
      </c>
      <c r="CP14" s="64">
        <f t="shared" si="12"/>
        <v>36.178065700975793</v>
      </c>
      <c r="CQ14" s="64">
        <f t="shared" si="13"/>
        <v>42.811448790151559</v>
      </c>
      <c r="CR14" s="64">
        <f t="shared" si="14"/>
        <v>49.872990629868667</v>
      </c>
      <c r="CS14" s="64">
        <f t="shared" si="15"/>
        <v>57.386028949575831</v>
      </c>
      <c r="CT14" s="64">
        <f t="shared" si="16"/>
        <v>65.375106961032628</v>
      </c>
      <c r="CU14" s="64">
        <f t="shared" si="17"/>
        <v>73.866034404341804</v>
      </c>
      <c r="CV14" s="64">
        <f t="shared" si="18"/>
        <v>82.885951661721606</v>
      </c>
      <c r="CW14" s="64">
        <f t="shared" si="19"/>
        <v>92.46339709271362</v>
      </c>
      <c r="CX14" s="64">
        <f t="shared" si="20"/>
        <v>102.62837775221334</v>
      </c>
      <c r="CY14" s="64">
        <f t="shared" si="21"/>
        <v>113.41244366078536</v>
      </c>
      <c r="CZ14" s="64">
        <f t="shared" si="22"/>
        <v>124.84876580520518</v>
      </c>
      <c r="DA14" s="64">
        <f t="shared" si="23"/>
        <v>136.97221805607367</v>
      </c>
      <c r="DB14" s="64">
        <f t="shared" si="24"/>
        <v>149.81946319869769</v>
      </c>
      <c r="DC14" s="64">
        <f t="shared" si="25"/>
        <v>163.42904328324937</v>
      </c>
      <c r="DD14" s="64">
        <f t="shared" si="26"/>
        <v>177.84147451052092</v>
      </c>
      <c r="DE14" s="64">
        <f t="shared" si="27"/>
        <v>193.09934688041824</v>
      </c>
      <c r="DF14" s="64">
        <f t="shared" si="28"/>
        <v>209.24742884169785</v>
      </c>
      <c r="DG14" s="64">
        <f t="shared" si="29"/>
        <v>226.33277719338662</v>
      </c>
      <c r="DH14" s="64">
        <f t="shared" si="30"/>
        <v>244.40485250085194</v>
      </c>
      <c r="DI14" s="64">
        <f t="shared" si="31"/>
        <v>263.51564030264643</v>
      </c>
      <c r="DJ14" s="64">
        <f t="shared" si="32"/>
        <v>283.71977839806567</v>
      </c>
      <c r="DK14" s="64">
        <f t="shared" si="33"/>
        <v>305.07469051986163</v>
      </c>
      <c r="DL14" s="64">
        <f t="shared" si="34"/>
        <v>327.64072671178525</v>
      </c>
      <c r="DM14" s="64">
        <f t="shared" si="35"/>
        <v>351.48131074662365</v>
      </c>
      <c r="DN14" s="64"/>
      <c r="DO14" s="64">
        <f t="shared" si="39"/>
        <v>5518.7999999999847</v>
      </c>
      <c r="DP14" s="64">
        <f t="shared" si="40"/>
        <v>11423.915999999985</v>
      </c>
      <c r="DQ14" s="64">
        <f t="shared" si="41"/>
        <v>17736.871319999998</v>
      </c>
      <c r="DR14" s="64">
        <f t="shared" si="42"/>
        <v>24480.309596399984</v>
      </c>
      <c r="DS14" s="64">
        <f t="shared" si="43"/>
        <v>31678.051680827975</v>
      </c>
      <c r="DT14" s="64">
        <f t="shared" si="44"/>
        <v>39355.155401569558</v>
      </c>
      <c r="DU14" s="64">
        <f t="shared" si="45"/>
        <v>47537.978331082195</v>
      </c>
      <c r="DV14" s="64">
        <f t="shared" si="46"/>
        <v>56254.24371025915</v>
      </c>
      <c r="DW14" s="64">
        <f t="shared" si="47"/>
        <v>65533.109687647426</v>
      </c>
      <c r="DX14" s="64">
        <f t="shared" si="48"/>
        <v>75405.242039742647</v>
      </c>
      <c r="DY14" s="64">
        <f t="shared" si="49"/>
        <v>85902.890546796873</v>
      </c>
      <c r="DZ14" s="64">
        <f t="shared" si="50"/>
        <v>97059.969207305126</v>
      </c>
      <c r="EA14" s="64">
        <f t="shared" si="51"/>
        <v>108912.1404835022</v>
      </c>
      <c r="EB14" s="64">
        <f t="shared" si="52"/>
        <v>121496.90377982569</v>
      </c>
      <c r="EC14" s="64">
        <f t="shared" si="53"/>
        <v>134853.68836640831</v>
      </c>
      <c r="ED14" s="64">
        <f t="shared" si="54"/>
        <v>149023.95097027195</v>
      </c>
      <c r="EE14" s="64">
        <f t="shared" si="55"/>
        <v>164051.2782680396</v>
      </c>
      <c r="EF14" s="64">
        <f t="shared" si="56"/>
        <v>179981.49452568081</v>
      </c>
      <c r="EG14" s="64">
        <f t="shared" si="57"/>
        <v>196862.77464308878</v>
      </c>
      <c r="EH14" s="64">
        <f t="shared" si="58"/>
        <v>214745.76287418968</v>
      </c>
      <c r="EI14" s="64">
        <f t="shared" si="59"/>
        <v>233683.69750682451</v>
      </c>
      <c r="EJ14" s="64">
        <f t="shared" si="60"/>
        <v>253732.54180086957</v>
      </c>
      <c r="EK14" s="64">
        <f t="shared" si="61"/>
        <v>274951.12149799097</v>
      </c>
      <c r="EL14" s="64">
        <f t="shared" si="62"/>
        <v>297401.26923211</v>
      </c>
      <c r="EM14" s="64">
        <f t="shared" si="63"/>
        <v>321147.97618611949</v>
      </c>
      <c r="EN14" s="64">
        <f t="shared" si="64"/>
        <v>346259.55135767738</v>
      </c>
      <c r="EO14" s="64">
        <f t="shared" si="65"/>
        <v>372807.78881505824</v>
      </c>
      <c r="EP14" s="64">
        <f t="shared" si="66"/>
        <v>400868.14334309817</v>
      </c>
      <c r="EQ14" s="64">
        <f t="shared" si="67"/>
        <v>430519.91489928582</v>
      </c>
      <c r="ER14" s="64">
        <f t="shared" si="68"/>
        <v>461846.44232106348</v>
      </c>
      <c r="ES14" s="64"/>
      <c r="ET14" s="57">
        <v>0.05</v>
      </c>
      <c r="EU14" s="57">
        <v>0.02</v>
      </c>
      <c r="EV14" s="61"/>
    </row>
    <row r="15" spans="1:152" ht="27.75" hidden="1" customHeight="1" outlineLevel="1" x14ac:dyDescent="0.35">
      <c r="A15" s="62" t="s">
        <v>144</v>
      </c>
      <c r="B15" s="62" t="s">
        <v>167</v>
      </c>
      <c r="C15" s="62" t="s">
        <v>170</v>
      </c>
      <c r="D15" s="63" t="s">
        <v>152</v>
      </c>
      <c r="E15" s="63" t="s">
        <v>147</v>
      </c>
      <c r="F15" s="63" t="s">
        <v>148</v>
      </c>
      <c r="G15" s="63">
        <v>3</v>
      </c>
      <c r="H15" s="64">
        <v>3</v>
      </c>
      <c r="I15" s="64">
        <v>438</v>
      </c>
      <c r="J15" s="61" t="s">
        <v>590</v>
      </c>
      <c r="K15" s="64">
        <v>0</v>
      </c>
      <c r="L15" s="64">
        <v>75</v>
      </c>
      <c r="M15" s="64">
        <v>126</v>
      </c>
      <c r="N15" s="64">
        <v>96</v>
      </c>
      <c r="O15" s="64"/>
      <c r="P15" s="64">
        <v>105</v>
      </c>
      <c r="Q15" s="64">
        <v>110</v>
      </c>
      <c r="R15" s="64">
        <v>115</v>
      </c>
      <c r="S15" s="64">
        <v>115</v>
      </c>
      <c r="T15" s="64">
        <v>115</v>
      </c>
      <c r="U15" s="291">
        <f t="shared" ref="U15:AX15" si="87">T15*(1+$EU15)</f>
        <v>117.3</v>
      </c>
      <c r="V15" s="291">
        <f t="shared" si="87"/>
        <v>119.646</v>
      </c>
      <c r="W15" s="291">
        <f t="shared" si="87"/>
        <v>122.03892</v>
      </c>
      <c r="X15" s="291">
        <f t="shared" si="87"/>
        <v>124.4796984</v>
      </c>
      <c r="Y15" s="291">
        <f t="shared" si="87"/>
        <v>126.96929236800001</v>
      </c>
      <c r="Z15" s="291">
        <f t="shared" si="87"/>
        <v>129.50867821536002</v>
      </c>
      <c r="AA15" s="291">
        <f t="shared" si="87"/>
        <v>132.09885177966723</v>
      </c>
      <c r="AB15" s="291">
        <f t="shared" si="87"/>
        <v>134.74082881526058</v>
      </c>
      <c r="AC15" s="291">
        <f t="shared" si="87"/>
        <v>137.4356453915658</v>
      </c>
      <c r="AD15" s="291">
        <f t="shared" si="87"/>
        <v>140.1843582993971</v>
      </c>
      <c r="AE15" s="291">
        <f t="shared" si="87"/>
        <v>142.98804546538506</v>
      </c>
      <c r="AF15" s="291">
        <f t="shared" si="87"/>
        <v>145.84780637469277</v>
      </c>
      <c r="AG15" s="291">
        <f t="shared" si="87"/>
        <v>148.76476250218661</v>
      </c>
      <c r="AH15" s="291">
        <f t="shared" si="87"/>
        <v>151.74005775223034</v>
      </c>
      <c r="AI15" s="291">
        <f t="shared" si="87"/>
        <v>154.77485890727496</v>
      </c>
      <c r="AJ15" s="291">
        <f t="shared" si="87"/>
        <v>157.87035608542047</v>
      </c>
      <c r="AK15" s="291">
        <f t="shared" si="87"/>
        <v>161.02776320712888</v>
      </c>
      <c r="AL15" s="291">
        <f t="shared" si="87"/>
        <v>164.24831847127146</v>
      </c>
      <c r="AM15" s="291">
        <f t="shared" si="87"/>
        <v>167.53328484069689</v>
      </c>
      <c r="AN15" s="291">
        <f t="shared" si="87"/>
        <v>170.88395053751083</v>
      </c>
      <c r="AO15" s="291">
        <f t="shared" si="87"/>
        <v>174.30162954826105</v>
      </c>
      <c r="AP15" s="291">
        <f t="shared" si="87"/>
        <v>177.78766213922628</v>
      </c>
      <c r="AQ15" s="291">
        <f t="shared" si="87"/>
        <v>181.34341538201082</v>
      </c>
      <c r="AR15" s="291">
        <f t="shared" si="87"/>
        <v>184.97028368965104</v>
      </c>
      <c r="AS15" s="291">
        <f t="shared" si="87"/>
        <v>188.66968936344406</v>
      </c>
      <c r="AT15" s="291">
        <f t="shared" si="87"/>
        <v>192.44308315071294</v>
      </c>
      <c r="AU15" s="291">
        <f t="shared" si="87"/>
        <v>196.29194481372721</v>
      </c>
      <c r="AV15" s="291">
        <f t="shared" si="87"/>
        <v>200.21778371000175</v>
      </c>
      <c r="AW15" s="291">
        <f t="shared" si="87"/>
        <v>204.2221393842018</v>
      </c>
      <c r="AX15" s="291">
        <f t="shared" si="87"/>
        <v>208.30658217188582</v>
      </c>
      <c r="AZ15" s="64">
        <v>105</v>
      </c>
      <c r="BA15" s="64">
        <v>110</v>
      </c>
      <c r="BB15" s="64">
        <v>115</v>
      </c>
      <c r="BC15" s="64">
        <v>115</v>
      </c>
      <c r="BD15" s="64">
        <v>115</v>
      </c>
      <c r="BE15" s="64">
        <f t="shared" ref="BE15:CH15" si="88">BD15*(1+$ET15)</f>
        <v>120.75</v>
      </c>
      <c r="BF15" s="64">
        <f t="shared" si="88"/>
        <v>126.78750000000001</v>
      </c>
      <c r="BG15" s="64">
        <f t="shared" si="88"/>
        <v>133.12687500000001</v>
      </c>
      <c r="BH15" s="64">
        <f t="shared" si="88"/>
        <v>139.78321875000003</v>
      </c>
      <c r="BI15" s="64">
        <f t="shared" si="88"/>
        <v>146.77237968750003</v>
      </c>
      <c r="BJ15" s="64">
        <f t="shared" si="88"/>
        <v>154.11099867187505</v>
      </c>
      <c r="BK15" s="64">
        <f t="shared" si="88"/>
        <v>161.81654860546882</v>
      </c>
      <c r="BL15" s="64">
        <f t="shared" si="88"/>
        <v>169.90737603574226</v>
      </c>
      <c r="BM15" s="64">
        <f t="shared" si="88"/>
        <v>178.40274483752938</v>
      </c>
      <c r="BN15" s="64">
        <f t="shared" si="88"/>
        <v>187.32288207940587</v>
      </c>
      <c r="BO15" s="64">
        <f t="shared" si="88"/>
        <v>196.68902618337617</v>
      </c>
      <c r="BP15" s="64">
        <f t="shared" si="88"/>
        <v>206.523477492545</v>
      </c>
      <c r="BQ15" s="64">
        <f t="shared" si="88"/>
        <v>216.84965136717227</v>
      </c>
      <c r="BR15" s="64">
        <f t="shared" si="88"/>
        <v>227.6921339355309</v>
      </c>
      <c r="BS15" s="64">
        <f t="shared" si="88"/>
        <v>239.07674063230746</v>
      </c>
      <c r="BT15" s="64">
        <f t="shared" si="88"/>
        <v>251.03057766392286</v>
      </c>
      <c r="BU15" s="64">
        <f t="shared" si="88"/>
        <v>263.582106547119</v>
      </c>
      <c r="BV15" s="64">
        <f t="shared" si="88"/>
        <v>276.76121187447495</v>
      </c>
      <c r="BW15" s="64">
        <f t="shared" si="88"/>
        <v>290.59927246819871</v>
      </c>
      <c r="BX15" s="64">
        <f t="shared" si="88"/>
        <v>305.12923609160867</v>
      </c>
      <c r="BY15" s="64">
        <f t="shared" si="88"/>
        <v>320.38569789618913</v>
      </c>
      <c r="BZ15" s="64">
        <f t="shared" si="88"/>
        <v>336.40498279099859</v>
      </c>
      <c r="CA15" s="64">
        <f t="shared" si="88"/>
        <v>353.22523193054855</v>
      </c>
      <c r="CB15" s="64">
        <f t="shared" si="88"/>
        <v>370.88649352707597</v>
      </c>
      <c r="CC15" s="64">
        <f t="shared" si="88"/>
        <v>389.43081820342979</v>
      </c>
      <c r="CD15" s="64">
        <f t="shared" si="88"/>
        <v>408.90235911360128</v>
      </c>
      <c r="CE15" s="64">
        <f t="shared" si="88"/>
        <v>429.34747706928135</v>
      </c>
      <c r="CF15" s="64">
        <f t="shared" si="88"/>
        <v>450.81485092274545</v>
      </c>
      <c r="CG15" s="64">
        <f t="shared" si="88"/>
        <v>473.35559346888272</v>
      </c>
      <c r="CH15" s="64">
        <f t="shared" si="88"/>
        <v>497.02337314232688</v>
      </c>
      <c r="CI15" s="64"/>
      <c r="CJ15" s="64">
        <f t="shared" si="6"/>
        <v>3.4500000000000028</v>
      </c>
      <c r="CK15" s="64">
        <f t="shared" si="7"/>
        <v>7.1415000000000077</v>
      </c>
      <c r="CL15" s="64">
        <f t="shared" si="8"/>
        <v>11.087955000000008</v>
      </c>
      <c r="CM15" s="64">
        <f t="shared" si="9"/>
        <v>15.303520350000028</v>
      </c>
      <c r="CN15" s="64">
        <f t="shared" si="10"/>
        <v>19.803087319500023</v>
      </c>
      <c r="CO15" s="64">
        <f t="shared" si="11"/>
        <v>24.602320456515031</v>
      </c>
      <c r="CP15" s="64">
        <f t="shared" si="12"/>
        <v>29.717696825801596</v>
      </c>
      <c r="CQ15" s="64">
        <f t="shared" si="13"/>
        <v>35.166547220481675</v>
      </c>
      <c r="CR15" s="64">
        <f t="shared" si="14"/>
        <v>40.967099445963584</v>
      </c>
      <c r="CS15" s="64">
        <f t="shared" si="15"/>
        <v>47.138523780008768</v>
      </c>
      <c r="CT15" s="64">
        <f t="shared" si="16"/>
        <v>53.700980717991115</v>
      </c>
      <c r="CU15" s="64">
        <f t="shared" si="17"/>
        <v>60.675671117852232</v>
      </c>
      <c r="CV15" s="64">
        <f t="shared" si="18"/>
        <v>68.084888864985658</v>
      </c>
      <c r="CW15" s="64">
        <f t="shared" si="19"/>
        <v>75.952076183300562</v>
      </c>
      <c r="CX15" s="64">
        <f t="shared" si="20"/>
        <v>84.301881725032501</v>
      </c>
      <c r="CY15" s="64">
        <f t="shared" si="21"/>
        <v>93.160221578502387</v>
      </c>
      <c r="CZ15" s="64">
        <f t="shared" si="22"/>
        <v>102.55434333999011</v>
      </c>
      <c r="DA15" s="64">
        <f t="shared" si="23"/>
        <v>112.51289340320349</v>
      </c>
      <c r="DB15" s="64">
        <f t="shared" si="24"/>
        <v>123.06598762750181</v>
      </c>
      <c r="DC15" s="64">
        <f t="shared" si="25"/>
        <v>134.24528555409785</v>
      </c>
      <c r="DD15" s="64">
        <f t="shared" si="26"/>
        <v>146.08406834792808</v>
      </c>
      <c r="DE15" s="64">
        <f t="shared" si="27"/>
        <v>158.6173206517723</v>
      </c>
      <c r="DF15" s="64">
        <f t="shared" si="28"/>
        <v>171.88181654853773</v>
      </c>
      <c r="DG15" s="64">
        <f t="shared" si="29"/>
        <v>185.91620983742493</v>
      </c>
      <c r="DH15" s="64">
        <f t="shared" si="30"/>
        <v>200.76112883998573</v>
      </c>
      <c r="DI15" s="64">
        <f t="shared" si="31"/>
        <v>216.45927596288834</v>
      </c>
      <c r="DJ15" s="64">
        <f t="shared" si="32"/>
        <v>233.05553225555414</v>
      </c>
      <c r="DK15" s="64">
        <f t="shared" si="33"/>
        <v>250.5970672127437</v>
      </c>
      <c r="DL15" s="64">
        <f t="shared" si="34"/>
        <v>269.13345408468092</v>
      </c>
      <c r="DM15" s="64">
        <f t="shared" si="35"/>
        <v>288.71679097044102</v>
      </c>
      <c r="DN15" s="64"/>
      <c r="DO15" s="64">
        <f t="shared" si="39"/>
        <v>4533.3000000000038</v>
      </c>
      <c r="DP15" s="64">
        <f t="shared" si="40"/>
        <v>9383.9310000000096</v>
      </c>
      <c r="DQ15" s="64">
        <f t="shared" si="41"/>
        <v>14569.572870000011</v>
      </c>
      <c r="DR15" s="64">
        <f t="shared" si="42"/>
        <v>20108.825739900036</v>
      </c>
      <c r="DS15" s="64">
        <f t="shared" si="43"/>
        <v>26021.256737823031</v>
      </c>
      <c r="DT15" s="64">
        <f t="shared" si="44"/>
        <v>32327.449079860751</v>
      </c>
      <c r="DU15" s="64">
        <f t="shared" si="45"/>
        <v>39049.053629103299</v>
      </c>
      <c r="DV15" s="64">
        <f t="shared" si="46"/>
        <v>46208.843047712922</v>
      </c>
      <c r="DW15" s="64">
        <f t="shared" si="47"/>
        <v>53830.768671996149</v>
      </c>
      <c r="DX15" s="64">
        <f t="shared" si="48"/>
        <v>61940.020246931519</v>
      </c>
      <c r="DY15" s="64">
        <f t="shared" si="49"/>
        <v>70563.088663440329</v>
      </c>
      <c r="DZ15" s="64">
        <f t="shared" si="50"/>
        <v>79727.831848857837</v>
      </c>
      <c r="EA15" s="64">
        <f t="shared" si="51"/>
        <v>89463.543968591155</v>
      </c>
      <c r="EB15" s="64">
        <f t="shared" si="52"/>
        <v>99801.028104856945</v>
      </c>
      <c r="EC15" s="64">
        <f t="shared" si="53"/>
        <v>110772.6725866927</v>
      </c>
      <c r="ED15" s="64">
        <f t="shared" si="54"/>
        <v>122412.53115415214</v>
      </c>
      <c r="EE15" s="64">
        <f t="shared" si="55"/>
        <v>134756.40714874701</v>
      </c>
      <c r="EF15" s="64">
        <f t="shared" si="56"/>
        <v>147841.94193180939</v>
      </c>
      <c r="EG15" s="64">
        <f t="shared" si="57"/>
        <v>161708.70774253737</v>
      </c>
      <c r="EH15" s="64">
        <f t="shared" si="58"/>
        <v>176398.30521808457</v>
      </c>
      <c r="EI15" s="64">
        <f t="shared" si="59"/>
        <v>191954.46580917749</v>
      </c>
      <c r="EJ15" s="64">
        <f t="shared" si="60"/>
        <v>208423.15933642883</v>
      </c>
      <c r="EK15" s="64">
        <f t="shared" si="61"/>
        <v>225852.70694477859</v>
      </c>
      <c r="EL15" s="64">
        <f t="shared" si="62"/>
        <v>244293.89972637634</v>
      </c>
      <c r="EM15" s="64">
        <f t="shared" si="63"/>
        <v>263800.12329574121</v>
      </c>
      <c r="EN15" s="64">
        <f t="shared" si="64"/>
        <v>284427.48861523526</v>
      </c>
      <c r="EO15" s="64">
        <f t="shared" si="65"/>
        <v>306234.96938379813</v>
      </c>
      <c r="EP15" s="64">
        <f t="shared" si="66"/>
        <v>329284.54631754523</v>
      </c>
      <c r="EQ15" s="64">
        <f t="shared" si="67"/>
        <v>353641.35866727075</v>
      </c>
      <c r="ER15" s="64">
        <f t="shared" si="68"/>
        <v>379373.86333515949</v>
      </c>
      <c r="ES15" s="64"/>
      <c r="ET15" s="57">
        <v>0.05</v>
      </c>
      <c r="EU15" s="57">
        <v>0.02</v>
      </c>
      <c r="EV15" s="61"/>
    </row>
    <row r="16" spans="1:152" ht="27.75" hidden="1" customHeight="1" outlineLevel="1" x14ac:dyDescent="0.35">
      <c r="A16" s="62" t="s">
        <v>144</v>
      </c>
      <c r="B16" s="62" t="s">
        <v>167</v>
      </c>
      <c r="C16" s="62" t="s">
        <v>171</v>
      </c>
      <c r="D16" s="63" t="s">
        <v>152</v>
      </c>
      <c r="E16" s="63" t="s">
        <v>147</v>
      </c>
      <c r="F16" s="63" t="s">
        <v>148</v>
      </c>
      <c r="G16" s="63">
        <v>3</v>
      </c>
      <c r="H16" s="64">
        <v>3</v>
      </c>
      <c r="I16" s="64">
        <v>438</v>
      </c>
      <c r="J16" s="61" t="s">
        <v>590</v>
      </c>
      <c r="K16" s="64">
        <v>89</v>
      </c>
      <c r="L16" s="64">
        <v>91</v>
      </c>
      <c r="M16" s="64">
        <v>82</v>
      </c>
      <c r="N16" s="64">
        <v>68</v>
      </c>
      <c r="O16" s="64"/>
      <c r="P16" s="64">
        <v>80</v>
      </c>
      <c r="Q16" s="64">
        <v>82</v>
      </c>
      <c r="R16" s="64">
        <v>90</v>
      </c>
      <c r="S16" s="64">
        <v>90</v>
      </c>
      <c r="T16" s="64">
        <v>90</v>
      </c>
      <c r="U16" s="291">
        <f t="shared" ref="U16:AX16" si="89">T16*(1+$EU16)</f>
        <v>91.8</v>
      </c>
      <c r="V16" s="291">
        <f t="shared" si="89"/>
        <v>93.635999999999996</v>
      </c>
      <c r="W16" s="291">
        <f t="shared" si="89"/>
        <v>95.508719999999997</v>
      </c>
      <c r="X16" s="291">
        <f t="shared" si="89"/>
        <v>97.418894399999999</v>
      </c>
      <c r="Y16" s="291">
        <f t="shared" si="89"/>
        <v>99.367272287999995</v>
      </c>
      <c r="Z16" s="291">
        <f t="shared" si="89"/>
        <v>101.35461773375999</v>
      </c>
      <c r="AA16" s="291">
        <f t="shared" si="89"/>
        <v>103.3817100884352</v>
      </c>
      <c r="AB16" s="291">
        <f t="shared" si="89"/>
        <v>105.44934429020391</v>
      </c>
      <c r="AC16" s="291">
        <f t="shared" si="89"/>
        <v>107.558331176008</v>
      </c>
      <c r="AD16" s="291">
        <f t="shared" si="89"/>
        <v>109.70949779952817</v>
      </c>
      <c r="AE16" s="291">
        <f t="shared" si="89"/>
        <v>111.90368775551873</v>
      </c>
      <c r="AF16" s="291">
        <f t="shared" si="89"/>
        <v>114.14176151062911</v>
      </c>
      <c r="AG16" s="291">
        <f t="shared" si="89"/>
        <v>116.42459674084169</v>
      </c>
      <c r="AH16" s="291">
        <f t="shared" si="89"/>
        <v>118.75308867565853</v>
      </c>
      <c r="AI16" s="291">
        <f t="shared" si="89"/>
        <v>121.1281504491717</v>
      </c>
      <c r="AJ16" s="291">
        <f t="shared" si="89"/>
        <v>123.55071345815513</v>
      </c>
      <c r="AK16" s="291">
        <f t="shared" si="89"/>
        <v>126.02172772731824</v>
      </c>
      <c r="AL16" s="291">
        <f t="shared" si="89"/>
        <v>128.54216228186459</v>
      </c>
      <c r="AM16" s="291">
        <f t="shared" si="89"/>
        <v>131.11300552750188</v>
      </c>
      <c r="AN16" s="291">
        <f t="shared" si="89"/>
        <v>133.73526563805191</v>
      </c>
      <c r="AO16" s="291">
        <f t="shared" si="89"/>
        <v>136.40997095081295</v>
      </c>
      <c r="AP16" s="291">
        <f t="shared" si="89"/>
        <v>139.1381703698292</v>
      </c>
      <c r="AQ16" s="291">
        <f t="shared" si="89"/>
        <v>141.92093377722577</v>
      </c>
      <c r="AR16" s="291">
        <f t="shared" si="89"/>
        <v>144.75935245277029</v>
      </c>
      <c r="AS16" s="291">
        <f t="shared" si="89"/>
        <v>147.6545395018257</v>
      </c>
      <c r="AT16" s="291">
        <f t="shared" si="89"/>
        <v>150.60763029186222</v>
      </c>
      <c r="AU16" s="291">
        <f t="shared" si="89"/>
        <v>153.61978289769948</v>
      </c>
      <c r="AV16" s="291">
        <f t="shared" si="89"/>
        <v>156.69217855565347</v>
      </c>
      <c r="AW16" s="291">
        <f t="shared" si="89"/>
        <v>159.82602212676653</v>
      </c>
      <c r="AX16" s="291">
        <f t="shared" si="89"/>
        <v>163.02254256930186</v>
      </c>
      <c r="AZ16" s="64">
        <v>80</v>
      </c>
      <c r="BA16" s="64">
        <v>82</v>
      </c>
      <c r="BB16" s="64">
        <v>90</v>
      </c>
      <c r="BC16" s="64">
        <v>90</v>
      </c>
      <c r="BD16" s="64">
        <v>90</v>
      </c>
      <c r="BE16" s="64">
        <f t="shared" ref="BE16:CH16" si="90">BD16*(1+$ET16)</f>
        <v>94.5</v>
      </c>
      <c r="BF16" s="64">
        <f t="shared" si="90"/>
        <v>99.225000000000009</v>
      </c>
      <c r="BG16" s="64">
        <f t="shared" si="90"/>
        <v>104.18625000000002</v>
      </c>
      <c r="BH16" s="64">
        <f t="shared" si="90"/>
        <v>109.39556250000003</v>
      </c>
      <c r="BI16" s="64">
        <f t="shared" si="90"/>
        <v>114.86534062500003</v>
      </c>
      <c r="BJ16" s="64">
        <f t="shared" si="90"/>
        <v>120.60860765625004</v>
      </c>
      <c r="BK16" s="64">
        <f t="shared" si="90"/>
        <v>126.63903803906256</v>
      </c>
      <c r="BL16" s="64">
        <f t="shared" si="90"/>
        <v>132.97098994101569</v>
      </c>
      <c r="BM16" s="64">
        <f t="shared" si="90"/>
        <v>139.61953943806648</v>
      </c>
      <c r="BN16" s="64">
        <f t="shared" si="90"/>
        <v>146.6005164099698</v>
      </c>
      <c r="BO16" s="64">
        <f t="shared" si="90"/>
        <v>153.93054223046829</v>
      </c>
      <c r="BP16" s="64">
        <f t="shared" si="90"/>
        <v>161.6270693419917</v>
      </c>
      <c r="BQ16" s="64">
        <f t="shared" si="90"/>
        <v>169.7084228090913</v>
      </c>
      <c r="BR16" s="64">
        <f t="shared" si="90"/>
        <v>178.19384394954588</v>
      </c>
      <c r="BS16" s="64">
        <f t="shared" si="90"/>
        <v>187.10353614702319</v>
      </c>
      <c r="BT16" s="64">
        <f t="shared" si="90"/>
        <v>196.45871295437436</v>
      </c>
      <c r="BU16" s="64">
        <f t="shared" si="90"/>
        <v>206.2816486020931</v>
      </c>
      <c r="BV16" s="64">
        <f t="shared" si="90"/>
        <v>216.59573103219776</v>
      </c>
      <c r="BW16" s="64">
        <f t="shared" si="90"/>
        <v>227.42551758380765</v>
      </c>
      <c r="BX16" s="64">
        <f t="shared" si="90"/>
        <v>238.79679346299804</v>
      </c>
      <c r="BY16" s="64">
        <f t="shared" si="90"/>
        <v>250.73663313614796</v>
      </c>
      <c r="BZ16" s="64">
        <f t="shared" si="90"/>
        <v>263.27346479295539</v>
      </c>
      <c r="CA16" s="64">
        <f t="shared" si="90"/>
        <v>276.43713803260317</v>
      </c>
      <c r="CB16" s="64">
        <f t="shared" si="90"/>
        <v>290.25899493423333</v>
      </c>
      <c r="CC16" s="64">
        <f t="shared" si="90"/>
        <v>304.77194468094501</v>
      </c>
      <c r="CD16" s="64">
        <f t="shared" si="90"/>
        <v>320.0105419149923</v>
      </c>
      <c r="CE16" s="64">
        <f t="shared" si="90"/>
        <v>336.01106901074195</v>
      </c>
      <c r="CF16" s="64">
        <f t="shared" si="90"/>
        <v>352.81162246127906</v>
      </c>
      <c r="CG16" s="64">
        <f t="shared" si="90"/>
        <v>370.45220358434301</v>
      </c>
      <c r="CH16" s="64">
        <f t="shared" si="90"/>
        <v>388.97481376356018</v>
      </c>
      <c r="CI16" s="64"/>
      <c r="CJ16" s="64">
        <f t="shared" si="6"/>
        <v>2.7000000000000028</v>
      </c>
      <c r="CK16" s="64">
        <f t="shared" si="7"/>
        <v>5.5890000000000128</v>
      </c>
      <c r="CL16" s="64">
        <f t="shared" si="8"/>
        <v>8.6775300000000186</v>
      </c>
      <c r="CM16" s="64">
        <f t="shared" si="9"/>
        <v>11.976668100000026</v>
      </c>
      <c r="CN16" s="64">
        <f t="shared" si="10"/>
        <v>15.498068337000035</v>
      </c>
      <c r="CO16" s="64">
        <f t="shared" si="11"/>
        <v>19.253989922490049</v>
      </c>
      <c r="CP16" s="64">
        <f t="shared" si="12"/>
        <v>23.257327950627356</v>
      </c>
      <c r="CQ16" s="64">
        <f t="shared" si="13"/>
        <v>27.521645650811777</v>
      </c>
      <c r="CR16" s="64">
        <f t="shared" si="14"/>
        <v>32.061208262058486</v>
      </c>
      <c r="CS16" s="64">
        <f t="shared" si="15"/>
        <v>36.891018610441634</v>
      </c>
      <c r="CT16" s="64">
        <f t="shared" si="16"/>
        <v>42.026854474949559</v>
      </c>
      <c r="CU16" s="64">
        <f t="shared" si="17"/>
        <v>47.48530783136259</v>
      </c>
      <c r="CV16" s="64">
        <f t="shared" si="18"/>
        <v>53.28382606824961</v>
      </c>
      <c r="CW16" s="64">
        <f t="shared" si="19"/>
        <v>59.440755273887348</v>
      </c>
      <c r="CX16" s="64">
        <f t="shared" si="20"/>
        <v>65.975385697851493</v>
      </c>
      <c r="CY16" s="64">
        <f t="shared" si="21"/>
        <v>72.907999496219233</v>
      </c>
      <c r="CZ16" s="64">
        <f t="shared" si="22"/>
        <v>80.259920874774863</v>
      </c>
      <c r="DA16" s="64">
        <f t="shared" si="23"/>
        <v>88.05356875033317</v>
      </c>
      <c r="DB16" s="64">
        <f t="shared" si="24"/>
        <v>96.312512056305764</v>
      </c>
      <c r="DC16" s="64">
        <f t="shared" si="25"/>
        <v>105.06152782494613</v>
      </c>
      <c r="DD16" s="64">
        <f t="shared" si="26"/>
        <v>114.32666218533501</v>
      </c>
      <c r="DE16" s="64">
        <f t="shared" si="27"/>
        <v>124.1352944231262</v>
      </c>
      <c r="DF16" s="64">
        <f t="shared" si="28"/>
        <v>134.5162042553774</v>
      </c>
      <c r="DG16" s="64">
        <f t="shared" si="29"/>
        <v>145.49964248146304</v>
      </c>
      <c r="DH16" s="64">
        <f t="shared" si="30"/>
        <v>157.11740517911932</v>
      </c>
      <c r="DI16" s="64">
        <f t="shared" si="31"/>
        <v>169.40291162313008</v>
      </c>
      <c r="DJ16" s="64">
        <f t="shared" si="32"/>
        <v>182.39128611304247</v>
      </c>
      <c r="DK16" s="64">
        <f t="shared" si="33"/>
        <v>196.11944390562559</v>
      </c>
      <c r="DL16" s="64">
        <f t="shared" si="34"/>
        <v>210.62618145757648</v>
      </c>
      <c r="DM16" s="64">
        <f t="shared" si="35"/>
        <v>225.95227119425832</v>
      </c>
      <c r="DN16" s="64"/>
      <c r="DO16" s="64">
        <f t="shared" si="39"/>
        <v>3547.8000000000038</v>
      </c>
      <c r="DP16" s="64">
        <f t="shared" si="40"/>
        <v>7343.9460000000172</v>
      </c>
      <c r="DQ16" s="64">
        <f t="shared" si="41"/>
        <v>11402.274420000025</v>
      </c>
      <c r="DR16" s="64">
        <f t="shared" si="42"/>
        <v>15737.341883400035</v>
      </c>
      <c r="DS16" s="64">
        <f t="shared" si="43"/>
        <v>20364.461794818046</v>
      </c>
      <c r="DT16" s="64">
        <f t="shared" si="44"/>
        <v>25299.742758151926</v>
      </c>
      <c r="DU16" s="64">
        <f t="shared" si="45"/>
        <v>30560.128927124348</v>
      </c>
      <c r="DV16" s="64">
        <f t="shared" si="46"/>
        <v>36163.442385166672</v>
      </c>
      <c r="DW16" s="64">
        <f t="shared" si="47"/>
        <v>42128.427656344851</v>
      </c>
      <c r="DX16" s="64">
        <f t="shared" si="48"/>
        <v>48474.798454120304</v>
      </c>
      <c r="DY16" s="64">
        <f t="shared" si="49"/>
        <v>55223.286780083719</v>
      </c>
      <c r="DZ16" s="64">
        <f t="shared" si="50"/>
        <v>62395.694490410438</v>
      </c>
      <c r="EA16" s="64">
        <f t="shared" si="51"/>
        <v>70014.947453679997</v>
      </c>
      <c r="EB16" s="64">
        <f t="shared" si="52"/>
        <v>78105.152429887967</v>
      </c>
      <c r="EC16" s="64">
        <f t="shared" si="53"/>
        <v>86691.656806976869</v>
      </c>
      <c r="ED16" s="64">
        <f t="shared" si="54"/>
        <v>95801.11133803206</v>
      </c>
      <c r="EE16" s="64">
        <f t="shared" si="55"/>
        <v>105461.53602945416</v>
      </c>
      <c r="EF16" s="64">
        <f t="shared" si="56"/>
        <v>115702.38933793778</v>
      </c>
      <c r="EG16" s="64">
        <f t="shared" si="57"/>
        <v>126554.64084198578</v>
      </c>
      <c r="EH16" s="64">
        <f t="shared" si="58"/>
        <v>138050.84756197923</v>
      </c>
      <c r="EI16" s="64">
        <f t="shared" si="59"/>
        <v>150225.23411153021</v>
      </c>
      <c r="EJ16" s="64">
        <f t="shared" si="60"/>
        <v>163113.77687198782</v>
      </c>
      <c r="EK16" s="64">
        <f t="shared" si="61"/>
        <v>176754.29239156592</v>
      </c>
      <c r="EL16" s="64">
        <f t="shared" si="62"/>
        <v>191186.53022064242</v>
      </c>
      <c r="EM16" s="64">
        <f t="shared" si="63"/>
        <v>206452.27040536277</v>
      </c>
      <c r="EN16" s="64">
        <f t="shared" si="64"/>
        <v>222595.42587279293</v>
      </c>
      <c r="EO16" s="64">
        <f t="shared" si="65"/>
        <v>239662.14995253779</v>
      </c>
      <c r="EP16" s="64">
        <f t="shared" si="66"/>
        <v>257700.94929199206</v>
      </c>
      <c r="EQ16" s="64">
        <f t="shared" si="67"/>
        <v>276762.80243525549</v>
      </c>
      <c r="ER16" s="64">
        <f t="shared" si="68"/>
        <v>296901.28434925544</v>
      </c>
      <c r="ES16" s="64"/>
      <c r="ET16" s="57">
        <v>0.05</v>
      </c>
      <c r="EU16" s="57">
        <v>0.02</v>
      </c>
      <c r="EV16" s="61"/>
    </row>
    <row r="17" spans="1:152" ht="27.75" hidden="1" customHeight="1" outlineLevel="1" x14ac:dyDescent="0.35">
      <c r="A17" s="62" t="s">
        <v>144</v>
      </c>
      <c r="B17" s="62" t="s">
        <v>167</v>
      </c>
      <c r="C17" s="62" t="s">
        <v>172</v>
      </c>
      <c r="D17" s="63" t="s">
        <v>152</v>
      </c>
      <c r="E17" s="63" t="s">
        <v>147</v>
      </c>
      <c r="F17" s="63" t="s">
        <v>148</v>
      </c>
      <c r="G17" s="63">
        <v>3</v>
      </c>
      <c r="H17" s="64">
        <v>3</v>
      </c>
      <c r="I17" s="64">
        <v>438</v>
      </c>
      <c r="J17" s="61" t="s">
        <v>590</v>
      </c>
      <c r="K17" s="64">
        <v>37</v>
      </c>
      <c r="L17" s="64">
        <v>38</v>
      </c>
      <c r="M17" s="64">
        <v>41</v>
      </c>
      <c r="N17" s="64">
        <v>49</v>
      </c>
      <c r="O17" s="64"/>
      <c r="P17" s="64">
        <v>50</v>
      </c>
      <c r="Q17" s="64">
        <v>55</v>
      </c>
      <c r="R17" s="64">
        <v>60</v>
      </c>
      <c r="S17" s="64">
        <v>60</v>
      </c>
      <c r="T17" s="64">
        <v>60</v>
      </c>
      <c r="U17" s="291">
        <f t="shared" ref="U17:AX17" si="91">T17*(1+$EU17)</f>
        <v>61.2</v>
      </c>
      <c r="V17" s="291">
        <f t="shared" si="91"/>
        <v>62.424000000000007</v>
      </c>
      <c r="W17" s="291">
        <f t="shared" si="91"/>
        <v>63.672480000000007</v>
      </c>
      <c r="X17" s="291">
        <f t="shared" si="91"/>
        <v>64.945929600000014</v>
      </c>
      <c r="Y17" s="291">
        <f t="shared" si="91"/>
        <v>66.244848192000021</v>
      </c>
      <c r="Z17" s="291">
        <f t="shared" si="91"/>
        <v>67.569745155840025</v>
      </c>
      <c r="AA17" s="291">
        <f t="shared" si="91"/>
        <v>68.921140058956823</v>
      </c>
      <c r="AB17" s="291">
        <f t="shared" si="91"/>
        <v>70.299562860135964</v>
      </c>
      <c r="AC17" s="291">
        <f t="shared" si="91"/>
        <v>71.705554117338679</v>
      </c>
      <c r="AD17" s="291">
        <f t="shared" si="91"/>
        <v>73.139665199685453</v>
      </c>
      <c r="AE17" s="291">
        <f t="shared" si="91"/>
        <v>74.602458503679159</v>
      </c>
      <c r="AF17" s="291">
        <f t="shared" si="91"/>
        <v>76.094507673752744</v>
      </c>
      <c r="AG17" s="291">
        <f t="shared" si="91"/>
        <v>77.6163978272278</v>
      </c>
      <c r="AH17" s="291">
        <f t="shared" si="91"/>
        <v>79.168725783772359</v>
      </c>
      <c r="AI17" s="291">
        <f t="shared" si="91"/>
        <v>80.752100299447804</v>
      </c>
      <c r="AJ17" s="291">
        <f t="shared" si="91"/>
        <v>82.367142305436758</v>
      </c>
      <c r="AK17" s="291">
        <f t="shared" si="91"/>
        <v>84.0144851515455</v>
      </c>
      <c r="AL17" s="291">
        <f t="shared" si="91"/>
        <v>85.694774854576409</v>
      </c>
      <c r="AM17" s="291">
        <f t="shared" si="91"/>
        <v>87.408670351667936</v>
      </c>
      <c r="AN17" s="291">
        <f t="shared" si="91"/>
        <v>89.156843758701299</v>
      </c>
      <c r="AO17" s="291">
        <f t="shared" si="91"/>
        <v>90.939980633875322</v>
      </c>
      <c r="AP17" s="291">
        <f t="shared" si="91"/>
        <v>92.758780246552831</v>
      </c>
      <c r="AQ17" s="291">
        <f t="shared" si="91"/>
        <v>94.613955851483894</v>
      </c>
      <c r="AR17" s="291">
        <f t="shared" si="91"/>
        <v>96.506234968513567</v>
      </c>
      <c r="AS17" s="291">
        <f t="shared" si="91"/>
        <v>98.436359667883835</v>
      </c>
      <c r="AT17" s="291">
        <f t="shared" si="91"/>
        <v>100.40508686124151</v>
      </c>
      <c r="AU17" s="291">
        <f t="shared" si="91"/>
        <v>102.41318859846635</v>
      </c>
      <c r="AV17" s="291">
        <f t="shared" si="91"/>
        <v>104.46145237043568</v>
      </c>
      <c r="AW17" s="291">
        <f t="shared" si="91"/>
        <v>106.5506814178444</v>
      </c>
      <c r="AX17" s="291">
        <f t="shared" si="91"/>
        <v>108.6816950462013</v>
      </c>
      <c r="AZ17" s="64">
        <v>50</v>
      </c>
      <c r="BA17" s="64">
        <v>55</v>
      </c>
      <c r="BB17" s="64">
        <v>60</v>
      </c>
      <c r="BC17" s="64">
        <v>60</v>
      </c>
      <c r="BD17" s="64">
        <v>60</v>
      </c>
      <c r="BE17" s="64">
        <f t="shared" ref="BE17:CH17" si="92">BD17*(1+$ET17)</f>
        <v>63</v>
      </c>
      <c r="BF17" s="64">
        <f t="shared" si="92"/>
        <v>66.150000000000006</v>
      </c>
      <c r="BG17" s="64">
        <f t="shared" si="92"/>
        <v>69.45750000000001</v>
      </c>
      <c r="BH17" s="64">
        <f t="shared" si="92"/>
        <v>72.930375000000012</v>
      </c>
      <c r="BI17" s="64">
        <f t="shared" si="92"/>
        <v>76.576893750000011</v>
      </c>
      <c r="BJ17" s="64">
        <f t="shared" si="92"/>
        <v>80.40573843750002</v>
      </c>
      <c r="BK17" s="64">
        <f t="shared" si="92"/>
        <v>84.426025359375018</v>
      </c>
      <c r="BL17" s="64">
        <f t="shared" si="92"/>
        <v>88.647326627343773</v>
      </c>
      <c r="BM17" s="64">
        <f t="shared" si="92"/>
        <v>93.079692958710964</v>
      </c>
      <c r="BN17" s="64">
        <f t="shared" si="92"/>
        <v>97.733677606646523</v>
      </c>
      <c r="BO17" s="64">
        <f t="shared" si="92"/>
        <v>102.62036148697885</v>
      </c>
      <c r="BP17" s="64">
        <f t="shared" si="92"/>
        <v>107.75137956132779</v>
      </c>
      <c r="BQ17" s="64">
        <f t="shared" si="92"/>
        <v>113.13894853939419</v>
      </c>
      <c r="BR17" s="64">
        <f t="shared" si="92"/>
        <v>118.7958959663639</v>
      </c>
      <c r="BS17" s="64">
        <f t="shared" si="92"/>
        <v>124.7356907646821</v>
      </c>
      <c r="BT17" s="64">
        <f t="shared" si="92"/>
        <v>130.97247530291622</v>
      </c>
      <c r="BU17" s="64">
        <f t="shared" si="92"/>
        <v>137.52109906806203</v>
      </c>
      <c r="BV17" s="64">
        <f t="shared" si="92"/>
        <v>144.39715402146513</v>
      </c>
      <c r="BW17" s="64">
        <f t="shared" si="92"/>
        <v>151.61701172253839</v>
      </c>
      <c r="BX17" s="64">
        <f t="shared" si="92"/>
        <v>159.19786230866532</v>
      </c>
      <c r="BY17" s="64">
        <f t="shared" si="92"/>
        <v>167.15775542409858</v>
      </c>
      <c r="BZ17" s="64">
        <f t="shared" si="92"/>
        <v>175.51564319530351</v>
      </c>
      <c r="CA17" s="64">
        <f t="shared" si="92"/>
        <v>184.2914253550687</v>
      </c>
      <c r="CB17" s="64">
        <f t="shared" si="92"/>
        <v>193.50599662282215</v>
      </c>
      <c r="CC17" s="64">
        <f t="shared" si="92"/>
        <v>203.18129645396326</v>
      </c>
      <c r="CD17" s="64">
        <f t="shared" si="92"/>
        <v>213.34036127666144</v>
      </c>
      <c r="CE17" s="64">
        <f t="shared" si="92"/>
        <v>224.00737934049451</v>
      </c>
      <c r="CF17" s="64">
        <f t="shared" si="92"/>
        <v>235.20774830751924</v>
      </c>
      <c r="CG17" s="64">
        <f t="shared" si="92"/>
        <v>246.9681357228952</v>
      </c>
      <c r="CH17" s="64">
        <f t="shared" si="92"/>
        <v>259.31654250903995</v>
      </c>
      <c r="CI17" s="64"/>
      <c r="CJ17" s="64">
        <f t="shared" si="6"/>
        <v>1.7999999999999972</v>
      </c>
      <c r="CK17" s="64">
        <f t="shared" si="7"/>
        <v>3.7259999999999991</v>
      </c>
      <c r="CL17" s="64">
        <f t="shared" si="8"/>
        <v>5.7850200000000029</v>
      </c>
      <c r="CM17" s="64">
        <f t="shared" si="9"/>
        <v>7.9844453999999985</v>
      </c>
      <c r="CN17" s="64">
        <f t="shared" si="10"/>
        <v>10.33204555799999</v>
      </c>
      <c r="CO17" s="64">
        <f t="shared" si="11"/>
        <v>12.835993281659995</v>
      </c>
      <c r="CP17" s="64">
        <f t="shared" si="12"/>
        <v>15.504885300418195</v>
      </c>
      <c r="CQ17" s="64">
        <f t="shared" si="13"/>
        <v>18.347763767207809</v>
      </c>
      <c r="CR17" s="64">
        <f t="shared" si="14"/>
        <v>21.374138841372286</v>
      </c>
      <c r="CS17" s="64">
        <f t="shared" si="15"/>
        <v>24.59401240696107</v>
      </c>
      <c r="CT17" s="64">
        <f t="shared" si="16"/>
        <v>28.017902983299692</v>
      </c>
      <c r="CU17" s="64">
        <f t="shared" si="17"/>
        <v>31.656871887575051</v>
      </c>
      <c r="CV17" s="64">
        <f t="shared" si="18"/>
        <v>35.522550712166392</v>
      </c>
      <c r="CW17" s="64">
        <f t="shared" si="19"/>
        <v>39.627170182591541</v>
      </c>
      <c r="CX17" s="64">
        <f t="shared" si="20"/>
        <v>43.9835904652343</v>
      </c>
      <c r="CY17" s="64">
        <f t="shared" si="21"/>
        <v>48.605332997479465</v>
      </c>
      <c r="CZ17" s="64">
        <f t="shared" si="22"/>
        <v>53.506613916516528</v>
      </c>
      <c r="DA17" s="64">
        <f t="shared" si="23"/>
        <v>58.702379166888718</v>
      </c>
      <c r="DB17" s="64">
        <f t="shared" si="24"/>
        <v>64.208341370870457</v>
      </c>
      <c r="DC17" s="64">
        <f t="shared" si="25"/>
        <v>70.041018549964022</v>
      </c>
      <c r="DD17" s="64">
        <f t="shared" si="26"/>
        <v>76.21777479022326</v>
      </c>
      <c r="DE17" s="64">
        <f t="shared" si="27"/>
        <v>82.75686294875068</v>
      </c>
      <c r="DF17" s="64">
        <f t="shared" si="28"/>
        <v>89.677469503584803</v>
      </c>
      <c r="DG17" s="64">
        <f t="shared" si="29"/>
        <v>96.999761654308585</v>
      </c>
      <c r="DH17" s="64">
        <f t="shared" si="30"/>
        <v>104.74493678607942</v>
      </c>
      <c r="DI17" s="64">
        <f t="shared" si="31"/>
        <v>112.93527441541993</v>
      </c>
      <c r="DJ17" s="64">
        <f t="shared" si="32"/>
        <v>121.59419074202816</v>
      </c>
      <c r="DK17" s="64">
        <f t="shared" si="33"/>
        <v>130.74629593708357</v>
      </c>
      <c r="DL17" s="64">
        <f t="shared" si="34"/>
        <v>140.4174543050508</v>
      </c>
      <c r="DM17" s="64">
        <f t="shared" si="35"/>
        <v>150.63484746283865</v>
      </c>
      <c r="DN17" s="64"/>
      <c r="DO17" s="64">
        <f t="shared" si="39"/>
        <v>2365.1999999999962</v>
      </c>
      <c r="DP17" s="64">
        <f t="shared" si="40"/>
        <v>4895.963999999999</v>
      </c>
      <c r="DQ17" s="64">
        <f t="shared" si="41"/>
        <v>7601.5162800000035</v>
      </c>
      <c r="DR17" s="64">
        <f t="shared" si="42"/>
        <v>10491.561255599998</v>
      </c>
      <c r="DS17" s="64">
        <f t="shared" si="43"/>
        <v>13576.307863211987</v>
      </c>
      <c r="DT17" s="64">
        <f t="shared" si="44"/>
        <v>16866.495172101233</v>
      </c>
      <c r="DU17" s="64">
        <f t="shared" si="45"/>
        <v>20373.419284749507</v>
      </c>
      <c r="DV17" s="64">
        <f t="shared" si="46"/>
        <v>24108.961590111059</v>
      </c>
      <c r="DW17" s="64">
        <f t="shared" si="47"/>
        <v>28085.618437563182</v>
      </c>
      <c r="DX17" s="64">
        <f t="shared" si="48"/>
        <v>32316.532302746848</v>
      </c>
      <c r="DY17" s="64">
        <f t="shared" si="49"/>
        <v>36815.524520055798</v>
      </c>
      <c r="DZ17" s="64">
        <f t="shared" si="50"/>
        <v>41597.129660273618</v>
      </c>
      <c r="EA17" s="64">
        <f t="shared" si="51"/>
        <v>46676.631635786638</v>
      </c>
      <c r="EB17" s="64">
        <f t="shared" si="52"/>
        <v>52070.101619925284</v>
      </c>
      <c r="EC17" s="64">
        <f t="shared" si="53"/>
        <v>57794.437871317874</v>
      </c>
      <c r="ED17" s="64">
        <f t="shared" si="54"/>
        <v>63867.407558688014</v>
      </c>
      <c r="EE17" s="64">
        <f t="shared" si="55"/>
        <v>70307.690686302725</v>
      </c>
      <c r="EF17" s="64">
        <f t="shared" si="56"/>
        <v>77134.926225291783</v>
      </c>
      <c r="EG17" s="64">
        <f t="shared" si="57"/>
        <v>84369.760561323768</v>
      </c>
      <c r="EH17" s="64">
        <f t="shared" si="58"/>
        <v>92033.898374652737</v>
      </c>
      <c r="EI17" s="64">
        <f t="shared" si="59"/>
        <v>100150.15607435336</v>
      </c>
      <c r="EJ17" s="64">
        <f t="shared" si="60"/>
        <v>108742.5179146584</v>
      </c>
      <c r="EK17" s="64">
        <f t="shared" si="61"/>
        <v>117836.19492771043</v>
      </c>
      <c r="EL17" s="64">
        <f t="shared" si="62"/>
        <v>127457.68681376148</v>
      </c>
      <c r="EM17" s="64">
        <f t="shared" si="63"/>
        <v>137634.84693690838</v>
      </c>
      <c r="EN17" s="64">
        <f t="shared" si="64"/>
        <v>148396.95058186178</v>
      </c>
      <c r="EO17" s="64">
        <f t="shared" si="65"/>
        <v>159774.76663502501</v>
      </c>
      <c r="EP17" s="64">
        <f t="shared" si="66"/>
        <v>171800.63286132782</v>
      </c>
      <c r="EQ17" s="64">
        <f t="shared" si="67"/>
        <v>184508.53495683675</v>
      </c>
      <c r="ER17" s="64">
        <f t="shared" si="68"/>
        <v>197934.18956616998</v>
      </c>
      <c r="ES17" s="64"/>
      <c r="ET17" s="57">
        <v>0.05</v>
      </c>
      <c r="EU17" s="57">
        <v>0.02</v>
      </c>
      <c r="EV17" s="61"/>
    </row>
    <row r="18" spans="1:152" ht="27.75" hidden="1" customHeight="1" outlineLevel="1" x14ac:dyDescent="0.35">
      <c r="A18" s="62" t="s">
        <v>144</v>
      </c>
      <c r="B18" s="62" t="s">
        <v>167</v>
      </c>
      <c r="C18" s="294" t="s">
        <v>173</v>
      </c>
      <c r="D18" s="63" t="s">
        <v>147</v>
      </c>
      <c r="E18" s="63" t="s">
        <v>147</v>
      </c>
      <c r="F18" s="63" t="s">
        <v>148</v>
      </c>
      <c r="G18" s="63">
        <v>3</v>
      </c>
      <c r="H18" s="64">
        <v>3</v>
      </c>
      <c r="I18" s="64">
        <v>438</v>
      </c>
      <c r="J18" s="61" t="s">
        <v>590</v>
      </c>
      <c r="K18" s="64">
        <v>41</v>
      </c>
      <c r="L18" s="64">
        <v>38</v>
      </c>
      <c r="M18" s="64">
        <v>56</v>
      </c>
      <c r="N18" s="64">
        <v>44</v>
      </c>
      <c r="O18" s="64"/>
      <c r="P18" s="64">
        <v>44</v>
      </c>
      <c r="Q18" s="64">
        <v>44</v>
      </c>
      <c r="R18" s="64">
        <v>45</v>
      </c>
      <c r="S18" s="64">
        <v>45</v>
      </c>
      <c r="T18" s="64">
        <v>0</v>
      </c>
      <c r="U18" s="291">
        <f t="shared" ref="U18:AX18" si="93">T18*(1+$EU18)</f>
        <v>0</v>
      </c>
      <c r="V18" s="291">
        <f t="shared" si="93"/>
        <v>0</v>
      </c>
      <c r="W18" s="291">
        <f t="shared" si="93"/>
        <v>0</v>
      </c>
      <c r="X18" s="291">
        <f t="shared" si="93"/>
        <v>0</v>
      </c>
      <c r="Y18" s="291">
        <f t="shared" si="93"/>
        <v>0</v>
      </c>
      <c r="Z18" s="291">
        <f t="shared" si="93"/>
        <v>0</v>
      </c>
      <c r="AA18" s="291">
        <f t="shared" si="93"/>
        <v>0</v>
      </c>
      <c r="AB18" s="291">
        <f t="shared" si="93"/>
        <v>0</v>
      </c>
      <c r="AC18" s="291">
        <f t="shared" si="93"/>
        <v>0</v>
      </c>
      <c r="AD18" s="291">
        <f t="shared" si="93"/>
        <v>0</v>
      </c>
      <c r="AE18" s="291">
        <f t="shared" si="93"/>
        <v>0</v>
      </c>
      <c r="AF18" s="291">
        <f t="shared" si="93"/>
        <v>0</v>
      </c>
      <c r="AG18" s="291">
        <f t="shared" si="93"/>
        <v>0</v>
      </c>
      <c r="AH18" s="291">
        <f t="shared" si="93"/>
        <v>0</v>
      </c>
      <c r="AI18" s="291">
        <f t="shared" si="93"/>
        <v>0</v>
      </c>
      <c r="AJ18" s="291">
        <f t="shared" si="93"/>
        <v>0</v>
      </c>
      <c r="AK18" s="291">
        <f t="shared" si="93"/>
        <v>0</v>
      </c>
      <c r="AL18" s="291">
        <f t="shared" si="93"/>
        <v>0</v>
      </c>
      <c r="AM18" s="291">
        <f t="shared" si="93"/>
        <v>0</v>
      </c>
      <c r="AN18" s="291">
        <f t="shared" si="93"/>
        <v>0</v>
      </c>
      <c r="AO18" s="291">
        <f t="shared" si="93"/>
        <v>0</v>
      </c>
      <c r="AP18" s="291">
        <f t="shared" si="93"/>
        <v>0</v>
      </c>
      <c r="AQ18" s="291">
        <f t="shared" si="93"/>
        <v>0</v>
      </c>
      <c r="AR18" s="291">
        <f t="shared" si="93"/>
        <v>0</v>
      </c>
      <c r="AS18" s="291">
        <f t="shared" si="93"/>
        <v>0</v>
      </c>
      <c r="AT18" s="291">
        <f t="shared" si="93"/>
        <v>0</v>
      </c>
      <c r="AU18" s="291">
        <f t="shared" si="93"/>
        <v>0</v>
      </c>
      <c r="AV18" s="291">
        <f t="shared" si="93"/>
        <v>0</v>
      </c>
      <c r="AW18" s="291">
        <f t="shared" si="93"/>
        <v>0</v>
      </c>
      <c r="AX18" s="291">
        <f t="shared" si="93"/>
        <v>0</v>
      </c>
      <c r="AZ18" s="64">
        <v>44</v>
      </c>
      <c r="BA18" s="64">
        <v>44</v>
      </c>
      <c r="BB18" s="64">
        <v>45</v>
      </c>
      <c r="BC18" s="64">
        <v>45</v>
      </c>
      <c r="BD18" s="64">
        <v>45</v>
      </c>
      <c r="BE18" s="64">
        <f t="shared" ref="BE18:CH18" si="94">BD18*(1+$ET18)</f>
        <v>47.25</v>
      </c>
      <c r="BF18" s="64">
        <f t="shared" si="94"/>
        <v>49.612500000000004</v>
      </c>
      <c r="BG18" s="64">
        <f t="shared" si="94"/>
        <v>52.093125000000008</v>
      </c>
      <c r="BH18" s="64">
        <f t="shared" si="94"/>
        <v>54.697781250000013</v>
      </c>
      <c r="BI18" s="64">
        <f t="shared" si="94"/>
        <v>57.432670312500015</v>
      </c>
      <c r="BJ18" s="64">
        <f t="shared" si="94"/>
        <v>60.304303828125022</v>
      </c>
      <c r="BK18" s="64">
        <f t="shared" si="94"/>
        <v>63.319519019531278</v>
      </c>
      <c r="BL18" s="64">
        <f t="shared" si="94"/>
        <v>66.485494970507844</v>
      </c>
      <c r="BM18" s="64">
        <f t="shared" si="94"/>
        <v>69.809769719033241</v>
      </c>
      <c r="BN18" s="64">
        <f t="shared" si="94"/>
        <v>73.3002582049849</v>
      </c>
      <c r="BO18" s="64">
        <f t="shared" si="94"/>
        <v>76.965271115234145</v>
      </c>
      <c r="BP18" s="64">
        <f t="shared" si="94"/>
        <v>80.81353467099585</v>
      </c>
      <c r="BQ18" s="64">
        <f t="shared" si="94"/>
        <v>84.854211404545651</v>
      </c>
      <c r="BR18" s="64">
        <f t="shared" si="94"/>
        <v>89.09692197477294</v>
      </c>
      <c r="BS18" s="64">
        <f t="shared" si="94"/>
        <v>93.551768073511596</v>
      </c>
      <c r="BT18" s="64">
        <f t="shared" si="94"/>
        <v>98.229356477187181</v>
      </c>
      <c r="BU18" s="64">
        <f t="shared" si="94"/>
        <v>103.14082430104655</v>
      </c>
      <c r="BV18" s="64">
        <f t="shared" si="94"/>
        <v>108.29786551609888</v>
      </c>
      <c r="BW18" s="64">
        <f t="shared" si="94"/>
        <v>113.71275879190382</v>
      </c>
      <c r="BX18" s="64">
        <f t="shared" si="94"/>
        <v>119.39839673149902</v>
      </c>
      <c r="BY18" s="64">
        <f t="shared" si="94"/>
        <v>125.36831656807398</v>
      </c>
      <c r="BZ18" s="64">
        <f t="shared" si="94"/>
        <v>131.6367323964777</v>
      </c>
      <c r="CA18" s="64">
        <f t="shared" si="94"/>
        <v>138.21856901630159</v>
      </c>
      <c r="CB18" s="64">
        <f t="shared" si="94"/>
        <v>145.12949746711666</v>
      </c>
      <c r="CC18" s="64">
        <f t="shared" si="94"/>
        <v>152.38597234047251</v>
      </c>
      <c r="CD18" s="64">
        <f t="shared" si="94"/>
        <v>160.00527095749615</v>
      </c>
      <c r="CE18" s="64">
        <f t="shared" si="94"/>
        <v>168.00553450537097</v>
      </c>
      <c r="CF18" s="64">
        <f t="shared" si="94"/>
        <v>176.40581123063953</v>
      </c>
      <c r="CG18" s="64">
        <f t="shared" si="94"/>
        <v>185.22610179217151</v>
      </c>
      <c r="CH18" s="64">
        <f t="shared" si="94"/>
        <v>194.48740688178009</v>
      </c>
      <c r="CI18" s="64"/>
      <c r="CJ18" s="64">
        <f t="shared" si="6"/>
        <v>47.25</v>
      </c>
      <c r="CK18" s="64">
        <f t="shared" si="7"/>
        <v>49.612500000000004</v>
      </c>
      <c r="CL18" s="64">
        <f t="shared" si="8"/>
        <v>52.093125000000008</v>
      </c>
      <c r="CM18" s="64">
        <f t="shared" si="9"/>
        <v>54.697781250000013</v>
      </c>
      <c r="CN18" s="64">
        <f t="shared" si="10"/>
        <v>57.432670312500015</v>
      </c>
      <c r="CO18" s="64">
        <f t="shared" si="11"/>
        <v>60.304303828125022</v>
      </c>
      <c r="CP18" s="64">
        <f t="shared" si="12"/>
        <v>63.319519019531278</v>
      </c>
      <c r="CQ18" s="64">
        <f t="shared" si="13"/>
        <v>66.485494970507844</v>
      </c>
      <c r="CR18" s="64">
        <f t="shared" si="14"/>
        <v>69.809769719033241</v>
      </c>
      <c r="CS18" s="64">
        <f t="shared" si="15"/>
        <v>73.3002582049849</v>
      </c>
      <c r="CT18" s="64">
        <f t="shared" si="16"/>
        <v>76.965271115234145</v>
      </c>
      <c r="CU18" s="64">
        <f t="shared" si="17"/>
        <v>80.81353467099585</v>
      </c>
      <c r="CV18" s="64">
        <f t="shared" si="18"/>
        <v>84.854211404545651</v>
      </c>
      <c r="CW18" s="64">
        <f t="shared" si="19"/>
        <v>89.09692197477294</v>
      </c>
      <c r="CX18" s="64">
        <f t="shared" si="20"/>
        <v>93.551768073511596</v>
      </c>
      <c r="CY18" s="64">
        <f t="shared" si="21"/>
        <v>98.229356477187181</v>
      </c>
      <c r="CZ18" s="64">
        <f t="shared" si="22"/>
        <v>103.14082430104655</v>
      </c>
      <c r="DA18" s="64">
        <f t="shared" si="23"/>
        <v>108.29786551609888</v>
      </c>
      <c r="DB18" s="64">
        <f t="shared" si="24"/>
        <v>113.71275879190382</v>
      </c>
      <c r="DC18" s="64">
        <f t="shared" si="25"/>
        <v>119.39839673149902</v>
      </c>
      <c r="DD18" s="64">
        <f t="shared" si="26"/>
        <v>125.36831656807398</v>
      </c>
      <c r="DE18" s="64">
        <f t="shared" si="27"/>
        <v>131.6367323964777</v>
      </c>
      <c r="DF18" s="64">
        <f t="shared" si="28"/>
        <v>138.21856901630159</v>
      </c>
      <c r="DG18" s="64">
        <f t="shared" si="29"/>
        <v>145.12949746711666</v>
      </c>
      <c r="DH18" s="64">
        <f t="shared" si="30"/>
        <v>152.38597234047251</v>
      </c>
      <c r="DI18" s="64">
        <f t="shared" si="31"/>
        <v>160.00527095749615</v>
      </c>
      <c r="DJ18" s="64">
        <f t="shared" si="32"/>
        <v>168.00553450537097</v>
      </c>
      <c r="DK18" s="64">
        <f t="shared" si="33"/>
        <v>176.40581123063953</v>
      </c>
      <c r="DL18" s="64">
        <f t="shared" si="34"/>
        <v>185.22610179217151</v>
      </c>
      <c r="DM18" s="64">
        <f t="shared" si="35"/>
        <v>194.48740688178009</v>
      </c>
      <c r="DN18" s="64"/>
      <c r="DO18" s="64">
        <f t="shared" si="39"/>
        <v>62086.5</v>
      </c>
      <c r="DP18" s="64">
        <f t="shared" si="40"/>
        <v>65190.825000000004</v>
      </c>
      <c r="DQ18" s="64">
        <f t="shared" si="41"/>
        <v>68450.366250000006</v>
      </c>
      <c r="DR18" s="64">
        <f t="shared" si="42"/>
        <v>71872.88456250001</v>
      </c>
      <c r="DS18" s="64">
        <f t="shared" si="43"/>
        <v>75466.528790625016</v>
      </c>
      <c r="DT18" s="64">
        <f t="shared" si="44"/>
        <v>79239.855230156274</v>
      </c>
      <c r="DU18" s="64">
        <f t="shared" si="45"/>
        <v>83201.847991664108</v>
      </c>
      <c r="DV18" s="64">
        <f t="shared" si="46"/>
        <v>87361.940391247306</v>
      </c>
      <c r="DW18" s="64">
        <f t="shared" si="47"/>
        <v>91730.037410809688</v>
      </c>
      <c r="DX18" s="64">
        <f t="shared" si="48"/>
        <v>96316.539281350153</v>
      </c>
      <c r="DY18" s="64">
        <f t="shared" si="49"/>
        <v>101132.36624541767</v>
      </c>
      <c r="DZ18" s="64">
        <f t="shared" si="50"/>
        <v>106188.98455768854</v>
      </c>
      <c r="EA18" s="64">
        <f t="shared" si="51"/>
        <v>111498.43378557298</v>
      </c>
      <c r="EB18" s="64">
        <f t="shared" si="52"/>
        <v>117073.35547485163</v>
      </c>
      <c r="EC18" s="64">
        <f t="shared" si="53"/>
        <v>122927.02324859424</v>
      </c>
      <c r="ED18" s="64">
        <f t="shared" si="54"/>
        <v>129073.37441102395</v>
      </c>
      <c r="EE18" s="64">
        <f t="shared" si="55"/>
        <v>135527.04313157516</v>
      </c>
      <c r="EF18" s="64">
        <f t="shared" si="56"/>
        <v>142303.39528815393</v>
      </c>
      <c r="EG18" s="64">
        <f t="shared" si="57"/>
        <v>149418.56505256164</v>
      </c>
      <c r="EH18" s="64">
        <f t="shared" si="58"/>
        <v>156889.49330518971</v>
      </c>
      <c r="EI18" s="64">
        <f t="shared" si="59"/>
        <v>164733.96797044922</v>
      </c>
      <c r="EJ18" s="64">
        <f t="shared" si="60"/>
        <v>172970.6663689717</v>
      </c>
      <c r="EK18" s="64">
        <f t="shared" si="61"/>
        <v>181619.1996874203</v>
      </c>
      <c r="EL18" s="64">
        <f t="shared" si="62"/>
        <v>190700.15967179131</v>
      </c>
      <c r="EM18" s="64">
        <f t="shared" si="63"/>
        <v>200235.16765538088</v>
      </c>
      <c r="EN18" s="64">
        <f t="shared" si="64"/>
        <v>210246.92603814995</v>
      </c>
      <c r="EO18" s="64">
        <f t="shared" si="65"/>
        <v>220759.27234005745</v>
      </c>
      <c r="EP18" s="64">
        <f t="shared" si="66"/>
        <v>231797.23595706033</v>
      </c>
      <c r="EQ18" s="64">
        <f t="shared" si="67"/>
        <v>243387.09775491338</v>
      </c>
      <c r="ER18" s="64">
        <f t="shared" si="68"/>
        <v>255556.45264265905</v>
      </c>
      <c r="ES18" s="64"/>
      <c r="ET18" s="57">
        <v>0.05</v>
      </c>
      <c r="EU18" s="57">
        <v>0</v>
      </c>
      <c r="EV18" s="61"/>
    </row>
    <row r="19" spans="1:152" ht="27.75" hidden="1" customHeight="1" outlineLevel="1" x14ac:dyDescent="0.35">
      <c r="A19" s="65" t="s">
        <v>174</v>
      </c>
      <c r="B19" s="66" t="s">
        <v>175</v>
      </c>
      <c r="C19" s="66" t="s">
        <v>176</v>
      </c>
      <c r="D19" s="67" t="s">
        <v>152</v>
      </c>
      <c r="E19" s="67" t="s">
        <v>147</v>
      </c>
      <c r="F19" s="67" t="s">
        <v>157</v>
      </c>
      <c r="G19" s="64">
        <v>3</v>
      </c>
      <c r="H19" s="64">
        <v>3</v>
      </c>
      <c r="I19" s="64">
        <v>330</v>
      </c>
      <c r="J19" s="61" t="s">
        <v>591</v>
      </c>
      <c r="K19" s="68">
        <v>97</v>
      </c>
      <c r="L19" s="68">
        <v>158</v>
      </c>
      <c r="M19" s="68">
        <v>163</v>
      </c>
      <c r="N19" s="68">
        <v>67</v>
      </c>
      <c r="O19" s="64"/>
      <c r="P19" s="68">
        <v>69</v>
      </c>
      <c r="Q19" s="68">
        <v>75</v>
      </c>
      <c r="R19" s="68">
        <v>75</v>
      </c>
      <c r="S19" s="68">
        <v>75</v>
      </c>
      <c r="T19" s="68">
        <v>75</v>
      </c>
      <c r="U19" s="291">
        <f t="shared" ref="U19:AX19" si="95">T19*(1+$EU19)</f>
        <v>75</v>
      </c>
      <c r="V19" s="291">
        <f t="shared" si="95"/>
        <v>75</v>
      </c>
      <c r="W19" s="291">
        <f t="shared" si="95"/>
        <v>75</v>
      </c>
      <c r="X19" s="291">
        <f t="shared" si="95"/>
        <v>75</v>
      </c>
      <c r="Y19" s="291">
        <f t="shared" si="95"/>
        <v>75</v>
      </c>
      <c r="Z19" s="291">
        <f t="shared" si="95"/>
        <v>75</v>
      </c>
      <c r="AA19" s="291">
        <f t="shared" si="95"/>
        <v>75</v>
      </c>
      <c r="AB19" s="291">
        <f t="shared" si="95"/>
        <v>75</v>
      </c>
      <c r="AC19" s="291">
        <f t="shared" si="95"/>
        <v>75</v>
      </c>
      <c r="AD19" s="291">
        <f t="shared" si="95"/>
        <v>75</v>
      </c>
      <c r="AE19" s="291">
        <f t="shared" si="95"/>
        <v>75</v>
      </c>
      <c r="AF19" s="291">
        <f t="shared" si="95"/>
        <v>75</v>
      </c>
      <c r="AG19" s="291">
        <f t="shared" si="95"/>
        <v>75</v>
      </c>
      <c r="AH19" s="291">
        <f t="shared" si="95"/>
        <v>75</v>
      </c>
      <c r="AI19" s="291">
        <f t="shared" si="95"/>
        <v>75</v>
      </c>
      <c r="AJ19" s="291">
        <f t="shared" si="95"/>
        <v>75</v>
      </c>
      <c r="AK19" s="291">
        <f t="shared" si="95"/>
        <v>75</v>
      </c>
      <c r="AL19" s="291">
        <f t="shared" si="95"/>
        <v>75</v>
      </c>
      <c r="AM19" s="291">
        <f t="shared" si="95"/>
        <v>75</v>
      </c>
      <c r="AN19" s="291">
        <f t="shared" si="95"/>
        <v>75</v>
      </c>
      <c r="AO19" s="291">
        <f t="shared" si="95"/>
        <v>75</v>
      </c>
      <c r="AP19" s="291">
        <f t="shared" si="95"/>
        <v>75</v>
      </c>
      <c r="AQ19" s="291">
        <f t="shared" si="95"/>
        <v>75</v>
      </c>
      <c r="AR19" s="291">
        <f t="shared" si="95"/>
        <v>75</v>
      </c>
      <c r="AS19" s="291">
        <f t="shared" si="95"/>
        <v>75</v>
      </c>
      <c r="AT19" s="291">
        <f t="shared" si="95"/>
        <v>75</v>
      </c>
      <c r="AU19" s="291">
        <f t="shared" si="95"/>
        <v>75</v>
      </c>
      <c r="AV19" s="291">
        <f t="shared" si="95"/>
        <v>75</v>
      </c>
      <c r="AW19" s="291">
        <f t="shared" si="95"/>
        <v>75</v>
      </c>
      <c r="AX19" s="291">
        <f t="shared" si="95"/>
        <v>75</v>
      </c>
      <c r="AZ19" s="68">
        <v>69</v>
      </c>
      <c r="BA19" s="68">
        <v>75</v>
      </c>
      <c r="BB19" s="68">
        <v>77</v>
      </c>
      <c r="BC19" s="68">
        <v>82</v>
      </c>
      <c r="BD19" s="68">
        <v>85</v>
      </c>
      <c r="BE19" s="64">
        <f t="shared" ref="BE19:CH19" si="96">BD19*(1+$ET19)</f>
        <v>90.100000000000009</v>
      </c>
      <c r="BF19" s="64">
        <f t="shared" si="96"/>
        <v>95.506000000000014</v>
      </c>
      <c r="BG19" s="64">
        <f t="shared" si="96"/>
        <v>101.23636000000002</v>
      </c>
      <c r="BH19" s="64">
        <f t="shared" si="96"/>
        <v>107.31054160000002</v>
      </c>
      <c r="BI19" s="64">
        <f t="shared" si="96"/>
        <v>113.74917409600003</v>
      </c>
      <c r="BJ19" s="64">
        <f t="shared" si="96"/>
        <v>120.57412454176004</v>
      </c>
      <c r="BK19" s="64">
        <f t="shared" si="96"/>
        <v>127.80857201426565</v>
      </c>
      <c r="BL19" s="64">
        <f t="shared" si="96"/>
        <v>135.47708633512158</v>
      </c>
      <c r="BM19" s="64">
        <f t="shared" si="96"/>
        <v>143.60571151522888</v>
      </c>
      <c r="BN19" s="64">
        <f t="shared" si="96"/>
        <v>152.22205420614262</v>
      </c>
      <c r="BO19" s="64">
        <f t="shared" si="96"/>
        <v>161.35537745851119</v>
      </c>
      <c r="BP19" s="64">
        <f t="shared" si="96"/>
        <v>171.03670010602187</v>
      </c>
      <c r="BQ19" s="64">
        <f t="shared" si="96"/>
        <v>181.29890211238319</v>
      </c>
      <c r="BR19" s="64">
        <f t="shared" si="96"/>
        <v>192.1768362391262</v>
      </c>
      <c r="BS19" s="64">
        <f t="shared" si="96"/>
        <v>203.70744641347378</v>
      </c>
      <c r="BT19" s="64">
        <f t="shared" si="96"/>
        <v>215.9298931982822</v>
      </c>
      <c r="BU19" s="64">
        <f t="shared" si="96"/>
        <v>228.88568679017914</v>
      </c>
      <c r="BV19" s="64">
        <f t="shared" si="96"/>
        <v>242.6188279975899</v>
      </c>
      <c r="BW19" s="64">
        <f t="shared" si="96"/>
        <v>257.1759576774453</v>
      </c>
      <c r="BX19" s="64">
        <f t="shared" si="96"/>
        <v>272.60651513809205</v>
      </c>
      <c r="BY19" s="64">
        <f t="shared" si="96"/>
        <v>288.96290604637761</v>
      </c>
      <c r="BZ19" s="64">
        <f t="shared" si="96"/>
        <v>306.30068040916029</v>
      </c>
      <c r="CA19" s="64">
        <f t="shared" si="96"/>
        <v>324.67872123370995</v>
      </c>
      <c r="CB19" s="64">
        <f t="shared" si="96"/>
        <v>344.15944450773259</v>
      </c>
      <c r="CC19" s="64">
        <f t="shared" si="96"/>
        <v>364.80901117819656</v>
      </c>
      <c r="CD19" s="64">
        <f t="shared" si="96"/>
        <v>386.69755184888839</v>
      </c>
      <c r="CE19" s="64">
        <f t="shared" si="96"/>
        <v>409.89940495982171</v>
      </c>
      <c r="CF19" s="64">
        <f t="shared" si="96"/>
        <v>434.49336925741102</v>
      </c>
      <c r="CG19" s="64">
        <f t="shared" si="96"/>
        <v>460.56297141285569</v>
      </c>
      <c r="CH19" s="64">
        <f t="shared" si="96"/>
        <v>488.19674969762707</v>
      </c>
      <c r="CI19" s="64"/>
      <c r="CJ19" s="64">
        <f t="shared" si="6"/>
        <v>15.100000000000009</v>
      </c>
      <c r="CK19" s="64">
        <f t="shared" si="7"/>
        <v>20.506000000000014</v>
      </c>
      <c r="CL19" s="64">
        <f t="shared" si="8"/>
        <v>26.236360000000019</v>
      </c>
      <c r="CM19" s="64">
        <f t="shared" si="9"/>
        <v>32.310541600000022</v>
      </c>
      <c r="CN19" s="64">
        <f t="shared" si="10"/>
        <v>38.749174096000033</v>
      </c>
      <c r="CO19" s="64">
        <f t="shared" si="11"/>
        <v>45.574124541760042</v>
      </c>
      <c r="CP19" s="64">
        <f t="shared" si="12"/>
        <v>52.80857201426565</v>
      </c>
      <c r="CQ19" s="64">
        <f t="shared" si="13"/>
        <v>60.477086335121584</v>
      </c>
      <c r="CR19" s="64">
        <f t="shared" si="14"/>
        <v>68.605711515228876</v>
      </c>
      <c r="CS19" s="64">
        <f t="shared" si="15"/>
        <v>77.222054206142616</v>
      </c>
      <c r="CT19" s="64">
        <f t="shared" si="16"/>
        <v>86.355377458511185</v>
      </c>
      <c r="CU19" s="64">
        <f t="shared" si="17"/>
        <v>96.036700106021868</v>
      </c>
      <c r="CV19" s="64">
        <f t="shared" si="18"/>
        <v>106.29890211238319</v>
      </c>
      <c r="CW19" s="64">
        <f t="shared" si="19"/>
        <v>117.1768362391262</v>
      </c>
      <c r="CX19" s="64">
        <f t="shared" si="20"/>
        <v>128.70744641347378</v>
      </c>
      <c r="CY19" s="64">
        <f t="shared" si="21"/>
        <v>140.9298931982822</v>
      </c>
      <c r="CZ19" s="64">
        <f t="shared" si="22"/>
        <v>153.88568679017914</v>
      </c>
      <c r="DA19" s="64">
        <f t="shared" si="23"/>
        <v>167.6188279975899</v>
      </c>
      <c r="DB19" s="64">
        <f t="shared" si="24"/>
        <v>182.1759576774453</v>
      </c>
      <c r="DC19" s="64">
        <f t="shared" si="25"/>
        <v>197.60651513809205</v>
      </c>
      <c r="DD19" s="64">
        <f t="shared" si="26"/>
        <v>213.96290604637761</v>
      </c>
      <c r="DE19" s="64">
        <f t="shared" si="27"/>
        <v>231.30068040916029</v>
      </c>
      <c r="DF19" s="64">
        <f t="shared" si="28"/>
        <v>249.67872123370995</v>
      </c>
      <c r="DG19" s="64">
        <f t="shared" si="29"/>
        <v>269.15944450773259</v>
      </c>
      <c r="DH19" s="64">
        <f t="shared" si="30"/>
        <v>289.80901117819656</v>
      </c>
      <c r="DI19" s="64">
        <f t="shared" si="31"/>
        <v>311.69755184888839</v>
      </c>
      <c r="DJ19" s="64">
        <f t="shared" si="32"/>
        <v>334.89940495982171</v>
      </c>
      <c r="DK19" s="64">
        <f t="shared" si="33"/>
        <v>359.49336925741102</v>
      </c>
      <c r="DL19" s="64">
        <f t="shared" si="34"/>
        <v>385.56297141285569</v>
      </c>
      <c r="DM19" s="64">
        <f t="shared" si="35"/>
        <v>413.19674969762707</v>
      </c>
      <c r="DN19" s="64"/>
      <c r="DO19" s="64">
        <f t="shared" si="39"/>
        <v>14949.000000000009</v>
      </c>
      <c r="DP19" s="64">
        <f t="shared" si="40"/>
        <v>20300.940000000013</v>
      </c>
      <c r="DQ19" s="64">
        <f t="shared" si="41"/>
        <v>25973.996400000018</v>
      </c>
      <c r="DR19" s="64">
        <f t="shared" si="42"/>
        <v>31987.43618400002</v>
      </c>
      <c r="DS19" s="64">
        <f t="shared" si="43"/>
        <v>38361.68235504003</v>
      </c>
      <c r="DT19" s="64">
        <f t="shared" si="44"/>
        <v>45118.383296342436</v>
      </c>
      <c r="DU19" s="64">
        <f t="shared" si="45"/>
        <v>52280.486294122995</v>
      </c>
      <c r="DV19" s="64">
        <f t="shared" si="46"/>
        <v>59872.315471770366</v>
      </c>
      <c r="DW19" s="64">
        <f t="shared" si="47"/>
        <v>67919.654400076586</v>
      </c>
      <c r="DX19" s="64">
        <f t="shared" si="48"/>
        <v>76449.83366408119</v>
      </c>
      <c r="DY19" s="64">
        <f t="shared" si="49"/>
        <v>85491.823683926079</v>
      </c>
      <c r="DZ19" s="64">
        <f t="shared" si="50"/>
        <v>95076.333104961654</v>
      </c>
      <c r="EA19" s="64">
        <f t="shared" si="51"/>
        <v>105235.91309125935</v>
      </c>
      <c r="EB19" s="64">
        <f t="shared" si="52"/>
        <v>116005.06787673495</v>
      </c>
      <c r="EC19" s="64">
        <f t="shared" si="53"/>
        <v>127420.37194933902</v>
      </c>
      <c r="ED19" s="64">
        <f t="shared" si="54"/>
        <v>139520.59426629936</v>
      </c>
      <c r="EE19" s="64">
        <f t="shared" si="55"/>
        <v>152346.82992227733</v>
      </c>
      <c r="EF19" s="64">
        <f t="shared" si="56"/>
        <v>165942.63971761402</v>
      </c>
      <c r="EG19" s="64">
        <f t="shared" si="57"/>
        <v>180354.19810067085</v>
      </c>
      <c r="EH19" s="64">
        <f t="shared" si="58"/>
        <v>195630.44998671112</v>
      </c>
      <c r="EI19" s="64">
        <f t="shared" si="59"/>
        <v>211823.27698591384</v>
      </c>
      <c r="EJ19" s="64">
        <f t="shared" si="60"/>
        <v>228987.67360506867</v>
      </c>
      <c r="EK19" s="64">
        <f t="shared" si="61"/>
        <v>247181.93402137287</v>
      </c>
      <c r="EL19" s="64">
        <f t="shared" si="62"/>
        <v>266467.85006265529</v>
      </c>
      <c r="EM19" s="64">
        <f t="shared" si="63"/>
        <v>286910.92106641456</v>
      </c>
      <c r="EN19" s="64">
        <f t="shared" si="64"/>
        <v>308580.57633039949</v>
      </c>
      <c r="EO19" s="64">
        <f t="shared" si="65"/>
        <v>331550.41091022349</v>
      </c>
      <c r="EP19" s="64">
        <f t="shared" si="66"/>
        <v>355898.43556483695</v>
      </c>
      <c r="EQ19" s="64">
        <f t="shared" si="67"/>
        <v>381707.34169872716</v>
      </c>
      <c r="ER19" s="64">
        <f t="shared" si="68"/>
        <v>409064.78220065078</v>
      </c>
      <c r="ES19" s="64"/>
      <c r="ET19" s="57">
        <v>0.06</v>
      </c>
      <c r="EU19" s="57">
        <v>0</v>
      </c>
      <c r="EV19" s="61"/>
    </row>
    <row r="20" spans="1:152" ht="27.75" hidden="1" customHeight="1" outlineLevel="1" x14ac:dyDescent="0.35">
      <c r="A20" s="62" t="s">
        <v>174</v>
      </c>
      <c r="B20" s="62" t="s">
        <v>177</v>
      </c>
      <c r="C20" s="62" t="s">
        <v>178</v>
      </c>
      <c r="D20" s="63" t="s">
        <v>152</v>
      </c>
      <c r="E20" s="63" t="s">
        <v>147</v>
      </c>
      <c r="F20" s="63" t="s">
        <v>153</v>
      </c>
      <c r="G20" s="63">
        <v>4</v>
      </c>
      <c r="H20" s="64">
        <v>4</v>
      </c>
      <c r="I20" s="64">
        <v>70</v>
      </c>
      <c r="J20" s="61" t="s">
        <v>592</v>
      </c>
      <c r="K20" s="64">
        <v>300</v>
      </c>
      <c r="L20" s="64">
        <v>350</v>
      </c>
      <c r="M20" s="64">
        <v>420</v>
      </c>
      <c r="N20" s="64">
        <v>425</v>
      </c>
      <c r="O20" s="64"/>
      <c r="P20" s="64">
        <v>500</v>
      </c>
      <c r="Q20" s="64">
        <v>510</v>
      </c>
      <c r="R20" s="64">
        <v>500</v>
      </c>
      <c r="S20" s="64">
        <v>500</v>
      </c>
      <c r="T20" s="64">
        <v>500</v>
      </c>
      <c r="U20" s="291">
        <f t="shared" ref="U20:AX20" si="97">T20*(1+$EU20)</f>
        <v>500</v>
      </c>
      <c r="V20" s="291">
        <f t="shared" si="97"/>
        <v>500</v>
      </c>
      <c r="W20" s="291">
        <f t="shared" si="97"/>
        <v>500</v>
      </c>
      <c r="X20" s="291">
        <f t="shared" si="97"/>
        <v>500</v>
      </c>
      <c r="Y20" s="291">
        <f t="shared" si="97"/>
        <v>500</v>
      </c>
      <c r="Z20" s="291">
        <f t="shared" si="97"/>
        <v>500</v>
      </c>
      <c r="AA20" s="291">
        <f t="shared" si="97"/>
        <v>500</v>
      </c>
      <c r="AB20" s="291">
        <f t="shared" si="97"/>
        <v>500</v>
      </c>
      <c r="AC20" s="291">
        <f t="shared" si="97"/>
        <v>500</v>
      </c>
      <c r="AD20" s="291">
        <f t="shared" si="97"/>
        <v>500</v>
      </c>
      <c r="AE20" s="291">
        <f t="shared" si="97"/>
        <v>500</v>
      </c>
      <c r="AF20" s="291">
        <f t="shared" si="97"/>
        <v>500</v>
      </c>
      <c r="AG20" s="291">
        <f t="shared" si="97"/>
        <v>500</v>
      </c>
      <c r="AH20" s="291">
        <f t="shared" si="97"/>
        <v>500</v>
      </c>
      <c r="AI20" s="291">
        <f t="shared" si="97"/>
        <v>500</v>
      </c>
      <c r="AJ20" s="291">
        <f t="shared" si="97"/>
        <v>500</v>
      </c>
      <c r="AK20" s="291">
        <f t="shared" si="97"/>
        <v>500</v>
      </c>
      <c r="AL20" s="291">
        <f t="shared" si="97"/>
        <v>500</v>
      </c>
      <c r="AM20" s="291">
        <f t="shared" si="97"/>
        <v>500</v>
      </c>
      <c r="AN20" s="291">
        <f t="shared" si="97"/>
        <v>500</v>
      </c>
      <c r="AO20" s="291">
        <f t="shared" si="97"/>
        <v>500</v>
      </c>
      <c r="AP20" s="291">
        <f t="shared" si="97"/>
        <v>500</v>
      </c>
      <c r="AQ20" s="291">
        <f t="shared" si="97"/>
        <v>500</v>
      </c>
      <c r="AR20" s="291">
        <f t="shared" si="97"/>
        <v>500</v>
      </c>
      <c r="AS20" s="291">
        <f t="shared" si="97"/>
        <v>500</v>
      </c>
      <c r="AT20" s="291">
        <f t="shared" si="97"/>
        <v>500</v>
      </c>
      <c r="AU20" s="291">
        <f t="shared" si="97"/>
        <v>500</v>
      </c>
      <c r="AV20" s="291">
        <f t="shared" si="97"/>
        <v>500</v>
      </c>
      <c r="AW20" s="291">
        <f t="shared" si="97"/>
        <v>500</v>
      </c>
      <c r="AX20" s="291">
        <f t="shared" si="97"/>
        <v>500</v>
      </c>
      <c r="AZ20" s="64">
        <v>500</v>
      </c>
      <c r="BA20" s="64">
        <v>510</v>
      </c>
      <c r="BB20" s="64">
        <v>600</v>
      </c>
      <c r="BC20" s="64">
        <v>610</v>
      </c>
      <c r="BD20" s="64">
        <v>610</v>
      </c>
      <c r="BE20" s="64">
        <f t="shared" ref="BE20:CH20" si="98">BD20*(1+$ET20)</f>
        <v>622.20000000000005</v>
      </c>
      <c r="BF20" s="64">
        <f t="shared" si="98"/>
        <v>634.64400000000001</v>
      </c>
      <c r="BG20" s="64">
        <f t="shared" si="98"/>
        <v>647.33688000000006</v>
      </c>
      <c r="BH20" s="64">
        <f t="shared" si="98"/>
        <v>660.28361760000007</v>
      </c>
      <c r="BI20" s="64">
        <f t="shared" si="98"/>
        <v>673.48928995200004</v>
      </c>
      <c r="BJ20" s="64">
        <f t="shared" si="98"/>
        <v>686.95907575104002</v>
      </c>
      <c r="BK20" s="64">
        <f t="shared" si="98"/>
        <v>700.69825726606086</v>
      </c>
      <c r="BL20" s="64">
        <f t="shared" si="98"/>
        <v>714.71222241138207</v>
      </c>
      <c r="BM20" s="64">
        <f t="shared" si="98"/>
        <v>729.00646685960976</v>
      </c>
      <c r="BN20" s="64">
        <f t="shared" si="98"/>
        <v>743.58659619680202</v>
      </c>
      <c r="BO20" s="64">
        <f t="shared" si="98"/>
        <v>758.45832812073809</v>
      </c>
      <c r="BP20" s="64">
        <f t="shared" si="98"/>
        <v>773.62749468315292</v>
      </c>
      <c r="BQ20" s="64">
        <f t="shared" si="98"/>
        <v>789.100044576816</v>
      </c>
      <c r="BR20" s="64">
        <f t="shared" si="98"/>
        <v>804.88204546835232</v>
      </c>
      <c r="BS20" s="64">
        <f t="shared" si="98"/>
        <v>820.97968637771942</v>
      </c>
      <c r="BT20" s="64">
        <f t="shared" si="98"/>
        <v>837.39928010527387</v>
      </c>
      <c r="BU20" s="64">
        <f t="shared" si="98"/>
        <v>854.14726570737935</v>
      </c>
      <c r="BV20" s="64">
        <f t="shared" si="98"/>
        <v>871.230211021527</v>
      </c>
      <c r="BW20" s="64">
        <f t="shared" si="98"/>
        <v>888.65481524195752</v>
      </c>
      <c r="BX20" s="64">
        <f t="shared" si="98"/>
        <v>906.42791154679674</v>
      </c>
      <c r="BY20" s="64">
        <f t="shared" si="98"/>
        <v>924.55646977773267</v>
      </c>
      <c r="BZ20" s="64">
        <f t="shared" si="98"/>
        <v>943.04759917328738</v>
      </c>
      <c r="CA20" s="64">
        <f t="shared" si="98"/>
        <v>961.90855115675311</v>
      </c>
      <c r="CB20" s="64">
        <f t="shared" si="98"/>
        <v>981.14672217988823</v>
      </c>
      <c r="CC20" s="64">
        <f t="shared" si="98"/>
        <v>1000.769656623486</v>
      </c>
      <c r="CD20" s="64">
        <f t="shared" si="98"/>
        <v>1020.7850497559557</v>
      </c>
      <c r="CE20" s="64">
        <f t="shared" si="98"/>
        <v>1041.2007507510748</v>
      </c>
      <c r="CF20" s="64">
        <f t="shared" si="98"/>
        <v>1062.0247657660964</v>
      </c>
      <c r="CG20" s="64">
        <f t="shared" si="98"/>
        <v>1083.2652610814184</v>
      </c>
      <c r="CH20" s="64">
        <f t="shared" si="98"/>
        <v>1104.9305663030468</v>
      </c>
      <c r="CI20" s="64"/>
      <c r="CJ20" s="64">
        <f t="shared" si="6"/>
        <v>122.20000000000005</v>
      </c>
      <c r="CK20" s="64">
        <f t="shared" si="7"/>
        <v>134.64400000000001</v>
      </c>
      <c r="CL20" s="64">
        <f t="shared" si="8"/>
        <v>147.33688000000006</v>
      </c>
      <c r="CM20" s="64">
        <f t="shared" si="9"/>
        <v>160.28361760000007</v>
      </c>
      <c r="CN20" s="64">
        <f t="shared" si="10"/>
        <v>173.48928995200004</v>
      </c>
      <c r="CO20" s="64">
        <f t="shared" si="11"/>
        <v>186.95907575104002</v>
      </c>
      <c r="CP20" s="64">
        <f t="shared" si="12"/>
        <v>200.69825726606086</v>
      </c>
      <c r="CQ20" s="64">
        <f t="shared" si="13"/>
        <v>214.71222241138207</v>
      </c>
      <c r="CR20" s="64">
        <f t="shared" si="14"/>
        <v>229.00646685960976</v>
      </c>
      <c r="CS20" s="64">
        <f t="shared" si="15"/>
        <v>243.58659619680202</v>
      </c>
      <c r="CT20" s="64">
        <f t="shared" si="16"/>
        <v>258.45832812073809</v>
      </c>
      <c r="CU20" s="64">
        <f t="shared" si="17"/>
        <v>273.62749468315292</v>
      </c>
      <c r="CV20" s="64">
        <f t="shared" si="18"/>
        <v>289.100044576816</v>
      </c>
      <c r="CW20" s="64">
        <f t="shared" si="19"/>
        <v>304.88204546835232</v>
      </c>
      <c r="CX20" s="64">
        <f t="shared" si="20"/>
        <v>320.97968637771942</v>
      </c>
      <c r="CY20" s="64">
        <f t="shared" si="21"/>
        <v>337.39928010527387</v>
      </c>
      <c r="CZ20" s="64">
        <f t="shared" si="22"/>
        <v>354.14726570737935</v>
      </c>
      <c r="DA20" s="64">
        <f t="shared" si="23"/>
        <v>371.230211021527</v>
      </c>
      <c r="DB20" s="64">
        <f t="shared" si="24"/>
        <v>388.65481524195752</v>
      </c>
      <c r="DC20" s="64">
        <f t="shared" si="25"/>
        <v>406.42791154679674</v>
      </c>
      <c r="DD20" s="64">
        <f t="shared" si="26"/>
        <v>424.55646977773267</v>
      </c>
      <c r="DE20" s="64">
        <f t="shared" si="27"/>
        <v>443.04759917328738</v>
      </c>
      <c r="DF20" s="64">
        <f t="shared" si="28"/>
        <v>461.90855115675311</v>
      </c>
      <c r="DG20" s="64">
        <f t="shared" si="29"/>
        <v>481.14672217988823</v>
      </c>
      <c r="DH20" s="64">
        <f t="shared" si="30"/>
        <v>500.76965662348596</v>
      </c>
      <c r="DI20" s="64">
        <f t="shared" si="31"/>
        <v>520.7850497559557</v>
      </c>
      <c r="DJ20" s="64">
        <f t="shared" si="32"/>
        <v>541.20075075107479</v>
      </c>
      <c r="DK20" s="64">
        <f t="shared" si="33"/>
        <v>562.02476576609638</v>
      </c>
      <c r="DL20" s="64">
        <f t="shared" si="34"/>
        <v>583.26526108141843</v>
      </c>
      <c r="DM20" s="64">
        <f t="shared" si="35"/>
        <v>604.93056630304682</v>
      </c>
      <c r="DN20" s="64"/>
      <c r="DO20" s="64">
        <f t="shared" si="39"/>
        <v>34216.000000000015</v>
      </c>
      <c r="DP20" s="64">
        <f t="shared" si="40"/>
        <v>37700.32</v>
      </c>
      <c r="DQ20" s="64">
        <f t="shared" si="41"/>
        <v>41254.32640000002</v>
      </c>
      <c r="DR20" s="64">
        <f t="shared" si="42"/>
        <v>44879.41292800002</v>
      </c>
      <c r="DS20" s="64">
        <f t="shared" si="43"/>
        <v>48577.00118656001</v>
      </c>
      <c r="DT20" s="64">
        <f t="shared" si="44"/>
        <v>52348.541210291209</v>
      </c>
      <c r="DU20" s="64">
        <f t="shared" si="45"/>
        <v>56195.512034497042</v>
      </c>
      <c r="DV20" s="64">
        <f t="shared" si="46"/>
        <v>60119.422275186982</v>
      </c>
      <c r="DW20" s="64">
        <f t="shared" si="47"/>
        <v>64121.81072069073</v>
      </c>
      <c r="DX20" s="64">
        <f t="shared" si="48"/>
        <v>68204.246935104573</v>
      </c>
      <c r="DY20" s="64">
        <f t="shared" si="49"/>
        <v>72368.331873806659</v>
      </c>
      <c r="DZ20" s="64">
        <f t="shared" si="50"/>
        <v>76615.698511282812</v>
      </c>
      <c r="EA20" s="64">
        <f t="shared" si="51"/>
        <v>80948.012481508486</v>
      </c>
      <c r="EB20" s="64">
        <f t="shared" si="52"/>
        <v>85366.972731138652</v>
      </c>
      <c r="EC20" s="64">
        <f t="shared" si="53"/>
        <v>89874.312185761431</v>
      </c>
      <c r="ED20" s="64">
        <f t="shared" si="54"/>
        <v>94471.798429476679</v>
      </c>
      <c r="EE20" s="64">
        <f t="shared" si="55"/>
        <v>99161.234398066212</v>
      </c>
      <c r="EF20" s="64">
        <f t="shared" si="56"/>
        <v>103944.45908602756</v>
      </c>
      <c r="EG20" s="64">
        <f t="shared" si="57"/>
        <v>108823.34826774811</v>
      </c>
      <c r="EH20" s="64">
        <f t="shared" si="58"/>
        <v>113799.81523310309</v>
      </c>
      <c r="EI20" s="64">
        <f t="shared" si="59"/>
        <v>118875.81153776514</v>
      </c>
      <c r="EJ20" s="64">
        <f t="shared" si="60"/>
        <v>124053.32776852047</v>
      </c>
      <c r="EK20" s="64">
        <f t="shared" si="61"/>
        <v>129334.39432389087</v>
      </c>
      <c r="EL20" s="64">
        <f t="shared" si="62"/>
        <v>134721.08221036871</v>
      </c>
      <c r="EM20" s="64">
        <f t="shared" si="63"/>
        <v>140215.50385457606</v>
      </c>
      <c r="EN20" s="64">
        <f t="shared" si="64"/>
        <v>145819.8139316676</v>
      </c>
      <c r="EO20" s="64">
        <f t="shared" si="65"/>
        <v>151536.21021030095</v>
      </c>
      <c r="EP20" s="64">
        <f t="shared" si="66"/>
        <v>157366.93441450698</v>
      </c>
      <c r="EQ20" s="64">
        <f t="shared" si="67"/>
        <v>163314.27310279716</v>
      </c>
      <c r="ER20" s="64">
        <f t="shared" si="68"/>
        <v>169380.5585648531</v>
      </c>
      <c r="ES20" s="64"/>
      <c r="ET20" s="57">
        <v>0.02</v>
      </c>
      <c r="EU20" s="57">
        <v>0</v>
      </c>
      <c r="EV20" s="61"/>
    </row>
    <row r="21" spans="1:152" ht="27.75" hidden="1" customHeight="1" outlineLevel="1" x14ac:dyDescent="0.35">
      <c r="A21" s="62" t="s">
        <v>174</v>
      </c>
      <c r="B21" s="62" t="s">
        <v>177</v>
      </c>
      <c r="C21" s="62" t="s">
        <v>179</v>
      </c>
      <c r="D21" s="63" t="s">
        <v>152</v>
      </c>
      <c r="E21" s="63" t="s">
        <v>147</v>
      </c>
      <c r="F21" s="63" t="s">
        <v>153</v>
      </c>
      <c r="G21" s="63">
        <v>4</v>
      </c>
      <c r="H21" s="64">
        <v>4</v>
      </c>
      <c r="I21" s="64">
        <v>70</v>
      </c>
      <c r="J21" s="61" t="s">
        <v>592</v>
      </c>
      <c r="K21" s="64">
        <v>1452</v>
      </c>
      <c r="L21" s="64">
        <v>1961</v>
      </c>
      <c r="M21" s="64">
        <v>2181</v>
      </c>
      <c r="N21" s="64">
        <v>1965</v>
      </c>
      <c r="O21" s="64"/>
      <c r="P21" s="64">
        <v>1630</v>
      </c>
      <c r="Q21" s="64">
        <v>1750</v>
      </c>
      <c r="R21" s="64">
        <v>1750</v>
      </c>
      <c r="S21" s="64">
        <v>1750</v>
      </c>
      <c r="T21" s="64">
        <v>1750</v>
      </c>
      <c r="U21" s="291">
        <f t="shared" ref="U21:AX21" si="99">T21*(1+$EU21)</f>
        <v>1750</v>
      </c>
      <c r="V21" s="291">
        <f t="shared" si="99"/>
        <v>1750</v>
      </c>
      <c r="W21" s="291">
        <f t="shared" si="99"/>
        <v>1750</v>
      </c>
      <c r="X21" s="291">
        <f t="shared" si="99"/>
        <v>1750</v>
      </c>
      <c r="Y21" s="291">
        <f t="shared" si="99"/>
        <v>1750</v>
      </c>
      <c r="Z21" s="291">
        <f t="shared" si="99"/>
        <v>1750</v>
      </c>
      <c r="AA21" s="291">
        <f t="shared" si="99"/>
        <v>1750</v>
      </c>
      <c r="AB21" s="291">
        <f t="shared" si="99"/>
        <v>1750</v>
      </c>
      <c r="AC21" s="291">
        <f t="shared" si="99"/>
        <v>1750</v>
      </c>
      <c r="AD21" s="291">
        <f t="shared" si="99"/>
        <v>1750</v>
      </c>
      <c r="AE21" s="291">
        <f t="shared" si="99"/>
        <v>1750</v>
      </c>
      <c r="AF21" s="291">
        <f t="shared" si="99"/>
        <v>1750</v>
      </c>
      <c r="AG21" s="291">
        <f t="shared" si="99"/>
        <v>1750</v>
      </c>
      <c r="AH21" s="291">
        <f t="shared" si="99"/>
        <v>1750</v>
      </c>
      <c r="AI21" s="291">
        <f t="shared" si="99"/>
        <v>1750</v>
      </c>
      <c r="AJ21" s="291">
        <f t="shared" si="99"/>
        <v>1750</v>
      </c>
      <c r="AK21" s="291">
        <f t="shared" si="99"/>
        <v>1750</v>
      </c>
      <c r="AL21" s="291">
        <f t="shared" si="99"/>
        <v>1750</v>
      </c>
      <c r="AM21" s="291">
        <f t="shared" si="99"/>
        <v>1750</v>
      </c>
      <c r="AN21" s="291">
        <f t="shared" si="99"/>
        <v>1750</v>
      </c>
      <c r="AO21" s="291">
        <f t="shared" si="99"/>
        <v>1750</v>
      </c>
      <c r="AP21" s="291">
        <f t="shared" si="99"/>
        <v>1750</v>
      </c>
      <c r="AQ21" s="291">
        <f t="shared" si="99"/>
        <v>1750</v>
      </c>
      <c r="AR21" s="291">
        <f t="shared" si="99"/>
        <v>1750</v>
      </c>
      <c r="AS21" s="291">
        <f t="shared" si="99"/>
        <v>1750</v>
      </c>
      <c r="AT21" s="291">
        <f t="shared" si="99"/>
        <v>1750</v>
      </c>
      <c r="AU21" s="291">
        <f t="shared" si="99"/>
        <v>1750</v>
      </c>
      <c r="AV21" s="291">
        <f t="shared" si="99"/>
        <v>1750</v>
      </c>
      <c r="AW21" s="291">
        <f t="shared" si="99"/>
        <v>1750</v>
      </c>
      <c r="AX21" s="291">
        <f t="shared" si="99"/>
        <v>1750</v>
      </c>
      <c r="AZ21" s="64">
        <v>1630</v>
      </c>
      <c r="BA21" s="64">
        <v>1750</v>
      </c>
      <c r="BB21" s="64">
        <v>1800</v>
      </c>
      <c r="BC21" s="64">
        <v>1810</v>
      </c>
      <c r="BD21" s="64">
        <v>1820</v>
      </c>
      <c r="BE21" s="64">
        <f t="shared" ref="BE21:CH21" si="100">BD21*(1+$ET21)</f>
        <v>1929.2</v>
      </c>
      <c r="BF21" s="64">
        <f t="shared" si="100"/>
        <v>2044.9520000000002</v>
      </c>
      <c r="BG21" s="64">
        <f t="shared" si="100"/>
        <v>2167.6491200000005</v>
      </c>
      <c r="BH21" s="64">
        <f t="shared" si="100"/>
        <v>2297.7080672000006</v>
      </c>
      <c r="BI21" s="64">
        <f t="shared" si="100"/>
        <v>2435.570551232001</v>
      </c>
      <c r="BJ21" s="64">
        <f t="shared" si="100"/>
        <v>2581.7047843059213</v>
      </c>
      <c r="BK21" s="64">
        <f t="shared" si="100"/>
        <v>2736.6070713642766</v>
      </c>
      <c r="BL21" s="64">
        <f t="shared" si="100"/>
        <v>2900.8034956461333</v>
      </c>
      <c r="BM21" s="64">
        <f t="shared" si="100"/>
        <v>3074.8517053849014</v>
      </c>
      <c r="BN21" s="64">
        <f t="shared" si="100"/>
        <v>3259.3428077079957</v>
      </c>
      <c r="BO21" s="64">
        <f t="shared" si="100"/>
        <v>3454.9033761704754</v>
      </c>
      <c r="BP21" s="64">
        <f t="shared" si="100"/>
        <v>3662.1975787407041</v>
      </c>
      <c r="BQ21" s="64">
        <f t="shared" si="100"/>
        <v>3881.9294334651468</v>
      </c>
      <c r="BR21" s="64">
        <f t="shared" si="100"/>
        <v>4114.8451994730558</v>
      </c>
      <c r="BS21" s="64">
        <f t="shared" si="100"/>
        <v>4361.7359114414394</v>
      </c>
      <c r="BT21" s="64">
        <f t="shared" si="100"/>
        <v>4623.440066127926</v>
      </c>
      <c r="BU21" s="64">
        <f t="shared" si="100"/>
        <v>4900.8464700956019</v>
      </c>
      <c r="BV21" s="64">
        <f t="shared" si="100"/>
        <v>5194.8972583013383</v>
      </c>
      <c r="BW21" s="64">
        <f t="shared" si="100"/>
        <v>5506.5910937994186</v>
      </c>
      <c r="BX21" s="64">
        <f t="shared" si="100"/>
        <v>5836.9865594273842</v>
      </c>
      <c r="BY21" s="64">
        <f t="shared" si="100"/>
        <v>6187.205752993028</v>
      </c>
      <c r="BZ21" s="64">
        <f t="shared" si="100"/>
        <v>6558.4380981726099</v>
      </c>
      <c r="CA21" s="64">
        <f t="shared" si="100"/>
        <v>6951.9443840629665</v>
      </c>
      <c r="CB21" s="64">
        <f t="shared" si="100"/>
        <v>7369.0610471067448</v>
      </c>
      <c r="CC21" s="64">
        <f t="shared" si="100"/>
        <v>7811.2047099331503</v>
      </c>
      <c r="CD21" s="64">
        <f t="shared" si="100"/>
        <v>8279.8769925291399</v>
      </c>
      <c r="CE21" s="64">
        <f t="shared" si="100"/>
        <v>8776.6696120808883</v>
      </c>
      <c r="CF21" s="64">
        <f t="shared" si="100"/>
        <v>9303.2697888057428</v>
      </c>
      <c r="CG21" s="64">
        <f t="shared" si="100"/>
        <v>9861.4659761340881</v>
      </c>
      <c r="CH21" s="64">
        <f t="shared" si="100"/>
        <v>10453.153934702133</v>
      </c>
      <c r="CI21" s="64"/>
      <c r="CJ21" s="64">
        <f t="shared" si="6"/>
        <v>179.20000000000005</v>
      </c>
      <c r="CK21" s="64">
        <f t="shared" si="7"/>
        <v>294.95200000000023</v>
      </c>
      <c r="CL21" s="64">
        <f t="shared" si="8"/>
        <v>417.64912000000049</v>
      </c>
      <c r="CM21" s="64">
        <f t="shared" si="9"/>
        <v>547.70806720000064</v>
      </c>
      <c r="CN21" s="64">
        <f t="shared" si="10"/>
        <v>685.57055123200098</v>
      </c>
      <c r="CO21" s="64">
        <f t="shared" si="11"/>
        <v>831.70478430592129</v>
      </c>
      <c r="CP21" s="64">
        <f t="shared" si="12"/>
        <v>986.60707136427663</v>
      </c>
      <c r="CQ21" s="64">
        <f t="shared" si="13"/>
        <v>1150.8034956461333</v>
      </c>
      <c r="CR21" s="64">
        <f t="shared" si="14"/>
        <v>1324.8517053849014</v>
      </c>
      <c r="CS21" s="64">
        <f t="shared" si="15"/>
        <v>1509.3428077079957</v>
      </c>
      <c r="CT21" s="64">
        <f t="shared" si="16"/>
        <v>1704.9033761704754</v>
      </c>
      <c r="CU21" s="64">
        <f t="shared" si="17"/>
        <v>1912.1975787407041</v>
      </c>
      <c r="CV21" s="64">
        <f t="shared" si="18"/>
        <v>2131.9294334651468</v>
      </c>
      <c r="CW21" s="64">
        <f t="shared" si="19"/>
        <v>2364.8451994730558</v>
      </c>
      <c r="CX21" s="64">
        <f t="shared" si="20"/>
        <v>2611.7359114414394</v>
      </c>
      <c r="CY21" s="64">
        <f t="shared" si="21"/>
        <v>2873.440066127926</v>
      </c>
      <c r="CZ21" s="64">
        <f t="shared" si="22"/>
        <v>3150.8464700956019</v>
      </c>
      <c r="DA21" s="64">
        <f t="shared" si="23"/>
        <v>3444.8972583013383</v>
      </c>
      <c r="DB21" s="64">
        <f t="shared" si="24"/>
        <v>3756.5910937994186</v>
      </c>
      <c r="DC21" s="64">
        <f t="shared" si="25"/>
        <v>4086.9865594273842</v>
      </c>
      <c r="DD21" s="64">
        <f t="shared" si="26"/>
        <v>4437.205752993028</v>
      </c>
      <c r="DE21" s="64">
        <f t="shared" si="27"/>
        <v>4808.4380981726099</v>
      </c>
      <c r="DF21" s="64">
        <f t="shared" si="28"/>
        <v>5201.9443840629665</v>
      </c>
      <c r="DG21" s="64">
        <f t="shared" si="29"/>
        <v>5619.0610471067448</v>
      </c>
      <c r="DH21" s="64">
        <f t="shared" si="30"/>
        <v>6061.2047099331503</v>
      </c>
      <c r="DI21" s="64">
        <f t="shared" si="31"/>
        <v>6529.8769925291399</v>
      </c>
      <c r="DJ21" s="64">
        <f t="shared" si="32"/>
        <v>7026.6696120808883</v>
      </c>
      <c r="DK21" s="64">
        <f t="shared" si="33"/>
        <v>7553.2697888057428</v>
      </c>
      <c r="DL21" s="64">
        <f t="shared" si="34"/>
        <v>8111.4659761340881</v>
      </c>
      <c r="DM21" s="64">
        <f t="shared" si="35"/>
        <v>8703.1539347021335</v>
      </c>
      <c r="DN21" s="64"/>
      <c r="DO21" s="64">
        <f t="shared" si="39"/>
        <v>50176.000000000015</v>
      </c>
      <c r="DP21" s="64">
        <f t="shared" si="40"/>
        <v>82586.560000000056</v>
      </c>
      <c r="DQ21" s="64">
        <f t="shared" si="41"/>
        <v>116941.75360000014</v>
      </c>
      <c r="DR21" s="64">
        <f t="shared" si="42"/>
        <v>153358.25881600019</v>
      </c>
      <c r="DS21" s="64">
        <f t="shared" si="43"/>
        <v>191959.75434496027</v>
      </c>
      <c r="DT21" s="64">
        <f t="shared" si="44"/>
        <v>232877.33960565797</v>
      </c>
      <c r="DU21" s="64">
        <f t="shared" si="45"/>
        <v>276249.97998199746</v>
      </c>
      <c r="DV21" s="64">
        <f t="shared" si="46"/>
        <v>322224.97878091736</v>
      </c>
      <c r="DW21" s="64">
        <f t="shared" si="47"/>
        <v>370958.47750777239</v>
      </c>
      <c r="DX21" s="64">
        <f t="shared" si="48"/>
        <v>422615.98615823878</v>
      </c>
      <c r="DY21" s="64">
        <f t="shared" si="49"/>
        <v>477372.94532773312</v>
      </c>
      <c r="DZ21" s="64">
        <f t="shared" si="50"/>
        <v>535415.32204739715</v>
      </c>
      <c r="EA21" s="64">
        <f t="shared" si="51"/>
        <v>596940.24137024104</v>
      </c>
      <c r="EB21" s="64">
        <f t="shared" si="52"/>
        <v>662156.65585245565</v>
      </c>
      <c r="EC21" s="64">
        <f t="shared" si="53"/>
        <v>731286.055203603</v>
      </c>
      <c r="ED21" s="64">
        <f t="shared" si="54"/>
        <v>804563.21851581929</v>
      </c>
      <c r="EE21" s="64">
        <f t="shared" si="55"/>
        <v>882237.01162676851</v>
      </c>
      <c r="EF21" s="64">
        <f t="shared" si="56"/>
        <v>964571.23232437472</v>
      </c>
      <c r="EG21" s="64">
        <f t="shared" si="57"/>
        <v>1051845.5062638372</v>
      </c>
      <c r="EH21" s="64">
        <f t="shared" si="58"/>
        <v>1144356.2366396675</v>
      </c>
      <c r="EI21" s="64">
        <f t="shared" si="59"/>
        <v>1242417.6108380479</v>
      </c>
      <c r="EJ21" s="64">
        <f t="shared" si="60"/>
        <v>1346362.6674883307</v>
      </c>
      <c r="EK21" s="64">
        <f t="shared" si="61"/>
        <v>1456544.4275376305</v>
      </c>
      <c r="EL21" s="64">
        <f t="shared" si="62"/>
        <v>1573337.0931898886</v>
      </c>
      <c r="EM21" s="64">
        <f t="shared" si="63"/>
        <v>1697137.3187812821</v>
      </c>
      <c r="EN21" s="64">
        <f t="shared" si="64"/>
        <v>1828365.5579081592</v>
      </c>
      <c r="EO21" s="64">
        <f t="shared" si="65"/>
        <v>1967467.4913826487</v>
      </c>
      <c r="EP21" s="64">
        <f t="shared" si="66"/>
        <v>2114915.540865608</v>
      </c>
      <c r="EQ21" s="64">
        <f t="shared" si="67"/>
        <v>2271210.4733175449</v>
      </c>
      <c r="ER21" s="64">
        <f t="shared" si="68"/>
        <v>2436883.1017165976</v>
      </c>
      <c r="ES21" s="64"/>
      <c r="ET21" s="57">
        <v>0.06</v>
      </c>
      <c r="EU21" s="57">
        <v>0</v>
      </c>
      <c r="EV21" s="61"/>
    </row>
    <row r="22" spans="1:152" ht="27.75" hidden="1" customHeight="1" outlineLevel="1" x14ac:dyDescent="0.35">
      <c r="A22" s="62" t="s">
        <v>174</v>
      </c>
      <c r="B22" s="62" t="s">
        <v>177</v>
      </c>
      <c r="C22" s="62" t="s">
        <v>180</v>
      </c>
      <c r="D22" s="63" t="s">
        <v>152</v>
      </c>
      <c r="E22" s="63" t="s">
        <v>147</v>
      </c>
      <c r="F22" s="63" t="s">
        <v>153</v>
      </c>
      <c r="G22" s="63">
        <v>4</v>
      </c>
      <c r="H22" s="64">
        <v>4</v>
      </c>
      <c r="I22" s="64">
        <v>165</v>
      </c>
      <c r="J22" s="61" t="s">
        <v>593</v>
      </c>
      <c r="K22" s="64">
        <v>0</v>
      </c>
      <c r="L22" s="64">
        <v>0</v>
      </c>
      <c r="M22" s="64">
        <v>0</v>
      </c>
      <c r="N22" s="64">
        <v>0</v>
      </c>
      <c r="O22" s="64"/>
      <c r="P22" s="64">
        <v>900</v>
      </c>
      <c r="Q22" s="64">
        <v>1700</v>
      </c>
      <c r="R22" s="64">
        <v>1700</v>
      </c>
      <c r="S22" s="64">
        <v>4650</v>
      </c>
      <c r="T22" s="64">
        <v>4800</v>
      </c>
      <c r="U22" s="291">
        <f t="shared" ref="U22:AX22" si="101">T22*(1+$EU22)</f>
        <v>4800</v>
      </c>
      <c r="V22" s="291">
        <f t="shared" si="101"/>
        <v>4800</v>
      </c>
      <c r="W22" s="291">
        <f t="shared" si="101"/>
        <v>4800</v>
      </c>
      <c r="X22" s="291">
        <f t="shared" si="101"/>
        <v>4800</v>
      </c>
      <c r="Y22" s="291">
        <f t="shared" si="101"/>
        <v>4800</v>
      </c>
      <c r="Z22" s="291">
        <f t="shared" si="101"/>
        <v>4800</v>
      </c>
      <c r="AA22" s="291">
        <f t="shared" si="101"/>
        <v>4800</v>
      </c>
      <c r="AB22" s="291">
        <f t="shared" si="101"/>
        <v>4800</v>
      </c>
      <c r="AC22" s="291">
        <f t="shared" si="101"/>
        <v>4800</v>
      </c>
      <c r="AD22" s="291">
        <f t="shared" si="101"/>
        <v>4800</v>
      </c>
      <c r="AE22" s="291">
        <f t="shared" si="101"/>
        <v>4800</v>
      </c>
      <c r="AF22" s="291">
        <f t="shared" si="101"/>
        <v>4800</v>
      </c>
      <c r="AG22" s="291">
        <f t="shared" si="101"/>
        <v>4800</v>
      </c>
      <c r="AH22" s="291">
        <f t="shared" si="101"/>
        <v>4800</v>
      </c>
      <c r="AI22" s="291">
        <f t="shared" si="101"/>
        <v>4800</v>
      </c>
      <c r="AJ22" s="291">
        <f t="shared" si="101"/>
        <v>4800</v>
      </c>
      <c r="AK22" s="291">
        <f t="shared" si="101"/>
        <v>4800</v>
      </c>
      <c r="AL22" s="291">
        <f t="shared" si="101"/>
        <v>4800</v>
      </c>
      <c r="AM22" s="291">
        <f t="shared" si="101"/>
        <v>4800</v>
      </c>
      <c r="AN22" s="291">
        <f t="shared" si="101"/>
        <v>4800</v>
      </c>
      <c r="AO22" s="291">
        <f t="shared" si="101"/>
        <v>4800</v>
      </c>
      <c r="AP22" s="291">
        <f t="shared" si="101"/>
        <v>4800</v>
      </c>
      <c r="AQ22" s="291">
        <f t="shared" si="101"/>
        <v>4800</v>
      </c>
      <c r="AR22" s="291">
        <f t="shared" si="101"/>
        <v>4800</v>
      </c>
      <c r="AS22" s="291">
        <f t="shared" si="101"/>
        <v>4800</v>
      </c>
      <c r="AT22" s="291">
        <f t="shared" si="101"/>
        <v>4800</v>
      </c>
      <c r="AU22" s="291">
        <f t="shared" si="101"/>
        <v>4800</v>
      </c>
      <c r="AV22" s="291">
        <f t="shared" si="101"/>
        <v>4800</v>
      </c>
      <c r="AW22" s="291">
        <f t="shared" si="101"/>
        <v>4800</v>
      </c>
      <c r="AX22" s="291">
        <f t="shared" si="101"/>
        <v>4800</v>
      </c>
      <c r="AZ22" s="64">
        <v>900</v>
      </c>
      <c r="BA22" s="64">
        <v>1700</v>
      </c>
      <c r="BB22" s="64">
        <v>1800</v>
      </c>
      <c r="BC22" s="64">
        <v>4650</v>
      </c>
      <c r="BD22" s="64">
        <v>4800</v>
      </c>
      <c r="BE22" s="64">
        <f t="shared" ref="BE22:CH22" si="102">BD22*(1+$ET22)</f>
        <v>4992</v>
      </c>
      <c r="BF22" s="64">
        <f t="shared" si="102"/>
        <v>5191.68</v>
      </c>
      <c r="BG22" s="64">
        <f t="shared" si="102"/>
        <v>5399.3472000000002</v>
      </c>
      <c r="BH22" s="64">
        <f t="shared" si="102"/>
        <v>5615.3210880000006</v>
      </c>
      <c r="BI22" s="64">
        <f t="shared" si="102"/>
        <v>5839.9339315200004</v>
      </c>
      <c r="BJ22" s="64">
        <f t="shared" si="102"/>
        <v>6073.5312887808004</v>
      </c>
      <c r="BK22" s="64">
        <f t="shared" si="102"/>
        <v>6316.4725403320326</v>
      </c>
      <c r="BL22" s="64">
        <f t="shared" si="102"/>
        <v>6569.1314419453138</v>
      </c>
      <c r="BM22" s="64">
        <f t="shared" si="102"/>
        <v>6831.8966996231266</v>
      </c>
      <c r="BN22" s="64">
        <f t="shared" si="102"/>
        <v>7105.1725676080523</v>
      </c>
      <c r="BO22" s="64">
        <f t="shared" si="102"/>
        <v>7389.3794703123749</v>
      </c>
      <c r="BP22" s="64">
        <f t="shared" si="102"/>
        <v>7684.9546491248702</v>
      </c>
      <c r="BQ22" s="64">
        <f t="shared" si="102"/>
        <v>7992.352835089865</v>
      </c>
      <c r="BR22" s="64">
        <f t="shared" si="102"/>
        <v>8312.0469484934601</v>
      </c>
      <c r="BS22" s="64">
        <f t="shared" si="102"/>
        <v>8644.5288264331994</v>
      </c>
      <c r="BT22" s="64">
        <f t="shared" si="102"/>
        <v>8990.3099794905283</v>
      </c>
      <c r="BU22" s="64">
        <f t="shared" si="102"/>
        <v>9349.9223786701496</v>
      </c>
      <c r="BV22" s="64">
        <f t="shared" si="102"/>
        <v>9723.9192738169568</v>
      </c>
      <c r="BW22" s="64">
        <f t="shared" si="102"/>
        <v>10112.876044769635</v>
      </c>
      <c r="BX22" s="64">
        <f t="shared" si="102"/>
        <v>10517.391086560421</v>
      </c>
      <c r="BY22" s="64">
        <f t="shared" si="102"/>
        <v>10938.086730022838</v>
      </c>
      <c r="BZ22" s="64">
        <f t="shared" si="102"/>
        <v>11375.610199223753</v>
      </c>
      <c r="CA22" s="64">
        <f t="shared" si="102"/>
        <v>11830.634607192704</v>
      </c>
      <c r="CB22" s="64">
        <f t="shared" si="102"/>
        <v>12303.859991480413</v>
      </c>
      <c r="CC22" s="64">
        <f t="shared" si="102"/>
        <v>12796.01439113963</v>
      </c>
      <c r="CD22" s="64">
        <f t="shared" si="102"/>
        <v>13307.854966785215</v>
      </c>
      <c r="CE22" s="64">
        <f t="shared" si="102"/>
        <v>13840.169165456624</v>
      </c>
      <c r="CF22" s="64">
        <f t="shared" si="102"/>
        <v>14393.77593207489</v>
      </c>
      <c r="CG22" s="64">
        <f t="shared" si="102"/>
        <v>14969.526969357887</v>
      </c>
      <c r="CH22" s="64">
        <f t="shared" si="102"/>
        <v>15568.308048132203</v>
      </c>
      <c r="CI22" s="64"/>
      <c r="CJ22" s="64">
        <f t="shared" si="6"/>
        <v>192</v>
      </c>
      <c r="CK22" s="64">
        <f t="shared" si="7"/>
        <v>391.68000000000029</v>
      </c>
      <c r="CL22" s="64">
        <f t="shared" si="8"/>
        <v>599.34720000000016</v>
      </c>
      <c r="CM22" s="64">
        <f t="shared" si="9"/>
        <v>815.3210880000006</v>
      </c>
      <c r="CN22" s="64">
        <f t="shared" si="10"/>
        <v>1039.9339315200004</v>
      </c>
      <c r="CO22" s="64">
        <f t="shared" si="11"/>
        <v>1273.5312887808004</v>
      </c>
      <c r="CP22" s="64">
        <f t="shared" si="12"/>
        <v>1516.4725403320326</v>
      </c>
      <c r="CQ22" s="64">
        <f t="shared" si="13"/>
        <v>1769.1314419453138</v>
      </c>
      <c r="CR22" s="64">
        <f t="shared" si="14"/>
        <v>2031.8966996231266</v>
      </c>
      <c r="CS22" s="64">
        <f t="shared" si="15"/>
        <v>2305.1725676080523</v>
      </c>
      <c r="CT22" s="64">
        <f t="shared" si="16"/>
        <v>2589.3794703123749</v>
      </c>
      <c r="CU22" s="64">
        <f t="shared" si="17"/>
        <v>2884.9546491248702</v>
      </c>
      <c r="CV22" s="64">
        <f t="shared" si="18"/>
        <v>3192.352835089865</v>
      </c>
      <c r="CW22" s="64">
        <f t="shared" si="19"/>
        <v>3512.0469484934601</v>
      </c>
      <c r="CX22" s="64">
        <f t="shared" si="20"/>
        <v>3844.5288264331994</v>
      </c>
      <c r="CY22" s="64">
        <f t="shared" si="21"/>
        <v>4190.3099794905283</v>
      </c>
      <c r="CZ22" s="64">
        <f t="shared" si="22"/>
        <v>4549.9223786701496</v>
      </c>
      <c r="DA22" s="64">
        <f t="shared" si="23"/>
        <v>4923.9192738169568</v>
      </c>
      <c r="DB22" s="64">
        <f t="shared" si="24"/>
        <v>5312.876044769635</v>
      </c>
      <c r="DC22" s="64">
        <f t="shared" si="25"/>
        <v>5717.3910865604212</v>
      </c>
      <c r="DD22" s="64">
        <f t="shared" si="26"/>
        <v>6138.0867300228383</v>
      </c>
      <c r="DE22" s="64">
        <f t="shared" si="27"/>
        <v>6575.6101992237527</v>
      </c>
      <c r="DF22" s="64">
        <f t="shared" si="28"/>
        <v>7030.6346071927037</v>
      </c>
      <c r="DG22" s="64">
        <f t="shared" si="29"/>
        <v>7503.8599914804126</v>
      </c>
      <c r="DH22" s="64">
        <f t="shared" si="30"/>
        <v>7996.0143911396299</v>
      </c>
      <c r="DI22" s="64">
        <f t="shared" si="31"/>
        <v>8507.8549667852149</v>
      </c>
      <c r="DJ22" s="64">
        <f t="shared" si="32"/>
        <v>9040.1691654566239</v>
      </c>
      <c r="DK22" s="64">
        <f t="shared" si="33"/>
        <v>9593.7759320748901</v>
      </c>
      <c r="DL22" s="64">
        <f t="shared" si="34"/>
        <v>10169.526969357887</v>
      </c>
      <c r="DM22" s="64">
        <f t="shared" si="35"/>
        <v>10768.308048132203</v>
      </c>
      <c r="DN22" s="64"/>
      <c r="DO22" s="64">
        <f t="shared" si="39"/>
        <v>126720</v>
      </c>
      <c r="DP22" s="64">
        <f t="shared" si="40"/>
        <v>258508.80000000019</v>
      </c>
      <c r="DQ22" s="64">
        <f t="shared" si="41"/>
        <v>395569.15200000012</v>
      </c>
      <c r="DR22" s="64">
        <f t="shared" si="42"/>
        <v>538111.91808000044</v>
      </c>
      <c r="DS22" s="64">
        <f t="shared" si="43"/>
        <v>686356.39480320027</v>
      </c>
      <c r="DT22" s="64">
        <f t="shared" si="44"/>
        <v>840530.6505953283</v>
      </c>
      <c r="DU22" s="64">
        <f t="shared" si="45"/>
        <v>1000871.8766191415</v>
      </c>
      <c r="DV22" s="64">
        <f t="shared" si="46"/>
        <v>1167626.7516839071</v>
      </c>
      <c r="DW22" s="64">
        <f t="shared" si="47"/>
        <v>1341051.8217512635</v>
      </c>
      <c r="DX22" s="64">
        <f t="shared" si="48"/>
        <v>1521413.8946213145</v>
      </c>
      <c r="DY22" s="64">
        <f t="shared" si="49"/>
        <v>1708990.4504061674</v>
      </c>
      <c r="DZ22" s="64">
        <f t="shared" si="50"/>
        <v>1904070.0684224144</v>
      </c>
      <c r="EA22" s="64">
        <f t="shared" si="51"/>
        <v>2106952.8711593109</v>
      </c>
      <c r="EB22" s="64">
        <f t="shared" si="52"/>
        <v>2317950.9860056839</v>
      </c>
      <c r="EC22" s="64">
        <f t="shared" si="53"/>
        <v>2537389.0254459116</v>
      </c>
      <c r="ED22" s="64">
        <f t="shared" si="54"/>
        <v>2765604.5864637485</v>
      </c>
      <c r="EE22" s="64">
        <f t="shared" si="55"/>
        <v>3002948.7699222988</v>
      </c>
      <c r="EF22" s="64">
        <f t="shared" si="56"/>
        <v>3249786.7207191912</v>
      </c>
      <c r="EG22" s="64">
        <f t="shared" si="57"/>
        <v>3506498.1895479592</v>
      </c>
      <c r="EH22" s="64">
        <f t="shared" si="58"/>
        <v>3773478.1171298781</v>
      </c>
      <c r="EI22" s="64">
        <f t="shared" si="59"/>
        <v>4051137.2418150734</v>
      </c>
      <c r="EJ22" s="64">
        <f t="shared" si="60"/>
        <v>4339902.7314876765</v>
      </c>
      <c r="EK22" s="64">
        <f t="shared" si="61"/>
        <v>4640218.8407471841</v>
      </c>
      <c r="EL22" s="64">
        <f t="shared" si="62"/>
        <v>4952547.5943770725</v>
      </c>
      <c r="EM22" s="64">
        <f t="shared" si="63"/>
        <v>5277369.4981521554</v>
      </c>
      <c r="EN22" s="64">
        <f t="shared" si="64"/>
        <v>5615184.2780782422</v>
      </c>
      <c r="EO22" s="64">
        <f t="shared" si="65"/>
        <v>5966511.6492013717</v>
      </c>
      <c r="EP22" s="64">
        <f t="shared" si="66"/>
        <v>6331892.1151694274</v>
      </c>
      <c r="EQ22" s="64">
        <f t="shared" si="67"/>
        <v>6711887.7997762049</v>
      </c>
      <c r="ER22" s="64">
        <f t="shared" si="68"/>
        <v>7107083.311767254</v>
      </c>
      <c r="ES22" s="64"/>
      <c r="ET22" s="57">
        <v>0.04</v>
      </c>
      <c r="EU22" s="57">
        <v>0</v>
      </c>
      <c r="EV22" s="61"/>
    </row>
    <row r="23" spans="1:152" ht="27.75" hidden="1" customHeight="1" outlineLevel="1" x14ac:dyDescent="0.35">
      <c r="A23" s="62" t="s">
        <v>174</v>
      </c>
      <c r="B23" s="62" t="s">
        <v>177</v>
      </c>
      <c r="C23" s="62" t="s">
        <v>181</v>
      </c>
      <c r="D23" s="63" t="s">
        <v>152</v>
      </c>
      <c r="E23" s="63" t="s">
        <v>147</v>
      </c>
      <c r="F23" s="63" t="s">
        <v>182</v>
      </c>
      <c r="G23" s="63">
        <v>4</v>
      </c>
      <c r="H23" s="64">
        <v>4</v>
      </c>
      <c r="I23" s="64">
        <v>200</v>
      </c>
      <c r="J23" s="61" t="s">
        <v>594</v>
      </c>
      <c r="K23" s="64">
        <v>7824</v>
      </c>
      <c r="L23" s="64">
        <v>8064</v>
      </c>
      <c r="M23" s="64">
        <v>7325</v>
      </c>
      <c r="N23" s="64">
        <v>5684</v>
      </c>
      <c r="O23" s="64"/>
      <c r="P23" s="64">
        <v>3300</v>
      </c>
      <c r="Q23" s="64">
        <v>3400</v>
      </c>
      <c r="R23" s="64">
        <v>4900</v>
      </c>
      <c r="S23" s="64">
        <v>11000</v>
      </c>
      <c r="T23" s="64">
        <v>11200</v>
      </c>
      <c r="U23" s="291">
        <f t="shared" ref="U23:AX23" si="103">T23*(1+$EU23)</f>
        <v>11200</v>
      </c>
      <c r="V23" s="291">
        <f t="shared" si="103"/>
        <v>11200</v>
      </c>
      <c r="W23" s="291">
        <f t="shared" si="103"/>
        <v>11200</v>
      </c>
      <c r="X23" s="291">
        <f t="shared" si="103"/>
        <v>11200</v>
      </c>
      <c r="Y23" s="291">
        <f t="shared" si="103"/>
        <v>11200</v>
      </c>
      <c r="Z23" s="291">
        <f t="shared" si="103"/>
        <v>11200</v>
      </c>
      <c r="AA23" s="291">
        <f t="shared" si="103"/>
        <v>11200</v>
      </c>
      <c r="AB23" s="291">
        <f t="shared" si="103"/>
        <v>11200</v>
      </c>
      <c r="AC23" s="291">
        <f t="shared" si="103"/>
        <v>11200</v>
      </c>
      <c r="AD23" s="291">
        <f t="shared" si="103"/>
        <v>11200</v>
      </c>
      <c r="AE23" s="291">
        <f t="shared" si="103"/>
        <v>11200</v>
      </c>
      <c r="AF23" s="291">
        <f t="shared" si="103"/>
        <v>11200</v>
      </c>
      <c r="AG23" s="291">
        <f t="shared" si="103"/>
        <v>11200</v>
      </c>
      <c r="AH23" s="291">
        <f t="shared" si="103"/>
        <v>11200</v>
      </c>
      <c r="AI23" s="291">
        <f t="shared" si="103"/>
        <v>11200</v>
      </c>
      <c r="AJ23" s="291">
        <f t="shared" si="103"/>
        <v>11200</v>
      </c>
      <c r="AK23" s="291">
        <f t="shared" si="103"/>
        <v>11200</v>
      </c>
      <c r="AL23" s="291">
        <f t="shared" si="103"/>
        <v>11200</v>
      </c>
      <c r="AM23" s="291">
        <f t="shared" si="103"/>
        <v>11200</v>
      </c>
      <c r="AN23" s="291">
        <f t="shared" si="103"/>
        <v>11200</v>
      </c>
      <c r="AO23" s="291">
        <f t="shared" si="103"/>
        <v>11200</v>
      </c>
      <c r="AP23" s="291">
        <f t="shared" si="103"/>
        <v>11200</v>
      </c>
      <c r="AQ23" s="291">
        <f t="shared" si="103"/>
        <v>11200</v>
      </c>
      <c r="AR23" s="291">
        <f t="shared" si="103"/>
        <v>11200</v>
      </c>
      <c r="AS23" s="291">
        <f t="shared" si="103"/>
        <v>11200</v>
      </c>
      <c r="AT23" s="291">
        <f t="shared" si="103"/>
        <v>11200</v>
      </c>
      <c r="AU23" s="291">
        <f t="shared" si="103"/>
        <v>11200</v>
      </c>
      <c r="AV23" s="291">
        <f t="shared" si="103"/>
        <v>11200</v>
      </c>
      <c r="AW23" s="291">
        <f t="shared" si="103"/>
        <v>11200</v>
      </c>
      <c r="AX23" s="291">
        <f t="shared" si="103"/>
        <v>11200</v>
      </c>
      <c r="AZ23" s="64">
        <v>3300</v>
      </c>
      <c r="BA23" s="64">
        <v>3400</v>
      </c>
      <c r="BB23" s="64">
        <v>5000</v>
      </c>
      <c r="BC23" s="64">
        <v>11500</v>
      </c>
      <c r="BD23" s="64">
        <v>11800</v>
      </c>
      <c r="BE23" s="64">
        <f t="shared" ref="BE23:CH23" si="104">BD23*(1+$ET23)</f>
        <v>12272</v>
      </c>
      <c r="BF23" s="64">
        <f t="shared" si="104"/>
        <v>12762.880000000001</v>
      </c>
      <c r="BG23" s="64">
        <f t="shared" si="104"/>
        <v>13273.395200000001</v>
      </c>
      <c r="BH23" s="64">
        <f t="shared" si="104"/>
        <v>13804.331008000001</v>
      </c>
      <c r="BI23" s="64">
        <f t="shared" si="104"/>
        <v>14356.504248320001</v>
      </c>
      <c r="BJ23" s="64">
        <f t="shared" si="104"/>
        <v>14930.764418252802</v>
      </c>
      <c r="BK23" s="64">
        <f t="shared" si="104"/>
        <v>15527.994994982915</v>
      </c>
      <c r="BL23" s="64">
        <f t="shared" si="104"/>
        <v>16149.114794782232</v>
      </c>
      <c r="BM23" s="64">
        <f t="shared" si="104"/>
        <v>16795.079386573521</v>
      </c>
      <c r="BN23" s="64">
        <f t="shared" si="104"/>
        <v>17466.882562036462</v>
      </c>
      <c r="BO23" s="64">
        <f t="shared" si="104"/>
        <v>18165.557864517923</v>
      </c>
      <c r="BP23" s="64">
        <f t="shared" si="104"/>
        <v>18892.180179098639</v>
      </c>
      <c r="BQ23" s="64">
        <f t="shared" si="104"/>
        <v>19647.867386262584</v>
      </c>
      <c r="BR23" s="64">
        <f t="shared" si="104"/>
        <v>20433.782081713089</v>
      </c>
      <c r="BS23" s="64">
        <f t="shared" si="104"/>
        <v>21251.133364981612</v>
      </c>
      <c r="BT23" s="64">
        <f t="shared" si="104"/>
        <v>22101.178699580876</v>
      </c>
      <c r="BU23" s="64">
        <f t="shared" si="104"/>
        <v>22985.22584756411</v>
      </c>
      <c r="BV23" s="64">
        <f t="shared" si="104"/>
        <v>23904.634881466674</v>
      </c>
      <c r="BW23" s="64">
        <f t="shared" si="104"/>
        <v>24860.820276725342</v>
      </c>
      <c r="BX23" s="64">
        <f t="shared" si="104"/>
        <v>25855.253087794357</v>
      </c>
      <c r="BY23" s="64">
        <f t="shared" si="104"/>
        <v>26889.463211306131</v>
      </c>
      <c r="BZ23" s="64">
        <f t="shared" si="104"/>
        <v>27965.041739758377</v>
      </c>
      <c r="CA23" s="64">
        <f t="shared" si="104"/>
        <v>29083.643409348711</v>
      </c>
      <c r="CB23" s="64">
        <f t="shared" si="104"/>
        <v>30246.989145722662</v>
      </c>
      <c r="CC23" s="64">
        <f t="shared" si="104"/>
        <v>31456.868711551571</v>
      </c>
      <c r="CD23" s="64">
        <f t="shared" si="104"/>
        <v>32715.143460013634</v>
      </c>
      <c r="CE23" s="64">
        <f t="shared" si="104"/>
        <v>34023.749198414182</v>
      </c>
      <c r="CF23" s="64">
        <f t="shared" si="104"/>
        <v>35384.699166350751</v>
      </c>
      <c r="CG23" s="64">
        <f t="shared" si="104"/>
        <v>36800.087133004781</v>
      </c>
      <c r="CH23" s="64">
        <f t="shared" si="104"/>
        <v>38272.090618324975</v>
      </c>
      <c r="CI23" s="64"/>
      <c r="CJ23" s="64">
        <f t="shared" si="6"/>
        <v>1072</v>
      </c>
      <c r="CK23" s="64">
        <f t="shared" si="7"/>
        <v>1562.880000000001</v>
      </c>
      <c r="CL23" s="64">
        <f t="shared" si="8"/>
        <v>2073.3952000000008</v>
      </c>
      <c r="CM23" s="64">
        <f t="shared" si="9"/>
        <v>2604.331008000001</v>
      </c>
      <c r="CN23" s="64">
        <f t="shared" si="10"/>
        <v>3156.5042483200014</v>
      </c>
      <c r="CO23" s="64">
        <f t="shared" si="11"/>
        <v>3730.764418252802</v>
      </c>
      <c r="CP23" s="64">
        <f t="shared" si="12"/>
        <v>4327.9949949829152</v>
      </c>
      <c r="CQ23" s="64">
        <f t="shared" si="13"/>
        <v>4949.1147947822319</v>
      </c>
      <c r="CR23" s="64">
        <f t="shared" si="14"/>
        <v>5595.0793865735213</v>
      </c>
      <c r="CS23" s="64">
        <f t="shared" si="15"/>
        <v>6266.8825620364623</v>
      </c>
      <c r="CT23" s="64">
        <f t="shared" si="16"/>
        <v>6965.557864517923</v>
      </c>
      <c r="CU23" s="64">
        <f t="shared" si="17"/>
        <v>7692.1801790986392</v>
      </c>
      <c r="CV23" s="64">
        <f t="shared" si="18"/>
        <v>8447.8673862625838</v>
      </c>
      <c r="CW23" s="64">
        <f t="shared" si="19"/>
        <v>9233.7820817130887</v>
      </c>
      <c r="CX23" s="64">
        <f t="shared" si="20"/>
        <v>10051.133364981612</v>
      </c>
      <c r="CY23" s="64">
        <f t="shared" si="21"/>
        <v>10901.178699580876</v>
      </c>
      <c r="CZ23" s="64">
        <f t="shared" si="22"/>
        <v>11785.22584756411</v>
      </c>
      <c r="DA23" s="64">
        <f t="shared" si="23"/>
        <v>12704.634881466674</v>
      </c>
      <c r="DB23" s="64">
        <f t="shared" si="24"/>
        <v>13660.820276725342</v>
      </c>
      <c r="DC23" s="64">
        <f t="shared" si="25"/>
        <v>14655.253087794357</v>
      </c>
      <c r="DD23" s="64">
        <f t="shared" si="26"/>
        <v>15689.463211306131</v>
      </c>
      <c r="DE23" s="64">
        <f t="shared" si="27"/>
        <v>16765.041739758377</v>
      </c>
      <c r="DF23" s="64">
        <f t="shared" si="28"/>
        <v>17883.643409348711</v>
      </c>
      <c r="DG23" s="64">
        <f t="shared" si="29"/>
        <v>19046.989145722662</v>
      </c>
      <c r="DH23" s="64">
        <f t="shared" si="30"/>
        <v>20256.868711551571</v>
      </c>
      <c r="DI23" s="64">
        <f t="shared" si="31"/>
        <v>21515.143460013634</v>
      </c>
      <c r="DJ23" s="64">
        <f t="shared" si="32"/>
        <v>22823.749198414182</v>
      </c>
      <c r="DK23" s="64">
        <f t="shared" si="33"/>
        <v>24184.699166350751</v>
      </c>
      <c r="DL23" s="64">
        <f t="shared" si="34"/>
        <v>25600.087133004781</v>
      </c>
      <c r="DM23" s="64">
        <f t="shared" si="35"/>
        <v>27072.090618324975</v>
      </c>
      <c r="DN23" s="64"/>
      <c r="DO23" s="64">
        <f t="shared" si="39"/>
        <v>857600</v>
      </c>
      <c r="DP23" s="64">
        <f t="shared" si="40"/>
        <v>1250304.0000000009</v>
      </c>
      <c r="DQ23" s="64">
        <f t="shared" si="41"/>
        <v>1658716.1600000006</v>
      </c>
      <c r="DR23" s="64">
        <f t="shared" si="42"/>
        <v>2083464.8064000008</v>
      </c>
      <c r="DS23" s="64">
        <f t="shared" si="43"/>
        <v>2525203.3986560013</v>
      </c>
      <c r="DT23" s="64">
        <f t="shared" si="44"/>
        <v>2984611.5346022416</v>
      </c>
      <c r="DU23" s="64">
        <f t="shared" si="45"/>
        <v>3462395.9959863322</v>
      </c>
      <c r="DV23" s="64">
        <f t="shared" si="46"/>
        <v>3959291.8358257855</v>
      </c>
      <c r="DW23" s="64">
        <f t="shared" si="47"/>
        <v>4476063.509258817</v>
      </c>
      <c r="DX23" s="64">
        <f t="shared" si="48"/>
        <v>5013506.0496291695</v>
      </c>
      <c r="DY23" s="64">
        <f t="shared" si="49"/>
        <v>5572446.2916143388</v>
      </c>
      <c r="DZ23" s="64">
        <f t="shared" si="50"/>
        <v>6153744.1432789117</v>
      </c>
      <c r="EA23" s="64">
        <f t="shared" si="51"/>
        <v>6758293.9090100667</v>
      </c>
      <c r="EB23" s="64">
        <f t="shared" si="52"/>
        <v>7387025.6653704708</v>
      </c>
      <c r="EC23" s="64">
        <f t="shared" si="53"/>
        <v>8040906.6919852896</v>
      </c>
      <c r="ED23" s="64">
        <f t="shared" si="54"/>
        <v>8720942.9596647006</v>
      </c>
      <c r="EE23" s="64">
        <f t="shared" si="55"/>
        <v>9428180.6780512873</v>
      </c>
      <c r="EF23" s="64">
        <f t="shared" si="56"/>
        <v>10163707.905173339</v>
      </c>
      <c r="EG23" s="64">
        <f t="shared" si="57"/>
        <v>10928656.221380275</v>
      </c>
      <c r="EH23" s="64">
        <f t="shared" si="58"/>
        <v>11724202.470235486</v>
      </c>
      <c r="EI23" s="64">
        <f t="shared" si="59"/>
        <v>12551570.569044905</v>
      </c>
      <c r="EJ23" s="64">
        <f t="shared" si="60"/>
        <v>13412033.391806701</v>
      </c>
      <c r="EK23" s="64">
        <f t="shared" si="61"/>
        <v>14306914.72747897</v>
      </c>
      <c r="EL23" s="64">
        <f t="shared" si="62"/>
        <v>15237591.316578129</v>
      </c>
      <c r="EM23" s="64">
        <f t="shared" si="63"/>
        <v>16205494.969241258</v>
      </c>
      <c r="EN23" s="64">
        <f t="shared" si="64"/>
        <v>17212114.768010907</v>
      </c>
      <c r="EO23" s="64">
        <f t="shared" si="65"/>
        <v>18258999.358731344</v>
      </c>
      <c r="EP23" s="64">
        <f t="shared" si="66"/>
        <v>19347759.333080601</v>
      </c>
      <c r="EQ23" s="64">
        <f t="shared" si="67"/>
        <v>20480069.706403825</v>
      </c>
      <c r="ER23" s="64">
        <f t="shared" si="68"/>
        <v>21657672.494659979</v>
      </c>
      <c r="ES23" s="64"/>
      <c r="ET23" s="57">
        <v>0.04</v>
      </c>
      <c r="EU23" s="57">
        <v>0</v>
      </c>
      <c r="EV23" s="61"/>
    </row>
    <row r="24" spans="1:152" ht="27.75" hidden="1" customHeight="1" outlineLevel="1" x14ac:dyDescent="0.35">
      <c r="A24" s="62" t="s">
        <v>174</v>
      </c>
      <c r="B24" s="62" t="s">
        <v>183</v>
      </c>
      <c r="C24" s="62" t="s">
        <v>184</v>
      </c>
      <c r="D24" s="63" t="s">
        <v>152</v>
      </c>
      <c r="E24" s="63" t="s">
        <v>147</v>
      </c>
      <c r="F24" s="63" t="s">
        <v>153</v>
      </c>
      <c r="G24" s="63">
        <v>3</v>
      </c>
      <c r="H24" s="64">
        <v>3</v>
      </c>
      <c r="I24" s="64">
        <v>370</v>
      </c>
      <c r="J24" s="61" t="s">
        <v>595</v>
      </c>
      <c r="K24" s="64">
        <v>1771</v>
      </c>
      <c r="L24" s="64">
        <v>1831</v>
      </c>
      <c r="M24" s="64">
        <v>2268</v>
      </c>
      <c r="N24" s="64">
        <v>2719</v>
      </c>
      <c r="O24" s="64"/>
      <c r="P24" s="64">
        <v>2800</v>
      </c>
      <c r="Q24" s="64">
        <v>3000</v>
      </c>
      <c r="R24" s="64">
        <v>3000</v>
      </c>
      <c r="S24" s="64">
        <v>3000</v>
      </c>
      <c r="T24" s="64">
        <v>3000</v>
      </c>
      <c r="U24" s="291">
        <f t="shared" ref="U24:AX24" si="105">T24*(1+$EU24)</f>
        <v>3000</v>
      </c>
      <c r="V24" s="291">
        <f t="shared" si="105"/>
        <v>3000</v>
      </c>
      <c r="W24" s="291">
        <f t="shared" si="105"/>
        <v>3000</v>
      </c>
      <c r="X24" s="291">
        <f t="shared" si="105"/>
        <v>3000</v>
      </c>
      <c r="Y24" s="291">
        <f t="shared" si="105"/>
        <v>3000</v>
      </c>
      <c r="Z24" s="291">
        <f t="shared" si="105"/>
        <v>3000</v>
      </c>
      <c r="AA24" s="291">
        <f t="shared" si="105"/>
        <v>3000</v>
      </c>
      <c r="AB24" s="291">
        <f t="shared" si="105"/>
        <v>3000</v>
      </c>
      <c r="AC24" s="291">
        <f t="shared" si="105"/>
        <v>3000</v>
      </c>
      <c r="AD24" s="291">
        <f t="shared" si="105"/>
        <v>3000</v>
      </c>
      <c r="AE24" s="291">
        <f t="shared" si="105"/>
        <v>3000</v>
      </c>
      <c r="AF24" s="291">
        <f t="shared" si="105"/>
        <v>3000</v>
      </c>
      <c r="AG24" s="291">
        <f t="shared" si="105"/>
        <v>3000</v>
      </c>
      <c r="AH24" s="291">
        <f t="shared" si="105"/>
        <v>3000</v>
      </c>
      <c r="AI24" s="291">
        <f t="shared" si="105"/>
        <v>3000</v>
      </c>
      <c r="AJ24" s="291">
        <f t="shared" si="105"/>
        <v>3000</v>
      </c>
      <c r="AK24" s="291">
        <f t="shared" si="105"/>
        <v>3000</v>
      </c>
      <c r="AL24" s="291">
        <f t="shared" si="105"/>
        <v>3000</v>
      </c>
      <c r="AM24" s="291">
        <f t="shared" si="105"/>
        <v>3000</v>
      </c>
      <c r="AN24" s="291">
        <f t="shared" si="105"/>
        <v>3000</v>
      </c>
      <c r="AO24" s="291">
        <f t="shared" si="105"/>
        <v>3000</v>
      </c>
      <c r="AP24" s="291">
        <f t="shared" si="105"/>
        <v>3000</v>
      </c>
      <c r="AQ24" s="291">
        <f t="shared" si="105"/>
        <v>3000</v>
      </c>
      <c r="AR24" s="291">
        <f t="shared" si="105"/>
        <v>3000</v>
      </c>
      <c r="AS24" s="291">
        <f t="shared" si="105"/>
        <v>3000</v>
      </c>
      <c r="AT24" s="291">
        <f t="shared" si="105"/>
        <v>3000</v>
      </c>
      <c r="AU24" s="291">
        <f t="shared" si="105"/>
        <v>3000</v>
      </c>
      <c r="AV24" s="291">
        <f t="shared" si="105"/>
        <v>3000</v>
      </c>
      <c r="AW24" s="291">
        <f t="shared" si="105"/>
        <v>3000</v>
      </c>
      <c r="AX24" s="291">
        <f t="shared" si="105"/>
        <v>3000</v>
      </c>
      <c r="AZ24" s="64">
        <v>2800</v>
      </c>
      <c r="BA24" s="64">
        <v>3000</v>
      </c>
      <c r="BB24" s="64">
        <v>3400</v>
      </c>
      <c r="BC24" s="64">
        <v>4000</v>
      </c>
      <c r="BD24" s="64">
        <v>4100</v>
      </c>
      <c r="BE24" s="64">
        <f t="shared" ref="BE24:CH24" si="106">BD24*(1+$ET24)</f>
        <v>4264</v>
      </c>
      <c r="BF24" s="64">
        <f t="shared" si="106"/>
        <v>4434.5600000000004</v>
      </c>
      <c r="BG24" s="64">
        <f t="shared" si="106"/>
        <v>4611.9424000000008</v>
      </c>
      <c r="BH24" s="64">
        <f t="shared" si="106"/>
        <v>4796.4200960000007</v>
      </c>
      <c r="BI24" s="64">
        <f t="shared" si="106"/>
        <v>4988.2768998400006</v>
      </c>
      <c r="BJ24" s="64">
        <f t="shared" si="106"/>
        <v>5187.8079758336007</v>
      </c>
      <c r="BK24" s="64">
        <f t="shared" si="106"/>
        <v>5395.320294866945</v>
      </c>
      <c r="BL24" s="64">
        <f t="shared" si="106"/>
        <v>5611.1331066616231</v>
      </c>
      <c r="BM24" s="64">
        <f t="shared" si="106"/>
        <v>5835.578430928088</v>
      </c>
      <c r="BN24" s="64">
        <f t="shared" si="106"/>
        <v>6069.0015681652121</v>
      </c>
      <c r="BO24" s="64">
        <f t="shared" si="106"/>
        <v>6311.7616308918205</v>
      </c>
      <c r="BP24" s="64">
        <f t="shared" si="106"/>
        <v>6564.2320961274936</v>
      </c>
      <c r="BQ24" s="64">
        <f t="shared" si="106"/>
        <v>6826.8013799725932</v>
      </c>
      <c r="BR24" s="64">
        <f t="shared" si="106"/>
        <v>7099.8734351714975</v>
      </c>
      <c r="BS24" s="64">
        <f t="shared" si="106"/>
        <v>7383.8683725783576</v>
      </c>
      <c r="BT24" s="64">
        <f t="shared" si="106"/>
        <v>7679.2231074814918</v>
      </c>
      <c r="BU24" s="64">
        <f t="shared" si="106"/>
        <v>7986.3920317807515</v>
      </c>
      <c r="BV24" s="64">
        <f t="shared" si="106"/>
        <v>8305.8477130519823</v>
      </c>
      <c r="BW24" s="64">
        <f t="shared" si="106"/>
        <v>8638.0816215740615</v>
      </c>
      <c r="BX24" s="64">
        <f t="shared" si="106"/>
        <v>8983.6048864370241</v>
      </c>
      <c r="BY24" s="64">
        <f t="shared" si="106"/>
        <v>9342.9490818945051</v>
      </c>
      <c r="BZ24" s="64">
        <f t="shared" si="106"/>
        <v>9716.6670451702848</v>
      </c>
      <c r="CA24" s="64">
        <f t="shared" si="106"/>
        <v>10105.333726977096</v>
      </c>
      <c r="CB24" s="64">
        <f t="shared" si="106"/>
        <v>10509.54707605618</v>
      </c>
      <c r="CC24" s="64">
        <f t="shared" si="106"/>
        <v>10929.928959098428</v>
      </c>
      <c r="CD24" s="64">
        <f t="shared" si="106"/>
        <v>11367.126117462365</v>
      </c>
      <c r="CE24" s="64">
        <f t="shared" si="106"/>
        <v>11821.81116216086</v>
      </c>
      <c r="CF24" s="64">
        <f t="shared" si="106"/>
        <v>12294.683608647296</v>
      </c>
      <c r="CG24" s="64">
        <f t="shared" si="106"/>
        <v>12786.470952993188</v>
      </c>
      <c r="CH24" s="64">
        <f t="shared" si="106"/>
        <v>13297.929791112916</v>
      </c>
      <c r="CI24" s="64"/>
      <c r="CJ24" s="64">
        <f t="shared" si="6"/>
        <v>1264</v>
      </c>
      <c r="CK24" s="64">
        <f t="shared" si="7"/>
        <v>1434.5600000000004</v>
      </c>
      <c r="CL24" s="64">
        <f t="shared" si="8"/>
        <v>1611.9424000000008</v>
      </c>
      <c r="CM24" s="64">
        <f t="shared" si="9"/>
        <v>1796.4200960000007</v>
      </c>
      <c r="CN24" s="64">
        <f t="shared" si="10"/>
        <v>1988.2768998400006</v>
      </c>
      <c r="CO24" s="64">
        <f t="shared" si="11"/>
        <v>2187.8079758336007</v>
      </c>
      <c r="CP24" s="64">
        <f t="shared" si="12"/>
        <v>2395.320294866945</v>
      </c>
      <c r="CQ24" s="64">
        <f t="shared" si="13"/>
        <v>2611.1331066616231</v>
      </c>
      <c r="CR24" s="64">
        <f t="shared" si="14"/>
        <v>2835.578430928088</v>
      </c>
      <c r="CS24" s="64">
        <f t="shared" si="15"/>
        <v>3069.0015681652121</v>
      </c>
      <c r="CT24" s="64">
        <f t="shared" si="16"/>
        <v>3311.7616308918205</v>
      </c>
      <c r="CU24" s="64">
        <f t="shared" si="17"/>
        <v>3564.2320961274936</v>
      </c>
      <c r="CV24" s="64">
        <f t="shared" si="18"/>
        <v>3826.8013799725932</v>
      </c>
      <c r="CW24" s="64">
        <f t="shared" si="19"/>
        <v>4099.8734351714975</v>
      </c>
      <c r="CX24" s="64">
        <f t="shared" si="20"/>
        <v>4383.8683725783576</v>
      </c>
      <c r="CY24" s="64">
        <f t="shared" si="21"/>
        <v>4679.2231074814918</v>
      </c>
      <c r="CZ24" s="64">
        <f t="shared" si="22"/>
        <v>4986.3920317807515</v>
      </c>
      <c r="DA24" s="64">
        <f t="shared" si="23"/>
        <v>5305.8477130519823</v>
      </c>
      <c r="DB24" s="64">
        <f t="shared" si="24"/>
        <v>5638.0816215740615</v>
      </c>
      <c r="DC24" s="64">
        <f t="shared" si="25"/>
        <v>5983.6048864370241</v>
      </c>
      <c r="DD24" s="64">
        <f t="shared" si="26"/>
        <v>6342.9490818945051</v>
      </c>
      <c r="DE24" s="64">
        <f t="shared" si="27"/>
        <v>6716.6670451702848</v>
      </c>
      <c r="DF24" s="64">
        <f t="shared" si="28"/>
        <v>7105.3337269770964</v>
      </c>
      <c r="DG24" s="64">
        <f t="shared" si="29"/>
        <v>7509.5470760561802</v>
      </c>
      <c r="DH24" s="64">
        <f t="shared" si="30"/>
        <v>7929.9289590984281</v>
      </c>
      <c r="DI24" s="64">
        <f t="shared" si="31"/>
        <v>8367.1261174623651</v>
      </c>
      <c r="DJ24" s="64">
        <f t="shared" si="32"/>
        <v>8821.8111621608605</v>
      </c>
      <c r="DK24" s="64">
        <f t="shared" si="33"/>
        <v>9294.6836086472958</v>
      </c>
      <c r="DL24" s="64">
        <f t="shared" si="34"/>
        <v>9786.4709529931879</v>
      </c>
      <c r="DM24" s="64">
        <f t="shared" si="35"/>
        <v>10297.929791112916</v>
      </c>
      <c r="DN24" s="64"/>
      <c r="DO24" s="64">
        <f t="shared" si="39"/>
        <v>1403040</v>
      </c>
      <c r="DP24" s="64">
        <f t="shared" si="40"/>
        <v>1592361.6000000006</v>
      </c>
      <c r="DQ24" s="64">
        <f t="shared" si="41"/>
        <v>1789256.0640000009</v>
      </c>
      <c r="DR24" s="64">
        <f t="shared" si="42"/>
        <v>1994026.3065600009</v>
      </c>
      <c r="DS24" s="64">
        <f t="shared" si="43"/>
        <v>2206987.3588224007</v>
      </c>
      <c r="DT24" s="64">
        <f t="shared" si="44"/>
        <v>2428466.8531752969</v>
      </c>
      <c r="DU24" s="64">
        <f t="shared" si="45"/>
        <v>2658805.5273023089</v>
      </c>
      <c r="DV24" s="64">
        <f t="shared" si="46"/>
        <v>2898357.7483944017</v>
      </c>
      <c r="DW24" s="64">
        <f t="shared" si="47"/>
        <v>3147492.0583301778</v>
      </c>
      <c r="DX24" s="64">
        <f t="shared" si="48"/>
        <v>3406591.740663386</v>
      </c>
      <c r="DY24" s="64">
        <f t="shared" si="49"/>
        <v>3676055.4102899209</v>
      </c>
      <c r="DZ24" s="64">
        <f t="shared" si="50"/>
        <v>3956297.6267015184</v>
      </c>
      <c r="EA24" s="64">
        <f t="shared" si="51"/>
        <v>4247749.5317695783</v>
      </c>
      <c r="EB24" s="64">
        <f t="shared" si="52"/>
        <v>4550859.5130403619</v>
      </c>
      <c r="EC24" s="64">
        <f t="shared" si="53"/>
        <v>4866093.893561977</v>
      </c>
      <c r="ED24" s="64">
        <f t="shared" si="54"/>
        <v>5193937.6493044561</v>
      </c>
      <c r="EE24" s="64">
        <f t="shared" si="55"/>
        <v>5534895.1552766338</v>
      </c>
      <c r="EF24" s="64">
        <f t="shared" si="56"/>
        <v>5889490.9614877002</v>
      </c>
      <c r="EG24" s="64">
        <f t="shared" si="57"/>
        <v>6258270.5999472076</v>
      </c>
      <c r="EH24" s="64">
        <f t="shared" si="58"/>
        <v>6641801.4239450963</v>
      </c>
      <c r="EI24" s="64">
        <f t="shared" si="59"/>
        <v>7040673.4809029009</v>
      </c>
      <c r="EJ24" s="64">
        <f t="shared" si="60"/>
        <v>7455500.4201390166</v>
      </c>
      <c r="EK24" s="64">
        <f t="shared" si="61"/>
        <v>7886920.4369445769</v>
      </c>
      <c r="EL24" s="64">
        <f t="shared" si="62"/>
        <v>8335597.2544223601</v>
      </c>
      <c r="EM24" s="64">
        <f t="shared" si="63"/>
        <v>8802221.1445992552</v>
      </c>
      <c r="EN24" s="64">
        <f t="shared" si="64"/>
        <v>9287509.9903832246</v>
      </c>
      <c r="EO24" s="64">
        <f t="shared" si="65"/>
        <v>9792210.3899985552</v>
      </c>
      <c r="EP24" s="64">
        <f t="shared" si="66"/>
        <v>10317098.805598497</v>
      </c>
      <c r="EQ24" s="64">
        <f t="shared" si="67"/>
        <v>10862982.757822439</v>
      </c>
      <c r="ER24" s="64">
        <f t="shared" si="68"/>
        <v>11430702.068135336</v>
      </c>
      <c r="ES24" s="64"/>
      <c r="ET24" s="57">
        <v>0.04</v>
      </c>
      <c r="EU24" s="57">
        <v>0</v>
      </c>
      <c r="EV24" s="61"/>
    </row>
    <row r="25" spans="1:152" ht="27.75" hidden="1" customHeight="1" outlineLevel="1" x14ac:dyDescent="0.35">
      <c r="A25" s="62" t="s">
        <v>174</v>
      </c>
      <c r="B25" s="62" t="s">
        <v>150</v>
      </c>
      <c r="C25" s="62" t="s">
        <v>185</v>
      </c>
      <c r="D25" s="63" t="s">
        <v>152</v>
      </c>
      <c r="E25" s="63" t="s">
        <v>147</v>
      </c>
      <c r="F25" s="63" t="s">
        <v>153</v>
      </c>
      <c r="G25" s="63">
        <v>3</v>
      </c>
      <c r="H25" s="64">
        <v>3</v>
      </c>
      <c r="I25" s="64">
        <v>400</v>
      </c>
      <c r="J25" s="61" t="s">
        <v>596</v>
      </c>
      <c r="K25" s="64">
        <v>392</v>
      </c>
      <c r="L25" s="64">
        <v>665</v>
      </c>
      <c r="M25" s="64">
        <v>490</v>
      </c>
      <c r="N25" s="64">
        <v>476</v>
      </c>
      <c r="O25" s="64"/>
      <c r="P25" s="64">
        <v>510</v>
      </c>
      <c r="Q25" s="64">
        <v>550</v>
      </c>
      <c r="R25" s="64">
        <v>560</v>
      </c>
      <c r="S25" s="64">
        <v>570</v>
      </c>
      <c r="T25" s="64">
        <v>580</v>
      </c>
      <c r="U25" s="291">
        <f t="shared" ref="U25:AX25" si="107">T25*(1+$EU25)</f>
        <v>591.6</v>
      </c>
      <c r="V25" s="291">
        <f t="shared" si="107"/>
        <v>603.43200000000002</v>
      </c>
      <c r="W25" s="291">
        <f t="shared" si="107"/>
        <v>615.50063999999998</v>
      </c>
      <c r="X25" s="291">
        <f t="shared" si="107"/>
        <v>627.81065279999996</v>
      </c>
      <c r="Y25" s="291">
        <f t="shared" si="107"/>
        <v>640.366865856</v>
      </c>
      <c r="Z25" s="291">
        <f t="shared" si="107"/>
        <v>653.17420317311996</v>
      </c>
      <c r="AA25" s="291">
        <f t="shared" si="107"/>
        <v>666.23768723658236</v>
      </c>
      <c r="AB25" s="291">
        <f t="shared" si="107"/>
        <v>679.56244098131401</v>
      </c>
      <c r="AC25" s="291">
        <f t="shared" si="107"/>
        <v>693.15368980094036</v>
      </c>
      <c r="AD25" s="291">
        <f t="shared" si="107"/>
        <v>707.01676359695921</v>
      </c>
      <c r="AE25" s="291">
        <f t="shared" si="107"/>
        <v>721.1570988688984</v>
      </c>
      <c r="AF25" s="291">
        <f t="shared" si="107"/>
        <v>735.58024084627641</v>
      </c>
      <c r="AG25" s="291">
        <f t="shared" si="107"/>
        <v>750.29184566320191</v>
      </c>
      <c r="AH25" s="291">
        <f t="shared" si="107"/>
        <v>765.29768257646595</v>
      </c>
      <c r="AI25" s="291">
        <f t="shared" si="107"/>
        <v>780.60363622799525</v>
      </c>
      <c r="AJ25" s="291">
        <f t="shared" si="107"/>
        <v>796.21570895255513</v>
      </c>
      <c r="AK25" s="291">
        <f t="shared" si="107"/>
        <v>812.1400231316062</v>
      </c>
      <c r="AL25" s="291">
        <f t="shared" si="107"/>
        <v>828.38282359423829</v>
      </c>
      <c r="AM25" s="291">
        <f t="shared" si="107"/>
        <v>844.95048006612308</v>
      </c>
      <c r="AN25" s="291">
        <f t="shared" si="107"/>
        <v>861.8494896674456</v>
      </c>
      <c r="AO25" s="291">
        <f t="shared" si="107"/>
        <v>879.08647946079452</v>
      </c>
      <c r="AP25" s="291">
        <f t="shared" si="107"/>
        <v>896.66820905001043</v>
      </c>
      <c r="AQ25" s="291">
        <f t="shared" si="107"/>
        <v>914.60157323101066</v>
      </c>
      <c r="AR25" s="291">
        <f t="shared" si="107"/>
        <v>932.89360469563087</v>
      </c>
      <c r="AS25" s="291">
        <f t="shared" si="107"/>
        <v>951.55147678954347</v>
      </c>
      <c r="AT25" s="291">
        <f t="shared" si="107"/>
        <v>970.58250632533441</v>
      </c>
      <c r="AU25" s="291">
        <f t="shared" si="107"/>
        <v>989.99415645184115</v>
      </c>
      <c r="AV25" s="291">
        <f t="shared" si="107"/>
        <v>1009.794039580878</v>
      </c>
      <c r="AW25" s="291">
        <f t="shared" si="107"/>
        <v>1029.9899203724956</v>
      </c>
      <c r="AX25" s="291">
        <f t="shared" si="107"/>
        <v>1050.5897187799455</v>
      </c>
      <c r="AZ25" s="64">
        <v>510</v>
      </c>
      <c r="BA25" s="64">
        <v>550</v>
      </c>
      <c r="BB25" s="64">
        <v>560</v>
      </c>
      <c r="BC25" s="64">
        <v>570</v>
      </c>
      <c r="BD25" s="64">
        <v>580</v>
      </c>
      <c r="BE25" s="64">
        <f t="shared" ref="BE25:CH25" si="108">BD25*(1+$ET25)</f>
        <v>591.6</v>
      </c>
      <c r="BF25" s="64">
        <f t="shared" si="108"/>
        <v>603.43200000000002</v>
      </c>
      <c r="BG25" s="64">
        <f t="shared" si="108"/>
        <v>615.50063999999998</v>
      </c>
      <c r="BH25" s="64">
        <f t="shared" si="108"/>
        <v>627.81065279999996</v>
      </c>
      <c r="BI25" s="64">
        <f t="shared" si="108"/>
        <v>640.366865856</v>
      </c>
      <c r="BJ25" s="64">
        <f t="shared" si="108"/>
        <v>653.17420317311996</v>
      </c>
      <c r="BK25" s="64">
        <f t="shared" si="108"/>
        <v>666.23768723658236</v>
      </c>
      <c r="BL25" s="64">
        <f t="shared" si="108"/>
        <v>679.56244098131401</v>
      </c>
      <c r="BM25" s="64">
        <f t="shared" si="108"/>
        <v>693.15368980094036</v>
      </c>
      <c r="BN25" s="64">
        <f t="shared" si="108"/>
        <v>707.01676359695921</v>
      </c>
      <c r="BO25" s="64">
        <f t="shared" si="108"/>
        <v>721.1570988688984</v>
      </c>
      <c r="BP25" s="64">
        <f t="shared" si="108"/>
        <v>735.58024084627641</v>
      </c>
      <c r="BQ25" s="64">
        <f t="shared" si="108"/>
        <v>750.29184566320191</v>
      </c>
      <c r="BR25" s="64">
        <f t="shared" si="108"/>
        <v>765.29768257646595</v>
      </c>
      <c r="BS25" s="64">
        <f t="shared" si="108"/>
        <v>780.60363622799525</v>
      </c>
      <c r="BT25" s="64">
        <f t="shared" si="108"/>
        <v>796.21570895255513</v>
      </c>
      <c r="BU25" s="64">
        <f t="shared" si="108"/>
        <v>812.1400231316062</v>
      </c>
      <c r="BV25" s="64">
        <f t="shared" si="108"/>
        <v>828.38282359423829</v>
      </c>
      <c r="BW25" s="64">
        <f t="shared" si="108"/>
        <v>844.95048006612308</v>
      </c>
      <c r="BX25" s="64">
        <f t="shared" si="108"/>
        <v>861.8494896674456</v>
      </c>
      <c r="BY25" s="64">
        <f t="shared" si="108"/>
        <v>879.08647946079452</v>
      </c>
      <c r="BZ25" s="64">
        <f t="shared" si="108"/>
        <v>896.66820905001043</v>
      </c>
      <c r="CA25" s="64">
        <f t="shared" si="108"/>
        <v>914.60157323101066</v>
      </c>
      <c r="CB25" s="64">
        <f t="shared" si="108"/>
        <v>932.89360469563087</v>
      </c>
      <c r="CC25" s="64">
        <f t="shared" si="108"/>
        <v>951.55147678954347</v>
      </c>
      <c r="CD25" s="64">
        <f t="shared" si="108"/>
        <v>970.58250632533441</v>
      </c>
      <c r="CE25" s="64">
        <f t="shared" si="108"/>
        <v>989.99415645184115</v>
      </c>
      <c r="CF25" s="64">
        <f t="shared" si="108"/>
        <v>1009.794039580878</v>
      </c>
      <c r="CG25" s="64">
        <f t="shared" si="108"/>
        <v>1029.9899203724956</v>
      </c>
      <c r="CH25" s="64">
        <f t="shared" si="108"/>
        <v>1050.5897187799455</v>
      </c>
      <c r="CI25" s="64"/>
      <c r="CJ25" s="64">
        <f t="shared" si="6"/>
        <v>0</v>
      </c>
      <c r="CK25" s="64">
        <f t="shared" si="7"/>
        <v>0</v>
      </c>
      <c r="CL25" s="64">
        <f t="shared" si="8"/>
        <v>0</v>
      </c>
      <c r="CM25" s="64">
        <f t="shared" si="9"/>
        <v>0</v>
      </c>
      <c r="CN25" s="64">
        <f t="shared" si="10"/>
        <v>0</v>
      </c>
      <c r="CO25" s="64">
        <f t="shared" si="11"/>
        <v>0</v>
      </c>
      <c r="CP25" s="64">
        <f t="shared" si="12"/>
        <v>0</v>
      </c>
      <c r="CQ25" s="64">
        <f t="shared" si="13"/>
        <v>0</v>
      </c>
      <c r="CR25" s="64">
        <f t="shared" si="14"/>
        <v>0</v>
      </c>
      <c r="CS25" s="64">
        <f t="shared" si="15"/>
        <v>0</v>
      </c>
      <c r="CT25" s="64">
        <f t="shared" si="16"/>
        <v>0</v>
      </c>
      <c r="CU25" s="64">
        <f t="shared" si="17"/>
        <v>0</v>
      </c>
      <c r="CV25" s="64">
        <f t="shared" si="18"/>
        <v>0</v>
      </c>
      <c r="CW25" s="64">
        <f t="shared" si="19"/>
        <v>0</v>
      </c>
      <c r="CX25" s="64">
        <f t="shared" si="20"/>
        <v>0</v>
      </c>
      <c r="CY25" s="64">
        <f t="shared" si="21"/>
        <v>0</v>
      </c>
      <c r="CZ25" s="64">
        <f t="shared" si="22"/>
        <v>0</v>
      </c>
      <c r="DA25" s="64">
        <f t="shared" si="23"/>
        <v>0</v>
      </c>
      <c r="DB25" s="64">
        <f t="shared" si="24"/>
        <v>0</v>
      </c>
      <c r="DC25" s="64">
        <f t="shared" si="25"/>
        <v>0</v>
      </c>
      <c r="DD25" s="64">
        <f t="shared" si="26"/>
        <v>0</v>
      </c>
      <c r="DE25" s="64">
        <f t="shared" si="27"/>
        <v>0</v>
      </c>
      <c r="DF25" s="64">
        <f t="shared" si="28"/>
        <v>0</v>
      </c>
      <c r="DG25" s="64">
        <f t="shared" si="29"/>
        <v>0</v>
      </c>
      <c r="DH25" s="64">
        <f t="shared" si="30"/>
        <v>0</v>
      </c>
      <c r="DI25" s="64">
        <f t="shared" si="31"/>
        <v>0</v>
      </c>
      <c r="DJ25" s="64">
        <f t="shared" si="32"/>
        <v>0</v>
      </c>
      <c r="DK25" s="64">
        <f t="shared" si="33"/>
        <v>0</v>
      </c>
      <c r="DL25" s="64">
        <f t="shared" si="34"/>
        <v>0</v>
      </c>
      <c r="DM25" s="64">
        <f t="shared" si="35"/>
        <v>0</v>
      </c>
      <c r="DN25" s="64"/>
      <c r="DO25" s="64">
        <f t="shared" si="39"/>
        <v>0</v>
      </c>
      <c r="DP25" s="64">
        <f t="shared" si="40"/>
        <v>0</v>
      </c>
      <c r="DQ25" s="64">
        <f t="shared" si="41"/>
        <v>0</v>
      </c>
      <c r="DR25" s="64">
        <f t="shared" si="42"/>
        <v>0</v>
      </c>
      <c r="DS25" s="64">
        <f t="shared" si="43"/>
        <v>0</v>
      </c>
      <c r="DT25" s="64">
        <f t="shared" si="44"/>
        <v>0</v>
      </c>
      <c r="DU25" s="64">
        <f t="shared" si="45"/>
        <v>0</v>
      </c>
      <c r="DV25" s="64">
        <f t="shared" si="46"/>
        <v>0</v>
      </c>
      <c r="DW25" s="64">
        <f t="shared" si="47"/>
        <v>0</v>
      </c>
      <c r="DX25" s="64">
        <f t="shared" si="48"/>
        <v>0</v>
      </c>
      <c r="DY25" s="64">
        <f t="shared" si="49"/>
        <v>0</v>
      </c>
      <c r="DZ25" s="64">
        <f t="shared" si="50"/>
        <v>0</v>
      </c>
      <c r="EA25" s="64">
        <f t="shared" si="51"/>
        <v>0</v>
      </c>
      <c r="EB25" s="64">
        <f t="shared" si="52"/>
        <v>0</v>
      </c>
      <c r="EC25" s="64">
        <f t="shared" si="53"/>
        <v>0</v>
      </c>
      <c r="ED25" s="64">
        <f t="shared" si="54"/>
        <v>0</v>
      </c>
      <c r="EE25" s="64">
        <f t="shared" si="55"/>
        <v>0</v>
      </c>
      <c r="EF25" s="64">
        <f t="shared" si="56"/>
        <v>0</v>
      </c>
      <c r="EG25" s="64">
        <f t="shared" si="57"/>
        <v>0</v>
      </c>
      <c r="EH25" s="64">
        <f t="shared" si="58"/>
        <v>0</v>
      </c>
      <c r="EI25" s="64">
        <f t="shared" si="59"/>
        <v>0</v>
      </c>
      <c r="EJ25" s="64">
        <f t="shared" si="60"/>
        <v>0</v>
      </c>
      <c r="EK25" s="64">
        <f t="shared" si="61"/>
        <v>0</v>
      </c>
      <c r="EL25" s="64">
        <f t="shared" si="62"/>
        <v>0</v>
      </c>
      <c r="EM25" s="64">
        <f t="shared" si="63"/>
        <v>0</v>
      </c>
      <c r="EN25" s="64">
        <f t="shared" si="64"/>
        <v>0</v>
      </c>
      <c r="EO25" s="64">
        <f t="shared" si="65"/>
        <v>0</v>
      </c>
      <c r="EP25" s="64">
        <f t="shared" si="66"/>
        <v>0</v>
      </c>
      <c r="EQ25" s="64">
        <f t="shared" si="67"/>
        <v>0</v>
      </c>
      <c r="ER25" s="64">
        <f t="shared" si="68"/>
        <v>0</v>
      </c>
      <c r="ES25" s="64"/>
      <c r="ET25" s="57">
        <v>0.02</v>
      </c>
      <c r="EU25" s="57">
        <v>0.02</v>
      </c>
      <c r="EV25" s="61"/>
    </row>
    <row r="26" spans="1:152" ht="27.75" hidden="1" customHeight="1" outlineLevel="1" x14ac:dyDescent="0.35">
      <c r="A26" s="62" t="s">
        <v>174</v>
      </c>
      <c r="B26" s="62" t="s">
        <v>186</v>
      </c>
      <c r="C26" s="62" t="s">
        <v>187</v>
      </c>
      <c r="D26" s="63" t="s">
        <v>152</v>
      </c>
      <c r="E26" s="63" t="s">
        <v>147</v>
      </c>
      <c r="F26" s="63" t="s">
        <v>153</v>
      </c>
      <c r="G26" s="63">
        <v>3</v>
      </c>
      <c r="H26" s="64">
        <v>3</v>
      </c>
      <c r="I26" s="64">
        <v>350</v>
      </c>
      <c r="J26" s="61" t="s">
        <v>597</v>
      </c>
      <c r="K26" s="64">
        <v>275</v>
      </c>
      <c r="L26" s="64">
        <v>184</v>
      </c>
      <c r="M26" s="64">
        <v>224</v>
      </c>
      <c r="N26" s="64">
        <v>250</v>
      </c>
      <c r="O26" s="64"/>
      <c r="P26" s="64">
        <v>300</v>
      </c>
      <c r="Q26" s="64">
        <v>310</v>
      </c>
      <c r="R26" s="64">
        <v>310</v>
      </c>
      <c r="S26" s="64">
        <v>310</v>
      </c>
      <c r="T26" s="64">
        <v>310</v>
      </c>
      <c r="U26" s="291">
        <f t="shared" ref="U26:AX26" si="109">T26*(1+$EU26)</f>
        <v>310</v>
      </c>
      <c r="V26" s="291">
        <f t="shared" si="109"/>
        <v>310</v>
      </c>
      <c r="W26" s="291">
        <f t="shared" si="109"/>
        <v>310</v>
      </c>
      <c r="X26" s="291">
        <f t="shared" si="109"/>
        <v>310</v>
      </c>
      <c r="Y26" s="291">
        <f t="shared" si="109"/>
        <v>310</v>
      </c>
      <c r="Z26" s="291">
        <f t="shared" si="109"/>
        <v>310</v>
      </c>
      <c r="AA26" s="291">
        <f t="shared" si="109"/>
        <v>310</v>
      </c>
      <c r="AB26" s="291">
        <f t="shared" si="109"/>
        <v>310</v>
      </c>
      <c r="AC26" s="291">
        <f t="shared" si="109"/>
        <v>310</v>
      </c>
      <c r="AD26" s="291">
        <f t="shared" si="109"/>
        <v>310</v>
      </c>
      <c r="AE26" s="291">
        <f t="shared" si="109"/>
        <v>310</v>
      </c>
      <c r="AF26" s="291">
        <f t="shared" si="109"/>
        <v>310</v>
      </c>
      <c r="AG26" s="291">
        <f t="shared" si="109"/>
        <v>310</v>
      </c>
      <c r="AH26" s="291">
        <f t="shared" si="109"/>
        <v>310</v>
      </c>
      <c r="AI26" s="291">
        <f t="shared" si="109"/>
        <v>310</v>
      </c>
      <c r="AJ26" s="291">
        <f t="shared" si="109"/>
        <v>310</v>
      </c>
      <c r="AK26" s="291">
        <f t="shared" si="109"/>
        <v>310</v>
      </c>
      <c r="AL26" s="291">
        <f t="shared" si="109"/>
        <v>310</v>
      </c>
      <c r="AM26" s="291">
        <f t="shared" si="109"/>
        <v>310</v>
      </c>
      <c r="AN26" s="291">
        <f t="shared" si="109"/>
        <v>310</v>
      </c>
      <c r="AO26" s="291">
        <f t="shared" si="109"/>
        <v>310</v>
      </c>
      <c r="AP26" s="291">
        <f t="shared" si="109"/>
        <v>310</v>
      </c>
      <c r="AQ26" s="291">
        <f t="shared" si="109"/>
        <v>310</v>
      </c>
      <c r="AR26" s="291">
        <f t="shared" si="109"/>
        <v>310</v>
      </c>
      <c r="AS26" s="291">
        <f t="shared" si="109"/>
        <v>310</v>
      </c>
      <c r="AT26" s="291">
        <f t="shared" si="109"/>
        <v>310</v>
      </c>
      <c r="AU26" s="291">
        <f t="shared" si="109"/>
        <v>310</v>
      </c>
      <c r="AV26" s="291">
        <f t="shared" si="109"/>
        <v>310</v>
      </c>
      <c r="AW26" s="291">
        <f t="shared" si="109"/>
        <v>310</v>
      </c>
      <c r="AX26" s="291">
        <f t="shared" si="109"/>
        <v>310</v>
      </c>
      <c r="AZ26" s="64">
        <v>300</v>
      </c>
      <c r="BA26" s="64">
        <v>310</v>
      </c>
      <c r="BB26" s="64">
        <v>330</v>
      </c>
      <c r="BC26" s="64">
        <v>330</v>
      </c>
      <c r="BD26" s="64">
        <v>360</v>
      </c>
      <c r="BE26" s="64">
        <f t="shared" ref="BE26:CH26" si="110">BD26*(1+$ET26)</f>
        <v>374.40000000000003</v>
      </c>
      <c r="BF26" s="64">
        <f t="shared" si="110"/>
        <v>389.37600000000003</v>
      </c>
      <c r="BG26" s="64">
        <f t="shared" si="110"/>
        <v>404.95104000000003</v>
      </c>
      <c r="BH26" s="64">
        <f t="shared" si="110"/>
        <v>421.14908160000005</v>
      </c>
      <c r="BI26" s="64">
        <f t="shared" si="110"/>
        <v>437.99504486400008</v>
      </c>
      <c r="BJ26" s="64">
        <f t="shared" si="110"/>
        <v>455.51484665856009</v>
      </c>
      <c r="BK26" s="64">
        <f t="shared" si="110"/>
        <v>473.73544052490251</v>
      </c>
      <c r="BL26" s="64">
        <f t="shared" si="110"/>
        <v>492.68485814589866</v>
      </c>
      <c r="BM26" s="64">
        <f t="shared" si="110"/>
        <v>512.39225247173465</v>
      </c>
      <c r="BN26" s="64">
        <f t="shared" si="110"/>
        <v>532.88794257060408</v>
      </c>
      <c r="BO26" s="64">
        <f t="shared" si="110"/>
        <v>554.20346027342828</v>
      </c>
      <c r="BP26" s="64">
        <f t="shared" si="110"/>
        <v>576.37159868436538</v>
      </c>
      <c r="BQ26" s="64">
        <f t="shared" si="110"/>
        <v>599.42646263174004</v>
      </c>
      <c r="BR26" s="64">
        <f t="shared" si="110"/>
        <v>623.40352113700965</v>
      </c>
      <c r="BS26" s="64">
        <f t="shared" si="110"/>
        <v>648.33966198249004</v>
      </c>
      <c r="BT26" s="64">
        <f t="shared" si="110"/>
        <v>674.27324846178965</v>
      </c>
      <c r="BU26" s="64">
        <f t="shared" si="110"/>
        <v>701.24417840026126</v>
      </c>
      <c r="BV26" s="64">
        <f t="shared" si="110"/>
        <v>729.29394553627174</v>
      </c>
      <c r="BW26" s="64">
        <f t="shared" si="110"/>
        <v>758.46570335772265</v>
      </c>
      <c r="BX26" s="64">
        <f t="shared" si="110"/>
        <v>788.80433149203157</v>
      </c>
      <c r="BY26" s="64">
        <f t="shared" si="110"/>
        <v>820.35650475171281</v>
      </c>
      <c r="BZ26" s="64">
        <f t="shared" si="110"/>
        <v>853.17076494178139</v>
      </c>
      <c r="CA26" s="64">
        <f t="shared" si="110"/>
        <v>887.29759553945269</v>
      </c>
      <c r="CB26" s="64">
        <f t="shared" si="110"/>
        <v>922.78949936103083</v>
      </c>
      <c r="CC26" s="64">
        <f t="shared" si="110"/>
        <v>959.70107933547206</v>
      </c>
      <c r="CD26" s="64">
        <f t="shared" si="110"/>
        <v>998.08912250889102</v>
      </c>
      <c r="CE26" s="64">
        <f t="shared" si="110"/>
        <v>1038.0126874092466</v>
      </c>
      <c r="CF26" s="64">
        <f t="shared" si="110"/>
        <v>1079.5331949056165</v>
      </c>
      <c r="CG26" s="64">
        <f t="shared" si="110"/>
        <v>1122.7145227018411</v>
      </c>
      <c r="CH26" s="64">
        <f t="shared" si="110"/>
        <v>1167.6231036099148</v>
      </c>
      <c r="CI26" s="64"/>
      <c r="CJ26" s="64">
        <f t="shared" si="6"/>
        <v>64.400000000000034</v>
      </c>
      <c r="CK26" s="64">
        <f t="shared" si="7"/>
        <v>79.376000000000033</v>
      </c>
      <c r="CL26" s="64">
        <f t="shared" si="8"/>
        <v>94.951040000000035</v>
      </c>
      <c r="CM26" s="64">
        <f t="shared" si="9"/>
        <v>111.14908160000005</v>
      </c>
      <c r="CN26" s="64">
        <f t="shared" si="10"/>
        <v>127.99504486400008</v>
      </c>
      <c r="CO26" s="64">
        <f t="shared" si="11"/>
        <v>145.51484665856009</v>
      </c>
      <c r="CP26" s="64">
        <f t="shared" si="12"/>
        <v>163.73544052490251</v>
      </c>
      <c r="CQ26" s="64">
        <f t="shared" si="13"/>
        <v>182.68485814589866</v>
      </c>
      <c r="CR26" s="64">
        <f t="shared" si="14"/>
        <v>202.39225247173465</v>
      </c>
      <c r="CS26" s="64">
        <f t="shared" si="15"/>
        <v>222.88794257060408</v>
      </c>
      <c r="CT26" s="64">
        <f t="shared" si="16"/>
        <v>244.20346027342828</v>
      </c>
      <c r="CU26" s="64">
        <f t="shared" si="17"/>
        <v>266.37159868436538</v>
      </c>
      <c r="CV26" s="64">
        <f t="shared" si="18"/>
        <v>289.42646263174004</v>
      </c>
      <c r="CW26" s="64">
        <f t="shared" si="19"/>
        <v>313.40352113700965</v>
      </c>
      <c r="CX26" s="64">
        <f t="shared" si="20"/>
        <v>338.33966198249004</v>
      </c>
      <c r="CY26" s="64">
        <f t="shared" si="21"/>
        <v>364.27324846178965</v>
      </c>
      <c r="CZ26" s="64">
        <f t="shared" si="22"/>
        <v>391.24417840026126</v>
      </c>
      <c r="DA26" s="64">
        <f t="shared" si="23"/>
        <v>419.29394553627174</v>
      </c>
      <c r="DB26" s="64">
        <f t="shared" si="24"/>
        <v>448.46570335772265</v>
      </c>
      <c r="DC26" s="64">
        <f t="shared" si="25"/>
        <v>478.80433149203157</v>
      </c>
      <c r="DD26" s="64">
        <f t="shared" si="26"/>
        <v>510.35650475171281</v>
      </c>
      <c r="DE26" s="64">
        <f t="shared" si="27"/>
        <v>543.17076494178139</v>
      </c>
      <c r="DF26" s="64">
        <f t="shared" si="28"/>
        <v>577.29759553945269</v>
      </c>
      <c r="DG26" s="64">
        <f t="shared" si="29"/>
        <v>612.78949936103083</v>
      </c>
      <c r="DH26" s="64">
        <f t="shared" si="30"/>
        <v>649.70107933547206</v>
      </c>
      <c r="DI26" s="64">
        <f t="shared" si="31"/>
        <v>688.08912250889102</v>
      </c>
      <c r="DJ26" s="64">
        <f t="shared" si="32"/>
        <v>728.01268740924661</v>
      </c>
      <c r="DK26" s="64">
        <f t="shared" si="33"/>
        <v>769.53319490561648</v>
      </c>
      <c r="DL26" s="64">
        <f t="shared" si="34"/>
        <v>812.71452270184113</v>
      </c>
      <c r="DM26" s="64">
        <f t="shared" si="35"/>
        <v>857.62310360991478</v>
      </c>
      <c r="DN26" s="64"/>
      <c r="DO26" s="64">
        <f t="shared" si="39"/>
        <v>67620.000000000029</v>
      </c>
      <c r="DP26" s="64">
        <f t="shared" si="40"/>
        <v>83344.800000000032</v>
      </c>
      <c r="DQ26" s="64">
        <f t="shared" si="41"/>
        <v>99698.592000000033</v>
      </c>
      <c r="DR26" s="64">
        <f t="shared" si="42"/>
        <v>116706.53568000004</v>
      </c>
      <c r="DS26" s="64">
        <f t="shared" si="43"/>
        <v>134394.79710720008</v>
      </c>
      <c r="DT26" s="64">
        <f t="shared" si="44"/>
        <v>152790.5889914881</v>
      </c>
      <c r="DU26" s="64">
        <f t="shared" si="45"/>
        <v>171922.21255114765</v>
      </c>
      <c r="DV26" s="64">
        <f t="shared" si="46"/>
        <v>191819.10105319356</v>
      </c>
      <c r="DW26" s="64">
        <f t="shared" si="47"/>
        <v>212511.86509532138</v>
      </c>
      <c r="DX26" s="64">
        <f t="shared" si="48"/>
        <v>234032.33969913429</v>
      </c>
      <c r="DY26" s="64">
        <f t="shared" si="49"/>
        <v>256413.63328709968</v>
      </c>
      <c r="DZ26" s="64">
        <f t="shared" si="50"/>
        <v>279690.17861858365</v>
      </c>
      <c r="EA26" s="64">
        <f t="shared" si="51"/>
        <v>303897.78576332703</v>
      </c>
      <c r="EB26" s="64">
        <f t="shared" si="52"/>
        <v>329073.69719386013</v>
      </c>
      <c r="EC26" s="64">
        <f t="shared" si="53"/>
        <v>355256.64508161455</v>
      </c>
      <c r="ED26" s="64">
        <f t="shared" si="54"/>
        <v>382486.91088487918</v>
      </c>
      <c r="EE26" s="64">
        <f t="shared" si="55"/>
        <v>410806.38732027431</v>
      </c>
      <c r="EF26" s="64">
        <f t="shared" si="56"/>
        <v>440258.64281308535</v>
      </c>
      <c r="EG26" s="64">
        <f t="shared" si="57"/>
        <v>470888.98852560873</v>
      </c>
      <c r="EH26" s="64">
        <f t="shared" si="58"/>
        <v>502744.54806663317</v>
      </c>
      <c r="EI26" s="64">
        <f t="shared" si="59"/>
        <v>535874.32998929848</v>
      </c>
      <c r="EJ26" s="64">
        <f t="shared" si="60"/>
        <v>570329.30318887054</v>
      </c>
      <c r="EK26" s="64">
        <f t="shared" si="61"/>
        <v>606162.47531642532</v>
      </c>
      <c r="EL26" s="64">
        <f t="shared" si="62"/>
        <v>643428.97432908241</v>
      </c>
      <c r="EM26" s="64">
        <f t="shared" si="63"/>
        <v>682186.13330224564</v>
      </c>
      <c r="EN26" s="64">
        <f t="shared" si="64"/>
        <v>722493.57863433566</v>
      </c>
      <c r="EO26" s="64">
        <f t="shared" si="65"/>
        <v>764413.32177970896</v>
      </c>
      <c r="EP26" s="64">
        <f t="shared" si="66"/>
        <v>808009.85465089744</v>
      </c>
      <c r="EQ26" s="64">
        <f t="shared" si="67"/>
        <v>853350.24883693329</v>
      </c>
      <c r="ER26" s="64">
        <f t="shared" si="68"/>
        <v>900504.25879041047</v>
      </c>
      <c r="ES26" s="64"/>
      <c r="ET26" s="57">
        <v>0.04</v>
      </c>
      <c r="EU26" s="57">
        <v>0</v>
      </c>
      <c r="EV26" s="61"/>
    </row>
    <row r="27" spans="1:152" ht="27.75" hidden="1" customHeight="1" outlineLevel="1" x14ac:dyDescent="0.35">
      <c r="A27" s="62" t="s">
        <v>174</v>
      </c>
      <c r="B27" s="62" t="s">
        <v>188</v>
      </c>
      <c r="C27" s="62" t="s">
        <v>189</v>
      </c>
      <c r="D27" s="63" t="s">
        <v>152</v>
      </c>
      <c r="E27" s="63" t="s">
        <v>152</v>
      </c>
      <c r="F27" s="63" t="s">
        <v>153</v>
      </c>
      <c r="G27" s="63">
        <v>3</v>
      </c>
      <c r="H27" s="64">
        <v>3</v>
      </c>
      <c r="I27" s="64">
        <v>350</v>
      </c>
      <c r="J27" s="61"/>
      <c r="K27" s="64">
        <v>41</v>
      </c>
      <c r="L27" s="64">
        <v>29</v>
      </c>
      <c r="M27" s="64">
        <v>27</v>
      </c>
      <c r="N27" s="64">
        <v>20</v>
      </c>
      <c r="O27" s="64"/>
      <c r="P27" s="64">
        <v>30</v>
      </c>
      <c r="Q27" s="64">
        <v>30</v>
      </c>
      <c r="R27" s="64">
        <v>30</v>
      </c>
      <c r="S27" s="64">
        <v>30</v>
      </c>
      <c r="T27" s="64">
        <v>30</v>
      </c>
      <c r="U27" s="291">
        <f t="shared" ref="U27:AX27" si="111">T27*(1+$EU27)</f>
        <v>30</v>
      </c>
      <c r="V27" s="291">
        <f t="shared" si="111"/>
        <v>30</v>
      </c>
      <c r="W27" s="291">
        <f t="shared" si="111"/>
        <v>30</v>
      </c>
      <c r="X27" s="291">
        <f t="shared" si="111"/>
        <v>30</v>
      </c>
      <c r="Y27" s="291">
        <f t="shared" si="111"/>
        <v>30</v>
      </c>
      <c r="Z27" s="291">
        <f t="shared" si="111"/>
        <v>30</v>
      </c>
      <c r="AA27" s="291">
        <f t="shared" si="111"/>
        <v>30</v>
      </c>
      <c r="AB27" s="291">
        <f t="shared" si="111"/>
        <v>30</v>
      </c>
      <c r="AC27" s="291">
        <f t="shared" si="111"/>
        <v>30</v>
      </c>
      <c r="AD27" s="291">
        <f t="shared" si="111"/>
        <v>30</v>
      </c>
      <c r="AE27" s="291">
        <f t="shared" si="111"/>
        <v>30</v>
      </c>
      <c r="AF27" s="291">
        <f t="shared" si="111"/>
        <v>30</v>
      </c>
      <c r="AG27" s="291">
        <f t="shared" si="111"/>
        <v>30</v>
      </c>
      <c r="AH27" s="291">
        <f t="shared" si="111"/>
        <v>30</v>
      </c>
      <c r="AI27" s="291">
        <f t="shared" si="111"/>
        <v>30</v>
      </c>
      <c r="AJ27" s="291">
        <f t="shared" si="111"/>
        <v>30</v>
      </c>
      <c r="AK27" s="291">
        <f t="shared" si="111"/>
        <v>30</v>
      </c>
      <c r="AL27" s="291">
        <f t="shared" si="111"/>
        <v>30</v>
      </c>
      <c r="AM27" s="291">
        <f t="shared" si="111"/>
        <v>30</v>
      </c>
      <c r="AN27" s="291">
        <f t="shared" si="111"/>
        <v>30</v>
      </c>
      <c r="AO27" s="291">
        <f t="shared" si="111"/>
        <v>30</v>
      </c>
      <c r="AP27" s="291">
        <f t="shared" si="111"/>
        <v>30</v>
      </c>
      <c r="AQ27" s="291">
        <f t="shared" si="111"/>
        <v>30</v>
      </c>
      <c r="AR27" s="291">
        <f t="shared" si="111"/>
        <v>30</v>
      </c>
      <c r="AS27" s="291">
        <f t="shared" si="111"/>
        <v>30</v>
      </c>
      <c r="AT27" s="291">
        <f t="shared" si="111"/>
        <v>30</v>
      </c>
      <c r="AU27" s="291">
        <f t="shared" si="111"/>
        <v>30</v>
      </c>
      <c r="AV27" s="291">
        <f t="shared" si="111"/>
        <v>30</v>
      </c>
      <c r="AW27" s="291">
        <f t="shared" si="111"/>
        <v>30</v>
      </c>
      <c r="AX27" s="291">
        <f t="shared" si="111"/>
        <v>30</v>
      </c>
      <c r="AZ27" s="64">
        <v>30</v>
      </c>
      <c r="BA27" s="64">
        <v>30</v>
      </c>
      <c r="BB27" s="64">
        <v>35</v>
      </c>
      <c r="BC27" s="64">
        <v>35</v>
      </c>
      <c r="BD27" s="64">
        <v>40</v>
      </c>
      <c r="BE27" s="64">
        <f t="shared" ref="BE27:CH27" si="112">BD27*(1+$ET27)</f>
        <v>40.4</v>
      </c>
      <c r="BF27" s="64">
        <f t="shared" si="112"/>
        <v>40.804000000000002</v>
      </c>
      <c r="BG27" s="64">
        <f t="shared" si="112"/>
        <v>41.212040000000002</v>
      </c>
      <c r="BH27" s="64">
        <f t="shared" si="112"/>
        <v>41.624160400000001</v>
      </c>
      <c r="BI27" s="64">
        <f t="shared" si="112"/>
        <v>42.040402004000001</v>
      </c>
      <c r="BJ27" s="64">
        <f t="shared" si="112"/>
        <v>42.460806024040004</v>
      </c>
      <c r="BK27" s="64">
        <f t="shared" si="112"/>
        <v>42.885414084280406</v>
      </c>
      <c r="BL27" s="64">
        <f t="shared" si="112"/>
        <v>43.314268225123207</v>
      </c>
      <c r="BM27" s="64">
        <f t="shared" si="112"/>
        <v>43.747410907374437</v>
      </c>
      <c r="BN27" s="64">
        <f t="shared" si="112"/>
        <v>44.184885016448185</v>
      </c>
      <c r="BO27" s="64">
        <f t="shared" si="112"/>
        <v>44.626733866612668</v>
      </c>
      <c r="BP27" s="64">
        <f t="shared" si="112"/>
        <v>45.073001205278793</v>
      </c>
      <c r="BQ27" s="64">
        <f t="shared" si="112"/>
        <v>45.52373121733158</v>
      </c>
      <c r="BR27" s="64">
        <f t="shared" si="112"/>
        <v>45.978968529504897</v>
      </c>
      <c r="BS27" s="64">
        <f t="shared" si="112"/>
        <v>46.438758214799947</v>
      </c>
      <c r="BT27" s="64">
        <f t="shared" si="112"/>
        <v>46.903145796947946</v>
      </c>
      <c r="BU27" s="64">
        <f t="shared" si="112"/>
        <v>47.372177254917425</v>
      </c>
      <c r="BV27" s="64">
        <f t="shared" si="112"/>
        <v>47.845899027466601</v>
      </c>
      <c r="BW27" s="64">
        <f t="shared" si="112"/>
        <v>48.324358017741268</v>
      </c>
      <c r="BX27" s="64">
        <f t="shared" si="112"/>
        <v>48.807601597918683</v>
      </c>
      <c r="BY27" s="64">
        <f t="shared" si="112"/>
        <v>49.295677613897873</v>
      </c>
      <c r="BZ27" s="64">
        <f t="shared" si="112"/>
        <v>49.788634390036854</v>
      </c>
      <c r="CA27" s="64">
        <f t="shared" si="112"/>
        <v>50.286520733937223</v>
      </c>
      <c r="CB27" s="64">
        <f t="shared" si="112"/>
        <v>50.789385941276599</v>
      </c>
      <c r="CC27" s="64">
        <f t="shared" si="112"/>
        <v>51.297279800689367</v>
      </c>
      <c r="CD27" s="64">
        <f t="shared" si="112"/>
        <v>51.810252598696259</v>
      </c>
      <c r="CE27" s="64">
        <f t="shared" si="112"/>
        <v>52.32835512468322</v>
      </c>
      <c r="CF27" s="64">
        <f t="shared" si="112"/>
        <v>52.851638675930054</v>
      </c>
      <c r="CG27" s="64">
        <f t="shared" si="112"/>
        <v>53.380155062689354</v>
      </c>
      <c r="CH27" s="64">
        <f t="shared" si="112"/>
        <v>53.913956613316252</v>
      </c>
      <c r="CI27" s="64"/>
      <c r="CJ27" s="64">
        <f t="shared" si="6"/>
        <v>10.399999999999999</v>
      </c>
      <c r="CK27" s="64">
        <f t="shared" si="7"/>
        <v>10.804000000000002</v>
      </c>
      <c r="CL27" s="64">
        <f t="shared" si="8"/>
        <v>11.212040000000002</v>
      </c>
      <c r="CM27" s="64">
        <f t="shared" si="9"/>
        <v>11.624160400000001</v>
      </c>
      <c r="CN27" s="64">
        <f t="shared" si="10"/>
        <v>12.040402004000001</v>
      </c>
      <c r="CO27" s="64">
        <f t="shared" si="11"/>
        <v>12.460806024040004</v>
      </c>
      <c r="CP27" s="64">
        <f t="shared" si="12"/>
        <v>12.885414084280406</v>
      </c>
      <c r="CQ27" s="64">
        <f t="shared" si="13"/>
        <v>13.314268225123207</v>
      </c>
      <c r="CR27" s="64">
        <f t="shared" si="14"/>
        <v>13.747410907374437</v>
      </c>
      <c r="CS27" s="64">
        <f t="shared" si="15"/>
        <v>14.184885016448185</v>
      </c>
      <c r="CT27" s="64">
        <f t="shared" si="16"/>
        <v>14.626733866612668</v>
      </c>
      <c r="CU27" s="64">
        <f t="shared" si="17"/>
        <v>15.073001205278793</v>
      </c>
      <c r="CV27" s="64">
        <f t="shared" si="18"/>
        <v>15.52373121733158</v>
      </c>
      <c r="CW27" s="64">
        <f t="shared" si="19"/>
        <v>15.978968529504897</v>
      </c>
      <c r="CX27" s="64">
        <f t="shared" si="20"/>
        <v>16.438758214799947</v>
      </c>
      <c r="CY27" s="64">
        <f t="shared" si="21"/>
        <v>16.903145796947946</v>
      </c>
      <c r="CZ27" s="64">
        <f t="shared" si="22"/>
        <v>17.372177254917425</v>
      </c>
      <c r="DA27" s="64">
        <f t="shared" si="23"/>
        <v>17.845899027466601</v>
      </c>
      <c r="DB27" s="64">
        <f t="shared" si="24"/>
        <v>18.324358017741268</v>
      </c>
      <c r="DC27" s="64">
        <f t="shared" si="25"/>
        <v>18.807601597918683</v>
      </c>
      <c r="DD27" s="64">
        <f t="shared" si="26"/>
        <v>19.295677613897873</v>
      </c>
      <c r="DE27" s="64">
        <f t="shared" si="27"/>
        <v>19.788634390036854</v>
      </c>
      <c r="DF27" s="64">
        <f t="shared" si="28"/>
        <v>20.286520733937223</v>
      </c>
      <c r="DG27" s="64">
        <f t="shared" si="29"/>
        <v>20.789385941276599</v>
      </c>
      <c r="DH27" s="64">
        <f t="shared" si="30"/>
        <v>21.297279800689367</v>
      </c>
      <c r="DI27" s="64">
        <f t="shared" si="31"/>
        <v>21.810252598696259</v>
      </c>
      <c r="DJ27" s="64">
        <f t="shared" si="32"/>
        <v>22.32835512468322</v>
      </c>
      <c r="DK27" s="64">
        <f t="shared" si="33"/>
        <v>22.851638675930054</v>
      </c>
      <c r="DL27" s="64">
        <f t="shared" si="34"/>
        <v>23.380155062689354</v>
      </c>
      <c r="DM27" s="64">
        <f t="shared" si="35"/>
        <v>23.913956613316252</v>
      </c>
      <c r="DN27" s="64"/>
      <c r="DO27" s="64">
        <f t="shared" si="39"/>
        <v>10919.999999999998</v>
      </c>
      <c r="DP27" s="64">
        <f t="shared" si="40"/>
        <v>11344.200000000003</v>
      </c>
      <c r="DQ27" s="64">
        <f t="shared" si="41"/>
        <v>11772.642000000002</v>
      </c>
      <c r="DR27" s="64">
        <f t="shared" si="42"/>
        <v>12205.368420000001</v>
      </c>
      <c r="DS27" s="64">
        <f t="shared" si="43"/>
        <v>12642.422104200001</v>
      </c>
      <c r="DT27" s="64">
        <f t="shared" si="44"/>
        <v>13083.846325242004</v>
      </c>
      <c r="DU27" s="64">
        <f t="shared" si="45"/>
        <v>13529.684788494425</v>
      </c>
      <c r="DV27" s="64">
        <f t="shared" si="46"/>
        <v>13979.981636379367</v>
      </c>
      <c r="DW27" s="64">
        <f t="shared" si="47"/>
        <v>14434.781452743158</v>
      </c>
      <c r="DX27" s="64">
        <f t="shared" si="48"/>
        <v>14894.129267270593</v>
      </c>
      <c r="DY27" s="64">
        <f t="shared" si="49"/>
        <v>15358.0705599433</v>
      </c>
      <c r="DZ27" s="64">
        <f t="shared" si="50"/>
        <v>15826.651265542732</v>
      </c>
      <c r="EA27" s="64">
        <f t="shared" si="51"/>
        <v>16299.91777819816</v>
      </c>
      <c r="EB27" s="64">
        <f t="shared" si="52"/>
        <v>16777.916955980141</v>
      </c>
      <c r="EC27" s="64">
        <f t="shared" si="53"/>
        <v>17260.696125539944</v>
      </c>
      <c r="ED27" s="64">
        <f t="shared" si="54"/>
        <v>17748.303086795342</v>
      </c>
      <c r="EE27" s="64">
        <f t="shared" si="55"/>
        <v>18240.786117663294</v>
      </c>
      <c r="EF27" s="64">
        <f t="shared" si="56"/>
        <v>18738.193978839932</v>
      </c>
      <c r="EG27" s="64">
        <f t="shared" si="57"/>
        <v>19240.575918628332</v>
      </c>
      <c r="EH27" s="64">
        <f t="shared" si="58"/>
        <v>19747.981677814616</v>
      </c>
      <c r="EI27" s="64">
        <f t="shared" si="59"/>
        <v>20260.461494592768</v>
      </c>
      <c r="EJ27" s="64">
        <f t="shared" si="60"/>
        <v>20778.066109538697</v>
      </c>
      <c r="EK27" s="64">
        <f t="shared" si="61"/>
        <v>21300.846770634085</v>
      </c>
      <c r="EL27" s="64">
        <f t="shared" si="62"/>
        <v>21828.855238340428</v>
      </c>
      <c r="EM27" s="64">
        <f t="shared" si="63"/>
        <v>22362.143790723836</v>
      </c>
      <c r="EN27" s="64">
        <f t="shared" si="64"/>
        <v>22900.765228631073</v>
      </c>
      <c r="EO27" s="64">
        <f t="shared" si="65"/>
        <v>23444.772880917382</v>
      </c>
      <c r="EP27" s="64">
        <f t="shared" si="66"/>
        <v>23994.220609726559</v>
      </c>
      <c r="EQ27" s="64">
        <f t="shared" si="67"/>
        <v>24549.162815823824</v>
      </c>
      <c r="ER27" s="64">
        <f t="shared" si="68"/>
        <v>25109.654443982061</v>
      </c>
      <c r="ES27" s="64"/>
      <c r="ET27" s="57">
        <v>0.01</v>
      </c>
      <c r="EU27" s="57">
        <v>0</v>
      </c>
      <c r="EV27" s="61" t="s">
        <v>158</v>
      </c>
    </row>
    <row r="28" spans="1:152" ht="27.75" hidden="1" customHeight="1" outlineLevel="1" x14ac:dyDescent="0.35">
      <c r="A28" s="62" t="s">
        <v>174</v>
      </c>
      <c r="B28" s="62" t="s">
        <v>190</v>
      </c>
      <c r="C28" s="294" t="s">
        <v>164</v>
      </c>
      <c r="D28" s="63" t="s">
        <v>147</v>
      </c>
      <c r="E28" s="63" t="s">
        <v>165</v>
      </c>
      <c r="F28" s="63" t="s">
        <v>166</v>
      </c>
      <c r="G28" s="63">
        <v>3</v>
      </c>
      <c r="H28" s="64">
        <v>3</v>
      </c>
      <c r="I28" s="64">
        <v>313</v>
      </c>
      <c r="J28" s="61"/>
      <c r="K28" s="64">
        <v>72</v>
      </c>
      <c r="L28" s="64">
        <v>52</v>
      </c>
      <c r="M28" s="64">
        <v>53</v>
      </c>
      <c r="N28" s="64">
        <v>34</v>
      </c>
      <c r="O28" s="64"/>
      <c r="P28" s="64">
        <v>40</v>
      </c>
      <c r="Q28" s="64">
        <v>50</v>
      </c>
      <c r="R28" s="64">
        <v>50</v>
      </c>
      <c r="S28" s="64">
        <v>50</v>
      </c>
      <c r="T28" s="64">
        <v>30</v>
      </c>
      <c r="U28" s="291">
        <f t="shared" ref="U28:AX28" si="113">T28*(1+$EU28)</f>
        <v>0</v>
      </c>
      <c r="V28" s="291">
        <f t="shared" si="113"/>
        <v>0</v>
      </c>
      <c r="W28" s="291">
        <f t="shared" si="113"/>
        <v>0</v>
      </c>
      <c r="X28" s="291">
        <f t="shared" si="113"/>
        <v>0</v>
      </c>
      <c r="Y28" s="291">
        <f t="shared" si="113"/>
        <v>0</v>
      </c>
      <c r="Z28" s="291">
        <f t="shared" si="113"/>
        <v>0</v>
      </c>
      <c r="AA28" s="291">
        <f t="shared" si="113"/>
        <v>0</v>
      </c>
      <c r="AB28" s="291">
        <f t="shared" si="113"/>
        <v>0</v>
      </c>
      <c r="AC28" s="291">
        <f t="shared" si="113"/>
        <v>0</v>
      </c>
      <c r="AD28" s="291">
        <f t="shared" si="113"/>
        <v>0</v>
      </c>
      <c r="AE28" s="291">
        <f t="shared" si="113"/>
        <v>0</v>
      </c>
      <c r="AF28" s="291">
        <f t="shared" si="113"/>
        <v>0</v>
      </c>
      <c r="AG28" s="291">
        <f t="shared" si="113"/>
        <v>0</v>
      </c>
      <c r="AH28" s="291">
        <f t="shared" si="113"/>
        <v>0</v>
      </c>
      <c r="AI28" s="291">
        <f t="shared" si="113"/>
        <v>0</v>
      </c>
      <c r="AJ28" s="291">
        <f t="shared" si="113"/>
        <v>0</v>
      </c>
      <c r="AK28" s="291">
        <f t="shared" si="113"/>
        <v>0</v>
      </c>
      <c r="AL28" s="291">
        <f t="shared" si="113"/>
        <v>0</v>
      </c>
      <c r="AM28" s="291">
        <f t="shared" si="113"/>
        <v>0</v>
      </c>
      <c r="AN28" s="291">
        <f t="shared" si="113"/>
        <v>0</v>
      </c>
      <c r="AO28" s="291">
        <f t="shared" si="113"/>
        <v>0</v>
      </c>
      <c r="AP28" s="291">
        <f t="shared" si="113"/>
        <v>0</v>
      </c>
      <c r="AQ28" s="291">
        <f t="shared" si="113"/>
        <v>0</v>
      </c>
      <c r="AR28" s="291">
        <f t="shared" si="113"/>
        <v>0</v>
      </c>
      <c r="AS28" s="291">
        <f t="shared" si="113"/>
        <v>0</v>
      </c>
      <c r="AT28" s="291">
        <f t="shared" si="113"/>
        <v>0</v>
      </c>
      <c r="AU28" s="291">
        <f t="shared" si="113"/>
        <v>0</v>
      </c>
      <c r="AV28" s="291">
        <f t="shared" si="113"/>
        <v>0</v>
      </c>
      <c r="AW28" s="291">
        <f t="shared" si="113"/>
        <v>0</v>
      </c>
      <c r="AX28" s="291">
        <f t="shared" si="113"/>
        <v>0</v>
      </c>
      <c r="AZ28" s="64">
        <v>40</v>
      </c>
      <c r="BA28" s="64">
        <v>50</v>
      </c>
      <c r="BB28" s="64">
        <v>55</v>
      </c>
      <c r="BC28" s="64">
        <v>60</v>
      </c>
      <c r="BD28" s="64">
        <v>60</v>
      </c>
      <c r="BE28" s="64">
        <f t="shared" ref="BE28:CH28" si="114">BD28*(1+$ET28)</f>
        <v>61.800000000000004</v>
      </c>
      <c r="BF28" s="64">
        <f t="shared" si="114"/>
        <v>63.654000000000003</v>
      </c>
      <c r="BG28" s="64">
        <f t="shared" si="114"/>
        <v>65.56362</v>
      </c>
      <c r="BH28" s="64">
        <f t="shared" si="114"/>
        <v>67.530528599999997</v>
      </c>
      <c r="BI28" s="64">
        <f t="shared" si="114"/>
        <v>69.556444458000001</v>
      </c>
      <c r="BJ28" s="64">
        <f t="shared" si="114"/>
        <v>71.643137791740003</v>
      </c>
      <c r="BK28" s="64">
        <f t="shared" si="114"/>
        <v>73.79243192549221</v>
      </c>
      <c r="BL28" s="64">
        <f t="shared" si="114"/>
        <v>76.006204883256984</v>
      </c>
      <c r="BM28" s="64">
        <f t="shared" si="114"/>
        <v>78.286391029754697</v>
      </c>
      <c r="BN28" s="64">
        <f t="shared" si="114"/>
        <v>80.634982760647333</v>
      </c>
      <c r="BO28" s="64">
        <f t="shared" si="114"/>
        <v>83.05403224346675</v>
      </c>
      <c r="BP28" s="64">
        <f t="shared" si="114"/>
        <v>85.545653210770752</v>
      </c>
      <c r="BQ28" s="64">
        <f t="shared" si="114"/>
        <v>88.112022807093879</v>
      </c>
      <c r="BR28" s="64">
        <f t="shared" si="114"/>
        <v>90.755383491306702</v>
      </c>
      <c r="BS28" s="64">
        <f t="shared" si="114"/>
        <v>93.478044996045909</v>
      </c>
      <c r="BT28" s="64">
        <f t="shared" si="114"/>
        <v>96.282386345927293</v>
      </c>
      <c r="BU28" s="64">
        <f t="shared" si="114"/>
        <v>99.170857936305111</v>
      </c>
      <c r="BV28" s="64">
        <f t="shared" si="114"/>
        <v>102.14598367439427</v>
      </c>
      <c r="BW28" s="64">
        <f t="shared" si="114"/>
        <v>105.2103631846261</v>
      </c>
      <c r="BX28" s="64">
        <f t="shared" si="114"/>
        <v>108.36667408016488</v>
      </c>
      <c r="BY28" s="64">
        <f t="shared" si="114"/>
        <v>111.61767430256984</v>
      </c>
      <c r="BZ28" s="64">
        <f t="shared" si="114"/>
        <v>114.96620453164694</v>
      </c>
      <c r="CA28" s="64">
        <f t="shared" si="114"/>
        <v>118.41519066759635</v>
      </c>
      <c r="CB28" s="64">
        <f t="shared" si="114"/>
        <v>121.96764638762424</v>
      </c>
      <c r="CC28" s="64">
        <f t="shared" si="114"/>
        <v>125.62667577925298</v>
      </c>
      <c r="CD28" s="64">
        <f t="shared" si="114"/>
        <v>129.39547605263056</v>
      </c>
      <c r="CE28" s="64">
        <f t="shared" si="114"/>
        <v>133.27734033420947</v>
      </c>
      <c r="CF28" s="64">
        <f t="shared" si="114"/>
        <v>137.27566054423576</v>
      </c>
      <c r="CG28" s="64">
        <f t="shared" si="114"/>
        <v>141.39393036056285</v>
      </c>
      <c r="CH28" s="64">
        <f t="shared" si="114"/>
        <v>145.63574827137973</v>
      </c>
      <c r="CI28" s="64"/>
      <c r="CJ28" s="64">
        <f t="shared" si="6"/>
        <v>61.800000000000004</v>
      </c>
      <c r="CK28" s="64">
        <f t="shared" si="7"/>
        <v>63.654000000000003</v>
      </c>
      <c r="CL28" s="64">
        <f t="shared" si="8"/>
        <v>65.56362</v>
      </c>
      <c r="CM28" s="64">
        <f t="shared" si="9"/>
        <v>67.530528599999997</v>
      </c>
      <c r="CN28" s="64">
        <f t="shared" si="10"/>
        <v>69.556444458000001</v>
      </c>
      <c r="CO28" s="64">
        <f t="shared" si="11"/>
        <v>71.643137791740003</v>
      </c>
      <c r="CP28" s="64">
        <f t="shared" si="12"/>
        <v>73.79243192549221</v>
      </c>
      <c r="CQ28" s="64">
        <f t="shared" si="13"/>
        <v>76.006204883256984</v>
      </c>
      <c r="CR28" s="64">
        <f t="shared" si="14"/>
        <v>78.286391029754697</v>
      </c>
      <c r="CS28" s="64">
        <f t="shared" si="15"/>
        <v>80.634982760647333</v>
      </c>
      <c r="CT28" s="64">
        <f t="shared" si="16"/>
        <v>83.05403224346675</v>
      </c>
      <c r="CU28" s="64">
        <f t="shared" si="17"/>
        <v>85.545653210770752</v>
      </c>
      <c r="CV28" s="64">
        <f t="shared" si="18"/>
        <v>88.112022807093879</v>
      </c>
      <c r="CW28" s="64">
        <f t="shared" si="19"/>
        <v>90.755383491306702</v>
      </c>
      <c r="CX28" s="64">
        <f t="shared" si="20"/>
        <v>93.478044996045909</v>
      </c>
      <c r="CY28" s="64">
        <f t="shared" si="21"/>
        <v>96.282386345927293</v>
      </c>
      <c r="CZ28" s="64">
        <f t="shared" si="22"/>
        <v>99.170857936305111</v>
      </c>
      <c r="DA28" s="64">
        <f t="shared" si="23"/>
        <v>102.14598367439427</v>
      </c>
      <c r="DB28" s="64">
        <f t="shared" si="24"/>
        <v>105.2103631846261</v>
      </c>
      <c r="DC28" s="64">
        <f t="shared" si="25"/>
        <v>108.36667408016488</v>
      </c>
      <c r="DD28" s="64">
        <f t="shared" si="26"/>
        <v>111.61767430256984</v>
      </c>
      <c r="DE28" s="64">
        <f t="shared" si="27"/>
        <v>114.96620453164694</v>
      </c>
      <c r="DF28" s="64">
        <f t="shared" si="28"/>
        <v>118.41519066759635</v>
      </c>
      <c r="DG28" s="64">
        <f t="shared" si="29"/>
        <v>121.96764638762424</v>
      </c>
      <c r="DH28" s="64">
        <f t="shared" si="30"/>
        <v>125.62667577925298</v>
      </c>
      <c r="DI28" s="64">
        <f t="shared" si="31"/>
        <v>129.39547605263056</v>
      </c>
      <c r="DJ28" s="64">
        <f t="shared" si="32"/>
        <v>133.27734033420947</v>
      </c>
      <c r="DK28" s="64">
        <f t="shared" si="33"/>
        <v>137.27566054423576</v>
      </c>
      <c r="DL28" s="64">
        <f t="shared" si="34"/>
        <v>141.39393036056285</v>
      </c>
      <c r="DM28" s="64">
        <f t="shared" si="35"/>
        <v>145.63574827137973</v>
      </c>
      <c r="DN28" s="64"/>
      <c r="DO28" s="64">
        <f>CJ28*$H28*$I28</f>
        <v>58030.200000000004</v>
      </c>
      <c r="DP28" s="64">
        <f t="shared" si="40"/>
        <v>59771.106000000007</v>
      </c>
      <c r="DQ28" s="64">
        <f t="shared" si="41"/>
        <v>61564.239179999997</v>
      </c>
      <c r="DR28" s="64">
        <f t="shared" si="42"/>
        <v>63411.166355399997</v>
      </c>
      <c r="DS28" s="64">
        <f t="shared" si="43"/>
        <v>65313.501346062003</v>
      </c>
      <c r="DT28" s="64">
        <f t="shared" si="44"/>
        <v>67272.906386443865</v>
      </c>
      <c r="DU28" s="64">
        <f t="shared" si="45"/>
        <v>69291.09357803718</v>
      </c>
      <c r="DV28" s="64">
        <f t="shared" si="46"/>
        <v>71369.826385378299</v>
      </c>
      <c r="DW28" s="64">
        <f t="shared" si="47"/>
        <v>73510.921176939664</v>
      </c>
      <c r="DX28" s="64">
        <f t="shared" si="48"/>
        <v>75716.248812247839</v>
      </c>
      <c r="DY28" s="64">
        <f t="shared" si="49"/>
        <v>77987.73627661528</v>
      </c>
      <c r="DZ28" s="64">
        <f t="shared" si="50"/>
        <v>80327.368364913738</v>
      </c>
      <c r="EA28" s="64">
        <f t="shared" si="51"/>
        <v>82737.189415861154</v>
      </c>
      <c r="EB28" s="64">
        <f t="shared" si="52"/>
        <v>85219.30509833699</v>
      </c>
      <c r="EC28" s="64">
        <f t="shared" si="53"/>
        <v>87775.884251287105</v>
      </c>
      <c r="ED28" s="64">
        <f t="shared" si="54"/>
        <v>90409.160778825724</v>
      </c>
      <c r="EE28" s="64">
        <f t="shared" si="55"/>
        <v>93121.435602190511</v>
      </c>
      <c r="EF28" s="64">
        <f t="shared" si="56"/>
        <v>95915.078670256218</v>
      </c>
      <c r="EG28" s="64">
        <f t="shared" si="57"/>
        <v>98792.531030363913</v>
      </c>
      <c r="EH28" s="64">
        <f t="shared" si="58"/>
        <v>101756.30696127482</v>
      </c>
      <c r="EI28" s="64">
        <f t="shared" si="59"/>
        <v>104808.99617011307</v>
      </c>
      <c r="EJ28" s="64">
        <f t="shared" si="60"/>
        <v>107953.26605521647</v>
      </c>
      <c r="EK28" s="64">
        <f t="shared" si="61"/>
        <v>111191.86403687298</v>
      </c>
      <c r="EL28" s="64">
        <f t="shared" si="62"/>
        <v>114527.61995797916</v>
      </c>
      <c r="EM28" s="64">
        <f t="shared" si="63"/>
        <v>117963.44855671855</v>
      </c>
      <c r="EN28" s="64">
        <f t="shared" si="64"/>
        <v>121502.3520134201</v>
      </c>
      <c r="EO28" s="64">
        <f t="shared" si="65"/>
        <v>125147.42257382268</v>
      </c>
      <c r="EP28" s="64">
        <f t="shared" si="66"/>
        <v>128901.84525103739</v>
      </c>
      <c r="EQ28" s="64">
        <f t="shared" si="67"/>
        <v>132768.90060856851</v>
      </c>
      <c r="ER28" s="64">
        <f t="shared" si="68"/>
        <v>136751.96762682556</v>
      </c>
      <c r="ES28" s="64"/>
      <c r="ET28" s="57">
        <v>0.03</v>
      </c>
      <c r="EU28" s="57">
        <v>-1</v>
      </c>
      <c r="EV28" s="61" t="s">
        <v>191</v>
      </c>
    </row>
    <row r="29" spans="1:152" ht="27.75" hidden="1" customHeight="1" outlineLevel="1" x14ac:dyDescent="0.35">
      <c r="A29" s="62" t="s">
        <v>174</v>
      </c>
      <c r="B29" s="62" t="s">
        <v>167</v>
      </c>
      <c r="C29" s="62" t="s">
        <v>192</v>
      </c>
      <c r="D29" s="63" t="s">
        <v>152</v>
      </c>
      <c r="E29" s="63" t="s">
        <v>147</v>
      </c>
      <c r="F29" s="63" t="s">
        <v>157</v>
      </c>
      <c r="G29" s="63">
        <v>3</v>
      </c>
      <c r="H29" s="64">
        <v>3</v>
      </c>
      <c r="I29" s="69">
        <v>438</v>
      </c>
      <c r="J29" s="61"/>
      <c r="K29" s="64">
        <v>2146</v>
      </c>
      <c r="L29" s="64">
        <v>2310</v>
      </c>
      <c r="M29" s="64">
        <v>2223</v>
      </c>
      <c r="N29" s="64">
        <v>2825</v>
      </c>
      <c r="O29" s="64"/>
      <c r="P29" s="64">
        <v>3350</v>
      </c>
      <c r="Q29" s="64">
        <v>3525</v>
      </c>
      <c r="R29" s="64">
        <v>3525</v>
      </c>
      <c r="S29" s="64">
        <v>3525</v>
      </c>
      <c r="T29" s="64">
        <v>3525</v>
      </c>
      <c r="U29" s="291">
        <f t="shared" ref="U29:AX29" si="115">T29*(1+$EU29)</f>
        <v>3525</v>
      </c>
      <c r="V29" s="291">
        <f t="shared" si="115"/>
        <v>3525</v>
      </c>
      <c r="W29" s="291">
        <f t="shared" si="115"/>
        <v>3525</v>
      </c>
      <c r="X29" s="291">
        <f t="shared" si="115"/>
        <v>3525</v>
      </c>
      <c r="Y29" s="291">
        <f t="shared" si="115"/>
        <v>3525</v>
      </c>
      <c r="Z29" s="291">
        <f t="shared" si="115"/>
        <v>3525</v>
      </c>
      <c r="AA29" s="291">
        <f t="shared" si="115"/>
        <v>3525</v>
      </c>
      <c r="AB29" s="291">
        <f t="shared" si="115"/>
        <v>3525</v>
      </c>
      <c r="AC29" s="291">
        <f t="shared" si="115"/>
        <v>3525</v>
      </c>
      <c r="AD29" s="291">
        <f t="shared" si="115"/>
        <v>3525</v>
      </c>
      <c r="AE29" s="291">
        <f t="shared" si="115"/>
        <v>3525</v>
      </c>
      <c r="AF29" s="291">
        <f t="shared" si="115"/>
        <v>3525</v>
      </c>
      <c r="AG29" s="291">
        <f t="shared" si="115"/>
        <v>3525</v>
      </c>
      <c r="AH29" s="291">
        <f t="shared" si="115"/>
        <v>3525</v>
      </c>
      <c r="AI29" s="291">
        <f t="shared" si="115"/>
        <v>3525</v>
      </c>
      <c r="AJ29" s="291">
        <f t="shared" si="115"/>
        <v>3525</v>
      </c>
      <c r="AK29" s="291">
        <f t="shared" si="115"/>
        <v>3525</v>
      </c>
      <c r="AL29" s="291">
        <f t="shared" si="115"/>
        <v>3525</v>
      </c>
      <c r="AM29" s="291">
        <f t="shared" si="115"/>
        <v>3525</v>
      </c>
      <c r="AN29" s="291">
        <f t="shared" si="115"/>
        <v>3525</v>
      </c>
      <c r="AO29" s="291">
        <f t="shared" si="115"/>
        <v>3525</v>
      </c>
      <c r="AP29" s="291">
        <f t="shared" si="115"/>
        <v>3525</v>
      </c>
      <c r="AQ29" s="291">
        <f t="shared" si="115"/>
        <v>3525</v>
      </c>
      <c r="AR29" s="291">
        <f t="shared" si="115"/>
        <v>3525</v>
      </c>
      <c r="AS29" s="291">
        <f t="shared" si="115"/>
        <v>3525</v>
      </c>
      <c r="AT29" s="291">
        <f t="shared" si="115"/>
        <v>3525</v>
      </c>
      <c r="AU29" s="291">
        <f t="shared" si="115"/>
        <v>3525</v>
      </c>
      <c r="AV29" s="291">
        <f t="shared" si="115"/>
        <v>3525</v>
      </c>
      <c r="AW29" s="291">
        <f t="shared" si="115"/>
        <v>3525</v>
      </c>
      <c r="AX29" s="291">
        <f t="shared" si="115"/>
        <v>3525</v>
      </c>
      <c r="AZ29" s="64">
        <v>3350</v>
      </c>
      <c r="BA29" s="64">
        <v>3525</v>
      </c>
      <c r="BB29" s="64">
        <v>3550</v>
      </c>
      <c r="BC29" s="64">
        <v>3625</v>
      </c>
      <c r="BD29" s="64">
        <v>3700</v>
      </c>
      <c r="BE29" s="64">
        <f t="shared" ref="BE29:CH29" si="116">BD29*(1+$ET29)</f>
        <v>3811</v>
      </c>
      <c r="BF29" s="64">
        <f t="shared" si="116"/>
        <v>3925.33</v>
      </c>
      <c r="BG29" s="64">
        <f t="shared" si="116"/>
        <v>4043.0898999999999</v>
      </c>
      <c r="BH29" s="64">
        <f t="shared" si="116"/>
        <v>4164.3825969999998</v>
      </c>
      <c r="BI29" s="64">
        <f t="shared" si="116"/>
        <v>4289.3140749100003</v>
      </c>
      <c r="BJ29" s="64">
        <f t="shared" si="116"/>
        <v>4417.9934971573002</v>
      </c>
      <c r="BK29" s="64">
        <f t="shared" si="116"/>
        <v>4550.5333020720191</v>
      </c>
      <c r="BL29" s="64">
        <f t="shared" si="116"/>
        <v>4687.0493011341796</v>
      </c>
      <c r="BM29" s="64">
        <f t="shared" si="116"/>
        <v>4827.6607801682048</v>
      </c>
      <c r="BN29" s="64">
        <f t="shared" si="116"/>
        <v>4972.4906035732511</v>
      </c>
      <c r="BO29" s="64">
        <f t="shared" si="116"/>
        <v>5121.6653216804489</v>
      </c>
      <c r="BP29" s="64">
        <f t="shared" si="116"/>
        <v>5275.3152813308625</v>
      </c>
      <c r="BQ29" s="64">
        <f t="shared" si="116"/>
        <v>5433.5747397707883</v>
      </c>
      <c r="BR29" s="64">
        <f t="shared" si="116"/>
        <v>5596.5819819639119</v>
      </c>
      <c r="BS29" s="64">
        <f t="shared" si="116"/>
        <v>5764.479441422829</v>
      </c>
      <c r="BT29" s="64">
        <f t="shared" si="116"/>
        <v>5937.4138246655139</v>
      </c>
      <c r="BU29" s="64">
        <f t="shared" si="116"/>
        <v>6115.5362394054791</v>
      </c>
      <c r="BV29" s="64">
        <f t="shared" si="116"/>
        <v>6299.0023265876434</v>
      </c>
      <c r="BW29" s="64">
        <f t="shared" si="116"/>
        <v>6487.972396385273</v>
      </c>
      <c r="BX29" s="64">
        <f t="shared" si="116"/>
        <v>6682.6115682768313</v>
      </c>
      <c r="BY29" s="64">
        <f t="shared" si="116"/>
        <v>6883.0899153251366</v>
      </c>
      <c r="BZ29" s="64">
        <f t="shared" si="116"/>
        <v>7089.5826127848914</v>
      </c>
      <c r="CA29" s="64">
        <f t="shared" si="116"/>
        <v>7302.2700911684378</v>
      </c>
      <c r="CB29" s="64">
        <f t="shared" si="116"/>
        <v>7521.3381939034907</v>
      </c>
      <c r="CC29" s="64">
        <f t="shared" si="116"/>
        <v>7746.9783397205956</v>
      </c>
      <c r="CD29" s="64">
        <f t="shared" si="116"/>
        <v>7979.3876899122133</v>
      </c>
      <c r="CE29" s="64">
        <f t="shared" si="116"/>
        <v>8218.7693206095792</v>
      </c>
      <c r="CF29" s="64">
        <f t="shared" si="116"/>
        <v>8465.3324002278659</v>
      </c>
      <c r="CG29" s="64">
        <f t="shared" si="116"/>
        <v>8719.2923722347023</v>
      </c>
      <c r="CH29" s="64">
        <f t="shared" si="116"/>
        <v>8980.8711434017441</v>
      </c>
      <c r="CI29" s="64"/>
      <c r="CJ29" s="64">
        <f t="shared" si="6"/>
        <v>286</v>
      </c>
      <c r="CK29" s="64">
        <f t="shared" si="7"/>
        <v>400.32999999999993</v>
      </c>
      <c r="CL29" s="64">
        <f t="shared" si="8"/>
        <v>518.08989999999994</v>
      </c>
      <c r="CM29" s="64">
        <f t="shared" si="9"/>
        <v>639.38259699999981</v>
      </c>
      <c r="CN29" s="64">
        <f t="shared" si="10"/>
        <v>764.31407491000027</v>
      </c>
      <c r="CO29" s="64">
        <f t="shared" si="11"/>
        <v>892.99349715730023</v>
      </c>
      <c r="CP29" s="64">
        <f t="shared" si="12"/>
        <v>1025.5333020720191</v>
      </c>
      <c r="CQ29" s="64">
        <f t="shared" si="13"/>
        <v>1162.0493011341796</v>
      </c>
      <c r="CR29" s="64">
        <f t="shared" si="14"/>
        <v>1302.6607801682048</v>
      </c>
      <c r="CS29" s="64">
        <f t="shared" si="15"/>
        <v>1447.4906035732511</v>
      </c>
      <c r="CT29" s="64">
        <f t="shared" si="16"/>
        <v>1596.6653216804489</v>
      </c>
      <c r="CU29" s="64">
        <f t="shared" si="17"/>
        <v>1750.3152813308625</v>
      </c>
      <c r="CV29" s="64">
        <f t="shared" si="18"/>
        <v>1908.5747397707883</v>
      </c>
      <c r="CW29" s="64">
        <f t="shared" si="19"/>
        <v>2071.5819819639119</v>
      </c>
      <c r="CX29" s="64">
        <f t="shared" si="20"/>
        <v>2239.479441422829</v>
      </c>
      <c r="CY29" s="64">
        <f t="shared" si="21"/>
        <v>2412.4138246655139</v>
      </c>
      <c r="CZ29" s="64">
        <f t="shared" si="22"/>
        <v>2590.5362394054791</v>
      </c>
      <c r="DA29" s="64">
        <f t="shared" si="23"/>
        <v>2774.0023265876434</v>
      </c>
      <c r="DB29" s="64">
        <f t="shared" si="24"/>
        <v>2962.972396385273</v>
      </c>
      <c r="DC29" s="64">
        <f t="shared" si="25"/>
        <v>3157.6115682768313</v>
      </c>
      <c r="DD29" s="64">
        <f t="shared" si="26"/>
        <v>3358.0899153251366</v>
      </c>
      <c r="DE29" s="64">
        <f t="shared" si="27"/>
        <v>3564.5826127848914</v>
      </c>
      <c r="DF29" s="64">
        <f t="shared" si="28"/>
        <v>3777.2700911684378</v>
      </c>
      <c r="DG29" s="64">
        <f t="shared" si="29"/>
        <v>3996.3381939034907</v>
      </c>
      <c r="DH29" s="64">
        <f t="shared" si="30"/>
        <v>4221.9783397205956</v>
      </c>
      <c r="DI29" s="64">
        <f t="shared" si="31"/>
        <v>4454.3876899122133</v>
      </c>
      <c r="DJ29" s="64">
        <f t="shared" si="32"/>
        <v>4693.7693206095792</v>
      </c>
      <c r="DK29" s="64">
        <f t="shared" si="33"/>
        <v>4940.3324002278659</v>
      </c>
      <c r="DL29" s="64">
        <f t="shared" si="34"/>
        <v>5194.2923722347023</v>
      </c>
      <c r="DM29" s="64">
        <f t="shared" si="35"/>
        <v>5455.8711434017441</v>
      </c>
      <c r="DN29" s="64"/>
      <c r="DO29" s="64">
        <f t="shared" si="39"/>
        <v>375804</v>
      </c>
      <c r="DP29" s="64">
        <f t="shared" si="40"/>
        <v>526033.61999999988</v>
      </c>
      <c r="DQ29" s="64">
        <f t="shared" si="41"/>
        <v>680770.12859999994</v>
      </c>
      <c r="DR29" s="64">
        <f t="shared" si="42"/>
        <v>840148.73245799972</v>
      </c>
      <c r="DS29" s="64">
        <f t="shared" si="43"/>
        <v>1004308.6944317403</v>
      </c>
      <c r="DT29" s="64">
        <f t="shared" si="44"/>
        <v>1173393.4552646924</v>
      </c>
      <c r="DU29" s="64">
        <f t="shared" si="45"/>
        <v>1347550.758922633</v>
      </c>
      <c r="DV29" s="64">
        <f t="shared" si="46"/>
        <v>1526932.7816903121</v>
      </c>
      <c r="DW29" s="64">
        <f t="shared" si="47"/>
        <v>1711696.2651410212</v>
      </c>
      <c r="DX29" s="64">
        <f t="shared" si="48"/>
        <v>1902002.6530952519</v>
      </c>
      <c r="DY29" s="64">
        <f t="shared" si="49"/>
        <v>2098018.2326881099</v>
      </c>
      <c r="DZ29" s="64">
        <f t="shared" si="50"/>
        <v>2299914.2796687535</v>
      </c>
      <c r="EA29" s="64">
        <f t="shared" si="51"/>
        <v>2507867.2080588159</v>
      </c>
      <c r="EB29" s="64">
        <f t="shared" si="52"/>
        <v>2722058.7243005801</v>
      </c>
      <c r="EC29" s="64">
        <f t="shared" si="53"/>
        <v>2942675.9860295975</v>
      </c>
      <c r="ED29" s="64">
        <f t="shared" si="54"/>
        <v>3169911.7656104853</v>
      </c>
      <c r="EE29" s="64">
        <f t="shared" si="55"/>
        <v>3403964.6185787995</v>
      </c>
      <c r="EF29" s="64">
        <f t="shared" si="56"/>
        <v>3645039.0571361631</v>
      </c>
      <c r="EG29" s="64">
        <f t="shared" si="57"/>
        <v>3893345.7288502483</v>
      </c>
      <c r="EH29" s="64">
        <f t="shared" si="58"/>
        <v>4149101.600715756</v>
      </c>
      <c r="EI29" s="64">
        <f t="shared" si="59"/>
        <v>4412530.1487372294</v>
      </c>
      <c r="EJ29" s="64">
        <f t="shared" si="60"/>
        <v>4683861.5531993471</v>
      </c>
      <c r="EK29" s="64">
        <f t="shared" si="61"/>
        <v>4963332.8997953273</v>
      </c>
      <c r="EL29" s="64">
        <f t="shared" si="62"/>
        <v>5251188.3867891869</v>
      </c>
      <c r="EM29" s="64">
        <f t="shared" si="63"/>
        <v>5547679.5383928623</v>
      </c>
      <c r="EN29" s="64">
        <f t="shared" si="64"/>
        <v>5853065.4245446483</v>
      </c>
      <c r="EO29" s="64">
        <f t="shared" si="65"/>
        <v>6167612.8872809866</v>
      </c>
      <c r="EP29" s="64">
        <f t="shared" si="66"/>
        <v>6491596.7738994155</v>
      </c>
      <c r="EQ29" s="64">
        <f t="shared" si="67"/>
        <v>6825300.1771163987</v>
      </c>
      <c r="ER29" s="64">
        <f t="shared" si="68"/>
        <v>7169014.682429892</v>
      </c>
      <c r="ES29" s="64"/>
      <c r="ET29" s="57">
        <v>0.03</v>
      </c>
      <c r="EU29" s="57">
        <v>0</v>
      </c>
      <c r="EV29" s="61"/>
    </row>
    <row r="30" spans="1:152" ht="27.75" hidden="1" customHeight="1" outlineLevel="1" x14ac:dyDescent="0.35">
      <c r="A30" s="62" t="s">
        <v>174</v>
      </c>
      <c r="B30" s="62" t="s">
        <v>167</v>
      </c>
      <c r="C30" s="62" t="s">
        <v>193</v>
      </c>
      <c r="D30" s="63" t="s">
        <v>152</v>
      </c>
      <c r="E30" s="63" t="s">
        <v>152</v>
      </c>
      <c r="F30" s="63" t="s">
        <v>153</v>
      </c>
      <c r="G30" s="63">
        <v>3</v>
      </c>
      <c r="H30" s="64">
        <v>3</v>
      </c>
      <c r="I30" s="56"/>
      <c r="J30" s="61"/>
      <c r="K30" s="64">
        <v>141</v>
      </c>
      <c r="L30" s="64">
        <v>35</v>
      </c>
      <c r="M30" s="64">
        <v>0</v>
      </c>
      <c r="N30" s="64">
        <v>0</v>
      </c>
      <c r="O30" s="64"/>
      <c r="P30" s="64">
        <v>0</v>
      </c>
      <c r="Q30" s="64">
        <v>0</v>
      </c>
      <c r="R30" s="64">
        <v>0</v>
      </c>
      <c r="S30" s="64">
        <v>0</v>
      </c>
      <c r="T30" s="64">
        <v>0</v>
      </c>
      <c r="U30" s="291">
        <f t="shared" ref="U30:AX30" si="117">T30*(1+$EU30)</f>
        <v>0</v>
      </c>
      <c r="V30" s="291">
        <f t="shared" si="117"/>
        <v>0</v>
      </c>
      <c r="W30" s="291">
        <f t="shared" si="117"/>
        <v>0</v>
      </c>
      <c r="X30" s="291">
        <f t="shared" si="117"/>
        <v>0</v>
      </c>
      <c r="Y30" s="291">
        <f t="shared" si="117"/>
        <v>0</v>
      </c>
      <c r="Z30" s="291">
        <f t="shared" si="117"/>
        <v>0</v>
      </c>
      <c r="AA30" s="291">
        <f t="shared" si="117"/>
        <v>0</v>
      </c>
      <c r="AB30" s="291">
        <f t="shared" si="117"/>
        <v>0</v>
      </c>
      <c r="AC30" s="291">
        <f t="shared" si="117"/>
        <v>0</v>
      </c>
      <c r="AD30" s="291">
        <f t="shared" si="117"/>
        <v>0</v>
      </c>
      <c r="AE30" s="291">
        <f t="shared" si="117"/>
        <v>0</v>
      </c>
      <c r="AF30" s="291">
        <f t="shared" si="117"/>
        <v>0</v>
      </c>
      <c r="AG30" s="291">
        <f t="shared" si="117"/>
        <v>0</v>
      </c>
      <c r="AH30" s="291">
        <f t="shared" si="117"/>
        <v>0</v>
      </c>
      <c r="AI30" s="291">
        <f t="shared" si="117"/>
        <v>0</v>
      </c>
      <c r="AJ30" s="291">
        <f t="shared" si="117"/>
        <v>0</v>
      </c>
      <c r="AK30" s="291">
        <f t="shared" si="117"/>
        <v>0</v>
      </c>
      <c r="AL30" s="291">
        <f t="shared" si="117"/>
        <v>0</v>
      </c>
      <c r="AM30" s="291">
        <f t="shared" si="117"/>
        <v>0</v>
      </c>
      <c r="AN30" s="291">
        <f t="shared" si="117"/>
        <v>0</v>
      </c>
      <c r="AO30" s="291">
        <f t="shared" si="117"/>
        <v>0</v>
      </c>
      <c r="AP30" s="291">
        <f t="shared" si="117"/>
        <v>0</v>
      </c>
      <c r="AQ30" s="291">
        <f t="shared" si="117"/>
        <v>0</v>
      </c>
      <c r="AR30" s="291">
        <f t="shared" si="117"/>
        <v>0</v>
      </c>
      <c r="AS30" s="291">
        <f t="shared" si="117"/>
        <v>0</v>
      </c>
      <c r="AT30" s="291">
        <f t="shared" si="117"/>
        <v>0</v>
      </c>
      <c r="AU30" s="291">
        <f t="shared" si="117"/>
        <v>0</v>
      </c>
      <c r="AV30" s="291">
        <f t="shared" si="117"/>
        <v>0</v>
      </c>
      <c r="AW30" s="291">
        <f t="shared" si="117"/>
        <v>0</v>
      </c>
      <c r="AX30" s="291">
        <f t="shared" si="117"/>
        <v>0</v>
      </c>
      <c r="AZ30" s="64">
        <v>0</v>
      </c>
      <c r="BA30" s="64">
        <v>0</v>
      </c>
      <c r="BB30" s="64">
        <v>0</v>
      </c>
      <c r="BC30" s="64">
        <v>0</v>
      </c>
      <c r="BD30" s="64">
        <v>0</v>
      </c>
      <c r="BE30" s="64">
        <f t="shared" ref="BE30:CH30" si="118">BD30*(1+$ET30)</f>
        <v>0</v>
      </c>
      <c r="BF30" s="64">
        <f t="shared" si="118"/>
        <v>0</v>
      </c>
      <c r="BG30" s="64">
        <f t="shared" si="118"/>
        <v>0</v>
      </c>
      <c r="BH30" s="64">
        <f t="shared" si="118"/>
        <v>0</v>
      </c>
      <c r="BI30" s="64">
        <f t="shared" si="118"/>
        <v>0</v>
      </c>
      <c r="BJ30" s="64">
        <f t="shared" si="118"/>
        <v>0</v>
      </c>
      <c r="BK30" s="64">
        <f t="shared" si="118"/>
        <v>0</v>
      </c>
      <c r="BL30" s="64">
        <f t="shared" si="118"/>
        <v>0</v>
      </c>
      <c r="BM30" s="64">
        <f t="shared" si="118"/>
        <v>0</v>
      </c>
      <c r="BN30" s="64">
        <f t="shared" si="118"/>
        <v>0</v>
      </c>
      <c r="BO30" s="64">
        <f t="shared" si="118"/>
        <v>0</v>
      </c>
      <c r="BP30" s="64">
        <f t="shared" si="118"/>
        <v>0</v>
      </c>
      <c r="BQ30" s="64">
        <f t="shared" si="118"/>
        <v>0</v>
      </c>
      <c r="BR30" s="64">
        <f t="shared" si="118"/>
        <v>0</v>
      </c>
      <c r="BS30" s="64">
        <f t="shared" si="118"/>
        <v>0</v>
      </c>
      <c r="BT30" s="64">
        <f t="shared" si="118"/>
        <v>0</v>
      </c>
      <c r="BU30" s="64">
        <f t="shared" si="118"/>
        <v>0</v>
      </c>
      <c r="BV30" s="64">
        <f t="shared" si="118"/>
        <v>0</v>
      </c>
      <c r="BW30" s="64">
        <f t="shared" si="118"/>
        <v>0</v>
      </c>
      <c r="BX30" s="64">
        <f t="shared" si="118"/>
        <v>0</v>
      </c>
      <c r="BY30" s="64">
        <f t="shared" si="118"/>
        <v>0</v>
      </c>
      <c r="BZ30" s="64">
        <f t="shared" si="118"/>
        <v>0</v>
      </c>
      <c r="CA30" s="64">
        <f t="shared" si="118"/>
        <v>0</v>
      </c>
      <c r="CB30" s="64">
        <f t="shared" si="118"/>
        <v>0</v>
      </c>
      <c r="CC30" s="64">
        <f t="shared" si="118"/>
        <v>0</v>
      </c>
      <c r="CD30" s="64">
        <f t="shared" si="118"/>
        <v>0</v>
      </c>
      <c r="CE30" s="64">
        <f t="shared" si="118"/>
        <v>0</v>
      </c>
      <c r="CF30" s="64">
        <f t="shared" si="118"/>
        <v>0</v>
      </c>
      <c r="CG30" s="64">
        <f t="shared" si="118"/>
        <v>0</v>
      </c>
      <c r="CH30" s="64">
        <f t="shared" si="118"/>
        <v>0</v>
      </c>
      <c r="CI30" s="64"/>
      <c r="CJ30" s="64">
        <f t="shared" ref="CJ30:CS30" si="119">BE30-U30</f>
        <v>0</v>
      </c>
      <c r="CK30" s="64">
        <f t="shared" si="119"/>
        <v>0</v>
      </c>
      <c r="CL30" s="64">
        <f t="shared" si="119"/>
        <v>0</v>
      </c>
      <c r="CM30" s="64">
        <f t="shared" si="119"/>
        <v>0</v>
      </c>
      <c r="CN30" s="64">
        <f t="shared" si="119"/>
        <v>0</v>
      </c>
      <c r="CO30" s="64">
        <f t="shared" si="119"/>
        <v>0</v>
      </c>
      <c r="CP30" s="64">
        <f t="shared" si="119"/>
        <v>0</v>
      </c>
      <c r="CQ30" s="64">
        <f t="shared" si="119"/>
        <v>0</v>
      </c>
      <c r="CR30" s="64">
        <f t="shared" si="119"/>
        <v>0</v>
      </c>
      <c r="CS30" s="64">
        <f t="shared" si="119"/>
        <v>0</v>
      </c>
      <c r="CT30" s="64">
        <f t="shared" ref="CT30" si="120">BO30-AE30</f>
        <v>0</v>
      </c>
      <c r="CU30" s="64">
        <f t="shared" ref="CU30" si="121">BP30-AF30</f>
        <v>0</v>
      </c>
      <c r="CV30" s="64">
        <f t="shared" ref="CV30" si="122">BQ30-AG30</f>
        <v>0</v>
      </c>
      <c r="CW30" s="64">
        <f t="shared" ref="CW30" si="123">BR30-AH30</f>
        <v>0</v>
      </c>
      <c r="CX30" s="64">
        <f t="shared" ref="CX30" si="124">BS30-AI30</f>
        <v>0</v>
      </c>
      <c r="CY30" s="64">
        <f t="shared" ref="CY30" si="125">BT30-AJ30</f>
        <v>0</v>
      </c>
      <c r="CZ30" s="64">
        <f t="shared" ref="CZ30" si="126">BU30-AK30</f>
        <v>0</v>
      </c>
      <c r="DA30" s="64">
        <f t="shared" ref="DA30" si="127">BV30-AL30</f>
        <v>0</v>
      </c>
      <c r="DB30" s="64">
        <f t="shared" ref="DB30" si="128">BW30-AM30</f>
        <v>0</v>
      </c>
      <c r="DC30" s="64">
        <f t="shared" ref="DC30" si="129">BX30-AN30</f>
        <v>0</v>
      </c>
      <c r="DD30" s="64">
        <f t="shared" ref="DD30" si="130">BY30-AO30</f>
        <v>0</v>
      </c>
      <c r="DE30" s="64">
        <f t="shared" ref="DE30" si="131">BZ30-AP30</f>
        <v>0</v>
      </c>
      <c r="DF30" s="64">
        <f t="shared" ref="DF30" si="132">CA30-AQ30</f>
        <v>0</v>
      </c>
      <c r="DG30" s="64">
        <f t="shared" ref="DG30" si="133">CB30-AR30</f>
        <v>0</v>
      </c>
      <c r="DH30" s="64">
        <f t="shared" ref="DH30" si="134">CC30-AS30</f>
        <v>0</v>
      </c>
      <c r="DI30" s="64">
        <f t="shared" ref="DI30" si="135">CD30-AT30</f>
        <v>0</v>
      </c>
      <c r="DJ30" s="64">
        <f t="shared" ref="DJ30" si="136">CE30-AU30</f>
        <v>0</v>
      </c>
      <c r="DK30" s="64">
        <f t="shared" ref="DK30" si="137">CF30-AV30</f>
        <v>0</v>
      </c>
      <c r="DL30" s="64">
        <f t="shared" ref="DL30" si="138">CG30-AW30</f>
        <v>0</v>
      </c>
      <c r="DM30" s="64">
        <f t="shared" ref="DM30" si="139">CH30-AX30</f>
        <v>0</v>
      </c>
      <c r="DN30" s="64"/>
      <c r="DO30" s="64">
        <f t="shared" si="39"/>
        <v>0</v>
      </c>
      <c r="DP30" s="64">
        <f t="shared" si="40"/>
        <v>0</v>
      </c>
      <c r="DQ30" s="64">
        <f t="shared" si="41"/>
        <v>0</v>
      </c>
      <c r="DR30" s="64">
        <f t="shared" si="42"/>
        <v>0</v>
      </c>
      <c r="DS30" s="64">
        <f t="shared" si="43"/>
        <v>0</v>
      </c>
      <c r="DT30" s="64">
        <f t="shared" si="44"/>
        <v>0</v>
      </c>
      <c r="DU30" s="64">
        <f t="shared" si="45"/>
        <v>0</v>
      </c>
      <c r="DV30" s="64">
        <f t="shared" si="46"/>
        <v>0</v>
      </c>
      <c r="DW30" s="64">
        <f t="shared" si="47"/>
        <v>0</v>
      </c>
      <c r="DX30" s="64">
        <f t="shared" si="48"/>
        <v>0</v>
      </c>
      <c r="DY30" s="64">
        <f t="shared" si="49"/>
        <v>0</v>
      </c>
      <c r="DZ30" s="64">
        <f t="shared" si="50"/>
        <v>0</v>
      </c>
      <c r="EA30" s="64">
        <f t="shared" si="51"/>
        <v>0</v>
      </c>
      <c r="EB30" s="64">
        <f t="shared" si="52"/>
        <v>0</v>
      </c>
      <c r="EC30" s="64">
        <f t="shared" si="53"/>
        <v>0</v>
      </c>
      <c r="ED30" s="64">
        <f t="shared" si="54"/>
        <v>0</v>
      </c>
      <c r="EE30" s="64">
        <f t="shared" si="55"/>
        <v>0</v>
      </c>
      <c r="EF30" s="64">
        <f t="shared" si="56"/>
        <v>0</v>
      </c>
      <c r="EG30" s="64">
        <f t="shared" si="57"/>
        <v>0</v>
      </c>
      <c r="EH30" s="64">
        <f t="shared" si="58"/>
        <v>0</v>
      </c>
      <c r="EI30" s="64">
        <f t="shared" si="59"/>
        <v>0</v>
      </c>
      <c r="EJ30" s="64">
        <f t="shared" si="60"/>
        <v>0</v>
      </c>
      <c r="EK30" s="64">
        <f t="shared" si="61"/>
        <v>0</v>
      </c>
      <c r="EL30" s="64">
        <f t="shared" si="62"/>
        <v>0</v>
      </c>
      <c r="EM30" s="64">
        <f t="shared" si="63"/>
        <v>0</v>
      </c>
      <c r="EN30" s="64">
        <f t="shared" si="64"/>
        <v>0</v>
      </c>
      <c r="EO30" s="64">
        <f t="shared" si="65"/>
        <v>0</v>
      </c>
      <c r="EP30" s="64">
        <f t="shared" si="66"/>
        <v>0</v>
      </c>
      <c r="EQ30" s="64">
        <f t="shared" si="67"/>
        <v>0</v>
      </c>
      <c r="ER30" s="64">
        <f t="shared" si="68"/>
        <v>0</v>
      </c>
      <c r="ES30" s="64"/>
      <c r="ET30" s="57">
        <v>0</v>
      </c>
      <c r="EU30" s="57">
        <v>0</v>
      </c>
      <c r="EV30" s="61" t="s">
        <v>161</v>
      </c>
    </row>
    <row r="31" spans="1:152" ht="15" customHeight="1" collapsed="1" x14ac:dyDescent="0.35">
      <c r="A31" s="70" t="s">
        <v>194</v>
      </c>
      <c r="B31" s="70"/>
      <c r="C31" s="70"/>
      <c r="D31" s="70"/>
      <c r="E31" s="70"/>
      <c r="F31" s="70"/>
      <c r="G31" s="70"/>
      <c r="H31" s="71"/>
      <c r="I31" s="71"/>
      <c r="J31" s="71"/>
      <c r="K31" s="71">
        <f t="shared" ref="K31:BD31" si="140">SUM(K4:K18)</f>
        <v>1361</v>
      </c>
      <c r="L31" s="71">
        <f t="shared" si="140"/>
        <v>1832</v>
      </c>
      <c r="M31" s="71">
        <f t="shared" si="140"/>
        <v>1827</v>
      </c>
      <c r="N31" s="71">
        <f t="shared" si="140"/>
        <v>2191</v>
      </c>
      <c r="O31" s="74"/>
      <c r="P31" s="71">
        <f t="shared" si="140"/>
        <v>2244</v>
      </c>
      <c r="Q31" s="71">
        <f t="shared" si="140"/>
        <v>2376</v>
      </c>
      <c r="R31" s="71">
        <f t="shared" si="140"/>
        <v>2445</v>
      </c>
      <c r="S31" s="71">
        <f t="shared" si="140"/>
        <v>2480</v>
      </c>
      <c r="T31" s="71">
        <f t="shared" si="140"/>
        <v>2450</v>
      </c>
      <c r="U31" s="71">
        <f t="shared" ref="U31:AX31" si="141">SUM(U4:U18)</f>
        <v>2474.2000000000003</v>
      </c>
      <c r="V31" s="71">
        <f t="shared" si="141"/>
        <v>2498.884</v>
      </c>
      <c r="W31" s="71">
        <f t="shared" si="141"/>
        <v>2524.0616800000003</v>
      </c>
      <c r="X31" s="71">
        <f t="shared" si="141"/>
        <v>2549.7429136000005</v>
      </c>
      <c r="Y31" s="71">
        <f t="shared" si="141"/>
        <v>2575.9377718720002</v>
      </c>
      <c r="Z31" s="71">
        <f t="shared" si="141"/>
        <v>2602.6565273094398</v>
      </c>
      <c r="AA31" s="71">
        <f t="shared" si="141"/>
        <v>2629.9096578556291</v>
      </c>
      <c r="AB31" s="71">
        <f t="shared" si="141"/>
        <v>2657.7078510127412</v>
      </c>
      <c r="AC31" s="71">
        <f t="shared" si="141"/>
        <v>2686.0620080329959</v>
      </c>
      <c r="AD31" s="71">
        <f t="shared" si="141"/>
        <v>2714.983248193656</v>
      </c>
      <c r="AE31" s="71">
        <f t="shared" si="141"/>
        <v>2744.4829131575293</v>
      </c>
      <c r="AF31" s="71">
        <f t="shared" si="141"/>
        <v>2774.5725714206806</v>
      </c>
      <c r="AG31" s="71">
        <f t="shared" si="141"/>
        <v>2805.2640228490936</v>
      </c>
      <c r="AH31" s="71">
        <f t="shared" si="141"/>
        <v>2836.5693033060752</v>
      </c>
      <c r="AI31" s="71">
        <f t="shared" si="141"/>
        <v>2868.5006893721966</v>
      </c>
      <c r="AJ31" s="71">
        <f t="shared" si="141"/>
        <v>2901.0707031596417</v>
      </c>
      <c r="AK31" s="71">
        <f t="shared" si="141"/>
        <v>2934.2921172228339</v>
      </c>
      <c r="AL31" s="71">
        <f t="shared" si="141"/>
        <v>2968.1779595672906</v>
      </c>
      <c r="AM31" s="71">
        <f t="shared" si="141"/>
        <v>3002.7415187586371</v>
      </c>
      <c r="AN31" s="71">
        <f t="shared" si="141"/>
        <v>3037.9963491338094</v>
      </c>
      <c r="AO31" s="71">
        <f t="shared" si="141"/>
        <v>3073.9562761164857</v>
      </c>
      <c r="AP31" s="71">
        <f t="shared" si="141"/>
        <v>3110.635401638815</v>
      </c>
      <c r="AQ31" s="71">
        <f t="shared" si="141"/>
        <v>3148.0481096715921</v>
      </c>
      <c r="AR31" s="71">
        <f t="shared" si="141"/>
        <v>3186.2090718650234</v>
      </c>
      <c r="AS31" s="71">
        <f t="shared" si="141"/>
        <v>3225.1332533023242</v>
      </c>
      <c r="AT31" s="71">
        <f t="shared" si="141"/>
        <v>3264.835918368371</v>
      </c>
      <c r="AU31" s="71">
        <f t="shared" si="141"/>
        <v>3305.3326367357381</v>
      </c>
      <c r="AV31" s="71">
        <f t="shared" si="141"/>
        <v>3346.6392894704531</v>
      </c>
      <c r="AW31" s="71">
        <f t="shared" si="141"/>
        <v>3388.772075259862</v>
      </c>
      <c r="AX31" s="71">
        <f t="shared" si="141"/>
        <v>3431.7475167650591</v>
      </c>
      <c r="AZ31" s="71">
        <f t="shared" si="140"/>
        <v>2244</v>
      </c>
      <c r="BA31" s="71">
        <f t="shared" si="140"/>
        <v>2376</v>
      </c>
      <c r="BB31" s="71">
        <f t="shared" si="140"/>
        <v>2545</v>
      </c>
      <c r="BC31" s="71">
        <f t="shared" si="140"/>
        <v>2635</v>
      </c>
      <c r="BD31" s="71">
        <f t="shared" si="140"/>
        <v>2730</v>
      </c>
      <c r="BE31" s="71">
        <f t="shared" ref="BE31:DM31" si="142">SUM(BE4:BE18)</f>
        <v>2866.5</v>
      </c>
      <c r="BF31" s="71">
        <f t="shared" si="142"/>
        <v>3009.8249999999998</v>
      </c>
      <c r="BG31" s="71">
        <f t="shared" si="142"/>
        <v>3160.3162500000008</v>
      </c>
      <c r="BH31" s="71">
        <f t="shared" si="142"/>
        <v>3318.3320624999997</v>
      </c>
      <c r="BI31" s="71">
        <f t="shared" si="142"/>
        <v>3484.2486656250012</v>
      </c>
      <c r="BJ31" s="71">
        <f t="shared" si="142"/>
        <v>3658.4610989062508</v>
      </c>
      <c r="BK31" s="71">
        <f t="shared" si="142"/>
        <v>3841.3841538515644</v>
      </c>
      <c r="BL31" s="71">
        <f t="shared" si="142"/>
        <v>4033.4533615441424</v>
      </c>
      <c r="BM31" s="71">
        <f t="shared" si="142"/>
        <v>4235.1260296213495</v>
      </c>
      <c r="BN31" s="71">
        <f t="shared" si="142"/>
        <v>4446.882331102418</v>
      </c>
      <c r="BO31" s="71">
        <f t="shared" si="142"/>
        <v>4669.2264476575365</v>
      </c>
      <c r="BP31" s="71">
        <f t="shared" si="142"/>
        <v>4902.6877700404166</v>
      </c>
      <c r="BQ31" s="71">
        <f t="shared" si="142"/>
        <v>5147.8221585424371</v>
      </c>
      <c r="BR31" s="71">
        <f t="shared" si="142"/>
        <v>5405.2132664695591</v>
      </c>
      <c r="BS31" s="71">
        <f t="shared" si="142"/>
        <v>5675.4739297930373</v>
      </c>
      <c r="BT31" s="71">
        <f t="shared" si="142"/>
        <v>5959.2476262826885</v>
      </c>
      <c r="BU31" s="71">
        <f t="shared" si="142"/>
        <v>6257.2100075968219</v>
      </c>
      <c r="BV31" s="71">
        <f t="shared" si="142"/>
        <v>6570.070507976664</v>
      </c>
      <c r="BW31" s="71">
        <f t="shared" si="142"/>
        <v>6898.5740333754993</v>
      </c>
      <c r="BX31" s="71">
        <f t="shared" si="142"/>
        <v>7243.5027350442724</v>
      </c>
      <c r="BY31" s="71">
        <f t="shared" si="142"/>
        <v>7605.677871796488</v>
      </c>
      <c r="BZ31" s="71">
        <f t="shared" si="142"/>
        <v>7985.9617653863124</v>
      </c>
      <c r="CA31" s="71">
        <f t="shared" si="142"/>
        <v>8385.2598536556288</v>
      </c>
      <c r="CB31" s="71">
        <f t="shared" si="142"/>
        <v>8804.5228463384101</v>
      </c>
      <c r="CC31" s="71">
        <f t="shared" si="142"/>
        <v>9244.7489886553303</v>
      </c>
      <c r="CD31" s="71">
        <f t="shared" si="142"/>
        <v>9706.986438088099</v>
      </c>
      <c r="CE31" s="71">
        <f t="shared" si="142"/>
        <v>10192.335759992504</v>
      </c>
      <c r="CF31" s="71">
        <f t="shared" si="142"/>
        <v>10701.952547992127</v>
      </c>
      <c r="CG31" s="71">
        <f t="shared" si="142"/>
        <v>11237.050175391738</v>
      </c>
      <c r="CH31" s="71">
        <f t="shared" si="142"/>
        <v>11798.902684161323</v>
      </c>
      <c r="CJ31" s="71">
        <f t="shared" si="142"/>
        <v>392.29999999999995</v>
      </c>
      <c r="CK31" s="71">
        <f t="shared" si="142"/>
        <v>510.94100000000009</v>
      </c>
      <c r="CL31" s="71">
        <f t="shared" si="142"/>
        <v>636.25457000000017</v>
      </c>
      <c r="CM31" s="71">
        <f t="shared" si="142"/>
        <v>768.58914890000017</v>
      </c>
      <c r="CN31" s="71">
        <f t="shared" si="142"/>
        <v>908.31089375300064</v>
      </c>
      <c r="CO31" s="71">
        <f t="shared" si="142"/>
        <v>1055.8045715968105</v>
      </c>
      <c r="CP31" s="71">
        <f t="shared" si="142"/>
        <v>1211.4744959959346</v>
      </c>
      <c r="CQ31" s="71">
        <f t="shared" si="142"/>
        <v>1375.7455105314004</v>
      </c>
      <c r="CR31" s="71">
        <f t="shared" si="142"/>
        <v>1549.0640215883532</v>
      </c>
      <c r="CS31" s="71">
        <f t="shared" si="142"/>
        <v>1731.8990829087606</v>
      </c>
      <c r="CT31" s="71">
        <f t="shared" si="142"/>
        <v>1924.743534500009</v>
      </c>
      <c r="CU31" s="71">
        <f t="shared" si="142"/>
        <v>2128.1151986197351</v>
      </c>
      <c r="CV31" s="71">
        <f t="shared" si="142"/>
        <v>2342.558135693343</v>
      </c>
      <c r="CW31" s="71">
        <f t="shared" si="142"/>
        <v>2568.6439631634826</v>
      </c>
      <c r="CX31" s="71">
        <f t="shared" si="142"/>
        <v>2806.9732404208394</v>
      </c>
      <c r="CY31" s="71">
        <f t="shared" si="142"/>
        <v>3058.1769231230478</v>
      </c>
      <c r="CZ31" s="71">
        <f t="shared" si="142"/>
        <v>3322.9178903739894</v>
      </c>
      <c r="DA31" s="71">
        <f t="shared" si="142"/>
        <v>3601.8925484093743</v>
      </c>
      <c r="DB31" s="71">
        <f t="shared" si="142"/>
        <v>3895.8325146168627</v>
      </c>
      <c r="DC31" s="71">
        <f t="shared" si="142"/>
        <v>4205.5063859104648</v>
      </c>
      <c r="DD31" s="71">
        <f t="shared" si="142"/>
        <v>4531.7215956800019</v>
      </c>
      <c r="DE31" s="71">
        <f t="shared" si="142"/>
        <v>4875.3263637474965</v>
      </c>
      <c r="DF31" s="71">
        <f t="shared" si="142"/>
        <v>5237.2117439840358</v>
      </c>
      <c r="DG31" s="71">
        <f t="shared" si="142"/>
        <v>5618.3137744733858</v>
      </c>
      <c r="DH31" s="71">
        <f t="shared" si="142"/>
        <v>6019.615735353007</v>
      </c>
      <c r="DI31" s="71">
        <f t="shared" si="142"/>
        <v>6442.1505197197293</v>
      </c>
      <c r="DJ31" s="71">
        <f t="shared" si="142"/>
        <v>6887.0031232567635</v>
      </c>
      <c r="DK31" s="71">
        <f t="shared" si="142"/>
        <v>7355.3132585216763</v>
      </c>
      <c r="DL31" s="71">
        <f t="shared" si="142"/>
        <v>7848.2781001318745</v>
      </c>
      <c r="DM31" s="71">
        <f t="shared" si="142"/>
        <v>8367.155167396264</v>
      </c>
      <c r="DO31" s="71">
        <f t="shared" ref="DO31:ER31" si="143">SUM(DO4:DO18)</f>
        <v>284318.8</v>
      </c>
      <c r="DP31" s="71">
        <f t="shared" si="143"/>
        <v>369484.12599999993</v>
      </c>
      <c r="DQ31" s="71">
        <f t="shared" si="143"/>
        <v>459594.2660200001</v>
      </c>
      <c r="DR31" s="71">
        <f t="shared" si="143"/>
        <v>554910.19171540032</v>
      </c>
      <c r="DS31" s="71">
        <f t="shared" si="143"/>
        <v>655706.19794345833</v>
      </c>
      <c r="DT31" s="71">
        <f t="shared" si="143"/>
        <v>762270.57441576524</v>
      </c>
      <c r="DU31" s="71">
        <f t="shared" si="143"/>
        <v>874906.31104318995</v>
      </c>
      <c r="DV31" s="71">
        <f t="shared" si="143"/>
        <v>993931.83866011852</v>
      </c>
      <c r="DW31" s="71">
        <f t="shared" si="143"/>
        <v>1119681.8068991895</v>
      </c>
      <c r="DX31" s="71">
        <f t="shared" si="143"/>
        <v>1252507.9010763345</v>
      </c>
      <c r="DY31" s="71">
        <f t="shared" si="143"/>
        <v>1392779.7000389816</v>
      </c>
      <c r="DZ31" s="71">
        <f t="shared" si="143"/>
        <v>1540885.5770279367</v>
      </c>
      <c r="EA31" s="71">
        <f t="shared" si="143"/>
        <v>1697233.6457060801</v>
      </c>
      <c r="EB31" s="71">
        <f t="shared" si="143"/>
        <v>1862252.7536146652</v>
      </c>
      <c r="EC31" s="71">
        <f t="shared" si="143"/>
        <v>2036393.5254311454</v>
      </c>
      <c r="ED31" s="71">
        <f t="shared" si="143"/>
        <v>2220129.4585211654</v>
      </c>
      <c r="EE31" s="71">
        <f t="shared" si="143"/>
        <v>2413958.0734020546</v>
      </c>
      <c r="EF31" s="71">
        <f t="shared" si="143"/>
        <v>2618402.1218660851</v>
      </c>
      <c r="EG31" s="71">
        <f t="shared" si="143"/>
        <v>2834010.8556491951</v>
      </c>
      <c r="EH31" s="71">
        <f t="shared" si="143"/>
        <v>3061361.3586752582</v>
      </c>
      <c r="EI31" s="71">
        <f t="shared" si="143"/>
        <v>3301059.9460574952</v>
      </c>
      <c r="EJ31" s="71">
        <f t="shared" si="143"/>
        <v>3553743.6331978138</v>
      </c>
      <c r="EK31" s="71">
        <f t="shared" si="143"/>
        <v>3820081.6784918983</v>
      </c>
      <c r="EL31" s="71">
        <f t="shared" si="143"/>
        <v>4100777.2033233694</v>
      </c>
      <c r="EM31" s="71">
        <f t="shared" si="143"/>
        <v>4396568.8932145517</v>
      </c>
      <c r="EN31" s="71">
        <f t="shared" si="143"/>
        <v>4708232.7841947945</v>
      </c>
      <c r="EO31" s="71">
        <f t="shared" si="143"/>
        <v>5036584.1386504397</v>
      </c>
      <c r="EP31" s="71">
        <f t="shared" si="143"/>
        <v>5382479.4151337845</v>
      </c>
      <c r="EQ31" s="71">
        <f t="shared" si="143"/>
        <v>5746818.3368323147</v>
      </c>
      <c r="ER31" s="71">
        <f t="shared" si="143"/>
        <v>6130546.0636346042</v>
      </c>
      <c r="ES31" s="74"/>
      <c r="ET31" s="71"/>
      <c r="EU31" s="71"/>
      <c r="EV31" s="71"/>
    </row>
    <row r="32" spans="1:152" ht="15" customHeight="1" x14ac:dyDescent="0.35">
      <c r="A32" s="70" t="s">
        <v>195</v>
      </c>
      <c r="B32" s="70"/>
      <c r="C32" s="70"/>
      <c r="D32" s="70"/>
      <c r="E32" s="70"/>
      <c r="F32" s="70"/>
      <c r="G32" s="70"/>
      <c r="H32" s="71"/>
      <c r="I32" s="71"/>
      <c r="J32" s="71"/>
      <c r="K32" s="71">
        <f t="shared" ref="K32:BD32" si="144">SUM(K19:K30)</f>
        <v>14511</v>
      </c>
      <c r="L32" s="71">
        <f t="shared" si="144"/>
        <v>15639</v>
      </c>
      <c r="M32" s="71">
        <f t="shared" si="144"/>
        <v>15374</v>
      </c>
      <c r="N32" s="71">
        <f t="shared" si="144"/>
        <v>14465</v>
      </c>
      <c r="O32" s="74"/>
      <c r="P32" s="71">
        <f t="shared" si="144"/>
        <v>13429</v>
      </c>
      <c r="Q32" s="71">
        <f t="shared" si="144"/>
        <v>14900</v>
      </c>
      <c r="R32" s="71">
        <f t="shared" si="144"/>
        <v>16400</v>
      </c>
      <c r="S32" s="71">
        <f t="shared" si="144"/>
        <v>25460</v>
      </c>
      <c r="T32" s="71">
        <f t="shared" si="144"/>
        <v>25800</v>
      </c>
      <c r="U32" s="71">
        <f t="shared" ref="U32:AX32" si="145">SUM(U19:U30)</f>
        <v>25781.599999999999</v>
      </c>
      <c r="V32" s="71">
        <f t="shared" si="145"/>
        <v>25793.432000000001</v>
      </c>
      <c r="W32" s="71">
        <f t="shared" si="145"/>
        <v>25805.500639999998</v>
      </c>
      <c r="X32" s="71">
        <f t="shared" si="145"/>
        <v>25817.810652799999</v>
      </c>
      <c r="Y32" s="71">
        <f t="shared" si="145"/>
        <v>25830.366865855998</v>
      </c>
      <c r="Z32" s="71">
        <f t="shared" si="145"/>
        <v>25843.174203173119</v>
      </c>
      <c r="AA32" s="71">
        <f t="shared" si="145"/>
        <v>25856.237687236582</v>
      </c>
      <c r="AB32" s="71">
        <f t="shared" si="145"/>
        <v>25869.562440981314</v>
      </c>
      <c r="AC32" s="71">
        <f t="shared" si="145"/>
        <v>25883.15368980094</v>
      </c>
      <c r="AD32" s="71">
        <f t="shared" si="145"/>
        <v>25897.016763596959</v>
      </c>
      <c r="AE32" s="71">
        <f t="shared" si="145"/>
        <v>25911.157098868898</v>
      </c>
      <c r="AF32" s="71">
        <f t="shared" si="145"/>
        <v>25925.580240846277</v>
      </c>
      <c r="AG32" s="71">
        <f t="shared" si="145"/>
        <v>25940.291845663203</v>
      </c>
      <c r="AH32" s="71">
        <f t="shared" si="145"/>
        <v>25955.297682576467</v>
      </c>
      <c r="AI32" s="71">
        <f t="shared" si="145"/>
        <v>25970.603636227996</v>
      </c>
      <c r="AJ32" s="71">
        <f t="shared" si="145"/>
        <v>25986.215708952554</v>
      </c>
      <c r="AK32" s="71">
        <f t="shared" si="145"/>
        <v>26002.140023131607</v>
      </c>
      <c r="AL32" s="71">
        <f t="shared" si="145"/>
        <v>26018.382823594238</v>
      </c>
      <c r="AM32" s="71">
        <f t="shared" si="145"/>
        <v>26034.950480066123</v>
      </c>
      <c r="AN32" s="71">
        <f t="shared" si="145"/>
        <v>26051.849489667446</v>
      </c>
      <c r="AO32" s="71">
        <f t="shared" si="145"/>
        <v>26069.086479460795</v>
      </c>
      <c r="AP32" s="71">
        <f t="shared" si="145"/>
        <v>26086.668209050011</v>
      </c>
      <c r="AQ32" s="71">
        <f t="shared" si="145"/>
        <v>26104.601573231012</v>
      </c>
      <c r="AR32" s="71">
        <f t="shared" si="145"/>
        <v>26122.89360469563</v>
      </c>
      <c r="AS32" s="71">
        <f t="shared" si="145"/>
        <v>26141.551476789544</v>
      </c>
      <c r="AT32" s="71">
        <f t="shared" si="145"/>
        <v>26160.582506325336</v>
      </c>
      <c r="AU32" s="71">
        <f t="shared" si="145"/>
        <v>26179.994156451841</v>
      </c>
      <c r="AV32" s="71">
        <f t="shared" si="145"/>
        <v>26199.794039580876</v>
      </c>
      <c r="AW32" s="71">
        <f t="shared" si="145"/>
        <v>26219.989920372496</v>
      </c>
      <c r="AX32" s="71">
        <f t="shared" si="145"/>
        <v>26240.589718779946</v>
      </c>
      <c r="AZ32" s="71">
        <f t="shared" si="144"/>
        <v>13429</v>
      </c>
      <c r="BA32" s="71">
        <f t="shared" si="144"/>
        <v>14900</v>
      </c>
      <c r="BB32" s="71">
        <f t="shared" si="144"/>
        <v>17207</v>
      </c>
      <c r="BC32" s="71">
        <f t="shared" si="144"/>
        <v>27272</v>
      </c>
      <c r="BD32" s="71">
        <f t="shared" si="144"/>
        <v>27955</v>
      </c>
      <c r="BE32" s="71">
        <f t="shared" ref="BE32:DM32" si="146">SUM(BE19:BE30)</f>
        <v>29048.7</v>
      </c>
      <c r="BF32" s="71">
        <f t="shared" si="146"/>
        <v>30186.818000000007</v>
      </c>
      <c r="BG32" s="71">
        <f t="shared" si="146"/>
        <v>31371.224399999999</v>
      </c>
      <c r="BH32" s="71">
        <f t="shared" si="146"/>
        <v>32603.871438800001</v>
      </c>
      <c r="BI32" s="71">
        <f t="shared" si="146"/>
        <v>33886.796927052004</v>
      </c>
      <c r="BJ32" s="71">
        <f t="shared" si="146"/>
        <v>35222.12815827068</v>
      </c>
      <c r="BK32" s="71">
        <f t="shared" si="146"/>
        <v>36612.086006669779</v>
      </c>
      <c r="BL32" s="71">
        <f t="shared" si="146"/>
        <v>38058.989221151576</v>
      </c>
      <c r="BM32" s="71">
        <f t="shared" si="146"/>
        <v>39565.258925262482</v>
      </c>
      <c r="BN32" s="71">
        <f t="shared" si="146"/>
        <v>41133.423333438572</v>
      </c>
      <c r="BO32" s="71">
        <f t="shared" si="146"/>
        <v>42766.122694404701</v>
      </c>
      <c r="BP32" s="71">
        <f t="shared" si="146"/>
        <v>44466.114473158443</v>
      </c>
      <c r="BQ32" s="71">
        <f t="shared" si="146"/>
        <v>46236.278783569549</v>
      </c>
      <c r="BR32" s="71">
        <f t="shared" si="146"/>
        <v>48079.624084256771</v>
      </c>
      <c r="BS32" s="71">
        <f t="shared" si="146"/>
        <v>49999.293151069956</v>
      </c>
      <c r="BT32" s="71">
        <f t="shared" si="146"/>
        <v>51998.569340207112</v>
      </c>
      <c r="BU32" s="71">
        <f t="shared" si="146"/>
        <v>54080.883156736745</v>
      </c>
      <c r="BV32" s="71">
        <f t="shared" si="146"/>
        <v>56249.819144076093</v>
      </c>
      <c r="BW32" s="71">
        <f t="shared" si="146"/>
        <v>58509.123110799359</v>
      </c>
      <c r="BX32" s="71">
        <f t="shared" si="146"/>
        <v>60862.709712018455</v>
      </c>
      <c r="BY32" s="71">
        <f t="shared" si="146"/>
        <v>63314.670403494718</v>
      </c>
      <c r="BZ32" s="71">
        <f t="shared" si="146"/>
        <v>65869.281787605825</v>
      </c>
      <c r="CA32" s="71">
        <f t="shared" si="146"/>
        <v>68531.014371312383</v>
      </c>
      <c r="CB32" s="71">
        <f t="shared" si="146"/>
        <v>71304.541757342682</v>
      </c>
      <c r="CC32" s="71">
        <f t="shared" si="146"/>
        <v>74194.750290950018</v>
      </c>
      <c r="CD32" s="71">
        <f t="shared" si="146"/>
        <v>77206.749185792942</v>
      </c>
      <c r="CE32" s="71">
        <f t="shared" si="146"/>
        <v>80345.881153753027</v>
      </c>
      <c r="CF32" s="71">
        <f t="shared" si="146"/>
        <v>83617.733564836715</v>
      </c>
      <c r="CG32" s="71">
        <f t="shared" si="146"/>
        <v>87028.150164716513</v>
      </c>
      <c r="CH32" s="71">
        <f t="shared" si="146"/>
        <v>90583.243378949192</v>
      </c>
      <c r="CJ32" s="71">
        <f t="shared" si="146"/>
        <v>3267.1000000000004</v>
      </c>
      <c r="CK32" s="71">
        <f t="shared" si="146"/>
        <v>4393.3860000000022</v>
      </c>
      <c r="CL32" s="71">
        <f t="shared" si="146"/>
        <v>5565.7237600000026</v>
      </c>
      <c r="CM32" s="71">
        <f t="shared" si="146"/>
        <v>6786.0607860000027</v>
      </c>
      <c r="CN32" s="71">
        <f t="shared" si="146"/>
        <v>8056.4300611960034</v>
      </c>
      <c r="CO32" s="71">
        <f t="shared" si="146"/>
        <v>9378.9539550975642</v>
      </c>
      <c r="CP32" s="71">
        <f t="shared" si="146"/>
        <v>10755.848319433189</v>
      </c>
      <c r="CQ32" s="71">
        <f t="shared" si="146"/>
        <v>12189.426780170266</v>
      </c>
      <c r="CR32" s="71">
        <f t="shared" si="146"/>
        <v>13682.105235461542</v>
      </c>
      <c r="CS32" s="71">
        <f t="shared" si="146"/>
        <v>15236.406569841618</v>
      </c>
      <c r="CT32" s="71">
        <f t="shared" si="146"/>
        <v>16854.965595535799</v>
      </c>
      <c r="CU32" s="71">
        <f t="shared" si="146"/>
        <v>18540.534232312155</v>
      </c>
      <c r="CV32" s="71">
        <f t="shared" si="146"/>
        <v>20295.986937906342</v>
      </c>
      <c r="CW32" s="71">
        <f t="shared" si="146"/>
        <v>22124.326401680308</v>
      </c>
      <c r="CX32" s="71">
        <f t="shared" si="146"/>
        <v>24028.689514841964</v>
      </c>
      <c r="CY32" s="71">
        <f t="shared" si="146"/>
        <v>26012.353631254555</v>
      </c>
      <c r="CZ32" s="71">
        <f t="shared" si="146"/>
        <v>28078.743133605138</v>
      </c>
      <c r="DA32" s="71">
        <f t="shared" si="146"/>
        <v>30231.436320481844</v>
      </c>
      <c r="DB32" s="71">
        <f t="shared" si="146"/>
        <v>32474.172630733225</v>
      </c>
      <c r="DC32" s="71">
        <f t="shared" si="146"/>
        <v>34810.860222351024</v>
      </c>
      <c r="DD32" s="71">
        <f t="shared" si="146"/>
        <v>37245.583924033926</v>
      </c>
      <c r="DE32" s="71">
        <f t="shared" si="146"/>
        <v>39782.613578555822</v>
      </c>
      <c r="DF32" s="71">
        <f t="shared" si="146"/>
        <v>42426.412798081365</v>
      </c>
      <c r="DG32" s="71">
        <f t="shared" si="146"/>
        <v>45181.648152647045</v>
      </c>
      <c r="DH32" s="71">
        <f t="shared" si="146"/>
        <v>48053.198814160474</v>
      </c>
      <c r="DI32" s="71">
        <f t="shared" si="146"/>
        <v>51046.166679467635</v>
      </c>
      <c r="DJ32" s="71">
        <f t="shared" si="146"/>
        <v>54165.886997301175</v>
      </c>
      <c r="DK32" s="71">
        <f t="shared" si="146"/>
        <v>57417.939525255839</v>
      </c>
      <c r="DL32" s="71">
        <f t="shared" si="146"/>
        <v>60808.160244344013</v>
      </c>
      <c r="DM32" s="71">
        <f t="shared" si="146"/>
        <v>64342.653660169257</v>
      </c>
      <c r="DO32" s="71">
        <f t="shared" ref="DO32:ER32" si="147">SUM(DO19:DO30)</f>
        <v>2999075.2</v>
      </c>
      <c r="DP32" s="71">
        <f t="shared" si="147"/>
        <v>3922255.9460000014</v>
      </c>
      <c r="DQ32" s="71">
        <f t="shared" si="147"/>
        <v>4881517.0541800018</v>
      </c>
      <c r="DR32" s="71">
        <f t="shared" si="147"/>
        <v>5878299.9418814024</v>
      </c>
      <c r="DS32" s="71">
        <f t="shared" si="147"/>
        <v>6914105.0051573664</v>
      </c>
      <c r="DT32" s="71">
        <f t="shared" si="147"/>
        <v>7990494.0994530246</v>
      </c>
      <c r="DU32" s="71">
        <f t="shared" si="147"/>
        <v>9109093.1280587129</v>
      </c>
      <c r="DV32" s="71">
        <f t="shared" si="147"/>
        <v>10271594.743197232</v>
      </c>
      <c r="DW32" s="71">
        <f t="shared" si="147"/>
        <v>11479761.164834823</v>
      </c>
      <c r="DX32" s="71">
        <f t="shared" si="147"/>
        <v>12735427.122545198</v>
      </c>
      <c r="DY32" s="71">
        <f t="shared" si="147"/>
        <v>14040502.926007662</v>
      </c>
      <c r="DZ32" s="71">
        <f t="shared" si="147"/>
        <v>15396977.669984281</v>
      </c>
      <c r="EA32" s="71">
        <f t="shared" si="147"/>
        <v>16806922.579898167</v>
      </c>
      <c r="EB32" s="71">
        <f t="shared" si="147"/>
        <v>18272494.5044256</v>
      </c>
      <c r="EC32" s="71">
        <f t="shared" si="147"/>
        <v>19795939.561819918</v>
      </c>
      <c r="ED32" s="71">
        <f t="shared" si="147"/>
        <v>21379596.947005484</v>
      </c>
      <c r="EE32" s="71">
        <f t="shared" si="147"/>
        <v>23025902.906816259</v>
      </c>
      <c r="EF32" s="71">
        <f t="shared" si="147"/>
        <v>24737394.891106591</v>
      </c>
      <c r="EG32" s="71">
        <f t="shared" si="147"/>
        <v>26516715.887832552</v>
      </c>
      <c r="EH32" s="71">
        <f t="shared" si="147"/>
        <v>28366618.950591423</v>
      </c>
      <c r="EI32" s="71">
        <f t="shared" si="147"/>
        <v>30289971.927515842</v>
      </c>
      <c r="EJ32" s="71">
        <f t="shared" si="147"/>
        <v>32289762.400848288</v>
      </c>
      <c r="EK32" s="71">
        <f t="shared" si="147"/>
        <v>34369102.846972883</v>
      </c>
      <c r="EL32" s="71">
        <f t="shared" si="147"/>
        <v>36531236.027155064</v>
      </c>
      <c r="EM32" s="71">
        <f t="shared" si="147"/>
        <v>38779540.619737491</v>
      </c>
      <c r="EN32" s="71">
        <f t="shared" si="147"/>
        <v>41117537.105063632</v>
      </c>
      <c r="EO32" s="71">
        <f t="shared" si="147"/>
        <v>43548893.914949879</v>
      </c>
      <c r="EP32" s="71">
        <f t="shared" si="147"/>
        <v>46077433.859104551</v>
      </c>
      <c r="EQ32" s="71">
        <f t="shared" si="147"/>
        <v>48707140.841499269</v>
      </c>
      <c r="ER32" s="71">
        <f t="shared" si="147"/>
        <v>51442166.880335785</v>
      </c>
      <c r="ES32" s="74"/>
      <c r="ET32" s="71"/>
      <c r="EU32" s="71"/>
      <c r="EV32" s="71"/>
    </row>
    <row r="33" spans="1:152" ht="15" customHeight="1" x14ac:dyDescent="0.35">
      <c r="A33" s="72" t="s">
        <v>196</v>
      </c>
      <c r="B33" s="72"/>
      <c r="C33" s="72"/>
      <c r="D33" s="72"/>
      <c r="E33" s="72"/>
      <c r="F33" s="72"/>
      <c r="G33" s="72"/>
      <c r="H33" s="73">
        <f t="shared" ref="H33:BD33" si="148">H31+H32</f>
        <v>0</v>
      </c>
      <c r="I33" s="73">
        <f t="shared" si="148"/>
        <v>0</v>
      </c>
      <c r="J33" s="73">
        <f t="shared" si="148"/>
        <v>0</v>
      </c>
      <c r="K33" s="73">
        <f t="shared" si="148"/>
        <v>15872</v>
      </c>
      <c r="L33" s="73">
        <f t="shared" si="148"/>
        <v>17471</v>
      </c>
      <c r="M33" s="73">
        <f t="shared" si="148"/>
        <v>17201</v>
      </c>
      <c r="N33" s="73">
        <f t="shared" si="148"/>
        <v>16656</v>
      </c>
      <c r="O33" s="285"/>
      <c r="P33" s="73">
        <f t="shared" si="148"/>
        <v>15673</v>
      </c>
      <c r="Q33" s="73">
        <f t="shared" si="148"/>
        <v>17276</v>
      </c>
      <c r="R33" s="73">
        <f t="shared" si="148"/>
        <v>18845</v>
      </c>
      <c r="S33" s="73">
        <f t="shared" si="148"/>
        <v>27940</v>
      </c>
      <c r="T33" s="73">
        <f t="shared" si="148"/>
        <v>28250</v>
      </c>
      <c r="U33" s="73">
        <f t="shared" ref="U33:AX33" si="149">U31+U32</f>
        <v>28255.8</v>
      </c>
      <c r="V33" s="73">
        <f t="shared" si="149"/>
        <v>28292.315999999999</v>
      </c>
      <c r="W33" s="73">
        <f t="shared" si="149"/>
        <v>28329.562319999997</v>
      </c>
      <c r="X33" s="73">
        <f t="shared" si="149"/>
        <v>28367.553566399998</v>
      </c>
      <c r="Y33" s="73">
        <f t="shared" si="149"/>
        <v>28406.304637727997</v>
      </c>
      <c r="Z33" s="73">
        <f t="shared" si="149"/>
        <v>28445.830730482558</v>
      </c>
      <c r="AA33" s="73">
        <f t="shared" si="149"/>
        <v>28486.147345092213</v>
      </c>
      <c r="AB33" s="73">
        <f t="shared" si="149"/>
        <v>28527.270291994057</v>
      </c>
      <c r="AC33" s="73">
        <f t="shared" si="149"/>
        <v>28569.215697833937</v>
      </c>
      <c r="AD33" s="73">
        <f t="shared" si="149"/>
        <v>28612.000011790617</v>
      </c>
      <c r="AE33" s="73">
        <f t="shared" si="149"/>
        <v>28655.640012026426</v>
      </c>
      <c r="AF33" s="73">
        <f t="shared" si="149"/>
        <v>28700.152812266959</v>
      </c>
      <c r="AG33" s="73">
        <f t="shared" si="149"/>
        <v>28745.555868512296</v>
      </c>
      <c r="AH33" s="73">
        <f t="shared" si="149"/>
        <v>28791.866985882541</v>
      </c>
      <c r="AI33" s="73">
        <f t="shared" si="149"/>
        <v>28839.104325600194</v>
      </c>
      <c r="AJ33" s="73">
        <f t="shared" si="149"/>
        <v>28887.286412112197</v>
      </c>
      <c r="AK33" s="73">
        <f t="shared" si="149"/>
        <v>28936.432140354442</v>
      </c>
      <c r="AL33" s="73">
        <f t="shared" si="149"/>
        <v>28986.560783161527</v>
      </c>
      <c r="AM33" s="73">
        <f t="shared" si="149"/>
        <v>29037.691998824761</v>
      </c>
      <c r="AN33" s="73">
        <f t="shared" si="149"/>
        <v>29089.845838801255</v>
      </c>
      <c r="AO33" s="73">
        <f t="shared" si="149"/>
        <v>29143.04275557728</v>
      </c>
      <c r="AP33" s="73">
        <f t="shared" si="149"/>
        <v>29197.303610688825</v>
      </c>
      <c r="AQ33" s="73">
        <f t="shared" si="149"/>
        <v>29252.649682902604</v>
      </c>
      <c r="AR33" s="73">
        <f t="shared" si="149"/>
        <v>29309.102676560651</v>
      </c>
      <c r="AS33" s="73">
        <f t="shared" si="149"/>
        <v>29366.684730091867</v>
      </c>
      <c r="AT33" s="73">
        <f t="shared" si="149"/>
        <v>29425.418424693707</v>
      </c>
      <c r="AU33" s="73">
        <f t="shared" si="149"/>
        <v>29485.326793187578</v>
      </c>
      <c r="AV33" s="73">
        <f t="shared" si="149"/>
        <v>29546.433329051331</v>
      </c>
      <c r="AW33" s="73">
        <f t="shared" si="149"/>
        <v>29608.761995632358</v>
      </c>
      <c r="AX33" s="73">
        <f t="shared" si="149"/>
        <v>29672.337235545005</v>
      </c>
      <c r="AZ33" s="73">
        <f t="shared" si="148"/>
        <v>15673</v>
      </c>
      <c r="BA33" s="73">
        <f t="shared" si="148"/>
        <v>17276</v>
      </c>
      <c r="BB33" s="73">
        <f t="shared" si="148"/>
        <v>19752</v>
      </c>
      <c r="BC33" s="73">
        <f t="shared" si="148"/>
        <v>29907</v>
      </c>
      <c r="BD33" s="73">
        <f t="shared" si="148"/>
        <v>30685</v>
      </c>
      <c r="BE33" s="73">
        <f t="shared" ref="BE33" si="150">BE31+BE32</f>
        <v>31915.200000000001</v>
      </c>
      <c r="BF33" s="73">
        <f t="shared" ref="BF33" si="151">BF31+BF32</f>
        <v>33196.643000000004</v>
      </c>
      <c r="BG33" s="73">
        <f t="shared" ref="BG33" si="152">BG31+BG32</f>
        <v>34531.540650000003</v>
      </c>
      <c r="BH33" s="73">
        <f t="shared" ref="BH33" si="153">BH31+BH32</f>
        <v>35922.203501299999</v>
      </c>
      <c r="BI33" s="73">
        <f t="shared" ref="BI33" si="154">BI31+BI32</f>
        <v>37371.045592677008</v>
      </c>
      <c r="BJ33" s="73">
        <f t="shared" ref="BJ33" si="155">BJ31+BJ32</f>
        <v>38880.589257176929</v>
      </c>
      <c r="BK33" s="73">
        <f t="shared" ref="BK33" si="156">BK31+BK32</f>
        <v>40453.470160521341</v>
      </c>
      <c r="BL33" s="73">
        <f t="shared" ref="BL33" si="157">BL31+BL32</f>
        <v>42092.442582695716</v>
      </c>
      <c r="BM33" s="73">
        <f t="shared" ref="BM33" si="158">BM31+BM32</f>
        <v>43800.384954883833</v>
      </c>
      <c r="BN33" s="73">
        <f t="shared" ref="BN33" si="159">BN31+BN32</f>
        <v>45580.305664540989</v>
      </c>
      <c r="BO33" s="73">
        <f t="shared" ref="BO33" si="160">BO31+BO32</f>
        <v>47435.349142062238</v>
      </c>
      <c r="BP33" s="73">
        <f t="shared" ref="BP33" si="161">BP31+BP32</f>
        <v>49368.802243198857</v>
      </c>
      <c r="BQ33" s="73">
        <f t="shared" ref="BQ33" si="162">BQ31+BQ32</f>
        <v>51384.100942111989</v>
      </c>
      <c r="BR33" s="73">
        <f t="shared" ref="BR33" si="163">BR31+BR32</f>
        <v>53484.837350726331</v>
      </c>
      <c r="BS33" s="73">
        <f t="shared" ref="BS33" si="164">BS31+BS32</f>
        <v>55674.767080862992</v>
      </c>
      <c r="BT33" s="73">
        <f t="shared" ref="BT33" si="165">BT31+BT32</f>
        <v>57957.816966489801</v>
      </c>
      <c r="BU33" s="73">
        <f t="shared" ref="BU33" si="166">BU31+BU32</f>
        <v>60338.093164333564</v>
      </c>
      <c r="BV33" s="73">
        <f t="shared" ref="BV33" si="167">BV31+BV32</f>
        <v>62819.889652052756</v>
      </c>
      <c r="BW33" s="73">
        <f t="shared" ref="BW33" si="168">BW31+BW32</f>
        <v>65407.697144174861</v>
      </c>
      <c r="BX33" s="73">
        <f t="shared" ref="BX33" si="169">BX31+BX32</f>
        <v>68106.212447062731</v>
      </c>
      <c r="BY33" s="73">
        <f t="shared" ref="BY33" si="170">BY31+BY32</f>
        <v>70920.34827529121</v>
      </c>
      <c r="BZ33" s="73">
        <f t="shared" ref="BZ33" si="171">BZ31+BZ32</f>
        <v>73855.243552992135</v>
      </c>
      <c r="CA33" s="73">
        <f t="shared" ref="CA33" si="172">CA31+CA32</f>
        <v>76916.274224968016</v>
      </c>
      <c r="CB33" s="73">
        <f t="shared" ref="CB33" si="173">CB31+CB32</f>
        <v>80109.064603681094</v>
      </c>
      <c r="CC33" s="73">
        <f t="shared" ref="CC33" si="174">CC31+CC32</f>
        <v>83439.499279605341</v>
      </c>
      <c r="CD33" s="73">
        <f t="shared" ref="CD33" si="175">CD31+CD32</f>
        <v>86913.735623881046</v>
      </c>
      <c r="CE33" s="73">
        <f t="shared" ref="CE33" si="176">CE31+CE32</f>
        <v>90538.216913745535</v>
      </c>
      <c r="CF33" s="73">
        <f t="shared" ref="CF33" si="177">CF31+CF32</f>
        <v>94319.686112828844</v>
      </c>
      <c r="CG33" s="73">
        <f t="shared" ref="CG33" si="178">CG31+CG32</f>
        <v>98265.200340108247</v>
      </c>
      <c r="CH33" s="73">
        <f t="shared" ref="CH33" si="179">CH31+CH32</f>
        <v>102382.14606311051</v>
      </c>
      <c r="CJ33" s="73">
        <f t="shared" ref="CJ33" si="180">CJ31+CJ32</f>
        <v>3659.4000000000005</v>
      </c>
      <c r="CK33" s="73">
        <f t="shared" ref="CK33" si="181">CK31+CK32</f>
        <v>4904.327000000002</v>
      </c>
      <c r="CL33" s="73">
        <f t="shared" ref="CL33" si="182">CL31+CL32</f>
        <v>6201.9783300000026</v>
      </c>
      <c r="CM33" s="73">
        <f t="shared" ref="CM33" si="183">CM31+CM32</f>
        <v>7554.6499349000032</v>
      </c>
      <c r="CN33" s="73">
        <f t="shared" ref="CN33" si="184">CN31+CN32</f>
        <v>8964.7409549490039</v>
      </c>
      <c r="CO33" s="73">
        <f t="shared" ref="CO33" si="185">CO31+CO32</f>
        <v>10434.758526694375</v>
      </c>
      <c r="CP33" s="73">
        <f t="shared" ref="CP33" si="186">CP31+CP32</f>
        <v>11967.322815429125</v>
      </c>
      <c r="CQ33" s="73">
        <f t="shared" ref="CQ33" si="187">CQ31+CQ32</f>
        <v>13565.172290701666</v>
      </c>
      <c r="CR33" s="73">
        <f t="shared" ref="CR33" si="188">CR31+CR32</f>
        <v>15231.169257049896</v>
      </c>
      <c r="CS33" s="73">
        <f t="shared" ref="CS33" si="189">CS31+CS32</f>
        <v>16968.30565275038</v>
      </c>
      <c r="CT33" s="73">
        <f t="shared" ref="CT33" si="190">CT31+CT32</f>
        <v>18779.709130035808</v>
      </c>
      <c r="CU33" s="73">
        <f t="shared" ref="CU33" si="191">CU31+CU32</f>
        <v>20668.649430931891</v>
      </c>
      <c r="CV33" s="73">
        <f t="shared" ref="CV33" si="192">CV31+CV32</f>
        <v>22638.545073599686</v>
      </c>
      <c r="CW33" s="73">
        <f t="shared" ref="CW33" si="193">CW31+CW32</f>
        <v>24692.97036484379</v>
      </c>
      <c r="CX33" s="73">
        <f t="shared" ref="CX33" si="194">CX31+CX32</f>
        <v>26835.662755262805</v>
      </c>
      <c r="CY33" s="73">
        <f t="shared" ref="CY33" si="195">CY31+CY32</f>
        <v>29070.530554377601</v>
      </c>
      <c r="CZ33" s="73">
        <f t="shared" ref="CZ33" si="196">CZ31+CZ32</f>
        <v>31401.661023979126</v>
      </c>
      <c r="DA33" s="73">
        <f t="shared" ref="DA33" si="197">DA31+DA32</f>
        <v>33833.328868891214</v>
      </c>
      <c r="DB33" s="73">
        <f t="shared" ref="DB33" si="198">DB31+DB32</f>
        <v>36370.005145350086</v>
      </c>
      <c r="DC33" s="73">
        <f t="shared" ref="DC33" si="199">DC31+DC32</f>
        <v>39016.366608261487</v>
      </c>
      <c r="DD33" s="73">
        <f t="shared" ref="DD33" si="200">DD31+DD32</f>
        <v>41777.305519713926</v>
      </c>
      <c r="DE33" s="73">
        <f t="shared" ref="DE33" si="201">DE31+DE32</f>
        <v>44657.939942303317</v>
      </c>
      <c r="DF33" s="73">
        <f t="shared" ref="DF33" si="202">DF31+DF32</f>
        <v>47663.624542065401</v>
      </c>
      <c r="DG33" s="73">
        <f t="shared" ref="DG33" si="203">DG31+DG32</f>
        <v>50799.961927120428</v>
      </c>
      <c r="DH33" s="73">
        <f t="shared" ref="DH33" si="204">DH31+DH32</f>
        <v>54072.814549513481</v>
      </c>
      <c r="DI33" s="73">
        <f t="shared" ref="DI33" si="205">DI31+DI32</f>
        <v>57488.317199187368</v>
      </c>
      <c r="DJ33" s="73">
        <f t="shared" ref="DJ33" si="206">DJ31+DJ32</f>
        <v>61052.890120557939</v>
      </c>
      <c r="DK33" s="73">
        <f t="shared" ref="DK33" si="207">DK31+DK32</f>
        <v>64773.252783777512</v>
      </c>
      <c r="DL33" s="73">
        <f t="shared" ref="DL33" si="208">DL31+DL32</f>
        <v>68656.438344475886</v>
      </c>
      <c r="DM33" s="73">
        <f t="shared" ref="DM33" si="209">DM31+DM32</f>
        <v>72709.808827565517</v>
      </c>
      <c r="DO33" s="73">
        <f t="shared" ref="DO33" si="210">DO31+DO32</f>
        <v>3283394</v>
      </c>
      <c r="DP33" s="73">
        <f t="shared" ref="DP33" si="211">DP31+DP32</f>
        <v>4291740.0720000016</v>
      </c>
      <c r="DQ33" s="73">
        <f t="shared" ref="DQ33" si="212">DQ31+DQ32</f>
        <v>5341111.3202000018</v>
      </c>
      <c r="DR33" s="73">
        <f t="shared" ref="DR33" si="213">DR31+DR32</f>
        <v>6433210.1335968031</v>
      </c>
      <c r="DS33" s="73">
        <f t="shared" ref="DS33" si="214">DS31+DS32</f>
        <v>7569811.2031008247</v>
      </c>
      <c r="DT33" s="73">
        <f t="shared" ref="DT33" si="215">DT31+DT32</f>
        <v>8752764.6738687903</v>
      </c>
      <c r="DU33" s="73">
        <f t="shared" ref="DU33" si="216">DU31+DU32</f>
        <v>9983999.4391019028</v>
      </c>
      <c r="DV33" s="73">
        <f t="shared" ref="DV33" si="217">DV31+DV32</f>
        <v>11265526.581857352</v>
      </c>
      <c r="DW33" s="73">
        <f t="shared" ref="DW33" si="218">DW31+DW32</f>
        <v>12599442.971734013</v>
      </c>
      <c r="DX33" s="73">
        <f t="shared" ref="DX33" si="219">DX31+DX32</f>
        <v>13987935.023621533</v>
      </c>
      <c r="DY33" s="73">
        <f t="shared" ref="DY33" si="220">DY31+DY32</f>
        <v>15433282.626046643</v>
      </c>
      <c r="DZ33" s="73">
        <f t="shared" ref="DZ33" si="221">DZ31+DZ32</f>
        <v>16937863.247012217</v>
      </c>
      <c r="EA33" s="73">
        <f t="shared" ref="EA33" si="222">EA31+EA32</f>
        <v>18504156.225604247</v>
      </c>
      <c r="EB33" s="73">
        <f t="shared" ref="EB33" si="223">EB31+EB32</f>
        <v>20134747.258040264</v>
      </c>
      <c r="EC33" s="73">
        <f t="shared" ref="EC33" si="224">EC31+EC32</f>
        <v>21832333.087251063</v>
      </c>
      <c r="ED33" s="73">
        <f t="shared" ref="ED33" si="225">ED31+ED32</f>
        <v>23599726.405526649</v>
      </c>
      <c r="EE33" s="73">
        <f t="shared" ref="EE33" si="226">EE31+EE32</f>
        <v>25439860.980218314</v>
      </c>
      <c r="EF33" s="73">
        <f t="shared" ref="EF33" si="227">EF31+EF32</f>
        <v>27355797.012972675</v>
      </c>
      <c r="EG33" s="73">
        <f t="shared" ref="EG33" si="228">EG31+EG32</f>
        <v>29350726.743481748</v>
      </c>
      <c r="EH33" s="73">
        <f t="shared" ref="EH33" si="229">EH31+EH32</f>
        <v>31427980.309266679</v>
      </c>
      <c r="EI33" s="73">
        <f t="shared" ref="EI33" si="230">EI31+EI32</f>
        <v>33591031.87357334</v>
      </c>
      <c r="EJ33" s="73">
        <f t="shared" ref="EJ33" si="231">EJ31+EJ32</f>
        <v>35843506.034046099</v>
      </c>
      <c r="EK33" s="73">
        <f t="shared" ref="EK33" si="232">EK31+EK32</f>
        <v>38189184.525464781</v>
      </c>
      <c r="EL33" s="73">
        <f t="shared" ref="EL33" si="233">EL31+EL32</f>
        <v>40632013.230478436</v>
      </c>
      <c r="EM33" s="73">
        <f t="shared" ref="EM33" si="234">EM31+EM32</f>
        <v>43176109.512952045</v>
      </c>
      <c r="EN33" s="73">
        <f t="shared" ref="EN33" si="235">EN31+EN32</f>
        <v>45825769.889258429</v>
      </c>
      <c r="EO33" s="73">
        <f t="shared" ref="EO33" si="236">EO31+EO32</f>
        <v>48585478.053600319</v>
      </c>
      <c r="EP33" s="73">
        <f t="shared" ref="EP33" si="237">EP31+EP32</f>
        <v>51459913.274238333</v>
      </c>
      <c r="EQ33" s="73">
        <f t="shared" ref="EQ33" si="238">EQ31+EQ32</f>
        <v>54453959.178331584</v>
      </c>
      <c r="ER33" s="73">
        <f t="shared" ref="ER33" si="239">ER31+ER32</f>
        <v>57572712.94397039</v>
      </c>
      <c r="ES33" s="285"/>
      <c r="ET33" s="73"/>
      <c r="EU33" s="73"/>
      <c r="EV33" s="73"/>
    </row>
    <row r="35" spans="1:152" x14ac:dyDescent="0.35">
      <c r="A35" s="270" t="s">
        <v>562</v>
      </c>
      <c r="B35" s="271"/>
      <c r="C35" s="271"/>
      <c r="D35" s="271"/>
      <c r="E35" s="271" t="s">
        <v>147</v>
      </c>
      <c r="F35" s="271"/>
      <c r="G35" s="271"/>
      <c r="H35" s="271"/>
      <c r="I35" s="271"/>
      <c r="J35" s="271"/>
      <c r="K35" s="271"/>
      <c r="L35" s="271"/>
      <c r="M35" s="271"/>
      <c r="N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c r="AW35" s="271"/>
      <c r="AX35" s="271"/>
      <c r="AZ35" s="271"/>
      <c r="BA35" s="271"/>
      <c r="BB35" s="271"/>
      <c r="BC35" s="271"/>
      <c r="BD35" s="271"/>
      <c r="BE35" s="271"/>
      <c r="BF35" s="271"/>
      <c r="BG35" s="271"/>
      <c r="BH35" s="271"/>
      <c r="BI35" s="271"/>
      <c r="BJ35" s="271"/>
      <c r="BK35" s="271"/>
      <c r="BL35" s="271"/>
      <c r="BM35" s="271"/>
      <c r="BN35" s="271"/>
      <c r="BO35" s="271"/>
      <c r="BP35" s="271"/>
      <c r="BQ35" s="271"/>
      <c r="BR35" s="271"/>
      <c r="BS35" s="271"/>
      <c r="BT35" s="271"/>
      <c r="BU35" s="271"/>
      <c r="BV35" s="271"/>
      <c r="BW35" s="271"/>
      <c r="BX35" s="271"/>
      <c r="BY35" s="271"/>
      <c r="BZ35" s="271"/>
      <c r="CA35" s="271"/>
      <c r="CB35" s="271"/>
      <c r="CC35" s="271"/>
      <c r="CD35" s="271"/>
      <c r="CE35" s="271"/>
      <c r="CF35" s="271"/>
      <c r="CG35" s="271"/>
      <c r="CH35" s="271"/>
      <c r="CJ35" s="271"/>
      <c r="CK35" s="271"/>
      <c r="CL35" s="271"/>
      <c r="CM35" s="271"/>
      <c r="CN35" s="271"/>
      <c r="CO35" s="271"/>
      <c r="CP35" s="271"/>
      <c r="CQ35" s="271"/>
      <c r="CR35" s="271"/>
      <c r="CS35" s="271"/>
      <c r="CT35" s="271"/>
      <c r="CU35" s="271"/>
      <c r="CV35" s="271"/>
      <c r="CW35" s="271"/>
      <c r="CX35" s="271"/>
      <c r="CY35" s="271"/>
      <c r="CZ35" s="271"/>
      <c r="DA35" s="271"/>
      <c r="DB35" s="271"/>
      <c r="DC35" s="271"/>
      <c r="DD35" s="271"/>
      <c r="DE35" s="271"/>
      <c r="DF35" s="271"/>
      <c r="DG35" s="271"/>
      <c r="DH35" s="271"/>
      <c r="DI35" s="271"/>
      <c r="DJ35" s="271"/>
      <c r="DK35" s="271"/>
      <c r="DL35" s="271"/>
      <c r="DM35" s="271"/>
      <c r="DO35" s="272">
        <f>SUMIF($E$4:$E$30,$E$35,DO$4:DO$30)</f>
        <v>3207627.8</v>
      </c>
      <c r="DP35" s="272">
        <f t="shared" ref="DP35:ER35" si="240">SUMIF($E$4:$E$30,$E$35,DP$4:DP$30)</f>
        <v>4206515.6460000016</v>
      </c>
      <c r="DQ35" s="272">
        <f t="shared" si="240"/>
        <v>5245868.4966200013</v>
      </c>
      <c r="DR35" s="272">
        <f t="shared" si="240"/>
        <v>6327359.1655734023</v>
      </c>
      <c r="DS35" s="272">
        <f t="shared" si="240"/>
        <v>7452731.267137602</v>
      </c>
      <c r="DT35" s="272">
        <f t="shared" si="240"/>
        <v>8623802.2932638843</v>
      </c>
      <c r="DU35" s="272">
        <f t="shared" si="240"/>
        <v>9842466.8283977862</v>
      </c>
      <c r="DV35" s="272">
        <f t="shared" si="240"/>
        <v>11110699.908370433</v>
      </c>
      <c r="DW35" s="272">
        <f t="shared" si="240"/>
        <v>12430560.530025</v>
      </c>
      <c r="DX35" s="272">
        <f t="shared" si="240"/>
        <v>13804195.318560991</v>
      </c>
      <c r="DY35" s="272">
        <f t="shared" si="240"/>
        <v>15233842.359913323</v>
      </c>
      <c r="DZ35" s="272">
        <f t="shared" si="240"/>
        <v>16721835.205834143</v>
      </c>
      <c r="EA35" s="272">
        <f t="shared" si="240"/>
        <v>18270607.059713449</v>
      </c>
      <c r="EB35" s="272">
        <f t="shared" si="240"/>
        <v>19882695.151561201</v>
      </c>
      <c r="EC35" s="272">
        <f t="shared" si="240"/>
        <v>21560745.310979221</v>
      </c>
      <c r="ED35" s="272">
        <f t="shared" si="240"/>
        <v>23307516.747377243</v>
      </c>
      <c r="EE35" s="272">
        <f t="shared" si="240"/>
        <v>25125887.047134582</v>
      </c>
      <c r="EF35" s="272">
        <f t="shared" si="240"/>
        <v>27018857.397878293</v>
      </c>
      <c r="EG35" s="272">
        <f t="shared" si="240"/>
        <v>28989558.050541721</v>
      </c>
      <c r="EH35" s="272">
        <f t="shared" si="240"/>
        <v>31041254.030385058</v>
      </c>
      <c r="EI35" s="272">
        <f t="shared" si="240"/>
        <v>33177351.108702987</v>
      </c>
      <c r="EJ35" s="272">
        <f t="shared" si="240"/>
        <v>35401402.047515407</v>
      </c>
      <c r="EK35" s="272">
        <f t="shared" si="240"/>
        <v>37717113.130137034</v>
      </c>
      <c r="EL35" s="272">
        <f t="shared" si="240"/>
        <v>40128350.991151132</v>
      </c>
      <c r="EM35" s="272">
        <f t="shared" si="240"/>
        <v>42639149.759974651</v>
      </c>
      <c r="EN35" s="272">
        <f t="shared" si="240"/>
        <v>45253718.532896653</v>
      </c>
      <c r="EO35" s="272">
        <f t="shared" si="240"/>
        <v>47976449.189202428</v>
      </c>
      <c r="EP35" s="272">
        <f t="shared" si="240"/>
        <v>50811924.567762487</v>
      </c>
      <c r="EQ35" s="272">
        <f t="shared" si="240"/>
        <v>53764927.021272063</v>
      </c>
      <c r="ER35" s="272">
        <f t="shared" si="240"/>
        <v>56840447.366173632</v>
      </c>
    </row>
    <row r="37" spans="1:152" x14ac:dyDescent="0.35">
      <c r="A37" s="281" t="s">
        <v>602</v>
      </c>
      <c r="B37" s="280"/>
    </row>
    <row r="38" spans="1:152" x14ac:dyDescent="0.35">
      <c r="A38" s="142">
        <v>2030</v>
      </c>
      <c r="B38" s="282">
        <f>DO35</f>
        <v>3207627.8</v>
      </c>
      <c r="C38" s="261"/>
      <c r="D38" s="261"/>
      <c r="E38" s="261"/>
      <c r="F38" s="261"/>
      <c r="G38" s="261"/>
      <c r="H38" s="261"/>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261"/>
      <c r="AL38" s="261"/>
    </row>
    <row r="39" spans="1:152" x14ac:dyDescent="0.35">
      <c r="A39" s="101">
        <v>2031</v>
      </c>
      <c r="B39" s="273">
        <f>DP35</f>
        <v>4206515.6460000016</v>
      </c>
    </row>
    <row r="40" spans="1:152" x14ac:dyDescent="0.35">
      <c r="A40" s="101">
        <f t="shared" ref="A40:A45" si="241">A39+1</f>
        <v>2032</v>
      </c>
      <c r="B40" s="273">
        <f>DQ35</f>
        <v>5245868.4966200013</v>
      </c>
    </row>
    <row r="41" spans="1:152" x14ac:dyDescent="0.35">
      <c r="A41" s="101">
        <f t="shared" si="241"/>
        <v>2033</v>
      </c>
      <c r="B41" s="273">
        <f>DR35</f>
        <v>6327359.1655734023</v>
      </c>
    </row>
    <row r="42" spans="1:152" x14ac:dyDescent="0.35">
      <c r="A42" s="101">
        <f t="shared" si="241"/>
        <v>2034</v>
      </c>
      <c r="B42" s="273">
        <f>DS35</f>
        <v>7452731.267137602</v>
      </c>
    </row>
    <row r="43" spans="1:152" x14ac:dyDescent="0.35">
      <c r="A43" s="101">
        <f t="shared" si="241"/>
        <v>2035</v>
      </c>
      <c r="B43" s="273">
        <f>DT35</f>
        <v>8623802.2932638843</v>
      </c>
    </row>
    <row r="44" spans="1:152" x14ac:dyDescent="0.35">
      <c r="A44" s="101">
        <f t="shared" si="241"/>
        <v>2036</v>
      </c>
      <c r="B44" s="273">
        <f>DU35</f>
        <v>9842466.8283977862</v>
      </c>
    </row>
    <row r="45" spans="1:152" x14ac:dyDescent="0.35">
      <c r="A45" s="101">
        <f t="shared" si="241"/>
        <v>2037</v>
      </c>
      <c r="B45" s="273">
        <f>DV35</f>
        <v>11110699.908370433</v>
      </c>
    </row>
    <row r="46" spans="1:152" x14ac:dyDescent="0.35">
      <c r="A46" s="101">
        <f t="shared" ref="A46:A67" si="242">A45+1</f>
        <v>2038</v>
      </c>
      <c r="B46" s="273">
        <f>DW35</f>
        <v>12430560.530025</v>
      </c>
    </row>
    <row r="47" spans="1:152" x14ac:dyDescent="0.35">
      <c r="A47" s="101">
        <f t="shared" si="242"/>
        <v>2039</v>
      </c>
      <c r="B47" s="273">
        <f>DX35</f>
        <v>13804195.318560991</v>
      </c>
    </row>
    <row r="48" spans="1:152" x14ac:dyDescent="0.35">
      <c r="A48" s="101">
        <f t="shared" si="242"/>
        <v>2040</v>
      </c>
      <c r="B48" s="273">
        <f>DY35</f>
        <v>15233842.359913323</v>
      </c>
    </row>
    <row r="49" spans="1:2" x14ac:dyDescent="0.35">
      <c r="A49" s="101">
        <f t="shared" si="242"/>
        <v>2041</v>
      </c>
      <c r="B49" s="273">
        <f>DZ35</f>
        <v>16721835.205834143</v>
      </c>
    </row>
    <row r="50" spans="1:2" x14ac:dyDescent="0.35">
      <c r="A50" s="101">
        <f t="shared" si="242"/>
        <v>2042</v>
      </c>
      <c r="B50" s="273">
        <f>EA35</f>
        <v>18270607.059713449</v>
      </c>
    </row>
    <row r="51" spans="1:2" x14ac:dyDescent="0.35">
      <c r="A51" s="101">
        <f t="shared" si="242"/>
        <v>2043</v>
      </c>
      <c r="B51" s="273">
        <f>EB35</f>
        <v>19882695.151561201</v>
      </c>
    </row>
    <row r="52" spans="1:2" x14ac:dyDescent="0.35">
      <c r="A52" s="101">
        <f t="shared" si="242"/>
        <v>2044</v>
      </c>
      <c r="B52" s="273">
        <f>EC35</f>
        <v>21560745.310979221</v>
      </c>
    </row>
    <row r="53" spans="1:2" x14ac:dyDescent="0.35">
      <c r="A53" s="101">
        <f t="shared" si="242"/>
        <v>2045</v>
      </c>
      <c r="B53" s="273">
        <f>ED35</f>
        <v>23307516.747377243</v>
      </c>
    </row>
    <row r="54" spans="1:2" x14ac:dyDescent="0.35">
      <c r="A54" s="101">
        <f t="shared" si="242"/>
        <v>2046</v>
      </c>
      <c r="B54" s="273">
        <f>EE35</f>
        <v>25125887.047134582</v>
      </c>
    </row>
    <row r="55" spans="1:2" x14ac:dyDescent="0.35">
      <c r="A55" s="101">
        <f t="shared" si="242"/>
        <v>2047</v>
      </c>
      <c r="B55" s="273">
        <f>EF35</f>
        <v>27018857.397878293</v>
      </c>
    </row>
    <row r="56" spans="1:2" x14ac:dyDescent="0.35">
      <c r="A56" s="101">
        <f t="shared" si="242"/>
        <v>2048</v>
      </c>
      <c r="B56" s="273">
        <f>EG35</f>
        <v>28989558.050541721</v>
      </c>
    </row>
    <row r="57" spans="1:2" x14ac:dyDescent="0.35">
      <c r="A57" s="101">
        <f t="shared" si="242"/>
        <v>2049</v>
      </c>
      <c r="B57" s="273">
        <f>EH35</f>
        <v>31041254.030385058</v>
      </c>
    </row>
    <row r="58" spans="1:2" x14ac:dyDescent="0.35">
      <c r="A58" s="101">
        <f t="shared" si="242"/>
        <v>2050</v>
      </c>
      <c r="B58" s="273">
        <f>EI35</f>
        <v>33177351.108702987</v>
      </c>
    </row>
    <row r="59" spans="1:2" x14ac:dyDescent="0.35">
      <c r="A59" s="101">
        <f t="shared" si="242"/>
        <v>2051</v>
      </c>
      <c r="B59" s="273">
        <f>EJ35</f>
        <v>35401402.047515407</v>
      </c>
    </row>
    <row r="60" spans="1:2" x14ac:dyDescent="0.35">
      <c r="A60" s="101">
        <f t="shared" si="242"/>
        <v>2052</v>
      </c>
      <c r="B60" s="273">
        <f>EK35</f>
        <v>37717113.130137034</v>
      </c>
    </row>
    <row r="61" spans="1:2" x14ac:dyDescent="0.35">
      <c r="A61" s="101">
        <f t="shared" si="242"/>
        <v>2053</v>
      </c>
      <c r="B61" s="273">
        <f>EL35</f>
        <v>40128350.991151132</v>
      </c>
    </row>
    <row r="62" spans="1:2" x14ac:dyDescent="0.35">
      <c r="A62" s="101">
        <f t="shared" si="242"/>
        <v>2054</v>
      </c>
      <c r="B62" s="273">
        <f>EM35</f>
        <v>42639149.759974651</v>
      </c>
    </row>
    <row r="63" spans="1:2" x14ac:dyDescent="0.35">
      <c r="A63" s="101">
        <f t="shared" si="242"/>
        <v>2055</v>
      </c>
      <c r="B63" s="273">
        <f>EN35</f>
        <v>45253718.532896653</v>
      </c>
    </row>
    <row r="64" spans="1:2" x14ac:dyDescent="0.35">
      <c r="A64" s="101">
        <f t="shared" si="242"/>
        <v>2056</v>
      </c>
      <c r="B64" s="273">
        <f>EO35</f>
        <v>47976449.189202428</v>
      </c>
    </row>
    <row r="65" spans="1:2" x14ac:dyDescent="0.35">
      <c r="A65" s="101">
        <f t="shared" si="242"/>
        <v>2057</v>
      </c>
      <c r="B65" s="273">
        <f>EP35</f>
        <v>50811924.567762487</v>
      </c>
    </row>
    <row r="66" spans="1:2" x14ac:dyDescent="0.35">
      <c r="A66" s="101">
        <f t="shared" si="242"/>
        <v>2058</v>
      </c>
      <c r="B66" s="273">
        <f>EQ35</f>
        <v>53764927.021272063</v>
      </c>
    </row>
    <row r="67" spans="1:2" x14ac:dyDescent="0.35">
      <c r="A67" s="274">
        <f t="shared" si="242"/>
        <v>2059</v>
      </c>
      <c r="B67" s="275">
        <f>ER35</f>
        <v>56840447.366173632</v>
      </c>
    </row>
    <row r="68" spans="1:2" x14ac:dyDescent="0.35">
      <c r="A68" s="276" t="s">
        <v>21</v>
      </c>
      <c r="B68" s="277">
        <f>SUM(B38:B67)</f>
        <v>753115459.33005583</v>
      </c>
    </row>
    <row r="69" spans="1:2" x14ac:dyDescent="0.35">
      <c r="A69" s="278" t="s">
        <v>563</v>
      </c>
      <c r="B69" s="279">
        <f>B68-SUM(DO35:ER35)</f>
        <v>0</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C57"/>
  <sheetViews>
    <sheetView showGridLines="0" workbookViewId="0"/>
  </sheetViews>
  <sheetFormatPr defaultColWidth="8.6328125" defaultRowHeight="14.5" x14ac:dyDescent="0.35"/>
  <cols>
    <col min="1" max="1" width="38" customWidth="1"/>
    <col min="2" max="2" width="16" customWidth="1"/>
    <col min="3" max="3" width="120.6328125" customWidth="1"/>
  </cols>
  <sheetData>
    <row r="1" spans="1:3" ht="15" customHeight="1" x14ac:dyDescent="0.35">
      <c r="A1" s="295" t="s">
        <v>197</v>
      </c>
      <c r="B1" s="296" t="s">
        <v>198</v>
      </c>
      <c r="C1" s="297" t="s">
        <v>199</v>
      </c>
    </row>
    <row r="2" spans="1:3" ht="15" customHeight="1" x14ac:dyDescent="0.35">
      <c r="A2" s="381" t="s">
        <v>200</v>
      </c>
      <c r="B2" s="382"/>
      <c r="C2" s="383"/>
    </row>
    <row r="3" spans="1:3" ht="15" customHeight="1" x14ac:dyDescent="0.35">
      <c r="A3" s="298" t="s">
        <v>201</v>
      </c>
      <c r="B3" s="64">
        <v>130</v>
      </c>
      <c r="C3" s="299"/>
    </row>
    <row r="4" spans="1:3" ht="15" customHeight="1" x14ac:dyDescent="0.35">
      <c r="A4" s="298" t="s">
        <v>202</v>
      </c>
      <c r="B4" s="64">
        <v>198</v>
      </c>
      <c r="C4" s="299"/>
    </row>
    <row r="5" spans="1:3" ht="15" customHeight="1" x14ac:dyDescent="0.35">
      <c r="A5" s="300" t="s">
        <v>203</v>
      </c>
      <c r="B5" s="74">
        <f>(B3+B4)/2</f>
        <v>164</v>
      </c>
      <c r="C5" s="299" t="s">
        <v>583</v>
      </c>
    </row>
    <row r="6" spans="1:3" x14ac:dyDescent="0.35">
      <c r="A6" s="101"/>
      <c r="C6" s="99"/>
    </row>
    <row r="7" spans="1:3" ht="15" customHeight="1" x14ac:dyDescent="0.35">
      <c r="A7" s="381" t="s">
        <v>204</v>
      </c>
      <c r="B7" s="382"/>
      <c r="C7" s="383"/>
    </row>
    <row r="8" spans="1:3" ht="15" customHeight="1" x14ac:dyDescent="0.35">
      <c r="A8" s="298" t="s">
        <v>205</v>
      </c>
      <c r="B8" s="64">
        <v>438</v>
      </c>
      <c r="C8" s="299"/>
    </row>
    <row r="9" spans="1:3" ht="15" customHeight="1" x14ac:dyDescent="0.35">
      <c r="A9" s="300" t="s">
        <v>206</v>
      </c>
      <c r="B9" s="74">
        <f>B8</f>
        <v>438</v>
      </c>
      <c r="C9" s="99"/>
    </row>
    <row r="10" spans="1:3" x14ac:dyDescent="0.35">
      <c r="A10" s="101"/>
      <c r="C10" s="99"/>
    </row>
    <row r="11" spans="1:3" ht="15" customHeight="1" x14ac:dyDescent="0.35">
      <c r="A11" s="381" t="s">
        <v>207</v>
      </c>
      <c r="B11" s="382"/>
      <c r="C11" s="383"/>
    </row>
    <row r="12" spans="1:3" ht="15" customHeight="1" x14ac:dyDescent="0.35">
      <c r="A12" s="298" t="s">
        <v>208</v>
      </c>
      <c r="B12" s="301">
        <v>0.4</v>
      </c>
      <c r="C12" s="299"/>
    </row>
    <row r="13" spans="1:3" ht="15" customHeight="1" x14ac:dyDescent="0.35">
      <c r="A13" s="298" t="s">
        <v>209</v>
      </c>
      <c r="B13" s="64">
        <v>438</v>
      </c>
      <c r="C13" s="299"/>
    </row>
    <row r="14" spans="1:3" ht="15" customHeight="1" x14ac:dyDescent="0.35">
      <c r="A14" s="298" t="s">
        <v>210</v>
      </c>
      <c r="B14" s="301">
        <v>0.15</v>
      </c>
      <c r="C14" s="299"/>
    </row>
    <row r="15" spans="1:3" ht="15" customHeight="1" x14ac:dyDescent="0.35">
      <c r="A15" s="298" t="s">
        <v>211</v>
      </c>
      <c r="B15" s="64">
        <v>644</v>
      </c>
      <c r="C15" s="299"/>
    </row>
    <row r="16" spans="1:3" ht="15" customHeight="1" x14ac:dyDescent="0.35">
      <c r="A16" s="298" t="s">
        <v>212</v>
      </c>
      <c r="B16" s="301">
        <v>0.15</v>
      </c>
      <c r="C16" s="299"/>
    </row>
    <row r="17" spans="1:3" ht="15" customHeight="1" x14ac:dyDescent="0.35">
      <c r="A17" s="298" t="s">
        <v>213</v>
      </c>
      <c r="B17" s="64">
        <v>953</v>
      </c>
      <c r="C17" s="299"/>
    </row>
    <row r="18" spans="1:3" ht="15" customHeight="1" x14ac:dyDescent="0.35">
      <c r="A18" s="298" t="s">
        <v>214</v>
      </c>
      <c r="B18" s="301">
        <v>0.15</v>
      </c>
      <c r="C18" s="299"/>
    </row>
    <row r="19" spans="1:3" ht="15" customHeight="1" x14ac:dyDescent="0.35">
      <c r="A19" s="298" t="s">
        <v>215</v>
      </c>
      <c r="B19" s="64">
        <v>927</v>
      </c>
      <c r="C19" s="299"/>
    </row>
    <row r="20" spans="1:3" ht="15" customHeight="1" x14ac:dyDescent="0.35">
      <c r="A20" s="298" t="s">
        <v>216</v>
      </c>
      <c r="B20" s="301">
        <v>0.15</v>
      </c>
      <c r="C20" s="299"/>
    </row>
    <row r="21" spans="1:3" ht="15" customHeight="1" x14ac:dyDescent="0.35">
      <c r="A21" s="298" t="s">
        <v>217</v>
      </c>
      <c r="B21" s="64">
        <v>1197</v>
      </c>
      <c r="C21" s="299"/>
    </row>
    <row r="22" spans="1:3" x14ac:dyDescent="0.35">
      <c r="A22" s="300" t="s">
        <v>228</v>
      </c>
      <c r="B22" s="302">
        <f>ROUND(B12*B13 + B14*B15 + B16*B17 + B18*B19 + B20*B21, 0)</f>
        <v>733</v>
      </c>
      <c r="C22" s="303" t="s">
        <v>584</v>
      </c>
    </row>
    <row r="23" spans="1:3" ht="15" customHeight="1" x14ac:dyDescent="0.35">
      <c r="A23" s="381" t="s">
        <v>218</v>
      </c>
      <c r="B23" s="382"/>
      <c r="C23" s="383"/>
    </row>
    <row r="24" spans="1:3" ht="15" customHeight="1" x14ac:dyDescent="0.35">
      <c r="A24" s="298" t="s">
        <v>219</v>
      </c>
      <c r="B24" s="64">
        <v>330</v>
      </c>
      <c r="C24" s="299"/>
    </row>
    <row r="25" spans="1:3" ht="15" customHeight="1" x14ac:dyDescent="0.35">
      <c r="A25" s="298" t="s">
        <v>220</v>
      </c>
      <c r="B25" s="64">
        <v>70</v>
      </c>
      <c r="C25" s="299"/>
    </row>
    <row r="26" spans="1:3" ht="15" customHeight="1" x14ac:dyDescent="0.35">
      <c r="A26" s="298" t="s">
        <v>221</v>
      </c>
      <c r="B26" s="64">
        <v>165</v>
      </c>
      <c r="C26" s="299"/>
    </row>
    <row r="27" spans="1:3" ht="15" customHeight="1" x14ac:dyDescent="0.35">
      <c r="A27" s="298" t="s">
        <v>222</v>
      </c>
      <c r="B27" s="64">
        <v>200</v>
      </c>
      <c r="C27" s="299"/>
    </row>
    <row r="28" spans="1:3" ht="15" customHeight="1" x14ac:dyDescent="0.35">
      <c r="A28" s="298" t="s">
        <v>223</v>
      </c>
      <c r="B28" s="64">
        <v>370</v>
      </c>
      <c r="C28" s="299"/>
    </row>
    <row r="29" spans="1:3" ht="15" customHeight="1" x14ac:dyDescent="0.35">
      <c r="A29" s="298" t="s">
        <v>224</v>
      </c>
      <c r="B29" s="64">
        <v>400</v>
      </c>
      <c r="C29" s="299"/>
    </row>
    <row r="30" spans="1:3" ht="15" customHeight="1" x14ac:dyDescent="0.35">
      <c r="A30" s="298" t="s">
        <v>225</v>
      </c>
      <c r="B30" s="64">
        <v>350</v>
      </c>
      <c r="C30" s="299"/>
    </row>
    <row r="31" spans="1:3" x14ac:dyDescent="0.35">
      <c r="A31" s="101"/>
      <c r="C31" s="99"/>
    </row>
    <row r="32" spans="1:3" ht="15" customHeight="1" x14ac:dyDescent="0.35">
      <c r="A32" s="381" t="s">
        <v>226</v>
      </c>
      <c r="B32" s="382"/>
      <c r="C32" s="383"/>
    </row>
    <row r="33" spans="1:3" ht="15" customHeight="1" x14ac:dyDescent="0.35">
      <c r="A33" s="304" t="s">
        <v>227</v>
      </c>
      <c r="B33" s="305">
        <v>170</v>
      </c>
      <c r="C33" s="306"/>
    </row>
    <row r="57" ht="15" customHeight="1" x14ac:dyDescent="0.35"/>
  </sheetData>
  <mergeCells count="5">
    <mergeCell ref="A32:C32"/>
    <mergeCell ref="A2:C2"/>
    <mergeCell ref="A7:C7"/>
    <mergeCell ref="A11:C11"/>
    <mergeCell ref="A23:C23"/>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FBFBF"/>
  </sheetPr>
  <dimension ref="A1:B23"/>
  <sheetViews>
    <sheetView workbookViewId="0"/>
  </sheetViews>
  <sheetFormatPr defaultColWidth="9.1796875" defaultRowHeight="14.5" x14ac:dyDescent="0.35"/>
  <cols>
    <col min="1" max="1" width="72.81640625" style="3" customWidth="1"/>
    <col min="2" max="2" width="11.26953125" style="3" customWidth="1"/>
    <col min="3" max="16384" width="9.1796875" style="3"/>
  </cols>
  <sheetData>
    <row r="1" spans="1:1" ht="19.5" customHeight="1" x14ac:dyDescent="0.45">
      <c r="A1" s="75" t="s">
        <v>229</v>
      </c>
    </row>
    <row r="2" spans="1:1" ht="15" customHeight="1" x14ac:dyDescent="0.35">
      <c r="A2" t="s">
        <v>230</v>
      </c>
    </row>
    <row r="3" spans="1:1" ht="17.25" customHeight="1" x14ac:dyDescent="0.4">
      <c r="A3" s="76" t="s">
        <v>231</v>
      </c>
    </row>
    <row r="4" spans="1:1" ht="75.75" customHeight="1" x14ac:dyDescent="0.35">
      <c r="A4" s="77" t="s">
        <v>232</v>
      </c>
    </row>
    <row r="5" spans="1:1" ht="14.25" customHeight="1" x14ac:dyDescent="0.35">
      <c r="A5" t="s">
        <v>233</v>
      </c>
    </row>
    <row r="6" spans="1:1" ht="17.25" customHeight="1" x14ac:dyDescent="0.4">
      <c r="A6" s="78" t="s">
        <v>234</v>
      </c>
    </row>
    <row r="7" spans="1:1" ht="15" customHeight="1" x14ac:dyDescent="0.35">
      <c r="A7" s="79" t="s">
        <v>235</v>
      </c>
    </row>
    <row r="8" spans="1:1" ht="14.25" customHeight="1" x14ac:dyDescent="0.35">
      <c r="A8" s="79" t="s">
        <v>236</v>
      </c>
    </row>
    <row r="9" spans="1:1" ht="28.5" customHeight="1" x14ac:dyDescent="0.35">
      <c r="A9" s="80" t="s">
        <v>237</v>
      </c>
    </row>
    <row r="10" spans="1:1" ht="14.25" customHeight="1" x14ac:dyDescent="0.35">
      <c r="A10" s="81" t="str">
        <f>HYPERLINK("https://www.transportation.gov/mission/office-secretary/office-policy/transportation-policy/benefit-cost-analysis-guidance", "See USDOT BCA Guidance for full details.")</f>
        <v>See USDOT BCA Guidance for full details.</v>
      </c>
    </row>
    <row r="11" spans="1:1" ht="14.25" customHeight="1" x14ac:dyDescent="0.35">
      <c r="A11" t="s">
        <v>230</v>
      </c>
    </row>
    <row r="12" spans="1:1" ht="17.25" customHeight="1" x14ac:dyDescent="0.4">
      <c r="A12" s="78" t="s">
        <v>238</v>
      </c>
    </row>
    <row r="13" spans="1:1" ht="15" customHeight="1" x14ac:dyDescent="0.35">
      <c r="A13" s="82" t="s">
        <v>239</v>
      </c>
    </row>
    <row r="14" spans="1:1" ht="28.5" customHeight="1" x14ac:dyDescent="0.35">
      <c r="A14" s="83" t="s">
        <v>240</v>
      </c>
    </row>
    <row r="15" spans="1:1" ht="28.5" customHeight="1" x14ac:dyDescent="0.35">
      <c r="A15" s="84" t="s">
        <v>241</v>
      </c>
    </row>
    <row r="16" spans="1:1" ht="28.5" customHeight="1" x14ac:dyDescent="0.35">
      <c r="A16" s="85" t="s">
        <v>242</v>
      </c>
    </row>
    <row r="17" spans="1:2" ht="43.5" customHeight="1" x14ac:dyDescent="0.35">
      <c r="A17" s="86" t="s">
        <v>243</v>
      </c>
    </row>
    <row r="18" spans="1:2" ht="14.25" customHeight="1" x14ac:dyDescent="0.35">
      <c r="A18" s="86" t="s">
        <v>244</v>
      </c>
    </row>
    <row r="19" spans="1:2" ht="43.5" customHeight="1" x14ac:dyDescent="0.35">
      <c r="A19" s="87" t="s">
        <v>245</v>
      </c>
    </row>
    <row r="22" spans="1:2" ht="14.25" customHeight="1" x14ac:dyDescent="0.35">
      <c r="A22" s="10" t="s">
        <v>246</v>
      </c>
      <c r="B22" s="88">
        <v>2024</v>
      </c>
    </row>
    <row r="23" spans="1:2" ht="14.25" customHeight="1" x14ac:dyDescent="0.35">
      <c r="A23" s="89" t="s">
        <v>247</v>
      </c>
      <c r="B23" s="90">
        <v>46014</v>
      </c>
    </row>
  </sheetData>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9D18E"/>
  </sheetPr>
  <dimension ref="A1:E11"/>
  <sheetViews>
    <sheetView workbookViewId="0"/>
  </sheetViews>
  <sheetFormatPr defaultColWidth="8.7265625" defaultRowHeight="14.5" x14ac:dyDescent="0.35"/>
  <cols>
    <col min="1" max="1" width="56.26953125" style="3" customWidth="1"/>
    <col min="2" max="16384" width="8.7265625" style="3"/>
  </cols>
  <sheetData>
    <row r="1" spans="1:5" ht="19.5" customHeight="1" x14ac:dyDescent="0.45">
      <c r="A1" s="4" t="s">
        <v>248</v>
      </c>
    </row>
    <row r="2" spans="1:5" ht="15" customHeight="1" x14ac:dyDescent="0.35">
      <c r="A2" s="5" t="s">
        <v>249</v>
      </c>
      <c r="B2" s="5"/>
      <c r="C2" s="5"/>
      <c r="D2" s="5"/>
      <c r="E2" s="5"/>
    </row>
    <row r="3" spans="1:5" ht="14.25" customHeight="1" x14ac:dyDescent="0.35">
      <c r="A3" s="3" t="s">
        <v>2</v>
      </c>
    </row>
    <row r="4" spans="1:5" ht="14.25" customHeight="1" x14ac:dyDescent="0.35">
      <c r="A4" s="6" t="s">
        <v>250</v>
      </c>
    </row>
    <row r="5" spans="1:5" ht="14.25" customHeight="1" x14ac:dyDescent="0.35">
      <c r="A5" s="91" t="s">
        <v>251</v>
      </c>
      <c r="B5" s="92" t="s">
        <v>25</v>
      </c>
    </row>
    <row r="6" spans="1:5" ht="14.25" customHeight="1" x14ac:dyDescent="0.35">
      <c r="A6" s="93" t="s">
        <v>246</v>
      </c>
      <c r="B6" s="32">
        <f>Overview!B22</f>
        <v>2024</v>
      </c>
    </row>
    <row r="7" spans="1:5" ht="14.25" customHeight="1" x14ac:dyDescent="0.35">
      <c r="A7" s="93" t="s">
        <v>252</v>
      </c>
      <c r="B7" s="94">
        <v>2028</v>
      </c>
      <c r="C7" s="3" t="s">
        <v>253</v>
      </c>
    </row>
    <row r="8" spans="1:5" ht="14.25" customHeight="1" x14ac:dyDescent="0.35">
      <c r="A8" s="93" t="s">
        <v>254</v>
      </c>
      <c r="B8" s="94">
        <v>3</v>
      </c>
      <c r="C8" s="3" t="s">
        <v>255</v>
      </c>
    </row>
    <row r="9" spans="1:5" ht="14.25" customHeight="1" x14ac:dyDescent="0.35">
      <c r="A9" s="93" t="s">
        <v>256</v>
      </c>
      <c r="B9" s="32">
        <v>2031</v>
      </c>
    </row>
    <row r="10" spans="1:5" ht="14.25" customHeight="1" x14ac:dyDescent="0.35">
      <c r="A10" s="93" t="s">
        <v>257</v>
      </c>
      <c r="B10" s="94">
        <v>30</v>
      </c>
      <c r="C10" s="3" t="s">
        <v>258</v>
      </c>
    </row>
    <row r="11" spans="1:5" ht="14.25" customHeight="1" x14ac:dyDescent="0.35">
      <c r="A11" s="93" t="s">
        <v>259</v>
      </c>
      <c r="B11" s="95">
        <v>2060</v>
      </c>
    </row>
  </sheetData>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FBFBF"/>
  </sheetPr>
  <dimension ref="A1:F242"/>
  <sheetViews>
    <sheetView workbookViewId="0"/>
  </sheetViews>
  <sheetFormatPr defaultColWidth="8.6328125" defaultRowHeight="14.5" x14ac:dyDescent="0.35"/>
  <cols>
    <col min="1" max="1" width="48.81640625" customWidth="1"/>
    <col min="2" max="2" width="27.26953125" customWidth="1"/>
    <col min="3" max="3" width="22.54296875" customWidth="1"/>
    <col min="4" max="4" width="19" customWidth="1"/>
    <col min="5" max="5" width="13.54296875" customWidth="1"/>
    <col min="6" max="6" width="12" customWidth="1"/>
  </cols>
  <sheetData>
    <row r="1" spans="1:6" ht="21" customHeight="1" x14ac:dyDescent="0.5">
      <c r="A1" s="96" t="s">
        <v>260</v>
      </c>
      <c r="B1" s="97"/>
      <c r="C1" s="97"/>
      <c r="D1" s="97"/>
      <c r="E1" s="98"/>
      <c r="F1" s="98"/>
    </row>
    <row r="2" spans="1:6" ht="14.25" customHeight="1" x14ac:dyDescent="0.35">
      <c r="A2" s="5" t="s">
        <v>261</v>
      </c>
      <c r="B2" s="5"/>
      <c r="C2" s="5"/>
      <c r="D2" s="5"/>
      <c r="E2" s="5"/>
      <c r="F2" s="99"/>
    </row>
    <row r="3" spans="1:6" ht="14.25" customHeight="1" x14ac:dyDescent="0.35">
      <c r="A3" s="100" t="s">
        <v>262</v>
      </c>
      <c r="F3" s="99"/>
    </row>
    <row r="4" spans="1:6" ht="14.25" customHeight="1" x14ac:dyDescent="0.35">
      <c r="A4" s="101" t="s">
        <v>2</v>
      </c>
      <c r="F4" s="99"/>
    </row>
    <row r="5" spans="1:6" ht="14.25" customHeight="1" x14ac:dyDescent="0.35">
      <c r="A5" s="102" t="s">
        <v>263</v>
      </c>
      <c r="B5" s="103"/>
      <c r="C5" s="103"/>
      <c r="D5" s="103"/>
      <c r="E5" s="103"/>
      <c r="F5" s="99"/>
    </row>
    <row r="6" spans="1:6" ht="17.25" customHeight="1" x14ac:dyDescent="0.35">
      <c r="A6" s="104" t="s">
        <v>264</v>
      </c>
      <c r="B6" s="104" t="s">
        <v>265</v>
      </c>
      <c r="C6" s="103"/>
      <c r="D6" s="103"/>
      <c r="E6" s="103"/>
      <c r="F6" s="99"/>
    </row>
    <row r="7" spans="1:6" ht="14.25" customHeight="1" x14ac:dyDescent="0.35">
      <c r="A7" s="105" t="s">
        <v>266</v>
      </c>
      <c r="B7" s="106">
        <v>5500</v>
      </c>
      <c r="C7" s="103"/>
      <c r="D7" s="103"/>
      <c r="E7" s="103"/>
      <c r="F7" s="99"/>
    </row>
    <row r="8" spans="1:6" ht="14.25" customHeight="1" x14ac:dyDescent="0.35">
      <c r="A8" s="105" t="s">
        <v>267</v>
      </c>
      <c r="B8" s="106">
        <v>122400</v>
      </c>
      <c r="C8" s="103"/>
      <c r="D8" s="103"/>
      <c r="E8" s="103"/>
      <c r="F8" s="99"/>
    </row>
    <row r="9" spans="1:6" ht="14.25" customHeight="1" x14ac:dyDescent="0.35">
      <c r="A9" s="105" t="s">
        <v>268</v>
      </c>
      <c r="B9" s="106">
        <v>256300</v>
      </c>
      <c r="C9" s="103"/>
      <c r="D9" s="103"/>
      <c r="E9" s="103"/>
      <c r="F9" s="99"/>
    </row>
    <row r="10" spans="1:6" ht="14.25" customHeight="1" x14ac:dyDescent="0.35">
      <c r="A10" s="105" t="s">
        <v>269</v>
      </c>
      <c r="B10" s="106">
        <v>1302300</v>
      </c>
      <c r="C10" s="103"/>
      <c r="D10" s="103"/>
      <c r="E10" s="103"/>
      <c r="F10" s="99"/>
    </row>
    <row r="11" spans="1:6" ht="14.25" customHeight="1" x14ac:dyDescent="0.35">
      <c r="A11" s="105" t="s">
        <v>270</v>
      </c>
      <c r="B11" s="106">
        <v>13700000</v>
      </c>
      <c r="C11" s="103"/>
      <c r="D11" s="103"/>
      <c r="E11" s="103"/>
      <c r="F11" s="99"/>
    </row>
    <row r="12" spans="1:6" ht="14.25" customHeight="1" x14ac:dyDescent="0.35">
      <c r="A12" s="105" t="s">
        <v>271</v>
      </c>
      <c r="B12" s="106">
        <v>238500</v>
      </c>
      <c r="C12" s="103"/>
      <c r="D12" s="103"/>
      <c r="E12" s="103"/>
      <c r="F12" s="99"/>
    </row>
    <row r="13" spans="1:6" ht="14.25" customHeight="1" x14ac:dyDescent="0.35">
      <c r="A13" s="102" t="s">
        <v>272</v>
      </c>
      <c r="B13" s="103"/>
      <c r="C13" s="103"/>
      <c r="D13" s="103"/>
      <c r="E13" s="103"/>
      <c r="F13" s="99"/>
    </row>
    <row r="14" spans="1:6" ht="14.25" customHeight="1" x14ac:dyDescent="0.35">
      <c r="A14" s="104" t="s">
        <v>273</v>
      </c>
      <c r="B14" s="104" t="s">
        <v>265</v>
      </c>
      <c r="C14" s="103"/>
      <c r="D14" s="103"/>
      <c r="E14" s="103"/>
      <c r="F14" s="99"/>
    </row>
    <row r="15" spans="1:6" ht="14.25" customHeight="1" x14ac:dyDescent="0.35">
      <c r="A15" s="105" t="s">
        <v>274</v>
      </c>
      <c r="B15" s="106">
        <v>9700</v>
      </c>
      <c r="C15" s="103"/>
      <c r="D15" s="103"/>
      <c r="E15" s="103"/>
      <c r="F15" s="99"/>
    </row>
    <row r="16" spans="1:6" ht="14.25" customHeight="1" x14ac:dyDescent="0.35">
      <c r="A16" s="105" t="s">
        <v>275</v>
      </c>
      <c r="B16" s="106">
        <v>342400</v>
      </c>
      <c r="C16" s="103"/>
      <c r="D16" s="103"/>
      <c r="E16" s="103"/>
      <c r="F16" s="99"/>
    </row>
    <row r="17" spans="1:6" ht="14.25" customHeight="1" x14ac:dyDescent="0.35">
      <c r="A17" s="105" t="s">
        <v>276</v>
      </c>
      <c r="B17" s="106">
        <v>15366900</v>
      </c>
      <c r="C17" s="103"/>
      <c r="D17" s="103"/>
      <c r="E17" s="103"/>
      <c r="F17" s="99"/>
    </row>
    <row r="18" spans="1:6" ht="14.25" customHeight="1" x14ac:dyDescent="0.35">
      <c r="A18" s="107" t="s">
        <v>2</v>
      </c>
      <c r="B18" s="103"/>
      <c r="C18" s="103"/>
      <c r="D18" s="103"/>
      <c r="E18" s="103"/>
      <c r="F18" s="99"/>
    </row>
    <row r="19" spans="1:6" ht="14.25" customHeight="1" x14ac:dyDescent="0.35">
      <c r="A19" s="102" t="s">
        <v>277</v>
      </c>
      <c r="B19" s="103"/>
      <c r="C19" s="103"/>
      <c r="D19" s="103"/>
      <c r="E19" s="103"/>
      <c r="F19" s="99"/>
    </row>
    <row r="20" spans="1:6" ht="15" customHeight="1" x14ac:dyDescent="0.35">
      <c r="A20" s="396" t="s">
        <v>278</v>
      </c>
      <c r="B20" s="396"/>
      <c r="C20" s="103"/>
      <c r="D20" s="103"/>
      <c r="E20" s="103"/>
      <c r="F20" s="99"/>
    </row>
    <row r="21" spans="1:6" ht="14.25" customHeight="1" x14ac:dyDescent="0.35">
      <c r="A21" s="396" t="s">
        <v>279</v>
      </c>
      <c r="B21" s="396"/>
      <c r="C21" s="103"/>
      <c r="D21" s="103"/>
      <c r="E21" s="103"/>
      <c r="F21" s="99"/>
    </row>
    <row r="22" spans="1:6" ht="14.25" customHeight="1" x14ac:dyDescent="0.35">
      <c r="A22" s="104" t="s">
        <v>24</v>
      </c>
      <c r="B22" s="104" t="s">
        <v>280</v>
      </c>
      <c r="C22" s="103"/>
      <c r="D22" s="103"/>
      <c r="E22" s="103"/>
      <c r="F22" s="99"/>
    </row>
    <row r="23" spans="1:6" ht="14.25" customHeight="1" x14ac:dyDescent="0.35">
      <c r="A23" s="105" t="s">
        <v>281</v>
      </c>
      <c r="B23" s="108"/>
      <c r="C23" s="103"/>
      <c r="D23" s="103"/>
      <c r="E23" s="103"/>
      <c r="F23" s="99"/>
    </row>
    <row r="24" spans="1:6" ht="15.75" customHeight="1" x14ac:dyDescent="0.35">
      <c r="A24" s="105" t="s">
        <v>282</v>
      </c>
      <c r="B24" s="109">
        <v>20.100000000000001</v>
      </c>
      <c r="C24" s="103"/>
      <c r="D24" s="103"/>
      <c r="E24" s="103"/>
      <c r="F24" s="99"/>
    </row>
    <row r="25" spans="1:6" ht="15.75" customHeight="1" x14ac:dyDescent="0.35">
      <c r="A25" s="105" t="s">
        <v>283</v>
      </c>
      <c r="B25" s="109">
        <v>34.6</v>
      </c>
      <c r="C25" s="103"/>
      <c r="D25" s="103"/>
      <c r="E25" s="103"/>
      <c r="F25" s="99"/>
    </row>
    <row r="26" spans="1:6" ht="15.75" customHeight="1" x14ac:dyDescent="0.35">
      <c r="A26" s="105" t="s">
        <v>284</v>
      </c>
      <c r="B26" s="109">
        <v>21.8</v>
      </c>
      <c r="C26" s="103"/>
      <c r="D26" s="103"/>
      <c r="E26" s="103"/>
      <c r="F26" s="99"/>
    </row>
    <row r="27" spans="1:6" ht="14.25" customHeight="1" x14ac:dyDescent="0.35">
      <c r="A27" s="105"/>
      <c r="B27" s="109"/>
      <c r="C27" s="103"/>
      <c r="D27" s="103"/>
      <c r="E27" s="103"/>
      <c r="F27" s="99"/>
    </row>
    <row r="28" spans="1:6" ht="15.75" customHeight="1" x14ac:dyDescent="0.35">
      <c r="A28" s="105" t="s">
        <v>285</v>
      </c>
      <c r="B28" s="109">
        <v>40.200000000000003</v>
      </c>
      <c r="C28" s="103"/>
      <c r="D28" s="103"/>
      <c r="E28" s="103"/>
      <c r="F28" s="99"/>
    </row>
    <row r="29" spans="1:6" ht="14.25" customHeight="1" x14ac:dyDescent="0.35">
      <c r="A29" s="108"/>
      <c r="B29" s="109"/>
      <c r="C29" s="103"/>
      <c r="D29" s="103"/>
      <c r="E29" s="103"/>
      <c r="F29" s="99"/>
    </row>
    <row r="30" spans="1:6" ht="15.75" customHeight="1" x14ac:dyDescent="0.35">
      <c r="A30" s="105" t="s">
        <v>286</v>
      </c>
      <c r="B30" s="109"/>
      <c r="C30" s="103"/>
      <c r="D30" s="103"/>
      <c r="E30" s="103"/>
      <c r="F30" s="99"/>
    </row>
    <row r="31" spans="1:6" ht="14.25" customHeight="1" x14ac:dyDescent="0.35">
      <c r="A31" s="105" t="s">
        <v>287</v>
      </c>
      <c r="B31" s="109">
        <v>37.200000000000003</v>
      </c>
      <c r="C31" s="103"/>
      <c r="D31" s="103"/>
      <c r="E31" s="103"/>
      <c r="F31" s="99"/>
    </row>
    <row r="32" spans="1:6" ht="14.25" customHeight="1" x14ac:dyDescent="0.35">
      <c r="A32" s="105" t="s">
        <v>288</v>
      </c>
      <c r="B32" s="109">
        <v>40.299999999999997</v>
      </c>
      <c r="C32" s="103"/>
      <c r="D32" s="103"/>
      <c r="E32" s="103"/>
      <c r="F32" s="99"/>
    </row>
    <row r="33" spans="1:6" ht="14.25" customHeight="1" x14ac:dyDescent="0.35">
      <c r="A33" s="105" t="s">
        <v>289</v>
      </c>
      <c r="B33" s="109">
        <v>59.5</v>
      </c>
      <c r="C33" s="103"/>
      <c r="D33" s="103"/>
      <c r="E33" s="103"/>
      <c r="F33" s="99"/>
    </row>
    <row r="34" spans="1:6" ht="14.25" customHeight="1" x14ac:dyDescent="0.35">
      <c r="A34" s="105" t="s">
        <v>290</v>
      </c>
      <c r="B34" s="109">
        <v>54.2</v>
      </c>
      <c r="C34" s="103"/>
      <c r="D34" s="103"/>
      <c r="E34" s="103"/>
      <c r="F34" s="99"/>
    </row>
    <row r="35" spans="1:6" ht="14.25" customHeight="1" x14ac:dyDescent="0.35">
      <c r="A35" s="110"/>
      <c r="B35" s="111"/>
      <c r="C35" s="103"/>
      <c r="D35" s="103"/>
      <c r="E35" s="103"/>
      <c r="F35" s="99"/>
    </row>
    <row r="36" spans="1:6" ht="83.25" customHeight="1" x14ac:dyDescent="0.35">
      <c r="A36" s="386" t="s">
        <v>291</v>
      </c>
      <c r="B36" s="386"/>
      <c r="C36" s="103"/>
      <c r="D36" s="103"/>
      <c r="E36" s="103"/>
      <c r="F36" s="99"/>
    </row>
    <row r="37" spans="1:6" ht="54" customHeight="1" x14ac:dyDescent="0.35">
      <c r="A37" s="386" t="s">
        <v>292</v>
      </c>
      <c r="B37" s="386"/>
      <c r="C37" s="103"/>
      <c r="D37" s="103"/>
      <c r="E37" s="103"/>
      <c r="F37" s="99"/>
    </row>
    <row r="38" spans="1:6" ht="58.5" customHeight="1" x14ac:dyDescent="0.35">
      <c r="A38" s="386" t="s">
        <v>293</v>
      </c>
      <c r="B38" s="386"/>
      <c r="C38" s="103"/>
      <c r="D38" s="103"/>
      <c r="E38" s="103"/>
      <c r="F38" s="99"/>
    </row>
    <row r="39" spans="1:6" ht="25.5" customHeight="1" x14ac:dyDescent="0.35">
      <c r="A39" s="394" t="s">
        <v>294</v>
      </c>
      <c r="B39" s="394"/>
      <c r="C39" s="103"/>
      <c r="D39" s="103"/>
      <c r="E39" s="103"/>
      <c r="F39" s="99"/>
    </row>
    <row r="40" spans="1:6" ht="23.25" customHeight="1" x14ac:dyDescent="0.35">
      <c r="A40" s="395" t="s">
        <v>295</v>
      </c>
      <c r="B40" s="395"/>
      <c r="C40" s="103"/>
      <c r="D40" s="103"/>
      <c r="E40" s="103"/>
      <c r="F40" s="99"/>
    </row>
    <row r="41" spans="1:6" ht="14.25" customHeight="1" x14ac:dyDescent="0.35">
      <c r="A41" s="3" t="s">
        <v>2</v>
      </c>
      <c r="B41" s="103"/>
      <c r="C41" s="103"/>
      <c r="D41" s="103"/>
      <c r="E41" s="103"/>
      <c r="F41" s="99"/>
    </row>
    <row r="42" spans="1:6" ht="14.25" customHeight="1" x14ac:dyDescent="0.35">
      <c r="A42" s="102" t="s">
        <v>296</v>
      </c>
      <c r="B42" s="103"/>
      <c r="C42" s="103"/>
      <c r="D42" s="103"/>
      <c r="E42" s="103"/>
      <c r="F42" s="99"/>
    </row>
    <row r="43" spans="1:6" ht="14.25" customHeight="1" x14ac:dyDescent="0.35">
      <c r="A43" s="112" t="s">
        <v>297</v>
      </c>
      <c r="B43" s="113" t="s">
        <v>298</v>
      </c>
      <c r="C43" s="103"/>
      <c r="D43" s="103"/>
      <c r="E43" s="103"/>
      <c r="F43" s="99"/>
    </row>
    <row r="44" spans="1:6" ht="15.75" customHeight="1" x14ac:dyDescent="0.35">
      <c r="A44" s="105" t="s">
        <v>299</v>
      </c>
      <c r="B44" s="114">
        <v>1.34</v>
      </c>
      <c r="C44" s="103"/>
      <c r="D44" s="103"/>
      <c r="E44" s="103"/>
      <c r="F44" s="99"/>
    </row>
    <row r="45" spans="1:6" ht="14.25" customHeight="1" x14ac:dyDescent="0.35">
      <c r="A45" s="105" t="s">
        <v>300</v>
      </c>
      <c r="B45" s="114">
        <v>1.41</v>
      </c>
      <c r="C45" s="103"/>
      <c r="D45" s="103"/>
      <c r="E45" s="103"/>
      <c r="F45" s="99"/>
    </row>
    <row r="46" spans="1:6" ht="14.25" customHeight="1" x14ac:dyDescent="0.35">
      <c r="A46" s="105" t="s">
        <v>301</v>
      </c>
      <c r="B46" s="114">
        <v>1.81</v>
      </c>
      <c r="C46" s="103"/>
      <c r="D46" s="103"/>
      <c r="E46" s="103"/>
      <c r="F46" s="99"/>
    </row>
    <row r="47" spans="1:6" ht="14.25" customHeight="1" x14ac:dyDescent="0.35">
      <c r="A47" s="105" t="s">
        <v>302</v>
      </c>
      <c r="B47" s="114">
        <v>1.52</v>
      </c>
      <c r="C47" s="103"/>
      <c r="D47" s="103"/>
      <c r="E47" s="103"/>
      <c r="F47" s="99"/>
    </row>
    <row r="48" spans="1:6" ht="14.25" customHeight="1" x14ac:dyDescent="0.35">
      <c r="A48" s="107"/>
      <c r="B48" s="115"/>
      <c r="C48" s="103"/>
      <c r="D48" s="103"/>
      <c r="E48" s="103"/>
      <c r="F48" s="99"/>
    </row>
    <row r="49" spans="1:6" ht="45" customHeight="1" x14ac:dyDescent="0.35">
      <c r="A49" s="388" t="s">
        <v>303</v>
      </c>
      <c r="B49" s="388"/>
      <c r="C49" s="103"/>
      <c r="D49" s="103"/>
      <c r="E49" s="103"/>
      <c r="F49" s="99"/>
    </row>
    <row r="50" spans="1:6" ht="14.25" customHeight="1" x14ac:dyDescent="0.35">
      <c r="A50" s="3" t="s">
        <v>2</v>
      </c>
      <c r="B50" s="103"/>
      <c r="C50" s="103"/>
      <c r="D50" s="103"/>
      <c r="E50" s="103"/>
      <c r="F50" s="99"/>
    </row>
    <row r="51" spans="1:6" ht="14.25" customHeight="1" x14ac:dyDescent="0.35">
      <c r="A51" s="102" t="s">
        <v>304</v>
      </c>
      <c r="B51" s="103"/>
      <c r="C51" s="103"/>
      <c r="D51" s="103"/>
      <c r="E51" s="103"/>
      <c r="F51" s="99"/>
    </row>
    <row r="52" spans="1:6" ht="30" customHeight="1" x14ac:dyDescent="0.35">
      <c r="A52" s="112" t="s">
        <v>297</v>
      </c>
      <c r="B52" s="113" t="s">
        <v>305</v>
      </c>
      <c r="C52" s="103"/>
      <c r="D52" s="103"/>
      <c r="E52" s="103"/>
      <c r="F52" s="99"/>
    </row>
    <row r="53" spans="1:6" ht="15.75" customHeight="1" x14ac:dyDescent="0.35">
      <c r="A53" s="105" t="s">
        <v>306</v>
      </c>
      <c r="B53" s="116">
        <v>0.56000000000000005</v>
      </c>
      <c r="C53" s="103"/>
      <c r="D53" s="103"/>
      <c r="E53" s="103"/>
      <c r="F53" s="99"/>
    </row>
    <row r="54" spans="1:6" ht="15.75" customHeight="1" x14ac:dyDescent="0.35">
      <c r="A54" s="105" t="s">
        <v>307</v>
      </c>
      <c r="B54" s="116">
        <v>1.23</v>
      </c>
      <c r="C54" s="103"/>
      <c r="D54" s="103"/>
      <c r="E54" s="103"/>
      <c r="F54" s="99"/>
    </row>
    <row r="55" spans="1:6" ht="14.25" customHeight="1" x14ac:dyDescent="0.35">
      <c r="A55" s="107"/>
      <c r="B55" s="115"/>
      <c r="C55" s="103"/>
      <c r="D55" s="103"/>
      <c r="E55" s="103"/>
      <c r="F55" s="99"/>
    </row>
    <row r="56" spans="1:6" ht="68.25" customHeight="1" x14ac:dyDescent="0.35">
      <c r="A56" s="386" t="s">
        <v>308</v>
      </c>
      <c r="B56" s="386"/>
      <c r="C56" s="103"/>
      <c r="D56" s="103"/>
      <c r="E56" s="103"/>
      <c r="F56" s="99"/>
    </row>
    <row r="57" spans="1:6" ht="72" customHeight="1" x14ac:dyDescent="0.35">
      <c r="A57" s="388" t="s">
        <v>309</v>
      </c>
      <c r="B57" s="388"/>
      <c r="C57" s="103"/>
      <c r="D57" s="103"/>
      <c r="E57" s="103"/>
      <c r="F57" s="99"/>
    </row>
    <row r="58" spans="1:6" ht="14.25" customHeight="1" x14ac:dyDescent="0.35">
      <c r="A58" s="3" t="s">
        <v>2</v>
      </c>
      <c r="B58" s="103"/>
      <c r="C58" s="103"/>
      <c r="D58" s="103"/>
      <c r="E58" s="103"/>
      <c r="F58" s="99"/>
    </row>
    <row r="59" spans="1:6" ht="14.25" customHeight="1" x14ac:dyDescent="0.35">
      <c r="A59" s="102" t="s">
        <v>310</v>
      </c>
      <c r="B59" s="103"/>
      <c r="C59" s="103"/>
      <c r="D59" s="103"/>
      <c r="E59" s="103"/>
      <c r="F59" s="99"/>
    </row>
    <row r="60" spans="1:6" ht="14.25" customHeight="1" x14ac:dyDescent="0.35">
      <c r="A60" s="117"/>
      <c r="B60" s="390" t="s">
        <v>311</v>
      </c>
      <c r="C60" s="390"/>
      <c r="D60" s="118"/>
      <c r="E60" s="103"/>
      <c r="F60" s="99"/>
    </row>
    <row r="61" spans="1:6" ht="15.75" customHeight="1" x14ac:dyDescent="0.35">
      <c r="A61" s="117" t="s">
        <v>312</v>
      </c>
      <c r="B61" s="117" t="s">
        <v>313</v>
      </c>
      <c r="C61" s="117" t="s">
        <v>314</v>
      </c>
      <c r="D61" s="118"/>
      <c r="E61" s="103"/>
      <c r="F61" s="99"/>
    </row>
    <row r="62" spans="1:6" ht="14.25" customHeight="1" x14ac:dyDescent="0.35">
      <c r="A62" s="119" t="s">
        <v>315</v>
      </c>
      <c r="B62" s="119"/>
      <c r="C62" s="120"/>
      <c r="D62" s="107"/>
      <c r="E62" s="103"/>
      <c r="F62" s="99"/>
    </row>
    <row r="63" spans="1:6" ht="14.25" customHeight="1" x14ac:dyDescent="0.35">
      <c r="A63" s="105" t="s">
        <v>316</v>
      </c>
      <c r="B63" s="121">
        <v>259</v>
      </c>
      <c r="C63" s="121">
        <v>799</v>
      </c>
      <c r="D63" s="122"/>
      <c r="E63" s="103"/>
      <c r="F63" s="99"/>
    </row>
    <row r="64" spans="1:6" ht="14.25" customHeight="1" x14ac:dyDescent="0.35">
      <c r="A64" s="105" t="s">
        <v>317</v>
      </c>
      <c r="B64" s="121">
        <v>281</v>
      </c>
      <c r="C64" s="121">
        <v>109</v>
      </c>
      <c r="D64" s="122"/>
      <c r="E64" s="103"/>
      <c r="F64" s="99"/>
    </row>
    <row r="65" spans="1:6" ht="14.25" customHeight="1" x14ac:dyDescent="0.35">
      <c r="A65" s="105" t="s">
        <v>318</v>
      </c>
      <c r="B65" s="121">
        <v>723</v>
      </c>
      <c r="C65" s="121">
        <v>109</v>
      </c>
      <c r="D65" s="122"/>
      <c r="E65" s="103"/>
      <c r="F65" s="99"/>
    </row>
    <row r="66" spans="1:6" ht="14.25" customHeight="1" x14ac:dyDescent="0.35">
      <c r="A66" s="105" t="s">
        <v>319</v>
      </c>
      <c r="B66" s="121">
        <v>327</v>
      </c>
      <c r="C66" s="121">
        <v>109</v>
      </c>
      <c r="D66" s="122"/>
      <c r="E66" s="103"/>
      <c r="F66" s="99"/>
    </row>
    <row r="67" spans="1:6" ht="14.25" customHeight="1" x14ac:dyDescent="0.35">
      <c r="A67" s="119" t="s">
        <v>320</v>
      </c>
      <c r="B67" s="119"/>
      <c r="C67" s="120"/>
      <c r="D67" s="107"/>
      <c r="E67" s="103"/>
      <c r="F67" s="99"/>
    </row>
    <row r="68" spans="1:6" ht="14.25" customHeight="1" x14ac:dyDescent="0.35">
      <c r="A68" s="105" t="s">
        <v>316</v>
      </c>
      <c r="B68" s="121">
        <v>655</v>
      </c>
      <c r="C68" s="121">
        <v>2356</v>
      </c>
      <c r="D68" s="122"/>
      <c r="E68" s="103"/>
      <c r="F68" s="99"/>
    </row>
    <row r="69" spans="1:6" ht="14.25" customHeight="1" x14ac:dyDescent="0.35">
      <c r="A69" s="105" t="s">
        <v>317</v>
      </c>
      <c r="B69" s="121">
        <v>642</v>
      </c>
      <c r="C69" s="121">
        <v>780</v>
      </c>
      <c r="D69" s="122"/>
      <c r="E69" s="103"/>
      <c r="F69" s="99"/>
    </row>
    <row r="70" spans="1:6" ht="14.25" customHeight="1" x14ac:dyDescent="0.35">
      <c r="A70" s="105" t="s">
        <v>318</v>
      </c>
      <c r="B70" s="121">
        <v>1084</v>
      </c>
      <c r="C70" s="121">
        <v>780</v>
      </c>
      <c r="D70" s="122"/>
      <c r="E70" s="103"/>
      <c r="F70" s="99"/>
    </row>
    <row r="71" spans="1:6" ht="14.25" customHeight="1" x14ac:dyDescent="0.35">
      <c r="A71" s="105" t="s">
        <v>319</v>
      </c>
      <c r="B71" s="121">
        <v>688</v>
      </c>
      <c r="C71" s="121">
        <v>780</v>
      </c>
      <c r="D71" s="122"/>
      <c r="E71" s="103"/>
      <c r="F71" s="99"/>
    </row>
    <row r="72" spans="1:6" ht="14.25" customHeight="1" x14ac:dyDescent="0.35">
      <c r="A72" s="119" t="s">
        <v>321</v>
      </c>
      <c r="B72" s="119"/>
      <c r="C72" s="120"/>
      <c r="D72" s="107"/>
      <c r="E72" s="103"/>
      <c r="F72" s="99"/>
    </row>
    <row r="73" spans="1:6" ht="14.25" customHeight="1" x14ac:dyDescent="0.35">
      <c r="A73" s="105" t="s">
        <v>322</v>
      </c>
      <c r="B73" s="109">
        <v>1.0900000000000001</v>
      </c>
      <c r="C73" s="123" t="s">
        <v>323</v>
      </c>
      <c r="D73" s="124"/>
      <c r="E73" s="103"/>
      <c r="F73" s="99"/>
    </row>
    <row r="74" spans="1:6" ht="27.75" customHeight="1" x14ac:dyDescent="0.35">
      <c r="A74" s="391" t="s">
        <v>324</v>
      </c>
      <c r="B74" s="391"/>
      <c r="C74" s="391"/>
      <c r="D74" s="125"/>
      <c r="E74" s="103"/>
      <c r="F74" s="99"/>
    </row>
    <row r="75" spans="1:6" ht="66.75" customHeight="1" x14ac:dyDescent="0.35">
      <c r="A75" s="392" t="s">
        <v>325</v>
      </c>
      <c r="B75" s="392"/>
      <c r="C75" s="392"/>
      <c r="D75" s="125"/>
      <c r="E75" s="103"/>
      <c r="F75" s="99"/>
    </row>
    <row r="76" spans="1:6" ht="14.25" customHeight="1" x14ac:dyDescent="0.35">
      <c r="A76" s="3" t="s">
        <v>2</v>
      </c>
      <c r="B76" s="103"/>
      <c r="C76" s="103"/>
      <c r="D76" s="103"/>
      <c r="E76" s="103"/>
      <c r="F76" s="99"/>
    </row>
    <row r="77" spans="1:6" ht="14.25" customHeight="1" x14ac:dyDescent="0.35">
      <c r="A77" s="102" t="s">
        <v>326</v>
      </c>
      <c r="B77" s="103"/>
      <c r="C77" s="103"/>
      <c r="D77" s="103"/>
      <c r="E77" s="103"/>
      <c r="F77" s="99"/>
    </row>
    <row r="78" spans="1:6" ht="16.5" customHeight="1" x14ac:dyDescent="0.35">
      <c r="A78" s="117" t="s">
        <v>327</v>
      </c>
      <c r="B78" s="113" t="s">
        <v>328</v>
      </c>
      <c r="C78" s="113" t="s">
        <v>329</v>
      </c>
      <c r="D78" s="113" t="s">
        <v>330</v>
      </c>
      <c r="E78" s="126"/>
      <c r="F78" s="99"/>
    </row>
    <row r="79" spans="1:6" ht="14.25" customHeight="1" x14ac:dyDescent="0.35">
      <c r="A79" s="105">
        <v>2025</v>
      </c>
      <c r="B79" s="106">
        <v>21600</v>
      </c>
      <c r="C79" s="106">
        <v>59000</v>
      </c>
      <c r="D79" s="106">
        <v>1054000</v>
      </c>
      <c r="E79" s="127"/>
      <c r="F79" s="99"/>
    </row>
    <row r="80" spans="1:6" ht="14.25" customHeight="1" x14ac:dyDescent="0.35">
      <c r="A80" s="105">
        <v>2026</v>
      </c>
      <c r="B80" s="106">
        <v>22000</v>
      </c>
      <c r="C80" s="106">
        <v>60100</v>
      </c>
      <c r="D80" s="106">
        <v>1070700</v>
      </c>
      <c r="E80" s="127"/>
      <c r="F80" s="99"/>
    </row>
    <row r="81" spans="1:6" ht="14.25" customHeight="1" x14ac:dyDescent="0.35">
      <c r="A81" s="105">
        <v>2027</v>
      </c>
      <c r="B81" s="106">
        <v>22500</v>
      </c>
      <c r="C81" s="106">
        <v>61100</v>
      </c>
      <c r="D81" s="106">
        <v>1087800</v>
      </c>
      <c r="E81" s="127"/>
      <c r="F81" s="99"/>
    </row>
    <row r="82" spans="1:6" ht="14.25" customHeight="1" x14ac:dyDescent="0.35">
      <c r="A82" s="105">
        <v>2028</v>
      </c>
      <c r="B82" s="106">
        <v>22900</v>
      </c>
      <c r="C82" s="106">
        <v>62200</v>
      </c>
      <c r="D82" s="106">
        <v>1105100</v>
      </c>
      <c r="E82" s="127"/>
      <c r="F82" s="99"/>
    </row>
    <row r="83" spans="1:6" ht="14.25" customHeight="1" x14ac:dyDescent="0.35">
      <c r="A83" s="105">
        <v>2029</v>
      </c>
      <c r="B83" s="106">
        <v>23300</v>
      </c>
      <c r="C83" s="106">
        <v>63400</v>
      </c>
      <c r="D83" s="106">
        <v>1122600</v>
      </c>
      <c r="E83" s="127"/>
      <c r="F83" s="99"/>
    </row>
    <row r="84" spans="1:6" ht="14.25" customHeight="1" x14ac:dyDescent="0.35">
      <c r="A84" s="105">
        <v>2030</v>
      </c>
      <c r="B84" s="106">
        <v>23800</v>
      </c>
      <c r="C84" s="106">
        <v>64500</v>
      </c>
      <c r="D84" s="106">
        <v>1140500</v>
      </c>
      <c r="E84" s="127"/>
      <c r="F84" s="99"/>
    </row>
    <row r="85" spans="1:6" ht="14.25" customHeight="1" x14ac:dyDescent="0.35">
      <c r="A85" s="105">
        <v>2031</v>
      </c>
      <c r="B85" s="106">
        <v>23800</v>
      </c>
      <c r="C85" s="106">
        <v>64500</v>
      </c>
      <c r="D85" s="106">
        <v>1140500</v>
      </c>
      <c r="E85" s="127"/>
      <c r="F85" s="99"/>
    </row>
    <row r="86" spans="1:6" ht="14.25" customHeight="1" x14ac:dyDescent="0.35">
      <c r="A86" s="105">
        <v>2032</v>
      </c>
      <c r="B86" s="106">
        <v>23800</v>
      </c>
      <c r="C86" s="106">
        <v>64500</v>
      </c>
      <c r="D86" s="106">
        <v>1140500</v>
      </c>
      <c r="E86" s="127"/>
      <c r="F86" s="99"/>
    </row>
    <row r="87" spans="1:6" ht="14.25" customHeight="1" x14ac:dyDescent="0.35">
      <c r="A87" s="105">
        <v>2033</v>
      </c>
      <c r="B87" s="106">
        <v>23800</v>
      </c>
      <c r="C87" s="106">
        <v>64500</v>
      </c>
      <c r="D87" s="106">
        <v>1140500</v>
      </c>
      <c r="E87" s="127"/>
      <c r="F87" s="99"/>
    </row>
    <row r="88" spans="1:6" ht="14.25" customHeight="1" x14ac:dyDescent="0.35">
      <c r="A88" s="105">
        <v>2034</v>
      </c>
      <c r="B88" s="106">
        <v>23800</v>
      </c>
      <c r="C88" s="106">
        <v>64500</v>
      </c>
      <c r="D88" s="106">
        <v>1140500</v>
      </c>
      <c r="E88" s="127"/>
      <c r="F88" s="99"/>
    </row>
    <row r="89" spans="1:6" ht="14.25" customHeight="1" x14ac:dyDescent="0.35">
      <c r="A89" s="105">
        <v>2035</v>
      </c>
      <c r="B89" s="106">
        <v>23800</v>
      </c>
      <c r="C89" s="106">
        <v>64500</v>
      </c>
      <c r="D89" s="106">
        <v>1140500</v>
      </c>
      <c r="E89" s="127"/>
      <c r="F89" s="99"/>
    </row>
    <row r="90" spans="1:6" ht="14.25" customHeight="1" x14ac:dyDescent="0.35">
      <c r="A90" s="105">
        <v>2036</v>
      </c>
      <c r="B90" s="106">
        <v>23800</v>
      </c>
      <c r="C90" s="106">
        <v>64500</v>
      </c>
      <c r="D90" s="106">
        <v>1140500</v>
      </c>
      <c r="E90" s="127"/>
      <c r="F90" s="99"/>
    </row>
    <row r="91" spans="1:6" ht="14.25" customHeight="1" x14ac:dyDescent="0.35">
      <c r="A91" s="105">
        <v>2037</v>
      </c>
      <c r="B91" s="106">
        <v>23800</v>
      </c>
      <c r="C91" s="106">
        <v>64500</v>
      </c>
      <c r="D91" s="106">
        <v>1140500</v>
      </c>
      <c r="E91" s="127"/>
      <c r="F91" s="99"/>
    </row>
    <row r="92" spans="1:6" ht="14.25" customHeight="1" x14ac:dyDescent="0.35">
      <c r="A92" s="105">
        <v>2038</v>
      </c>
      <c r="B92" s="106">
        <v>23800</v>
      </c>
      <c r="C92" s="106">
        <v>64500</v>
      </c>
      <c r="D92" s="106">
        <v>1140500</v>
      </c>
      <c r="E92" s="127"/>
      <c r="F92" s="99"/>
    </row>
    <row r="93" spans="1:6" ht="14.25" customHeight="1" x14ac:dyDescent="0.35">
      <c r="A93" s="105">
        <v>2039</v>
      </c>
      <c r="B93" s="106">
        <v>23800</v>
      </c>
      <c r="C93" s="106">
        <v>64500</v>
      </c>
      <c r="D93" s="106">
        <v>1140500</v>
      </c>
      <c r="E93" s="127"/>
      <c r="F93" s="99"/>
    </row>
    <row r="94" spans="1:6" ht="14.25" customHeight="1" x14ac:dyDescent="0.35">
      <c r="A94" s="105">
        <v>2040</v>
      </c>
      <c r="B94" s="106">
        <v>23800</v>
      </c>
      <c r="C94" s="106">
        <v>64500</v>
      </c>
      <c r="D94" s="106">
        <v>1140500</v>
      </c>
      <c r="E94" s="127"/>
      <c r="F94" s="99"/>
    </row>
    <row r="95" spans="1:6" ht="14.25" customHeight="1" x14ac:dyDescent="0.35">
      <c r="A95" s="105">
        <v>2041</v>
      </c>
      <c r="B95" s="106">
        <v>23800</v>
      </c>
      <c r="C95" s="106">
        <v>64500</v>
      </c>
      <c r="D95" s="106">
        <v>1140500</v>
      </c>
      <c r="E95" s="127"/>
      <c r="F95" s="99"/>
    </row>
    <row r="96" spans="1:6" ht="14.25" customHeight="1" x14ac:dyDescent="0.35">
      <c r="A96" s="105">
        <v>2042</v>
      </c>
      <c r="B96" s="106">
        <v>23800</v>
      </c>
      <c r="C96" s="106">
        <v>64500</v>
      </c>
      <c r="D96" s="106">
        <v>1140500</v>
      </c>
      <c r="E96" s="127"/>
      <c r="F96" s="99"/>
    </row>
    <row r="97" spans="1:6" ht="14.25" customHeight="1" x14ac:dyDescent="0.35">
      <c r="A97" s="105">
        <v>2043</v>
      </c>
      <c r="B97" s="106">
        <v>23800</v>
      </c>
      <c r="C97" s="106">
        <v>64500</v>
      </c>
      <c r="D97" s="106">
        <v>1140500</v>
      </c>
      <c r="E97" s="127"/>
      <c r="F97" s="99"/>
    </row>
    <row r="98" spans="1:6" ht="14.25" customHeight="1" x14ac:dyDescent="0.35">
      <c r="A98" s="105">
        <v>2044</v>
      </c>
      <c r="B98" s="106">
        <v>23800</v>
      </c>
      <c r="C98" s="106">
        <v>64500</v>
      </c>
      <c r="D98" s="106">
        <v>1140500</v>
      </c>
      <c r="E98" s="127"/>
      <c r="F98" s="99"/>
    </row>
    <row r="99" spans="1:6" ht="14.25" customHeight="1" x14ac:dyDescent="0.35">
      <c r="A99" s="105">
        <v>2045</v>
      </c>
      <c r="B99" s="106">
        <v>23800</v>
      </c>
      <c r="C99" s="106">
        <v>64500</v>
      </c>
      <c r="D99" s="106">
        <v>1140500</v>
      </c>
      <c r="E99" s="127"/>
      <c r="F99" s="99"/>
    </row>
    <row r="100" spans="1:6" ht="14.25" customHeight="1" x14ac:dyDescent="0.35">
      <c r="A100" s="105">
        <v>2046</v>
      </c>
      <c r="B100" s="106">
        <v>23800</v>
      </c>
      <c r="C100" s="106">
        <v>64500</v>
      </c>
      <c r="D100" s="106">
        <v>1140500</v>
      </c>
      <c r="E100" s="127"/>
      <c r="F100" s="99"/>
    </row>
    <row r="101" spans="1:6" ht="14.25" customHeight="1" x14ac:dyDescent="0.35">
      <c r="A101" s="105">
        <v>2047</v>
      </c>
      <c r="B101" s="106">
        <v>23800</v>
      </c>
      <c r="C101" s="106">
        <v>64500</v>
      </c>
      <c r="D101" s="106">
        <v>1140500</v>
      </c>
      <c r="E101" s="127"/>
      <c r="F101" s="99"/>
    </row>
    <row r="102" spans="1:6" ht="14.25" customHeight="1" x14ac:dyDescent="0.35">
      <c r="A102" s="105">
        <v>2048</v>
      </c>
      <c r="B102" s="106">
        <v>23800</v>
      </c>
      <c r="C102" s="106">
        <v>64500</v>
      </c>
      <c r="D102" s="106">
        <v>1140500</v>
      </c>
      <c r="E102" s="127"/>
      <c r="F102" s="99"/>
    </row>
    <row r="103" spans="1:6" ht="14.25" customHeight="1" x14ac:dyDescent="0.35">
      <c r="A103" s="105">
        <v>2049</v>
      </c>
      <c r="B103" s="106">
        <v>23800</v>
      </c>
      <c r="C103" s="106">
        <v>64500</v>
      </c>
      <c r="D103" s="106">
        <v>1140500</v>
      </c>
      <c r="E103" s="127"/>
      <c r="F103" s="99"/>
    </row>
    <row r="104" spans="1:6" ht="14.25" customHeight="1" x14ac:dyDescent="0.35">
      <c r="A104" s="105">
        <v>2050</v>
      </c>
      <c r="B104" s="106">
        <v>23800</v>
      </c>
      <c r="C104" s="106">
        <v>64500</v>
      </c>
      <c r="D104" s="106">
        <v>1140500</v>
      </c>
      <c r="E104" s="127"/>
      <c r="F104" s="99"/>
    </row>
    <row r="105" spans="1:6" ht="14.25" customHeight="1" x14ac:dyDescent="0.35">
      <c r="A105" s="105">
        <v>2051</v>
      </c>
      <c r="B105" s="106">
        <v>23800</v>
      </c>
      <c r="C105" s="106">
        <v>64500</v>
      </c>
      <c r="D105" s="106">
        <v>1140500</v>
      </c>
      <c r="E105" s="127"/>
      <c r="F105" s="99"/>
    </row>
    <row r="106" spans="1:6" ht="14.25" customHeight="1" x14ac:dyDescent="0.35">
      <c r="A106" s="105">
        <v>2052</v>
      </c>
      <c r="B106" s="106">
        <v>23800</v>
      </c>
      <c r="C106" s="106">
        <v>64500</v>
      </c>
      <c r="D106" s="106">
        <v>1140500</v>
      </c>
      <c r="E106" s="127"/>
      <c r="F106" s="99"/>
    </row>
    <row r="107" spans="1:6" ht="14.25" customHeight="1" x14ac:dyDescent="0.35">
      <c r="A107" s="105">
        <v>2053</v>
      </c>
      <c r="B107" s="106">
        <v>23800</v>
      </c>
      <c r="C107" s="106">
        <v>64500</v>
      </c>
      <c r="D107" s="106">
        <v>1140500</v>
      </c>
      <c r="E107" s="127"/>
      <c r="F107" s="99"/>
    </row>
    <row r="108" spans="1:6" ht="14.25" customHeight="1" x14ac:dyDescent="0.35">
      <c r="A108" s="105">
        <v>2054</v>
      </c>
      <c r="B108" s="106">
        <v>23800</v>
      </c>
      <c r="C108" s="106">
        <v>64500</v>
      </c>
      <c r="D108" s="106">
        <v>1140500</v>
      </c>
      <c r="E108" s="127"/>
      <c r="F108" s="99"/>
    </row>
    <row r="109" spans="1:6" ht="14.25" customHeight="1" x14ac:dyDescent="0.35">
      <c r="A109" s="105">
        <v>2055</v>
      </c>
      <c r="B109" s="106">
        <v>23800</v>
      </c>
      <c r="C109" s="106">
        <v>64500</v>
      </c>
      <c r="D109" s="106">
        <v>1140500</v>
      </c>
      <c r="E109" s="127"/>
      <c r="F109" s="99"/>
    </row>
    <row r="110" spans="1:6" ht="14.25" customHeight="1" x14ac:dyDescent="0.35">
      <c r="A110" s="128"/>
      <c r="B110" s="129"/>
      <c r="C110" s="129"/>
      <c r="D110" s="130"/>
      <c r="E110" s="127"/>
      <c r="F110" s="99"/>
    </row>
    <row r="111" spans="1:6" ht="27.75" customHeight="1" x14ac:dyDescent="0.35">
      <c r="A111" s="386" t="s">
        <v>331</v>
      </c>
      <c r="B111" s="386"/>
      <c r="C111" s="386"/>
      <c r="D111" s="386"/>
      <c r="E111" s="131"/>
      <c r="F111" s="99"/>
    </row>
    <row r="112" spans="1:6" ht="16.5" customHeight="1" x14ac:dyDescent="0.35">
      <c r="A112" s="393" t="s">
        <v>332</v>
      </c>
      <c r="B112" s="393"/>
      <c r="C112" s="393"/>
      <c r="D112" s="393"/>
      <c r="E112" s="131"/>
      <c r="F112" s="99"/>
    </row>
    <row r="113" spans="1:6" ht="14.25" customHeight="1" x14ac:dyDescent="0.35">
      <c r="A113" s="3" t="s">
        <v>2</v>
      </c>
      <c r="B113" s="103"/>
      <c r="C113" s="103"/>
      <c r="D113" s="103"/>
      <c r="E113" s="103"/>
      <c r="F113" s="99"/>
    </row>
    <row r="114" spans="1:6" ht="14.25" customHeight="1" x14ac:dyDescent="0.35">
      <c r="A114" s="102" t="s">
        <v>333</v>
      </c>
      <c r="B114" s="103"/>
      <c r="C114" s="103"/>
      <c r="D114" s="103"/>
      <c r="E114" s="103"/>
      <c r="F114" s="99"/>
    </row>
    <row r="115" spans="1:6" ht="34.5" customHeight="1" x14ac:dyDescent="0.35">
      <c r="A115" s="112" t="s">
        <v>334</v>
      </c>
      <c r="B115" s="113" t="s">
        <v>335</v>
      </c>
      <c r="C115" s="103"/>
      <c r="D115" s="103"/>
      <c r="E115" s="103"/>
      <c r="F115" s="99"/>
    </row>
    <row r="116" spans="1:6" ht="14.25" customHeight="1" x14ac:dyDescent="0.35">
      <c r="A116" s="132">
        <v>2005</v>
      </c>
      <c r="B116" s="114">
        <v>1.54</v>
      </c>
      <c r="C116" s="103"/>
      <c r="D116" s="103"/>
      <c r="E116" s="103"/>
      <c r="F116" s="99"/>
    </row>
    <row r="117" spans="1:6" ht="14.25" customHeight="1" x14ac:dyDescent="0.35">
      <c r="A117" s="132">
        <v>2006</v>
      </c>
      <c r="B117" s="114">
        <v>1.49</v>
      </c>
      <c r="C117" s="103"/>
      <c r="D117" s="103"/>
      <c r="E117" s="103"/>
      <c r="F117" s="99"/>
    </row>
    <row r="118" spans="1:6" ht="14.25" customHeight="1" x14ac:dyDescent="0.35">
      <c r="A118" s="132">
        <v>2007</v>
      </c>
      <c r="B118" s="114">
        <v>1.45</v>
      </c>
      <c r="C118" s="103"/>
      <c r="D118" s="103"/>
      <c r="E118" s="103"/>
      <c r="F118" s="99"/>
    </row>
    <row r="119" spans="1:6" ht="14.25" customHeight="1" x14ac:dyDescent="0.35">
      <c r="A119" s="132">
        <v>2008</v>
      </c>
      <c r="B119" s="114">
        <v>1.43</v>
      </c>
      <c r="C119" s="103"/>
      <c r="D119" s="103"/>
      <c r="E119" s="103"/>
      <c r="F119" s="99"/>
    </row>
    <row r="120" spans="1:6" ht="14.25" customHeight="1" x14ac:dyDescent="0.35">
      <c r="A120" s="132">
        <v>2009</v>
      </c>
      <c r="B120" s="114">
        <v>1.42</v>
      </c>
      <c r="C120" s="103"/>
      <c r="D120" s="103"/>
      <c r="E120" s="103"/>
      <c r="F120" s="99"/>
    </row>
    <row r="121" spans="1:6" ht="14.25" customHeight="1" x14ac:dyDescent="0.35">
      <c r="A121" s="132">
        <v>2010</v>
      </c>
      <c r="B121" s="114">
        <v>1.4</v>
      </c>
      <c r="C121" s="103"/>
      <c r="D121" s="103"/>
      <c r="E121" s="103"/>
      <c r="F121" s="99"/>
    </row>
    <row r="122" spans="1:6" ht="14.25" customHeight="1" x14ac:dyDescent="0.35">
      <c r="A122" s="132">
        <v>2011</v>
      </c>
      <c r="B122" s="114">
        <v>1.37</v>
      </c>
      <c r="C122" s="103"/>
      <c r="D122" s="103"/>
      <c r="E122" s="103"/>
      <c r="F122" s="99"/>
    </row>
    <row r="123" spans="1:6" ht="14.25" customHeight="1" x14ac:dyDescent="0.35">
      <c r="A123" s="132">
        <v>2012</v>
      </c>
      <c r="B123" s="114">
        <v>1.35</v>
      </c>
      <c r="C123" s="103"/>
      <c r="D123" s="103"/>
      <c r="E123" s="103"/>
      <c r="F123" s="99"/>
    </row>
    <row r="124" spans="1:6" ht="14.25" customHeight="1" x14ac:dyDescent="0.35">
      <c r="A124" s="132">
        <v>2013</v>
      </c>
      <c r="B124" s="114">
        <v>1.32</v>
      </c>
      <c r="C124" s="103"/>
      <c r="D124" s="103"/>
      <c r="E124" s="103"/>
      <c r="F124" s="99"/>
    </row>
    <row r="125" spans="1:6" ht="14.25" customHeight="1" x14ac:dyDescent="0.35">
      <c r="A125" s="132">
        <v>2014</v>
      </c>
      <c r="B125" s="114">
        <v>1.3</v>
      </c>
      <c r="C125" s="103"/>
      <c r="D125" s="103"/>
      <c r="E125" s="103"/>
      <c r="F125" s="99"/>
    </row>
    <row r="126" spans="1:6" ht="14.25" customHeight="1" x14ac:dyDescent="0.35">
      <c r="A126" s="132">
        <v>2015</v>
      </c>
      <c r="B126" s="114">
        <v>1.29</v>
      </c>
      <c r="C126" s="103"/>
      <c r="D126" s="103"/>
      <c r="E126" s="103"/>
      <c r="F126" s="99"/>
    </row>
    <row r="127" spans="1:6" ht="14.25" customHeight="1" x14ac:dyDescent="0.35">
      <c r="A127" s="132">
        <v>2016</v>
      </c>
      <c r="B127" s="114">
        <v>1.28</v>
      </c>
      <c r="C127" s="103"/>
      <c r="D127" s="103"/>
      <c r="E127" s="103"/>
      <c r="F127" s="99"/>
    </row>
    <row r="128" spans="1:6" ht="14.25" customHeight="1" x14ac:dyDescent="0.35">
      <c r="A128" s="132">
        <v>2017</v>
      </c>
      <c r="B128" s="114">
        <v>1.25</v>
      </c>
      <c r="C128" s="103"/>
      <c r="D128" s="103"/>
      <c r="E128" s="103"/>
      <c r="F128" s="99"/>
    </row>
    <row r="129" spans="1:6" ht="14.25" customHeight="1" x14ac:dyDescent="0.35">
      <c r="A129" s="132">
        <v>2018</v>
      </c>
      <c r="B129" s="114">
        <v>1.23</v>
      </c>
      <c r="C129" s="103"/>
      <c r="D129" s="103"/>
      <c r="E129" s="103"/>
      <c r="F129" s="99"/>
    </row>
    <row r="130" spans="1:6" ht="14.25" customHeight="1" x14ac:dyDescent="0.35">
      <c r="A130" s="132">
        <v>2019</v>
      </c>
      <c r="B130" s="114">
        <v>1.21</v>
      </c>
      <c r="C130" s="103"/>
      <c r="D130" s="103"/>
      <c r="E130" s="103"/>
      <c r="F130" s="99"/>
    </row>
    <row r="131" spans="1:6" ht="14.25" customHeight="1" x14ac:dyDescent="0.35">
      <c r="A131" s="132">
        <v>2020</v>
      </c>
      <c r="B131" s="114">
        <v>1.19</v>
      </c>
      <c r="C131" s="103"/>
      <c r="D131" s="103"/>
      <c r="E131" s="103"/>
      <c r="F131" s="99"/>
    </row>
    <row r="132" spans="1:6" ht="14.25" customHeight="1" x14ac:dyDescent="0.35">
      <c r="A132" s="132">
        <v>2021</v>
      </c>
      <c r="B132" s="114">
        <v>1.1399999999999999</v>
      </c>
      <c r="C132" s="103"/>
      <c r="D132" s="103"/>
      <c r="E132" s="103"/>
      <c r="F132" s="99"/>
    </row>
    <row r="133" spans="1:6" ht="14.25" customHeight="1" x14ac:dyDescent="0.35">
      <c r="A133" s="132">
        <v>2022</v>
      </c>
      <c r="B133" s="114">
        <v>1.06</v>
      </c>
      <c r="C133" s="103"/>
      <c r="D133" s="103"/>
      <c r="E133" s="103"/>
      <c r="F133" s="99"/>
    </row>
    <row r="134" spans="1:6" ht="14.25" customHeight="1" x14ac:dyDescent="0.35">
      <c r="A134" s="132">
        <v>2023</v>
      </c>
      <c r="B134" s="114">
        <v>1.02</v>
      </c>
      <c r="C134" s="103"/>
      <c r="D134" s="103"/>
      <c r="E134" s="103"/>
      <c r="F134" s="99"/>
    </row>
    <row r="135" spans="1:6" ht="14.25" customHeight="1" x14ac:dyDescent="0.35">
      <c r="A135" s="132">
        <v>2024</v>
      </c>
      <c r="B135" s="114">
        <v>1</v>
      </c>
      <c r="C135" s="103"/>
      <c r="D135" s="103"/>
      <c r="E135" s="103"/>
      <c r="F135" s="99"/>
    </row>
    <row r="136" spans="1:6" ht="14.25" customHeight="1" x14ac:dyDescent="0.35">
      <c r="A136" s="3" t="s">
        <v>2</v>
      </c>
      <c r="B136" s="103"/>
      <c r="C136" s="103"/>
      <c r="D136" s="103"/>
      <c r="E136" s="103"/>
      <c r="F136" s="99"/>
    </row>
    <row r="137" spans="1:6" ht="14.25" customHeight="1" x14ac:dyDescent="0.35">
      <c r="A137" s="102" t="s">
        <v>336</v>
      </c>
      <c r="B137" s="103"/>
      <c r="C137" s="103"/>
      <c r="D137" s="103"/>
      <c r="E137" s="103"/>
      <c r="F137" s="99"/>
    </row>
    <row r="138" spans="1:6" ht="51.75" customHeight="1" x14ac:dyDescent="0.35">
      <c r="A138" s="112" t="s">
        <v>337</v>
      </c>
      <c r="B138" s="113" t="s">
        <v>338</v>
      </c>
      <c r="C138" s="103"/>
      <c r="D138" s="103"/>
      <c r="E138" s="103"/>
      <c r="F138" s="99"/>
    </row>
    <row r="139" spans="1:6" ht="15.75" customHeight="1" x14ac:dyDescent="0.35">
      <c r="A139" s="133" t="s">
        <v>339</v>
      </c>
      <c r="B139" s="109">
        <v>0.13</v>
      </c>
      <c r="C139" s="103"/>
      <c r="D139" s="103"/>
      <c r="E139" s="103"/>
      <c r="F139" s="99"/>
    </row>
    <row r="140" spans="1:6" ht="14.25" customHeight="1" x14ac:dyDescent="0.35">
      <c r="A140" s="133" t="s">
        <v>340</v>
      </c>
      <c r="B140" s="109">
        <v>1.24</v>
      </c>
      <c r="C140" s="103"/>
      <c r="D140" s="103"/>
      <c r="E140" s="103"/>
      <c r="F140" s="99"/>
    </row>
    <row r="141" spans="1:6" ht="14.25" customHeight="1" x14ac:dyDescent="0.35">
      <c r="A141" s="133" t="s">
        <v>341</v>
      </c>
      <c r="B141" s="109">
        <v>0.1</v>
      </c>
      <c r="C141" s="103"/>
      <c r="D141" s="103"/>
      <c r="E141" s="103"/>
      <c r="F141" s="99"/>
    </row>
    <row r="142" spans="1:6" ht="30" customHeight="1" x14ac:dyDescent="0.35">
      <c r="A142" s="134" t="s">
        <v>342</v>
      </c>
      <c r="B142" s="135">
        <v>1.1000000000000001E-3</v>
      </c>
      <c r="C142" s="103"/>
      <c r="D142" s="103"/>
      <c r="E142" s="103"/>
      <c r="F142" s="99"/>
    </row>
    <row r="143" spans="1:6" ht="14.25" customHeight="1" x14ac:dyDescent="0.35">
      <c r="A143" s="3" t="s">
        <v>2</v>
      </c>
      <c r="B143" s="136"/>
      <c r="C143" s="103"/>
      <c r="D143" s="103"/>
      <c r="E143" s="103"/>
      <c r="F143" s="99"/>
    </row>
    <row r="144" spans="1:6" ht="30" customHeight="1" x14ac:dyDescent="0.35">
      <c r="A144" s="112" t="s">
        <v>337</v>
      </c>
      <c r="B144" s="113" t="s">
        <v>343</v>
      </c>
      <c r="C144" s="103"/>
      <c r="D144" s="103"/>
      <c r="E144" s="103"/>
      <c r="F144" s="99"/>
    </row>
    <row r="145" spans="1:6" ht="34.5" customHeight="1" x14ac:dyDescent="0.35">
      <c r="A145" s="134" t="s">
        <v>344</v>
      </c>
      <c r="B145" s="109">
        <v>0.22</v>
      </c>
      <c r="C145" s="103"/>
      <c r="D145" s="103"/>
      <c r="E145" s="103"/>
      <c r="F145" s="99"/>
    </row>
    <row r="146" spans="1:6" ht="35.25" customHeight="1" x14ac:dyDescent="0.35">
      <c r="A146" s="134" t="s">
        <v>345</v>
      </c>
      <c r="B146" s="109">
        <v>0.56999999999999995</v>
      </c>
      <c r="C146" s="103"/>
      <c r="D146" s="103"/>
      <c r="E146" s="103"/>
      <c r="F146" s="99"/>
    </row>
    <row r="147" spans="1:6" ht="14.25" customHeight="1" x14ac:dyDescent="0.35">
      <c r="A147" s="137"/>
      <c r="B147" s="138"/>
      <c r="C147" s="103"/>
      <c r="D147" s="103"/>
      <c r="E147" s="103"/>
      <c r="F147" s="99"/>
    </row>
    <row r="148" spans="1:6" ht="111" customHeight="1" x14ac:dyDescent="0.35">
      <c r="A148" s="386" t="s">
        <v>346</v>
      </c>
      <c r="B148" s="386"/>
      <c r="C148" s="103"/>
      <c r="D148" s="103"/>
      <c r="E148" s="103"/>
      <c r="F148" s="99"/>
    </row>
    <row r="149" spans="1:6" ht="36" customHeight="1" x14ac:dyDescent="0.35">
      <c r="A149" s="388" t="s">
        <v>347</v>
      </c>
      <c r="B149" s="388"/>
      <c r="C149" s="103"/>
      <c r="D149" s="103"/>
      <c r="E149" s="103"/>
      <c r="F149" s="99"/>
    </row>
    <row r="150" spans="1:6" ht="14.25" customHeight="1" x14ac:dyDescent="0.35">
      <c r="A150" s="3" t="s">
        <v>2</v>
      </c>
      <c r="B150" s="103"/>
      <c r="C150" s="103"/>
      <c r="D150" s="103"/>
      <c r="E150" s="103"/>
      <c r="F150" s="99"/>
    </row>
    <row r="151" spans="1:6" ht="14.25" customHeight="1" x14ac:dyDescent="0.35">
      <c r="A151" s="102" t="s">
        <v>348</v>
      </c>
      <c r="B151" s="103"/>
      <c r="C151" s="103"/>
      <c r="D151" s="103"/>
      <c r="E151" s="103"/>
      <c r="F151" s="99"/>
    </row>
    <row r="152" spans="1:6" ht="36.75" customHeight="1" x14ac:dyDescent="0.35">
      <c r="A152" s="112" t="s">
        <v>349</v>
      </c>
      <c r="B152" s="113" t="s">
        <v>350</v>
      </c>
      <c r="C152" s="103"/>
      <c r="D152" s="103"/>
      <c r="E152" s="103"/>
      <c r="F152" s="99"/>
    </row>
    <row r="153" spans="1:6" ht="14.25" customHeight="1" x14ac:dyDescent="0.35">
      <c r="A153" s="105" t="s">
        <v>351</v>
      </c>
      <c r="B153" s="116">
        <v>1.76</v>
      </c>
      <c r="C153" s="103"/>
      <c r="D153" s="103"/>
      <c r="E153" s="103"/>
      <c r="F153" s="99"/>
    </row>
    <row r="154" spans="1:6" ht="15.75" customHeight="1" x14ac:dyDescent="0.35">
      <c r="A154" s="105" t="s">
        <v>352</v>
      </c>
      <c r="B154" s="116">
        <v>2.21</v>
      </c>
      <c r="C154" s="103"/>
      <c r="D154" s="103"/>
      <c r="E154" s="103"/>
      <c r="F154" s="99"/>
    </row>
    <row r="155" spans="1:6" ht="14.25" customHeight="1" x14ac:dyDescent="0.35">
      <c r="A155" s="105" t="s">
        <v>353</v>
      </c>
      <c r="B155" s="116">
        <v>2.09</v>
      </c>
      <c r="C155" s="103"/>
      <c r="D155" s="103"/>
      <c r="E155" s="103"/>
      <c r="F155" s="99"/>
    </row>
    <row r="156" spans="1:6" ht="14.25" customHeight="1" x14ac:dyDescent="0.35">
      <c r="A156" s="105" t="s">
        <v>354</v>
      </c>
      <c r="B156" s="116">
        <v>0.33</v>
      </c>
      <c r="C156" s="103"/>
      <c r="D156" s="103"/>
      <c r="E156" s="103"/>
      <c r="F156" s="99"/>
    </row>
    <row r="157" spans="1:6" ht="14.25" customHeight="1" x14ac:dyDescent="0.35">
      <c r="A157" s="105" t="s">
        <v>355</v>
      </c>
      <c r="B157" s="116">
        <v>2.09</v>
      </c>
      <c r="C157" s="103"/>
      <c r="D157" s="103"/>
      <c r="E157" s="103"/>
      <c r="F157" s="99"/>
    </row>
    <row r="158" spans="1:6" ht="14.25" customHeight="1" x14ac:dyDescent="0.35">
      <c r="A158" s="110"/>
      <c r="B158" s="111"/>
      <c r="C158" s="103"/>
      <c r="D158" s="103"/>
      <c r="E158" s="103"/>
      <c r="F158" s="99"/>
    </row>
    <row r="159" spans="1:6" ht="153.75" customHeight="1" x14ac:dyDescent="0.35">
      <c r="A159" s="386" t="s">
        <v>356</v>
      </c>
      <c r="B159" s="386"/>
      <c r="C159" s="103"/>
      <c r="D159" s="103"/>
      <c r="E159" s="103"/>
      <c r="F159" s="99"/>
    </row>
    <row r="160" spans="1:6" ht="50.25" customHeight="1" x14ac:dyDescent="0.35">
      <c r="A160" s="388" t="s">
        <v>357</v>
      </c>
      <c r="B160" s="388"/>
      <c r="C160" s="103"/>
      <c r="D160" s="103"/>
      <c r="E160" s="103"/>
      <c r="F160" s="99"/>
    </row>
    <row r="161" spans="1:6" ht="14.25" customHeight="1" x14ac:dyDescent="0.35">
      <c r="A161" s="3" t="s">
        <v>2</v>
      </c>
      <c r="F161" s="99"/>
    </row>
    <row r="162" spans="1:6" ht="14.25" customHeight="1" x14ac:dyDescent="0.35">
      <c r="A162" s="102" t="s">
        <v>358</v>
      </c>
      <c r="F162" s="99"/>
    </row>
    <row r="163" spans="1:6" ht="15.75" customHeight="1" x14ac:dyDescent="0.35">
      <c r="A163" s="384" t="s">
        <v>359</v>
      </c>
      <c r="B163" s="389" t="s">
        <v>360</v>
      </c>
      <c r="C163" s="389"/>
      <c r="D163" s="389"/>
      <c r="F163" s="99"/>
    </row>
    <row r="164" spans="1:6" ht="37.5" customHeight="1" x14ac:dyDescent="0.35">
      <c r="A164" s="384"/>
      <c r="B164" s="113" t="s">
        <v>361</v>
      </c>
      <c r="C164" s="113" t="s">
        <v>362</v>
      </c>
      <c r="D164" s="113" t="s">
        <v>363</v>
      </c>
      <c r="F164" s="99"/>
    </row>
    <row r="165" spans="1:6" ht="14.25" customHeight="1" x14ac:dyDescent="0.35">
      <c r="A165" s="139" t="s">
        <v>364</v>
      </c>
      <c r="B165" s="140">
        <v>0.04</v>
      </c>
      <c r="C165" s="140">
        <v>0.04</v>
      </c>
      <c r="D165" s="140">
        <v>7.0000000000000007E-2</v>
      </c>
      <c r="F165" s="99"/>
    </row>
    <row r="166" spans="1:6" ht="14.25" customHeight="1" x14ac:dyDescent="0.35">
      <c r="A166" s="139" t="s">
        <v>365</v>
      </c>
      <c r="B166" s="140">
        <v>0.36</v>
      </c>
      <c r="C166" s="140">
        <v>0.17</v>
      </c>
      <c r="D166" s="140">
        <v>1</v>
      </c>
      <c r="F166" s="99"/>
    </row>
    <row r="167" spans="1:6" ht="14.25" customHeight="1" x14ac:dyDescent="0.35">
      <c r="A167" s="139" t="s">
        <v>366</v>
      </c>
      <c r="B167" s="140">
        <v>0.27</v>
      </c>
      <c r="C167" s="140">
        <v>0.27</v>
      </c>
      <c r="D167" s="140">
        <v>0.13</v>
      </c>
      <c r="F167" s="99"/>
    </row>
    <row r="168" spans="1:6" ht="14.25" customHeight="1" x14ac:dyDescent="0.35">
      <c r="A168" s="139" t="s">
        <v>367</v>
      </c>
      <c r="B168" s="140">
        <v>0.36</v>
      </c>
      <c r="C168" s="140">
        <v>0.06</v>
      </c>
      <c r="D168" s="140">
        <v>0.12</v>
      </c>
      <c r="F168" s="99"/>
    </row>
    <row r="169" spans="1:6" ht="15.75" customHeight="1" x14ac:dyDescent="0.35">
      <c r="A169" s="139" t="s">
        <v>368</v>
      </c>
      <c r="B169" s="140">
        <v>0.22</v>
      </c>
      <c r="C169" s="140">
        <v>0.16</v>
      </c>
      <c r="D169" s="140">
        <v>0.15</v>
      </c>
      <c r="F169" s="99"/>
    </row>
    <row r="170" spans="1:6" ht="15.75" customHeight="1" x14ac:dyDescent="0.35">
      <c r="A170" s="139" t="s">
        <v>369</v>
      </c>
      <c r="B170" s="140">
        <v>0.28999999999999998</v>
      </c>
      <c r="C170" s="140">
        <v>0.19</v>
      </c>
      <c r="D170" s="140">
        <v>0.15</v>
      </c>
      <c r="F170" s="99"/>
    </row>
    <row r="171" spans="1:6" ht="14.25" customHeight="1" x14ac:dyDescent="0.35">
      <c r="A171" s="139" t="s">
        <v>370</v>
      </c>
      <c r="B171" s="140">
        <v>0.17</v>
      </c>
      <c r="C171" s="140">
        <v>0.17</v>
      </c>
      <c r="D171" s="140">
        <v>0.12</v>
      </c>
      <c r="F171" s="99"/>
    </row>
    <row r="172" spans="1:6" ht="14.25" customHeight="1" x14ac:dyDescent="0.35">
      <c r="A172" s="139" t="s">
        <v>371</v>
      </c>
      <c r="B172" s="140">
        <v>0.13</v>
      </c>
      <c r="C172" s="140">
        <v>0.13</v>
      </c>
      <c r="D172" s="140">
        <v>7.0000000000000007E-2</v>
      </c>
      <c r="F172" s="99"/>
    </row>
    <row r="173" spans="1:6" ht="14.25" customHeight="1" x14ac:dyDescent="0.35">
      <c r="A173" s="139" t="s">
        <v>372</v>
      </c>
      <c r="B173" s="140">
        <v>0.09</v>
      </c>
      <c r="C173" s="140">
        <v>0.03</v>
      </c>
      <c r="D173" s="140">
        <v>0.21</v>
      </c>
      <c r="F173" s="99"/>
    </row>
    <row r="174" spans="1:6" ht="14.25" customHeight="1" x14ac:dyDescent="0.35">
      <c r="A174" s="139" t="s">
        <v>373</v>
      </c>
      <c r="B174" s="140">
        <v>0.37</v>
      </c>
      <c r="C174" s="140">
        <v>0.37</v>
      </c>
      <c r="D174" s="140">
        <v>0.23</v>
      </c>
      <c r="F174" s="99"/>
    </row>
    <row r="175" spans="1:6" ht="14.25" customHeight="1" x14ac:dyDescent="0.35">
      <c r="A175" s="139" t="s">
        <v>374</v>
      </c>
      <c r="B175" s="140">
        <v>0.48</v>
      </c>
      <c r="C175" s="140">
        <v>0.09</v>
      </c>
      <c r="D175" s="140">
        <v>0.08</v>
      </c>
      <c r="F175" s="99"/>
    </row>
    <row r="176" spans="1:6" ht="14.25" customHeight="1" x14ac:dyDescent="0.35">
      <c r="A176" s="139" t="s">
        <v>375</v>
      </c>
      <c r="B176" s="140">
        <v>0.36</v>
      </c>
      <c r="C176" s="140">
        <v>0.36</v>
      </c>
      <c r="D176" s="140">
        <v>0.37</v>
      </c>
      <c r="F176" s="99"/>
    </row>
    <row r="177" spans="1:6" ht="15.75" customHeight="1" x14ac:dyDescent="0.35">
      <c r="A177" s="139" t="s">
        <v>376</v>
      </c>
      <c r="B177" s="140">
        <v>0.72</v>
      </c>
      <c r="C177" s="140">
        <v>0.72</v>
      </c>
      <c r="D177" s="140">
        <v>0.72</v>
      </c>
      <c r="F177" s="99"/>
    </row>
    <row r="178" spans="1:6" ht="14.25" customHeight="1" x14ac:dyDescent="0.35">
      <c r="A178" s="139" t="s">
        <v>377</v>
      </c>
      <c r="B178" s="140">
        <v>0.12</v>
      </c>
      <c r="C178" s="140">
        <v>0.12</v>
      </c>
      <c r="D178" s="140">
        <v>0.08</v>
      </c>
      <c r="F178" s="99"/>
    </row>
    <row r="179" spans="1:6" ht="14.25" customHeight="1" x14ac:dyDescent="0.35">
      <c r="A179" s="139" t="s">
        <v>378</v>
      </c>
      <c r="B179" s="140">
        <v>0.27</v>
      </c>
      <c r="C179" s="140">
        <v>0.11</v>
      </c>
      <c r="D179" s="140">
        <v>0.55000000000000004</v>
      </c>
      <c r="F179" s="99"/>
    </row>
    <row r="180" spans="1:6" ht="14.25" customHeight="1" x14ac:dyDescent="0.35">
      <c r="A180" s="139" t="s">
        <v>379</v>
      </c>
      <c r="B180" s="141" t="s">
        <v>323</v>
      </c>
      <c r="C180" s="141" t="s">
        <v>323</v>
      </c>
      <c r="D180" s="140">
        <v>0.11</v>
      </c>
      <c r="F180" s="99"/>
    </row>
    <row r="181" spans="1:6" ht="14.25" customHeight="1" x14ac:dyDescent="0.35">
      <c r="A181" s="139" t="s">
        <v>380</v>
      </c>
      <c r="B181" s="141" t="s">
        <v>323</v>
      </c>
      <c r="C181" s="141" t="s">
        <v>323</v>
      </c>
      <c r="D181" s="140">
        <v>0.13</v>
      </c>
      <c r="F181" s="99"/>
    </row>
    <row r="182" spans="1:6" ht="14.25" customHeight="1" x14ac:dyDescent="0.35">
      <c r="A182" s="139" t="s">
        <v>381</v>
      </c>
      <c r="B182" s="141" t="s">
        <v>323</v>
      </c>
      <c r="C182" s="141" t="s">
        <v>323</v>
      </c>
      <c r="D182" s="140">
        <v>0.08</v>
      </c>
      <c r="F182" s="99"/>
    </row>
    <row r="183" spans="1:6" ht="14.25" customHeight="1" x14ac:dyDescent="0.35">
      <c r="A183" s="139" t="s">
        <v>382</v>
      </c>
      <c r="B183" s="141" t="s">
        <v>323</v>
      </c>
      <c r="C183" s="141" t="s">
        <v>323</v>
      </c>
      <c r="D183" s="140">
        <v>0.04</v>
      </c>
      <c r="F183" s="99"/>
    </row>
    <row r="184" spans="1:6" ht="14.25" customHeight="1" x14ac:dyDescent="0.35">
      <c r="A184" s="139" t="s">
        <v>383</v>
      </c>
      <c r="B184" s="141" t="s">
        <v>323</v>
      </c>
      <c r="C184" s="141" t="s">
        <v>323</v>
      </c>
      <c r="D184" s="140">
        <v>0.11</v>
      </c>
      <c r="F184" s="99"/>
    </row>
    <row r="185" spans="1:6" ht="14.25" customHeight="1" x14ac:dyDescent="0.35">
      <c r="A185" s="139" t="s">
        <v>384</v>
      </c>
      <c r="B185" s="141" t="s">
        <v>323</v>
      </c>
      <c r="C185" s="141" t="s">
        <v>323</v>
      </c>
      <c r="D185" s="140">
        <v>0.06</v>
      </c>
      <c r="F185" s="99"/>
    </row>
    <row r="186" spans="1:6" ht="15.75" customHeight="1" x14ac:dyDescent="0.35">
      <c r="A186" s="139" t="s">
        <v>385</v>
      </c>
      <c r="B186" s="141" t="s">
        <v>323</v>
      </c>
      <c r="C186" s="141" t="s">
        <v>323</v>
      </c>
      <c r="D186" s="140">
        <v>0.23</v>
      </c>
      <c r="F186" s="99"/>
    </row>
    <row r="187" spans="1:6" ht="14.25" customHeight="1" x14ac:dyDescent="0.35">
      <c r="A187" s="142"/>
      <c r="B187" s="59"/>
      <c r="C187" s="59"/>
      <c r="D187" s="143"/>
      <c r="F187" s="99"/>
    </row>
    <row r="188" spans="1:6" ht="63.75" customHeight="1" x14ac:dyDescent="0.35">
      <c r="A188" s="388" t="s">
        <v>386</v>
      </c>
      <c r="B188" s="388"/>
      <c r="C188" s="388"/>
      <c r="D188" s="388"/>
      <c r="F188" s="99"/>
    </row>
    <row r="189" spans="1:6" ht="14.25" customHeight="1" x14ac:dyDescent="0.35">
      <c r="A189" s="3" t="s">
        <v>2</v>
      </c>
      <c r="F189" s="99"/>
    </row>
    <row r="190" spans="1:6" ht="14.25" customHeight="1" x14ac:dyDescent="0.35">
      <c r="A190" s="102" t="s">
        <v>387</v>
      </c>
      <c r="F190" s="99"/>
    </row>
    <row r="191" spans="1:6" ht="14.25" customHeight="1" x14ac:dyDescent="0.35">
      <c r="A191" s="384" t="s">
        <v>359</v>
      </c>
      <c r="B191" s="389" t="s">
        <v>360</v>
      </c>
      <c r="C191" s="389"/>
      <c r="D191" s="389"/>
      <c r="F191" s="99"/>
    </row>
    <row r="192" spans="1:6" ht="14.25" customHeight="1" x14ac:dyDescent="0.35">
      <c r="A192" s="384"/>
      <c r="B192" s="113" t="s">
        <v>388</v>
      </c>
      <c r="C192" s="113" t="s">
        <v>389</v>
      </c>
      <c r="D192" s="113" t="s">
        <v>390</v>
      </c>
      <c r="F192" s="99"/>
    </row>
    <row r="193" spans="1:6" ht="14.25" customHeight="1" x14ac:dyDescent="0.35">
      <c r="A193" s="139" t="s">
        <v>365</v>
      </c>
      <c r="B193" s="140">
        <v>0.25</v>
      </c>
      <c r="C193" s="140">
        <v>0.25</v>
      </c>
      <c r="D193" s="140">
        <v>0.25</v>
      </c>
      <c r="F193" s="99"/>
    </row>
    <row r="194" spans="1:6" ht="14.25" customHeight="1" x14ac:dyDescent="0.35">
      <c r="A194" s="139" t="s">
        <v>391</v>
      </c>
      <c r="B194" s="140">
        <v>0.15</v>
      </c>
      <c r="C194" s="140">
        <v>0.15</v>
      </c>
      <c r="D194" s="140">
        <v>0.36</v>
      </c>
      <c r="F194" s="99"/>
    </row>
    <row r="195" spans="1:6" ht="14.25" customHeight="1" x14ac:dyDescent="0.35">
      <c r="A195" s="139" t="s">
        <v>392</v>
      </c>
      <c r="B195" s="140">
        <v>0.1</v>
      </c>
      <c r="C195" s="140">
        <v>0.1</v>
      </c>
      <c r="D195" s="140">
        <v>0.1</v>
      </c>
      <c r="F195" s="99"/>
    </row>
    <row r="196" spans="1:6" ht="14.25" customHeight="1" x14ac:dyDescent="0.35">
      <c r="A196" s="139" t="s">
        <v>367</v>
      </c>
      <c r="B196" s="140">
        <v>0.44</v>
      </c>
      <c r="C196" s="140">
        <v>0.44</v>
      </c>
      <c r="D196" s="140">
        <v>0.45</v>
      </c>
      <c r="F196" s="99"/>
    </row>
    <row r="197" spans="1:6" ht="14.25" customHeight="1" x14ac:dyDescent="0.35">
      <c r="A197" s="139" t="s">
        <v>375</v>
      </c>
      <c r="B197" s="140">
        <v>0.25</v>
      </c>
      <c r="C197" s="140">
        <v>0.25</v>
      </c>
      <c r="D197" s="140">
        <v>0.73</v>
      </c>
      <c r="F197" s="99"/>
    </row>
    <row r="198" spans="1:6" ht="14.25" customHeight="1" x14ac:dyDescent="0.35">
      <c r="A198" s="139" t="s">
        <v>393</v>
      </c>
      <c r="B198" s="140">
        <v>0.36</v>
      </c>
      <c r="C198" s="140">
        <v>0.14000000000000001</v>
      </c>
      <c r="D198" s="140">
        <v>0.55000000000000004</v>
      </c>
      <c r="F198" s="99"/>
    </row>
    <row r="199" spans="1:6" ht="14.25" customHeight="1" x14ac:dyDescent="0.35">
      <c r="A199" s="139" t="s">
        <v>394</v>
      </c>
      <c r="B199" s="140">
        <v>0.05</v>
      </c>
      <c r="C199" s="140">
        <v>0.05</v>
      </c>
      <c r="D199" s="140">
        <v>0.05</v>
      </c>
      <c r="F199" s="99"/>
    </row>
    <row r="200" spans="1:6" ht="14.25" customHeight="1" x14ac:dyDescent="0.35">
      <c r="A200" s="139" t="s">
        <v>395</v>
      </c>
      <c r="B200" s="141" t="s">
        <v>323</v>
      </c>
      <c r="C200" s="141" t="s">
        <v>323</v>
      </c>
      <c r="D200" s="140">
        <v>0.03</v>
      </c>
      <c r="F200" s="99"/>
    </row>
    <row r="201" spans="1:6" ht="14.25" customHeight="1" x14ac:dyDescent="0.35">
      <c r="A201" s="139" t="s">
        <v>370</v>
      </c>
      <c r="B201" s="141" t="s">
        <v>323</v>
      </c>
      <c r="C201" s="141" t="s">
        <v>323</v>
      </c>
      <c r="D201" s="140">
        <v>0.22</v>
      </c>
      <c r="F201" s="99"/>
    </row>
    <row r="202" spans="1:6" ht="14.25" customHeight="1" x14ac:dyDescent="0.35">
      <c r="A202" s="3" t="s">
        <v>2</v>
      </c>
      <c r="F202" s="99"/>
    </row>
    <row r="203" spans="1:6" ht="14.25" customHeight="1" x14ac:dyDescent="0.35">
      <c r="A203" s="102" t="s">
        <v>396</v>
      </c>
      <c r="F203" s="99"/>
    </row>
    <row r="204" spans="1:6" ht="44.25" customHeight="1" x14ac:dyDescent="0.35">
      <c r="A204" s="112" t="s">
        <v>397</v>
      </c>
      <c r="B204" s="144" t="s">
        <v>398</v>
      </c>
      <c r="C204" s="144" t="s">
        <v>399</v>
      </c>
      <c r="F204" s="99"/>
    </row>
    <row r="205" spans="1:6" ht="16.5" customHeight="1" x14ac:dyDescent="0.35">
      <c r="A205" s="139" t="s">
        <v>400</v>
      </c>
      <c r="B205" s="140">
        <v>0.36</v>
      </c>
      <c r="C205" s="140">
        <v>0.44</v>
      </c>
      <c r="F205" s="99"/>
    </row>
    <row r="206" spans="1:6" ht="16.5" customHeight="1" x14ac:dyDescent="0.35">
      <c r="A206" s="139" t="s">
        <v>401</v>
      </c>
      <c r="B206" s="140">
        <v>0.73</v>
      </c>
      <c r="C206" s="140">
        <v>0.87</v>
      </c>
      <c r="F206" s="99"/>
    </row>
    <row r="207" spans="1:6" ht="16.5" customHeight="1" x14ac:dyDescent="0.35">
      <c r="A207" s="139" t="s">
        <v>402</v>
      </c>
      <c r="B207" s="140">
        <v>1.82</v>
      </c>
      <c r="C207" s="140">
        <v>1.74</v>
      </c>
      <c r="F207" s="99"/>
    </row>
    <row r="208" spans="1:6" ht="14.25" customHeight="1" x14ac:dyDescent="0.35">
      <c r="A208" s="139" t="s">
        <v>403</v>
      </c>
      <c r="B208" s="140">
        <v>2.1800000000000002</v>
      </c>
      <c r="C208" s="140">
        <v>2.1800000000000002</v>
      </c>
      <c r="F208" s="99"/>
    </row>
    <row r="209" spans="1:6" ht="14.25" customHeight="1" x14ac:dyDescent="0.35">
      <c r="A209" s="139" t="s">
        <v>404</v>
      </c>
      <c r="B209" s="140">
        <v>3.63</v>
      </c>
      <c r="C209" s="140">
        <v>3.92</v>
      </c>
      <c r="F209" s="99"/>
    </row>
    <row r="210" spans="1:6" ht="14.25" customHeight="1" x14ac:dyDescent="0.35">
      <c r="A210" s="139" t="s">
        <v>405</v>
      </c>
      <c r="B210" s="140">
        <v>4</v>
      </c>
      <c r="C210" s="140">
        <v>4.3600000000000003</v>
      </c>
      <c r="F210" s="99"/>
    </row>
    <row r="211" spans="1:6" ht="14.25" customHeight="1" x14ac:dyDescent="0.35">
      <c r="A211" s="139" t="s">
        <v>406</v>
      </c>
      <c r="B211" s="140">
        <v>5.81</v>
      </c>
      <c r="C211" s="140">
        <v>4.3600000000000003</v>
      </c>
      <c r="F211" s="99"/>
    </row>
    <row r="212" spans="1:6" ht="16.5" customHeight="1" x14ac:dyDescent="0.35">
      <c r="A212" s="139" t="s">
        <v>407</v>
      </c>
      <c r="B212" s="140">
        <v>4</v>
      </c>
      <c r="C212" s="140">
        <v>4.3600000000000003</v>
      </c>
      <c r="F212" s="99"/>
    </row>
    <row r="213" spans="1:6" ht="14.25" customHeight="1" x14ac:dyDescent="0.35">
      <c r="A213" s="142"/>
      <c r="B213" s="59"/>
      <c r="C213" s="143"/>
      <c r="F213" s="99"/>
    </row>
    <row r="214" spans="1:6" ht="48.75" customHeight="1" x14ac:dyDescent="0.35">
      <c r="A214" s="386" t="s">
        <v>408</v>
      </c>
      <c r="B214" s="386"/>
      <c r="C214" s="386"/>
      <c r="F214" s="99"/>
    </row>
    <row r="215" spans="1:6" ht="96.75" customHeight="1" x14ac:dyDescent="0.35">
      <c r="A215" s="386" t="s">
        <v>409</v>
      </c>
      <c r="B215" s="386"/>
      <c r="C215" s="386"/>
      <c r="F215" s="99"/>
    </row>
    <row r="216" spans="1:6" ht="66.75" customHeight="1" x14ac:dyDescent="0.35">
      <c r="A216" s="388" t="s">
        <v>410</v>
      </c>
      <c r="B216" s="388"/>
      <c r="C216" s="388"/>
      <c r="F216" s="99"/>
    </row>
    <row r="217" spans="1:6" ht="14.25" customHeight="1" x14ac:dyDescent="0.35">
      <c r="A217" s="3" t="s">
        <v>2</v>
      </c>
      <c r="F217" s="99"/>
    </row>
    <row r="218" spans="1:6" ht="14.25" customHeight="1" x14ac:dyDescent="0.35">
      <c r="A218" s="102" t="s">
        <v>411</v>
      </c>
      <c r="F218" s="99"/>
    </row>
    <row r="219" spans="1:6" ht="30" customHeight="1" x14ac:dyDescent="0.35">
      <c r="A219" s="112" t="s">
        <v>412</v>
      </c>
      <c r="B219" s="144" t="s">
        <v>413</v>
      </c>
      <c r="C219" s="144" t="s">
        <v>414</v>
      </c>
      <c r="F219" s="99"/>
    </row>
    <row r="220" spans="1:6" ht="16.5" customHeight="1" x14ac:dyDescent="0.35">
      <c r="A220" s="139" t="s">
        <v>415</v>
      </c>
      <c r="B220" s="141" t="s">
        <v>416</v>
      </c>
      <c r="C220" s="140">
        <v>8.36</v>
      </c>
      <c r="F220" s="99"/>
    </row>
    <row r="221" spans="1:6" ht="16.5" customHeight="1" x14ac:dyDescent="0.35">
      <c r="A221" s="139" t="s">
        <v>417</v>
      </c>
      <c r="B221" s="141" t="s">
        <v>418</v>
      </c>
      <c r="C221" s="140">
        <v>7.45</v>
      </c>
      <c r="F221" s="99"/>
    </row>
    <row r="222" spans="1:6" ht="14.25" customHeight="1" x14ac:dyDescent="0.35">
      <c r="A222" s="142"/>
      <c r="B222" s="59"/>
      <c r="C222" s="143"/>
      <c r="F222" s="99"/>
    </row>
    <row r="223" spans="1:6" ht="50.25" customHeight="1" x14ac:dyDescent="0.35">
      <c r="A223" s="386" t="s">
        <v>419</v>
      </c>
      <c r="B223" s="386"/>
      <c r="C223" s="386"/>
      <c r="F223" s="99"/>
    </row>
    <row r="224" spans="1:6" ht="51" customHeight="1" x14ac:dyDescent="0.35">
      <c r="A224" s="386" t="s">
        <v>420</v>
      </c>
      <c r="B224" s="386"/>
      <c r="C224" s="386"/>
      <c r="F224" s="99"/>
    </row>
    <row r="225" spans="1:6" ht="49.5" customHeight="1" x14ac:dyDescent="0.35">
      <c r="A225" s="386" t="s">
        <v>421</v>
      </c>
      <c r="B225" s="386"/>
      <c r="C225" s="386"/>
      <c r="F225" s="99"/>
    </row>
    <row r="226" spans="1:6" ht="80.25" customHeight="1" x14ac:dyDescent="0.35">
      <c r="A226" s="388" t="s">
        <v>422</v>
      </c>
      <c r="B226" s="388"/>
      <c r="C226" s="388"/>
      <c r="F226" s="99"/>
    </row>
    <row r="227" spans="1:6" ht="14.25" customHeight="1" x14ac:dyDescent="0.35">
      <c r="A227" s="3" t="s">
        <v>2</v>
      </c>
      <c r="F227" s="99"/>
    </row>
    <row r="228" spans="1:6" ht="14.25" customHeight="1" x14ac:dyDescent="0.35">
      <c r="A228" s="102" t="s">
        <v>423</v>
      </c>
      <c r="F228" s="99"/>
    </row>
    <row r="229" spans="1:6" ht="15.75" customHeight="1" x14ac:dyDescent="0.35">
      <c r="A229" s="384" t="s">
        <v>424</v>
      </c>
      <c r="B229" s="385" t="s">
        <v>425</v>
      </c>
      <c r="C229" s="385"/>
      <c r="D229" s="385"/>
      <c r="E229" s="385"/>
      <c r="F229" s="145"/>
    </row>
    <row r="230" spans="1:6" ht="15.75" customHeight="1" x14ac:dyDescent="0.35">
      <c r="A230" s="384"/>
      <c r="B230" s="113" t="s">
        <v>426</v>
      </c>
      <c r="C230" s="113" t="s">
        <v>427</v>
      </c>
      <c r="D230" s="113" t="s">
        <v>428</v>
      </c>
      <c r="E230" s="113" t="s">
        <v>429</v>
      </c>
      <c r="F230" s="146"/>
    </row>
    <row r="231" spans="1:6" ht="14.25" customHeight="1" x14ac:dyDescent="0.35">
      <c r="A231" s="139" t="s">
        <v>430</v>
      </c>
      <c r="B231" s="147">
        <v>0.14699999999999999</v>
      </c>
      <c r="C231" s="148">
        <v>2.0999999999999999E-3</v>
      </c>
      <c r="D231" s="147">
        <v>1.9E-2</v>
      </c>
      <c r="E231" s="147" t="s">
        <v>323</v>
      </c>
      <c r="F231" s="149"/>
    </row>
    <row r="232" spans="1:6" ht="14.25" customHeight="1" x14ac:dyDescent="0.35">
      <c r="A232" s="139" t="s">
        <v>431</v>
      </c>
      <c r="B232" s="147">
        <v>3.1E-2</v>
      </c>
      <c r="C232" s="148">
        <v>2.0000000000000001E-4</v>
      </c>
      <c r="D232" s="147">
        <v>0.105</v>
      </c>
      <c r="E232" s="147" t="s">
        <v>323</v>
      </c>
      <c r="F232" s="149"/>
    </row>
    <row r="233" spans="1:6" ht="14.25" customHeight="1" x14ac:dyDescent="0.35">
      <c r="A233" s="139" t="s">
        <v>432</v>
      </c>
      <c r="B233" s="147">
        <v>0.124</v>
      </c>
      <c r="C233" s="148">
        <v>1.1000000000000001E-3</v>
      </c>
      <c r="D233" s="147">
        <v>4.2999999999999997E-2</v>
      </c>
      <c r="E233" s="147">
        <v>1.2999999999999999E-2</v>
      </c>
      <c r="F233" s="149"/>
    </row>
    <row r="234" spans="1:6" ht="14.25" customHeight="1" x14ac:dyDescent="0.35">
      <c r="A234" s="139" t="s">
        <v>433</v>
      </c>
      <c r="B234" s="147">
        <v>0.36699999999999999</v>
      </c>
      <c r="C234" s="148">
        <v>4.65E-2</v>
      </c>
      <c r="D234" s="147">
        <v>1.7000000000000001E-2</v>
      </c>
      <c r="E234" s="147" t="s">
        <v>323</v>
      </c>
      <c r="F234" s="149"/>
    </row>
    <row r="235" spans="1:6" ht="14.25" customHeight="1" x14ac:dyDescent="0.35">
      <c r="A235" s="139" t="s">
        <v>434</v>
      </c>
      <c r="B235" s="147">
        <v>0.08</v>
      </c>
      <c r="C235" s="148">
        <v>3.8999999999999998E-3</v>
      </c>
      <c r="D235" s="147">
        <v>0.03</v>
      </c>
      <c r="E235" s="147" t="s">
        <v>323</v>
      </c>
      <c r="F235" s="149"/>
    </row>
    <row r="236" spans="1:6" ht="14.25" customHeight="1" x14ac:dyDescent="0.35">
      <c r="A236" s="139" t="s">
        <v>435</v>
      </c>
      <c r="B236" s="147">
        <v>0.251</v>
      </c>
      <c r="C236" s="148">
        <v>2.3400000000000001E-2</v>
      </c>
      <c r="D236" s="147">
        <v>2.3E-2</v>
      </c>
      <c r="E236" s="147">
        <v>3.7999999999999999E-2</v>
      </c>
      <c r="F236" s="149"/>
    </row>
    <row r="237" spans="1:6" ht="14.25" customHeight="1" x14ac:dyDescent="0.35">
      <c r="A237" s="139" t="s">
        <v>436</v>
      </c>
      <c r="B237" s="147">
        <v>0.16300000000000001</v>
      </c>
      <c r="C237" s="148">
        <v>5.4000000000000003E-3</v>
      </c>
      <c r="D237" s="147">
        <v>1.9E-2</v>
      </c>
      <c r="E237" s="147" t="s">
        <v>323</v>
      </c>
      <c r="F237" s="149"/>
    </row>
    <row r="238" spans="1:6" ht="14.25" customHeight="1" x14ac:dyDescent="0.35">
      <c r="A238" s="139" t="s">
        <v>437</v>
      </c>
      <c r="B238" s="147">
        <v>3.7999999999999999E-2</v>
      </c>
      <c r="C238" s="148">
        <v>6.9999999999999999E-4</v>
      </c>
      <c r="D238" s="147">
        <v>9.4E-2</v>
      </c>
      <c r="E238" s="147" t="s">
        <v>323</v>
      </c>
      <c r="F238" s="149"/>
    </row>
    <row r="239" spans="1:6" ht="14.25" customHeight="1" x14ac:dyDescent="0.35">
      <c r="A239" s="139" t="s">
        <v>438</v>
      </c>
      <c r="B239" s="147">
        <v>0.13600000000000001</v>
      </c>
      <c r="C239" s="148">
        <v>3.3E-3</v>
      </c>
      <c r="D239" s="147">
        <v>4.1000000000000002E-2</v>
      </c>
      <c r="E239" s="147">
        <v>1.6E-2</v>
      </c>
      <c r="F239" s="149"/>
    </row>
    <row r="240" spans="1:6" ht="14.25" customHeight="1" x14ac:dyDescent="0.35">
      <c r="A240" s="142"/>
      <c r="B240" s="59"/>
      <c r="C240" s="59"/>
      <c r="D240" s="143"/>
      <c r="E240" s="150"/>
      <c r="F240" s="151"/>
    </row>
    <row r="241" spans="1:6" ht="45.75" customHeight="1" x14ac:dyDescent="0.35">
      <c r="A241" s="386" t="s">
        <v>439</v>
      </c>
      <c r="B241" s="386"/>
      <c r="C241" s="386"/>
      <c r="D241" s="386"/>
      <c r="E241" s="386"/>
      <c r="F241" s="1"/>
    </row>
    <row r="242" spans="1:6" ht="32.25" customHeight="1" x14ac:dyDescent="0.35">
      <c r="A242" s="387" t="s">
        <v>440</v>
      </c>
      <c r="B242" s="387"/>
      <c r="C242" s="387"/>
      <c r="D242" s="387"/>
      <c r="E242" s="387"/>
      <c r="F242" s="152"/>
    </row>
  </sheetData>
  <mergeCells count="35">
    <mergeCell ref="A20:B20"/>
    <mergeCell ref="A21:B21"/>
    <mergeCell ref="A36:B36"/>
    <mergeCell ref="A37:B37"/>
    <mergeCell ref="A38:B38"/>
    <mergeCell ref="A39:B39"/>
    <mergeCell ref="A40:B40"/>
    <mergeCell ref="A49:B49"/>
    <mergeCell ref="A56:B56"/>
    <mergeCell ref="A57:B57"/>
    <mergeCell ref="B60:C60"/>
    <mergeCell ref="A74:C74"/>
    <mergeCell ref="A75:C75"/>
    <mergeCell ref="A111:D111"/>
    <mergeCell ref="A112:D112"/>
    <mergeCell ref="A148:B148"/>
    <mergeCell ref="A149:B149"/>
    <mergeCell ref="A159:B159"/>
    <mergeCell ref="A160:B160"/>
    <mergeCell ref="A163:A164"/>
    <mergeCell ref="B163:D163"/>
    <mergeCell ref="A188:D188"/>
    <mergeCell ref="A191:A192"/>
    <mergeCell ref="B191:D191"/>
    <mergeCell ref="A214:C214"/>
    <mergeCell ref="A215:C215"/>
    <mergeCell ref="A229:A230"/>
    <mergeCell ref="B229:E229"/>
    <mergeCell ref="A241:E241"/>
    <mergeCell ref="A242:E242"/>
    <mergeCell ref="A216:C216"/>
    <mergeCell ref="A223:C223"/>
    <mergeCell ref="A224:C224"/>
    <mergeCell ref="A225:C225"/>
    <mergeCell ref="A226:C226"/>
  </mergeCells>
  <hyperlinks>
    <hyperlink ref="A3" r:id="rId1" xr:uid="{00000000-0004-0000-0900-000000000000}"/>
  </hyperlinks>
  <pageMargins left="0.7" right="0.7" top="0.75" bottom="0.75"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280EE709480C4A814056404C03C755" ma:contentTypeVersion="13" ma:contentTypeDescription="Create a new document." ma:contentTypeScope="" ma:versionID="8b9c765f856e7a809359204b9c4f061d">
  <xsd:schema xmlns:xsd="http://www.w3.org/2001/XMLSchema" xmlns:xs="http://www.w3.org/2001/XMLSchema" xmlns:p="http://schemas.microsoft.com/office/2006/metadata/properties" xmlns:ns2="1105510d-043a-4047-872e-83a0db36d0ca" xmlns:ns3="b3517f6a-f444-4614-af0d-96020a84cc07" targetNamespace="http://schemas.microsoft.com/office/2006/metadata/properties" ma:root="true" ma:fieldsID="58fb3f7929d7c5e21f899c3dfc872417" ns2:_="" ns3:_="">
    <xsd:import namespace="1105510d-043a-4047-872e-83a0db36d0ca"/>
    <xsd:import namespace="b3517f6a-f444-4614-af0d-96020a84cc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5510d-043a-4047-872e-83a0db36d0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dd0feca-3926-49d8-aff6-3a45e16c69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517f6a-f444-4614-af0d-96020a84cc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30257e-0afb-438f-a11b-234e3b5f42d8}" ma:internalName="TaxCatchAll" ma:showField="CatchAllData" ma:web="b3517f6a-f444-4614-af0d-96020a84cc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05510d-043a-4047-872e-83a0db36d0ca">
      <Terms xmlns="http://schemas.microsoft.com/office/infopath/2007/PartnerControls"/>
    </lcf76f155ced4ddcb4097134ff3c332f>
    <TaxCatchAll xmlns="b3517f6a-f444-4614-af0d-96020a84cc07" xsi:nil="true"/>
  </documentManagement>
</p:properties>
</file>

<file path=customXml/itemProps1.xml><?xml version="1.0" encoding="utf-8"?>
<ds:datastoreItem xmlns:ds="http://schemas.openxmlformats.org/officeDocument/2006/customXml" ds:itemID="{72F1574B-820F-4BB3-9C74-BB6DDE6F41EF}">
  <ds:schemaRefs>
    <ds:schemaRef ds:uri="http://schemas.microsoft.com/sharepoint/v3/contenttype/forms"/>
  </ds:schemaRefs>
</ds:datastoreItem>
</file>

<file path=customXml/itemProps2.xml><?xml version="1.0" encoding="utf-8"?>
<ds:datastoreItem xmlns:ds="http://schemas.openxmlformats.org/officeDocument/2006/customXml" ds:itemID="{03E0D053-93A9-4883-9337-B210E36962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5510d-043a-4047-872e-83a0db36d0ca"/>
    <ds:schemaRef ds:uri="b3517f6a-f444-4614-af0d-96020a84c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ABB403-BDEE-4191-A0C8-A4C95698C929}">
  <ds:schemaRefs>
    <ds:schemaRef ds:uri="http://schemas.microsoft.com/office/2006/metadata/properties"/>
    <ds:schemaRef ds:uri="http://schemas.microsoft.com/office/infopath/2007/PartnerControls"/>
    <ds:schemaRef ds:uri="1105510d-043a-4047-872e-83a0db36d0ca"/>
    <ds:schemaRef ds:uri="b3517f6a-f444-4614-af0d-96020a84cc07"/>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Summary</vt:lpstr>
      <vt:lpstr>Final Results</vt:lpstr>
      <vt:lpstr>Outputs</vt:lpstr>
      <vt:lpstr>BCA_Inputs</vt:lpstr>
      <vt:lpstr>Consolidated_Volumes</vt:lpstr>
      <vt:lpstr>Distance_Assumptions</vt:lpstr>
      <vt:lpstr>Overview</vt:lpstr>
      <vt:lpstr>Project Information</vt:lpstr>
      <vt:lpstr>Parameter Values</vt:lpstr>
      <vt:lpstr>User Volumes</vt:lpstr>
      <vt:lpstr>Capital Costs</vt:lpstr>
      <vt:lpstr>Operations and Maintenance</vt:lpstr>
      <vt:lpstr>Safety</vt:lpstr>
      <vt:lpstr>Travel Time Savings</vt:lpstr>
      <vt:lpstr>Vehicle Operating Cost Savings</vt:lpstr>
      <vt:lpstr>Emissions Reduction</vt:lpstr>
      <vt:lpstr>Other Highway Use Externalities</vt:lpstr>
      <vt:lpstr>Amenity Benefits</vt:lpstr>
      <vt:lpstr>Health Benefits</vt:lpstr>
      <vt:lpstr>Residual Value</vt:lpstr>
      <vt:lpstr>Other Benefit 1</vt:lpstr>
      <vt:lpstr>Other Benefit 2</vt:lpstr>
      <vt:lpstr>Other Benefit 3</vt:lpstr>
      <vt:lpstr>Other Benefit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Riesenberg, Jordan (OST)</dc:creator>
  <dc:description/>
  <cp:lastModifiedBy>Paul Newtson</cp:lastModifiedBy>
  <cp:revision>0</cp:revision>
  <dcterms:created xsi:type="dcterms:W3CDTF">2023-03-14T14:10:51Z</dcterms:created>
  <dcterms:modified xsi:type="dcterms:W3CDTF">2026-06-24T19:53:47Z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0x0101001F280EE709480C4A814056404C03C755</vt:lpwstr>
  </property>
  <property fmtid="{D5CDD505-2E9C-101B-9397-08002B2CF9AE}" pid="3" name="MediaServiceImageTags">
    <vt:lpwstr/>
  </property>
</Properties>
</file>